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OT FUNDICIÓN" sheetId="1" r:id="rId1"/>
    <sheet name="STOCK SOPORTES" sheetId="2" r:id="rId2"/>
    <sheet name="STOCK CAÑOS" sheetId="5" r:id="rId3"/>
    <sheet name="REMITOS - NT SALIDA" sheetId="6" r:id="rId4"/>
    <sheet name="STOCK (PP-PT)" sheetId="8" r:id="rId5"/>
    <sheet name="planning fundición" sheetId="10" r:id="rId6"/>
    <sheet name="planning reb" sheetId="25" r:id="rId7"/>
    <sheet name="MERCADERIA EN TRANSITO" sheetId="11" r:id="rId8"/>
    <sheet name="REMITOS INGRESO" sheetId="15" r:id="rId9"/>
    <sheet name="PEDIDO BRUZZESE" sheetId="16" r:id="rId10"/>
    <sheet name="COSTOS" sheetId="18" r:id="rId11"/>
    <sheet name="Hoja1" sheetId="22" r:id="rId12"/>
    <sheet name="FASD" sheetId="23" r:id="rId13"/>
    <sheet name="INVENTARIO SOP AL 5-12" sheetId="24" r:id="rId14"/>
    <sheet name="fab caños" sheetId="26" r:id="rId15"/>
  </sheets>
  <definedNames>
    <definedName name="_xlnm._FilterDatabase" localSheetId="12" hidden="1">FASD!$B$1:$G$1</definedName>
    <definedName name="_xlnm._FilterDatabase" localSheetId="11" hidden="1">Hoja1!$A$11:$C$49</definedName>
    <definedName name="_xlnm._FilterDatabase" localSheetId="0" hidden="1">'OT FUNDICIÓN'!$A$6:$W$548</definedName>
    <definedName name="_xlnm._FilterDatabase" localSheetId="3" hidden="1">'REMITOS - NT SALIDA'!$A$1:$F$1</definedName>
  </definedNames>
  <calcPr calcId="125725"/>
</workbook>
</file>

<file path=xl/calcChain.xml><?xml version="1.0" encoding="utf-8"?>
<calcChain xmlns="http://schemas.openxmlformats.org/spreadsheetml/2006/main">
  <c r="T496" i="1"/>
  <c r="T490"/>
  <c r="B43" i="25"/>
  <c r="T480" i="1" l="1"/>
  <c r="T522"/>
  <c r="D37" i="25" l="1"/>
  <c r="D38"/>
  <c r="D39"/>
  <c r="B42"/>
  <c r="D42" s="1"/>
  <c r="B41"/>
  <c r="D41" s="1"/>
  <c r="B40"/>
  <c r="D40" s="1"/>
  <c r="B35"/>
  <c r="H538" i="1" l="1"/>
  <c r="H499"/>
  <c r="H500"/>
  <c r="H501"/>
  <c r="H502"/>
  <c r="H508"/>
  <c r="H544"/>
  <c r="H545"/>
  <c r="H546"/>
  <c r="F58" i="10"/>
  <c r="H14" i="8" l="1"/>
  <c r="F5"/>
  <c r="F6"/>
  <c r="F7"/>
  <c r="F8"/>
  <c r="F9"/>
  <c r="F10"/>
  <c r="F11"/>
  <c r="F12"/>
  <c r="F13"/>
  <c r="F17"/>
  <c r="F18"/>
  <c r="F19"/>
  <c r="F20"/>
  <c r="F21"/>
  <c r="F22"/>
  <c r="F23"/>
  <c r="F24"/>
  <c r="F25"/>
  <c r="F26"/>
  <c r="F27"/>
  <c r="F28"/>
  <c r="F4"/>
  <c r="T493" i="1"/>
  <c r="T411"/>
  <c r="H534"/>
  <c r="H535"/>
  <c r="H536"/>
  <c r="H537"/>
  <c r="C29" i="8"/>
  <c r="F29" s="1"/>
  <c r="T473" i="1"/>
  <c r="T485"/>
  <c r="T471"/>
  <c r="H524"/>
  <c r="H523"/>
  <c r="H522"/>
  <c r="L9" i="10"/>
  <c r="T491" i="1" l="1"/>
  <c r="H498" l="1"/>
  <c r="H497"/>
  <c r="H496"/>
  <c r="H495"/>
  <c r="H494"/>
  <c r="H493"/>
  <c r="H492"/>
  <c r="H491"/>
  <c r="H490"/>
  <c r="T424"/>
  <c r="D33" i="25"/>
  <c r="D34"/>
  <c r="D35"/>
  <c r="D36"/>
  <c r="H519" i="1" l="1"/>
  <c r="H520"/>
  <c r="H521"/>
  <c r="T401" l="1"/>
  <c r="T443"/>
  <c r="H485"/>
  <c r="H484"/>
  <c r="H483"/>
  <c r="H482"/>
  <c r="H514"/>
  <c r="H513"/>
  <c r="H512"/>
  <c r="H509"/>
  <c r="T423"/>
  <c r="D32" i="25"/>
  <c r="D31"/>
  <c r="L7" i="10"/>
  <c r="T487" i="1"/>
  <c r="T422"/>
  <c r="T472"/>
  <c r="I26" i="26"/>
  <c r="D23"/>
  <c r="D22"/>
  <c r="D21"/>
  <c r="D20"/>
  <c r="C23"/>
  <c r="E23" s="1"/>
  <c r="G23" s="1"/>
  <c r="I23" s="1"/>
  <c r="C22"/>
  <c r="C21"/>
  <c r="C20"/>
  <c r="E20" s="1"/>
  <c r="G20" s="1"/>
  <c r="I20" s="1"/>
  <c r="C25" s="1"/>
  <c r="E25" s="1"/>
  <c r="G25" s="1"/>
  <c r="I25" s="1"/>
  <c r="E22" l="1"/>
  <c r="G22" s="1"/>
  <c r="I22" s="1"/>
  <c r="C24" s="1"/>
  <c r="E24" s="1"/>
  <c r="G24" s="1"/>
  <c r="I24" s="1"/>
  <c r="E21"/>
  <c r="G21" s="1"/>
  <c r="I21" s="1"/>
  <c r="H489" i="1"/>
  <c r="H488"/>
  <c r="H487"/>
  <c r="H486"/>
  <c r="H408"/>
  <c r="H402"/>
  <c r="H401"/>
  <c r="T392"/>
  <c r="H392" s="1"/>
  <c r="H503"/>
  <c r="H504"/>
  <c r="H505"/>
  <c r="H507"/>
  <c r="G506"/>
  <c r="H506" s="1"/>
  <c r="F5" i="26"/>
  <c r="D2"/>
  <c r="D3"/>
  <c r="T468" i="1" l="1"/>
  <c r="T479"/>
  <c r="D16" i="25"/>
  <c r="H480" i="1"/>
  <c r="D21" i="25"/>
  <c r="D22"/>
  <c r="D23"/>
  <c r="D24"/>
  <c r="D25"/>
  <c r="D28"/>
  <c r="D29"/>
  <c r="D30"/>
  <c r="D26"/>
  <c r="D27"/>
  <c r="AB8" i="5" l="1"/>
  <c r="AB13"/>
  <c r="Y13"/>
  <c r="Y12"/>
  <c r="Y11"/>
  <c r="AB11" s="1"/>
  <c r="Y8"/>
  <c r="H422" i="1" l="1"/>
  <c r="H423"/>
  <c r="H471"/>
  <c r="H470" l="1"/>
  <c r="H469"/>
  <c r="H467"/>
  <c r="H466"/>
  <c r="H451"/>
  <c r="H447"/>
  <c r="H443"/>
  <c r="H442"/>
  <c r="H424"/>
  <c r="F47" i="10"/>
  <c r="T387" i="1"/>
  <c r="H387" s="1"/>
  <c r="T398"/>
  <c r="T433"/>
  <c r="T379"/>
  <c r="T450"/>
  <c r="H450" s="1"/>
  <c r="T439"/>
  <c r="D14" i="25"/>
  <c r="D8"/>
  <c r="D9"/>
  <c r="D10"/>
  <c r="D11"/>
  <c r="D12"/>
  <c r="D13"/>
  <c r="D15"/>
  <c r="D17"/>
  <c r="D18"/>
  <c r="D7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20"/>
  <c r="D19"/>
  <c r="E9"/>
  <c r="T374" i="1"/>
  <c r="H374" s="1"/>
  <c r="H477"/>
  <c r="H476"/>
  <c r="H475"/>
  <c r="H413"/>
  <c r="H412"/>
  <c r="H472"/>
  <c r="H473"/>
  <c r="H474"/>
  <c r="H377"/>
  <c r="H468"/>
  <c r="H463"/>
  <c r="H464"/>
  <c r="H465"/>
  <c r="H372"/>
  <c r="H373"/>
  <c r="T434"/>
  <c r="H434" s="1"/>
  <c r="T362"/>
  <c r="H441"/>
  <c r="H452"/>
  <c r="T435"/>
  <c r="H435" s="1"/>
  <c r="H462"/>
  <c r="H461"/>
  <c r="H460"/>
  <c r="H459"/>
  <c r="H458"/>
  <c r="H457"/>
  <c r="H371"/>
  <c r="H453"/>
  <c r="H454"/>
  <c r="H455"/>
  <c r="H456"/>
  <c r="H449"/>
  <c r="N66" i="10"/>
  <c r="H448" i="1"/>
  <c r="J28" i="2"/>
  <c r="H370" i="1" l="1"/>
  <c r="H444"/>
  <c r="H445"/>
  <c r="H446"/>
  <c r="D24" i="2"/>
  <c r="D28" s="1"/>
  <c r="C24"/>
  <c r="C28" s="1"/>
  <c r="T352" i="1"/>
  <c r="H369" l="1"/>
  <c r="H362"/>
  <c r="H440"/>
  <c r="N27" i="10"/>
  <c r="H439" i="1" l="1"/>
  <c r="H430" l="1"/>
  <c r="H431"/>
  <c r="H432"/>
  <c r="H437"/>
  <c r="H438"/>
  <c r="H436"/>
  <c r="H433"/>
  <c r="T359"/>
  <c r="N58" i="10"/>
  <c r="E58" s="1"/>
  <c r="G4" i="23" l="1"/>
  <c r="G3"/>
  <c r="F9" i="18"/>
  <c r="F8"/>
  <c r="F7" l="1"/>
  <c r="F6"/>
  <c r="F5"/>
  <c r="F4"/>
  <c r="E4"/>
  <c r="F3"/>
  <c r="E3"/>
  <c r="F13" i="16" l="1"/>
  <c r="F12"/>
  <c r="F11"/>
  <c r="F10"/>
  <c r="F9"/>
  <c r="F6"/>
  <c r="F5"/>
  <c r="F4"/>
  <c r="D254" i="11"/>
  <c r="O85"/>
  <c r="O84"/>
  <c r="O83"/>
  <c r="O82"/>
  <c r="O81"/>
  <c r="D77"/>
  <c r="O72"/>
  <c r="O71"/>
  <c r="O70"/>
  <c r="O69"/>
  <c r="O68"/>
  <c r="O67"/>
  <c r="O65"/>
  <c r="O64"/>
  <c r="O62"/>
  <c r="O61"/>
  <c r="O59"/>
  <c r="O57"/>
  <c r="O56"/>
  <c r="O55"/>
  <c r="P54"/>
  <c r="O54"/>
  <c r="O53"/>
  <c r="O52"/>
  <c r="O51"/>
  <c r="O50"/>
  <c r="O49"/>
  <c r="O48"/>
  <c r="O47"/>
  <c r="O46"/>
  <c r="O44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8"/>
  <c r="O7"/>
  <c r="O6"/>
  <c r="N67" i="10"/>
  <c r="E67" s="1"/>
  <c r="E66"/>
  <c r="E65"/>
  <c r="E64"/>
  <c r="E63"/>
  <c r="E62"/>
  <c r="E61"/>
  <c r="O77" i="11" l="1"/>
  <c r="F14" i="16"/>
  <c r="N60" i="10"/>
  <c r="E60" s="1"/>
  <c r="N59"/>
  <c r="E59" s="1"/>
  <c r="E57"/>
  <c r="E56"/>
  <c r="E55"/>
  <c r="E54"/>
  <c r="N53"/>
  <c r="E53" s="1"/>
  <c r="F52" l="1"/>
  <c r="N52" s="1"/>
  <c r="N51"/>
  <c r="E51" s="1"/>
  <c r="N50"/>
  <c r="E50" s="1"/>
  <c r="E49"/>
  <c r="E48"/>
  <c r="E52" l="1"/>
  <c r="N47"/>
  <c r="E47" l="1"/>
  <c r="E46"/>
  <c r="N45"/>
  <c r="E45" s="1"/>
  <c r="N44"/>
  <c r="E44" s="1"/>
  <c r="N43"/>
  <c r="E43" s="1"/>
  <c r="N42"/>
  <c r="E42" s="1"/>
  <c r="N41"/>
  <c r="E41" s="1"/>
  <c r="N40"/>
  <c r="E40" s="1"/>
  <c r="N39"/>
  <c r="E39" s="1"/>
  <c r="N38"/>
  <c r="E38" s="1"/>
  <c r="N37"/>
  <c r="E37" s="1"/>
  <c r="E36"/>
  <c r="E35"/>
  <c r="N34"/>
  <c r="E34" s="1"/>
  <c r="N33"/>
  <c r="E33" s="1"/>
  <c r="N32"/>
  <c r="E32" s="1"/>
  <c r="F31"/>
  <c r="N31" s="1"/>
  <c r="N30"/>
  <c r="E30" s="1"/>
  <c r="N29"/>
  <c r="E29" s="1"/>
  <c r="E28"/>
  <c r="E27"/>
  <c r="N26"/>
  <c r="E26" s="1"/>
  <c r="E31" l="1"/>
  <c r="N25"/>
  <c r="E25" s="1"/>
  <c r="E24"/>
  <c r="N23"/>
  <c r="E23" s="1"/>
  <c r="N22"/>
  <c r="E22" s="1"/>
  <c r="N21"/>
  <c r="E21" s="1"/>
  <c r="N20"/>
  <c r="E20" s="1"/>
  <c r="N19"/>
  <c r="E19" s="1"/>
  <c r="N18"/>
  <c r="E18" s="1"/>
  <c r="E17"/>
  <c r="N16" s="1"/>
  <c r="E16" s="1"/>
  <c r="N15"/>
  <c r="E15" s="1"/>
  <c r="N14"/>
  <c r="E14" l="1"/>
  <c r="N13"/>
  <c r="N12"/>
  <c r="E12" s="1"/>
  <c r="N11"/>
  <c r="E11" s="1"/>
  <c r="N10"/>
  <c r="E10" s="1"/>
  <c r="N9"/>
  <c r="O9" s="1"/>
  <c r="N8"/>
  <c r="E8" s="1"/>
  <c r="N7"/>
  <c r="E9" l="1"/>
  <c r="E7"/>
  <c r="C16" i="8"/>
  <c r="F16" s="1"/>
  <c r="C14"/>
  <c r="F14" s="1"/>
  <c r="F30" l="1"/>
  <c r="Y16" i="5"/>
  <c r="Y15" l="1"/>
  <c r="F15"/>
  <c r="Y14"/>
  <c r="I12"/>
  <c r="F12"/>
  <c r="Y10"/>
  <c r="Y9"/>
  <c r="E9" l="1"/>
  <c r="I8" l="1"/>
  <c r="F8"/>
  <c r="Y7"/>
  <c r="Y6" l="1"/>
  <c r="Z6" s="1"/>
  <c r="AB6" s="1"/>
  <c r="Y5"/>
  <c r="Y4"/>
  <c r="B21" i="2"/>
  <c r="B24" s="1"/>
  <c r="B28" s="1"/>
  <c r="P16"/>
  <c r="O16"/>
  <c r="N16"/>
  <c r="M16"/>
  <c r="L16"/>
  <c r="J16"/>
  <c r="Z4" i="5" l="1"/>
  <c r="AB4" s="1"/>
  <c r="N21" i="2"/>
  <c r="K13"/>
  <c r="K16" s="1"/>
  <c r="I13"/>
  <c r="I16" s="1"/>
  <c r="H16" s="1"/>
  <c r="H13"/>
  <c r="E13"/>
  <c r="D13"/>
  <c r="C13"/>
  <c r="B13"/>
  <c r="H12"/>
  <c r="E9"/>
  <c r="M21" l="1"/>
  <c r="N24"/>
  <c r="N28" s="1"/>
  <c r="E16"/>
  <c r="D16" s="1"/>
  <c r="C16" s="1"/>
  <c r="B16" s="1"/>
  <c r="K21"/>
  <c r="E7"/>
  <c r="P6"/>
  <c r="N6"/>
  <c r="M6"/>
  <c r="L6"/>
  <c r="K6"/>
  <c r="J6"/>
  <c r="I6"/>
  <c r="E6"/>
  <c r="E8" s="1"/>
  <c r="D6"/>
  <c r="D12" s="1"/>
  <c r="B6"/>
  <c r="H429" i="1"/>
  <c r="H428"/>
  <c r="H427"/>
  <c r="H426"/>
  <c r="H425"/>
  <c r="H361"/>
  <c r="H360"/>
  <c r="H359"/>
  <c r="H421"/>
  <c r="H420"/>
  <c r="L21" i="2" l="1"/>
  <c r="L24" s="1"/>
  <c r="L28" s="1"/>
  <c r="M24"/>
  <c r="M28" s="1"/>
  <c r="J21"/>
  <c r="I21" s="1"/>
  <c r="K24"/>
  <c r="K28" s="1"/>
  <c r="E21"/>
  <c r="E24" s="1"/>
  <c r="F28" s="1"/>
  <c r="E10"/>
  <c r="E12" s="1"/>
  <c r="H419" i="1"/>
  <c r="K418"/>
  <c r="J418"/>
  <c r="H418"/>
  <c r="H417"/>
  <c r="H416"/>
  <c r="H415"/>
  <c r="K414"/>
  <c r="J414"/>
  <c r="H414"/>
  <c r="H411"/>
  <c r="H409"/>
  <c r="H407"/>
  <c r="H353"/>
  <c r="K479"/>
  <c r="J479"/>
  <c r="H21" i="2" l="1"/>
  <c r="H24" s="1"/>
  <c r="H28" s="1"/>
  <c r="I24"/>
  <c r="I28" s="1"/>
  <c r="G479" i="1"/>
  <c r="H479" s="1"/>
  <c r="H345"/>
  <c r="K478"/>
  <c r="J478"/>
  <c r="H478"/>
  <c r="H406" l="1"/>
  <c r="H405"/>
  <c r="H404"/>
  <c r="H403"/>
  <c r="H344"/>
  <c r="T343"/>
  <c r="H343" s="1"/>
  <c r="H400"/>
  <c r="T399"/>
  <c r="H399" s="1"/>
  <c r="H398"/>
  <c r="H397"/>
  <c r="H396"/>
  <c r="H394"/>
  <c r="H340"/>
  <c r="H339"/>
  <c r="H391"/>
  <c r="H390"/>
  <c r="H389"/>
  <c r="H388"/>
  <c r="T327"/>
  <c r="H327" s="1"/>
  <c r="H386"/>
  <c r="H385"/>
  <c r="H384"/>
  <c r="H383"/>
  <c r="H382"/>
  <c r="H381"/>
  <c r="H380"/>
  <c r="H379"/>
  <c r="H378"/>
  <c r="T325" l="1"/>
  <c r="H325" s="1"/>
  <c r="H376"/>
  <c r="H375"/>
  <c r="H324"/>
  <c r="H323"/>
  <c r="H320"/>
  <c r="H316"/>
  <c r="H315"/>
  <c r="H314" l="1"/>
  <c r="K368"/>
  <c r="J368"/>
  <c r="H368"/>
  <c r="K367"/>
  <c r="J367"/>
  <c r="H367"/>
  <c r="H366"/>
  <c r="H365"/>
  <c r="H364" l="1"/>
  <c r="T363"/>
  <c r="H363" s="1"/>
  <c r="H311"/>
  <c r="H296"/>
  <c r="T295"/>
  <c r="H295" s="1"/>
  <c r="H294"/>
  <c r="T358"/>
  <c r="H358" s="1"/>
  <c r="H357"/>
  <c r="T356"/>
  <c r="H356" s="1"/>
  <c r="K356"/>
  <c r="J356"/>
  <c r="K355"/>
  <c r="J355" l="1"/>
  <c r="H355"/>
  <c r="T354" l="1"/>
  <c r="H354" s="1"/>
  <c r="K354"/>
  <c r="J354"/>
  <c r="H352"/>
  <c r="H351"/>
  <c r="H349"/>
  <c r="T350"/>
  <c r="H350" s="1"/>
  <c r="H346"/>
  <c r="T348"/>
  <c r="H348" s="1"/>
  <c r="T347"/>
  <c r="H347" s="1"/>
  <c r="T257"/>
  <c r="K257"/>
  <c r="J257"/>
  <c r="H277"/>
  <c r="T275"/>
  <c r="H275" s="1"/>
  <c r="T271"/>
  <c r="H271" s="1"/>
  <c r="H342"/>
  <c r="H341"/>
  <c r="H533"/>
  <c r="T269"/>
  <c r="H269" s="1"/>
  <c r="H338"/>
  <c r="H337"/>
  <c r="K336"/>
  <c r="J336"/>
  <c r="H336"/>
  <c r="H335"/>
  <c r="H334"/>
  <c r="T333"/>
  <c r="H333" s="1"/>
  <c r="K333"/>
  <c r="J333"/>
  <c r="H257" l="1"/>
  <c r="T332"/>
  <c r="H332" s="1"/>
  <c r="K332"/>
  <c r="J332"/>
  <c r="H331"/>
  <c r="K330"/>
  <c r="J330"/>
  <c r="H330"/>
  <c r="K329"/>
  <c r="J329"/>
  <c r="H329"/>
  <c r="K328"/>
  <c r="J328"/>
  <c r="H328"/>
  <c r="K268"/>
  <c r="J268"/>
  <c r="H268"/>
  <c r="K267"/>
  <c r="J267"/>
  <c r="H267"/>
  <c r="K264"/>
  <c r="J264"/>
  <c r="H264"/>
  <c r="K263"/>
  <c r="J263"/>
  <c r="H263"/>
  <c r="K262"/>
  <c r="J262"/>
  <c r="H262"/>
  <c r="K322"/>
  <c r="J322"/>
  <c r="H322"/>
  <c r="K321"/>
  <c r="J321"/>
  <c r="H321"/>
  <c r="T10"/>
  <c r="H10" s="1"/>
  <c r="K10"/>
  <c r="J10"/>
  <c r="K319"/>
  <c r="J319"/>
  <c r="H319"/>
  <c r="K318"/>
  <c r="J318"/>
  <c r="H318"/>
  <c r="K317"/>
  <c r="J317"/>
  <c r="H317"/>
  <c r="K527"/>
  <c r="J527"/>
  <c r="H527"/>
  <c r="K526"/>
  <c r="J526"/>
  <c r="H526"/>
  <c r="K525"/>
  <c r="J525"/>
  <c r="H525"/>
  <c r="H313" l="1"/>
  <c r="T312"/>
  <c r="H312" s="1"/>
  <c r="K312"/>
  <c r="J312"/>
  <c r="T515"/>
  <c r="K515"/>
  <c r="J515"/>
  <c r="H515" s="1"/>
  <c r="K310" l="1"/>
  <c r="J310"/>
  <c r="H310"/>
  <c r="K309"/>
  <c r="J309"/>
  <c r="H309"/>
  <c r="J308"/>
  <c r="H308"/>
  <c r="K307"/>
  <c r="J307"/>
  <c r="H307"/>
  <c r="K306"/>
  <c r="J306"/>
  <c r="H306" l="1"/>
  <c r="T305" l="1"/>
  <c r="K305"/>
  <c r="J305"/>
  <c r="H305" l="1"/>
  <c r="K302"/>
  <c r="J302"/>
  <c r="H302"/>
  <c r="K301"/>
  <c r="J301"/>
  <c r="H301"/>
  <c r="T297"/>
  <c r="K297"/>
  <c r="J297"/>
  <c r="H297" l="1"/>
  <c r="K532"/>
  <c r="J532"/>
  <c r="H532" l="1"/>
  <c r="K531"/>
  <c r="J531"/>
  <c r="H531"/>
  <c r="K530"/>
  <c r="J530"/>
  <c r="H530"/>
  <c r="K293"/>
  <c r="J293"/>
  <c r="H293"/>
  <c r="K292"/>
  <c r="J292"/>
  <c r="H292"/>
  <c r="K291"/>
  <c r="J291"/>
  <c r="H291"/>
  <c r="K290" l="1"/>
  <c r="J290"/>
  <c r="H290"/>
  <c r="K289"/>
  <c r="J289"/>
  <c r="H289"/>
  <c r="K288"/>
  <c r="J288"/>
  <c r="H288" l="1"/>
  <c r="K287"/>
  <c r="J287"/>
  <c r="H287"/>
  <c r="T286"/>
  <c r="K286"/>
  <c r="J286"/>
  <c r="H286" s="1"/>
  <c r="K285"/>
  <c r="J285"/>
  <c r="H285"/>
  <c r="T284" l="1"/>
  <c r="K284"/>
  <c r="J284"/>
  <c r="K283"/>
  <c r="J283"/>
  <c r="H283"/>
  <c r="K282"/>
  <c r="J282"/>
  <c r="H282"/>
  <c r="H284" l="1"/>
  <c r="T281"/>
  <c r="H281" s="1"/>
  <c r="K281"/>
  <c r="J281"/>
  <c r="K280"/>
  <c r="J280"/>
  <c r="H280"/>
  <c r="K279"/>
  <c r="J279"/>
  <c r="H279"/>
  <c r="K278"/>
  <c r="J278"/>
  <c r="H278"/>
  <c r="T255" l="1"/>
  <c r="K255"/>
  <c r="J255"/>
  <c r="H255" l="1"/>
  <c r="K276"/>
  <c r="J276"/>
  <c r="H276"/>
  <c r="K542"/>
  <c r="J542"/>
  <c r="H542"/>
  <c r="K274"/>
  <c r="J274"/>
  <c r="H274"/>
  <c r="K273"/>
  <c r="J273"/>
  <c r="H273"/>
  <c r="K272"/>
  <c r="J272"/>
  <c r="H272"/>
  <c r="K253"/>
  <c r="J253"/>
  <c r="H253"/>
  <c r="K270"/>
  <c r="J270"/>
  <c r="H270"/>
  <c r="K543"/>
  <c r="J543"/>
  <c r="H543"/>
  <c r="K541"/>
  <c r="J541"/>
  <c r="H541"/>
  <c r="K540"/>
  <c r="J540"/>
  <c r="H540"/>
  <c r="K266" l="1"/>
  <c r="J266"/>
  <c r="H266"/>
  <c r="K265"/>
  <c r="J265"/>
  <c r="H265"/>
  <c r="T518"/>
  <c r="K518"/>
  <c r="J518"/>
  <c r="K517"/>
  <c r="J517"/>
  <c r="H517"/>
  <c r="K516"/>
  <c r="J516"/>
  <c r="H516"/>
  <c r="K261"/>
  <c r="J261"/>
  <c r="H261"/>
  <c r="K260"/>
  <c r="J260"/>
  <c r="H260"/>
  <c r="K259"/>
  <c r="J259"/>
  <c r="K258"/>
  <c r="J258"/>
  <c r="H258"/>
  <c r="K235"/>
  <c r="J235"/>
  <c r="H235"/>
  <c r="K256"/>
  <c r="J256"/>
  <c r="H256"/>
  <c r="K232"/>
  <c r="J232"/>
  <c r="H232"/>
  <c r="K224"/>
  <c r="J224"/>
  <c r="H224"/>
  <c r="T202"/>
  <c r="K202"/>
  <c r="J202"/>
  <c r="T252"/>
  <c r="K252"/>
  <c r="J252"/>
  <c r="H252" s="1"/>
  <c r="K251"/>
  <c r="J251"/>
  <c r="H251"/>
  <c r="K250"/>
  <c r="J250"/>
  <c r="H250"/>
  <c r="K249"/>
  <c r="J249"/>
  <c r="H249"/>
  <c r="T248"/>
  <c r="K248"/>
  <c r="J248"/>
  <c r="H248" s="1"/>
  <c r="T247"/>
  <c r="K247"/>
  <c r="J247"/>
  <c r="T246"/>
  <c r="K246"/>
  <c r="J246"/>
  <c r="H246" s="1"/>
  <c r="K245"/>
  <c r="J245"/>
  <c r="H245"/>
  <c r="T244"/>
  <c r="K244"/>
  <c r="J244"/>
  <c r="H244" s="1"/>
  <c r="T243"/>
  <c r="H243" s="1"/>
  <c r="K243"/>
  <c r="J243"/>
  <c r="T242"/>
  <c r="K242"/>
  <c r="J242"/>
  <c r="T241"/>
  <c r="K241"/>
  <c r="J241"/>
  <c r="H247" l="1"/>
  <c r="H202"/>
  <c r="H242"/>
  <c r="H518"/>
  <c r="H241"/>
  <c r="T240"/>
  <c r="H240" s="1"/>
  <c r="K240"/>
  <c r="J240"/>
  <c r="T239"/>
  <c r="K239"/>
  <c r="J239" l="1"/>
  <c r="H239"/>
  <c r="K238"/>
  <c r="J238"/>
  <c r="H238"/>
  <c r="K237"/>
  <c r="J237"/>
  <c r="H237"/>
  <c r="K236"/>
  <c r="J236"/>
  <c r="H236"/>
  <c r="T198"/>
  <c r="K198"/>
  <c r="J198"/>
  <c r="H198" s="1"/>
  <c r="T234"/>
  <c r="K234"/>
  <c r="J234"/>
  <c r="K233"/>
  <c r="H234" l="1"/>
  <c r="J233"/>
  <c r="H233"/>
  <c r="T326"/>
  <c r="K326"/>
  <c r="J326"/>
  <c r="T231"/>
  <c r="K231"/>
  <c r="J231"/>
  <c r="K230"/>
  <c r="J230"/>
  <c r="H230"/>
  <c r="K229"/>
  <c r="J229"/>
  <c r="H229"/>
  <c r="K228"/>
  <c r="J228"/>
  <c r="H228"/>
  <c r="H231" l="1"/>
  <c r="H326"/>
  <c r="T227"/>
  <c r="H227" s="1"/>
  <c r="K227"/>
  <c r="J227"/>
  <c r="T226" l="1"/>
  <c r="K226"/>
  <c r="J226"/>
  <c r="K225"/>
  <c r="J225"/>
  <c r="H225"/>
  <c r="K197"/>
  <c r="J197"/>
  <c r="H197"/>
  <c r="K223"/>
  <c r="J223"/>
  <c r="H223"/>
  <c r="K222"/>
  <c r="J222"/>
  <c r="H222"/>
  <c r="K221"/>
  <c r="J221"/>
  <c r="H221"/>
  <c r="K220"/>
  <c r="J220"/>
  <c r="H220"/>
  <c r="K219"/>
  <c r="J219"/>
  <c r="H219"/>
  <c r="K218"/>
  <c r="J218"/>
  <c r="H218"/>
  <c r="K217"/>
  <c r="J217"/>
  <c r="H217"/>
  <c r="K216"/>
  <c r="J216"/>
  <c r="H216"/>
  <c r="T215"/>
  <c r="K215"/>
  <c r="J215"/>
  <c r="T214"/>
  <c r="K214"/>
  <c r="J214"/>
  <c r="K213"/>
  <c r="J213"/>
  <c r="H213"/>
  <c r="K212"/>
  <c r="J212"/>
  <c r="H212"/>
  <c r="K211"/>
  <c r="J211"/>
  <c r="H211"/>
  <c r="K210"/>
  <c r="J210"/>
  <c r="H210"/>
  <c r="K209"/>
  <c r="J209"/>
  <c r="H214" l="1"/>
  <c r="H226"/>
  <c r="H215"/>
  <c r="H209"/>
  <c r="T208"/>
  <c r="K208"/>
  <c r="J208"/>
  <c r="H208" l="1"/>
  <c r="K207"/>
  <c r="J207"/>
  <c r="H207"/>
  <c r="K206"/>
  <c r="J206"/>
  <c r="H206"/>
  <c r="K205"/>
  <c r="J205"/>
  <c r="H205"/>
  <c r="T204"/>
  <c r="K204"/>
  <c r="J204"/>
  <c r="H204" s="1"/>
  <c r="K203"/>
  <c r="J203"/>
  <c r="H203"/>
  <c r="K168"/>
  <c r="J168"/>
  <c r="H168"/>
  <c r="T201"/>
  <c r="K201"/>
  <c r="J201"/>
  <c r="T200"/>
  <c r="K200"/>
  <c r="J200"/>
  <c r="H200" s="1"/>
  <c r="K199"/>
  <c r="J199"/>
  <c r="H201" l="1"/>
  <c r="G199"/>
  <c r="H199" s="1"/>
  <c r="K529"/>
  <c r="J529"/>
  <c r="H529"/>
  <c r="T528"/>
  <c r="K528"/>
  <c r="J528"/>
  <c r="K196"/>
  <c r="J196"/>
  <c r="H196"/>
  <c r="K195"/>
  <c r="J195"/>
  <c r="H195"/>
  <c r="K194"/>
  <c r="J194"/>
  <c r="H194"/>
  <c r="K193"/>
  <c r="J193"/>
  <c r="H193"/>
  <c r="K192"/>
  <c r="J192"/>
  <c r="H192"/>
  <c r="T191"/>
  <c r="K191"/>
  <c r="J191"/>
  <c r="K190"/>
  <c r="J190"/>
  <c r="H190"/>
  <c r="K189"/>
  <c r="J189"/>
  <c r="H189"/>
  <c r="T188"/>
  <c r="K188"/>
  <c r="J188"/>
  <c r="G188"/>
  <c r="T187"/>
  <c r="H187" s="1"/>
  <c r="K187"/>
  <c r="J187"/>
  <c r="T186"/>
  <c r="H191" l="1"/>
  <c r="H528"/>
  <c r="H188"/>
  <c r="K186"/>
  <c r="J186"/>
  <c r="H186"/>
  <c r="K185"/>
  <c r="J185"/>
  <c r="H185"/>
  <c r="K184"/>
  <c r="J184"/>
  <c r="H184"/>
  <c r="T183" l="1"/>
  <c r="K183"/>
  <c r="J183"/>
  <c r="T182"/>
  <c r="H182" s="1"/>
  <c r="K182"/>
  <c r="J182"/>
  <c r="T181"/>
  <c r="H181" s="1"/>
  <c r="K181"/>
  <c r="J181"/>
  <c r="T180"/>
  <c r="K180"/>
  <c r="J180"/>
  <c r="H180"/>
  <c r="K179"/>
  <c r="J179"/>
  <c r="H179"/>
  <c r="K178"/>
  <c r="J178"/>
  <c r="H178"/>
  <c r="K177"/>
  <c r="J177"/>
  <c r="H177"/>
  <c r="K176"/>
  <c r="J176"/>
  <c r="H176"/>
  <c r="K175"/>
  <c r="J175"/>
  <c r="H175"/>
  <c r="K174"/>
  <c r="J174"/>
  <c r="H174"/>
  <c r="K173"/>
  <c r="J173"/>
  <c r="H173"/>
  <c r="H183" l="1"/>
  <c r="T172"/>
  <c r="K172"/>
  <c r="J172"/>
  <c r="H172" l="1"/>
  <c r="T170" l="1"/>
  <c r="K170"/>
  <c r="J170"/>
  <c r="T169"/>
  <c r="K169"/>
  <c r="J169"/>
  <c r="K167"/>
  <c r="J167"/>
  <c r="H167"/>
  <c r="K166"/>
  <c r="J166"/>
  <c r="H166"/>
  <c r="K165"/>
  <c r="J165"/>
  <c r="H165"/>
  <c r="K163"/>
  <c r="J163"/>
  <c r="H163"/>
  <c r="K161"/>
  <c r="J161"/>
  <c r="H161"/>
  <c r="T164"/>
  <c r="H164" s="1"/>
  <c r="K164"/>
  <c r="J164"/>
  <c r="K160"/>
  <c r="J160"/>
  <c r="H160"/>
  <c r="K162"/>
  <c r="J162"/>
  <c r="H162"/>
  <c r="K158"/>
  <c r="J158"/>
  <c r="H158"/>
  <c r="K145"/>
  <c r="J145"/>
  <c r="H145"/>
  <c r="K159"/>
  <c r="J159"/>
  <c r="H159"/>
  <c r="T129"/>
  <c r="K129"/>
  <c r="J129"/>
  <c r="T157"/>
  <c r="K157"/>
  <c r="J157"/>
  <c r="K156"/>
  <c r="J156"/>
  <c r="H156"/>
  <c r="K155"/>
  <c r="J155"/>
  <c r="H155"/>
  <c r="K154"/>
  <c r="J154"/>
  <c r="H154"/>
  <c r="K153"/>
  <c r="J153"/>
  <c r="H153"/>
  <c r="K152"/>
  <c r="J152"/>
  <c r="H152"/>
  <c r="K151"/>
  <c r="J151"/>
  <c r="H151"/>
  <c r="K150"/>
  <c r="J150"/>
  <c r="H150"/>
  <c r="K149"/>
  <c r="J149"/>
  <c r="H149"/>
  <c r="K148"/>
  <c r="J148"/>
  <c r="H129" l="1"/>
  <c r="H169"/>
  <c r="H170"/>
  <c r="H157"/>
  <c r="H148"/>
  <c r="K147"/>
  <c r="J147"/>
  <c r="H147"/>
  <c r="T146"/>
  <c r="K146"/>
  <c r="J146"/>
  <c r="T105"/>
  <c r="H105" s="1"/>
  <c r="K105"/>
  <c r="J105"/>
  <c r="K144"/>
  <c r="J144"/>
  <c r="H144"/>
  <c r="T143"/>
  <c r="K143"/>
  <c r="J143"/>
  <c r="H143" s="1"/>
  <c r="K142"/>
  <c r="J142"/>
  <c r="H142"/>
  <c r="T141"/>
  <c r="K141"/>
  <c r="J141"/>
  <c r="H141" s="1"/>
  <c r="K140"/>
  <c r="J140"/>
  <c r="H140"/>
  <c r="T139"/>
  <c r="K139"/>
  <c r="J139"/>
  <c r="H146" l="1"/>
  <c r="H139"/>
  <c r="T138" l="1"/>
  <c r="K138" l="1"/>
  <c r="J138"/>
  <c r="H138"/>
  <c r="T137"/>
  <c r="K137"/>
  <c r="J137"/>
  <c r="K136"/>
  <c r="J136"/>
  <c r="H136"/>
  <c r="H137" l="1"/>
  <c r="T135"/>
  <c r="H135" s="1"/>
  <c r="K135"/>
  <c r="J135"/>
  <c r="T134"/>
  <c r="K134"/>
  <c r="J134"/>
  <c r="H134" s="1"/>
  <c r="K133"/>
  <c r="J133"/>
  <c r="H133"/>
  <c r="T132"/>
  <c r="K132"/>
  <c r="J132"/>
  <c r="H132"/>
  <c r="T131"/>
  <c r="K131"/>
  <c r="J131"/>
  <c r="H131" l="1"/>
  <c r="T130"/>
  <c r="H130" s="1"/>
  <c r="K130"/>
  <c r="J130"/>
  <c r="K73"/>
  <c r="J73"/>
  <c r="H73"/>
  <c r="T128"/>
  <c r="K128"/>
  <c r="J128"/>
  <c r="H128" l="1"/>
  <c r="T127"/>
  <c r="H127" s="1"/>
  <c r="K127"/>
  <c r="J127"/>
  <c r="K126"/>
  <c r="J126"/>
  <c r="H126"/>
  <c r="K125"/>
  <c r="J125"/>
  <c r="H125"/>
  <c r="K124"/>
  <c r="J124"/>
  <c r="H124"/>
  <c r="T123"/>
  <c r="H123" s="1"/>
  <c r="K123"/>
  <c r="J123"/>
  <c r="K122"/>
  <c r="J122"/>
  <c r="H122"/>
  <c r="T121" l="1"/>
  <c r="H121" s="1"/>
  <c r="K121"/>
  <c r="J121"/>
  <c r="K120"/>
  <c r="J120"/>
  <c r="H120"/>
  <c r="K119"/>
  <c r="J119"/>
  <c r="H119"/>
  <c r="T118"/>
  <c r="K118"/>
  <c r="J118"/>
  <c r="T117"/>
  <c r="K117"/>
  <c r="J117"/>
  <c r="H118" l="1"/>
  <c r="G117"/>
  <c r="H117" s="1"/>
  <c r="T116"/>
  <c r="K116"/>
  <c r="J116"/>
  <c r="T115"/>
  <c r="S115"/>
  <c r="K115"/>
  <c r="J115"/>
  <c r="G115"/>
  <c r="H115" l="1"/>
  <c r="H116"/>
  <c r="T114"/>
  <c r="H114" s="1"/>
  <c r="K114"/>
  <c r="J114"/>
  <c r="T113"/>
  <c r="K113"/>
  <c r="J113"/>
  <c r="K112"/>
  <c r="J112"/>
  <c r="H112"/>
  <c r="K111"/>
  <c r="J111"/>
  <c r="H111"/>
  <c r="T110"/>
  <c r="K110"/>
  <c r="J110"/>
  <c r="T109"/>
  <c r="K109"/>
  <c r="J109"/>
  <c r="T108"/>
  <c r="K108"/>
  <c r="J108"/>
  <c r="K107"/>
  <c r="J107"/>
  <c r="H107"/>
  <c r="K106"/>
  <c r="J106"/>
  <c r="H106"/>
  <c r="K35"/>
  <c r="J35"/>
  <c r="H35"/>
  <c r="K33"/>
  <c r="J33"/>
  <c r="H33"/>
  <c r="T103"/>
  <c r="K103"/>
  <c r="J103"/>
  <c r="K102"/>
  <c r="J102"/>
  <c r="H102"/>
  <c r="K101"/>
  <c r="J101"/>
  <c r="H101"/>
  <c r="K100"/>
  <c r="J100"/>
  <c r="H100"/>
  <c r="T99"/>
  <c r="K99"/>
  <c r="J99"/>
  <c r="K98"/>
  <c r="J98"/>
  <c r="H98"/>
  <c r="T97"/>
  <c r="K97"/>
  <c r="J97"/>
  <c r="K96"/>
  <c r="J96"/>
  <c r="H96"/>
  <c r="K95"/>
  <c r="J95"/>
  <c r="H95"/>
  <c r="T94"/>
  <c r="K94"/>
  <c r="J94"/>
  <c r="K93"/>
  <c r="J93"/>
  <c r="H93"/>
  <c r="T92"/>
  <c r="K92"/>
  <c r="J92"/>
  <c r="H97" l="1"/>
  <c r="H99"/>
  <c r="H103"/>
  <c r="H109"/>
  <c r="H113"/>
  <c r="H92"/>
  <c r="H94"/>
  <c r="H108"/>
  <c r="H110"/>
  <c r="T91"/>
  <c r="H91" s="1"/>
  <c r="K91"/>
  <c r="J91"/>
  <c r="K90"/>
  <c r="J90"/>
  <c r="H90"/>
  <c r="K89"/>
  <c r="J89"/>
  <c r="H89"/>
  <c r="T88" l="1"/>
  <c r="M88" s="1"/>
  <c r="K88"/>
  <c r="J88"/>
  <c r="H88" l="1"/>
  <c r="K87"/>
  <c r="J87"/>
  <c r="H87"/>
  <c r="K86"/>
  <c r="J86"/>
  <c r="H86"/>
  <c r="K85"/>
  <c r="J85"/>
  <c r="H85"/>
  <c r="K84"/>
  <c r="J84"/>
  <c r="H84"/>
  <c r="K83"/>
  <c r="J83"/>
  <c r="H83"/>
  <c r="K82"/>
  <c r="J82"/>
  <c r="H82"/>
  <c r="K9"/>
  <c r="J9"/>
  <c r="H9"/>
  <c r="K80"/>
  <c r="J80"/>
  <c r="H80"/>
  <c r="K79"/>
  <c r="J79"/>
  <c r="H79"/>
  <c r="K78"/>
  <c r="J78"/>
  <c r="H78"/>
  <c r="K77"/>
  <c r="J77"/>
  <c r="H77"/>
  <c r="K76"/>
  <c r="J76"/>
  <c r="H76"/>
  <c r="K75"/>
  <c r="J75"/>
  <c r="H75"/>
  <c r="T74"/>
  <c r="H74" s="1"/>
  <c r="K74"/>
  <c r="J74"/>
  <c r="T171" l="1"/>
  <c r="H171" s="1"/>
  <c r="K171"/>
  <c r="J171"/>
  <c r="T72" l="1"/>
  <c r="H72" s="1"/>
  <c r="K72"/>
  <c r="J72"/>
  <c r="K71"/>
  <c r="J71"/>
  <c r="H71"/>
  <c r="K70"/>
  <c r="J70"/>
  <c r="H70"/>
  <c r="K69"/>
  <c r="J69"/>
  <c r="H69"/>
  <c r="K68" l="1"/>
  <c r="J68"/>
  <c r="G68"/>
  <c r="H68" s="1"/>
  <c r="T67"/>
  <c r="H67" s="1"/>
  <c r="K67"/>
  <c r="J67"/>
  <c r="K66"/>
  <c r="J66"/>
  <c r="H66"/>
  <c r="K65"/>
  <c r="J65" l="1"/>
  <c r="H65"/>
  <c r="K64"/>
  <c r="J64"/>
  <c r="H64"/>
  <c r="T63"/>
  <c r="H63" s="1"/>
  <c r="K63"/>
  <c r="J63"/>
  <c r="T62"/>
  <c r="H62" s="1"/>
  <c r="T61"/>
  <c r="K61"/>
  <c r="J61"/>
  <c r="H61"/>
  <c r="T60"/>
  <c r="K60"/>
  <c r="J60"/>
  <c r="H60" l="1"/>
  <c r="K59"/>
  <c r="J59"/>
  <c r="H59"/>
  <c r="T58"/>
  <c r="K58"/>
  <c r="J58"/>
  <c r="H58"/>
  <c r="T57"/>
  <c r="H57" s="1"/>
  <c r="K57"/>
  <c r="J57"/>
  <c r="H56"/>
  <c r="T55"/>
  <c r="H55" s="1"/>
  <c r="K55"/>
  <c r="J55"/>
  <c r="T54"/>
  <c r="H54" s="1"/>
  <c r="K54"/>
  <c r="J54"/>
  <c r="T53"/>
  <c r="H53" s="1"/>
  <c r="K53"/>
  <c r="J53"/>
  <c r="T52"/>
  <c r="H52" s="1"/>
  <c r="K52"/>
  <c r="J52"/>
  <c r="T51"/>
  <c r="H51" s="1"/>
  <c r="K51"/>
  <c r="J51"/>
  <c r="T50"/>
  <c r="H50" s="1"/>
  <c r="K50"/>
  <c r="J50"/>
  <c r="K49"/>
  <c r="J49"/>
  <c r="H49"/>
  <c r="T48" l="1"/>
  <c r="H48" s="1"/>
  <c r="K48"/>
  <c r="J48"/>
  <c r="K47"/>
  <c r="J47"/>
  <c r="H47"/>
  <c r="T46"/>
  <c r="H46" s="1"/>
  <c r="K46"/>
  <c r="J46"/>
  <c r="K45"/>
  <c r="J45"/>
  <c r="H45"/>
  <c r="K44" l="1"/>
  <c r="J44"/>
  <c r="H44"/>
  <c r="H43"/>
  <c r="H42"/>
  <c r="K41"/>
  <c r="J41"/>
  <c r="H41"/>
  <c r="K40"/>
  <c r="J40"/>
  <c r="H40"/>
  <c r="K39"/>
  <c r="J39"/>
  <c r="H39"/>
  <c r="T38"/>
  <c r="H38" s="1"/>
  <c r="K38"/>
  <c r="J38"/>
  <c r="K37"/>
  <c r="J37"/>
  <c r="H37"/>
  <c r="T36"/>
  <c r="H36" s="1"/>
  <c r="K539"/>
  <c r="J539" l="1"/>
  <c r="H539"/>
  <c r="T34"/>
  <c r="H34" s="1"/>
  <c r="K34"/>
  <c r="J34"/>
  <c r="K254"/>
  <c r="J254"/>
  <c r="H254"/>
  <c r="H32"/>
  <c r="T31"/>
  <c r="H31" s="1"/>
  <c r="T30"/>
  <c r="K30"/>
  <c r="J30"/>
  <c r="G30" l="1"/>
  <c r="H30" s="1"/>
  <c r="T29"/>
  <c r="K29" l="1"/>
  <c r="J29"/>
  <c r="H29"/>
  <c r="T28" l="1"/>
  <c r="H28" s="1"/>
  <c r="K28"/>
  <c r="J28"/>
  <c r="T27"/>
  <c r="H27" s="1"/>
  <c r="K27"/>
  <c r="J27"/>
  <c r="T26"/>
  <c r="K26" l="1"/>
  <c r="J26"/>
  <c r="H26"/>
  <c r="K25"/>
  <c r="J25"/>
  <c r="H25"/>
  <c r="K24"/>
  <c r="J24"/>
  <c r="H24"/>
  <c r="K23"/>
  <c r="J23" l="1"/>
  <c r="H23"/>
  <c r="T22"/>
  <c r="K22"/>
  <c r="J22"/>
  <c r="H22" l="1"/>
  <c r="T21"/>
  <c r="H21" s="1"/>
  <c r="K21"/>
  <c r="J21"/>
  <c r="K20"/>
  <c r="J20"/>
  <c r="H20"/>
  <c r="K19"/>
  <c r="J19"/>
  <c r="H19"/>
  <c r="K18"/>
  <c r="J18"/>
  <c r="H18"/>
  <c r="K17"/>
  <c r="J17"/>
  <c r="H17"/>
  <c r="K16"/>
  <c r="J16"/>
  <c r="H16"/>
  <c r="K15" l="1"/>
  <c r="J15"/>
  <c r="H15"/>
  <c r="K14"/>
  <c r="J14"/>
  <c r="H14"/>
  <c r="K13"/>
  <c r="J13"/>
  <c r="H13"/>
  <c r="T12"/>
  <c r="H12" s="1"/>
  <c r="K12"/>
  <c r="J12"/>
  <c r="T11"/>
  <c r="H11" s="1"/>
  <c r="K11"/>
  <c r="J11"/>
  <c r="T104"/>
  <c r="H104" s="1"/>
  <c r="K104"/>
  <c r="J104"/>
  <c r="T81"/>
  <c r="H81" s="1"/>
  <c r="K81"/>
  <c r="J81"/>
  <c r="K8"/>
  <c r="J8"/>
  <c r="H8" l="1"/>
  <c r="H7"/>
  <c r="F15" i="23"/>
</calcChain>
</file>

<file path=xl/comments1.xml><?xml version="1.0" encoding="utf-8"?>
<comments xmlns="http://schemas.openxmlformats.org/spreadsheetml/2006/main">
  <authors>
    <author>BELU</author>
    <author>Jose</author>
  </authors>
  <commentList>
    <comment ref="T7" authorId="0">
      <text>
        <r>
          <rPr>
            <sz val="9"/>
            <color indexed="81"/>
            <rFont val="Tahoma"/>
            <family val="2"/>
          </rPr>
          <t>15/12 (164) nt 2-3442</t>
        </r>
      </text>
    </comment>
    <comment ref="T8" authorId="0">
      <text>
        <r>
          <rPr>
            <sz val="9"/>
            <color indexed="81"/>
            <rFont val="Tahoma"/>
            <family val="2"/>
          </rPr>
          <t>2/6 (2228) + (814 OT5183) (total 3042) nt 2-2854</t>
        </r>
      </text>
    </comment>
    <comment ref="T10" authorId="0">
      <text>
        <r>
          <rPr>
            <sz val="9"/>
            <color indexed="81"/>
            <rFont val="Tahoma"/>
            <family val="2"/>
          </rPr>
          <t xml:space="preserve">7/10 (2000) nt 2-3135
bruto = 330kg
tara = 9kg
neto = 321kg
14/10 (2178) rem 2-185
neto = 349,200kg </t>
        </r>
      </text>
    </comment>
    <comment ref="T11" authorId="0">
      <text>
        <r>
          <rPr>
            <sz val="9"/>
            <color indexed="81"/>
            <rFont val="Tahoma"/>
            <family val="2"/>
          </rPr>
          <t>22/12 (6) nt 2-2916
29/12 (43) nt 2-2922</t>
        </r>
      </text>
    </comment>
    <comment ref="T12" authorId="0">
      <text>
        <r>
          <rPr>
            <sz val="9"/>
            <color indexed="81"/>
            <rFont val="Tahoma"/>
            <family val="2"/>
          </rPr>
          <t>8/7 (83) total 200 nt 2-2968
11/8 (43) TOTAL 343 nt 2-3026 (300 ot 5207)
21/10 (56) TOTAL 76 falta nt (20 ot 5244)</t>
        </r>
      </text>
    </comment>
    <comment ref="O21" authorId="0">
      <text>
        <r>
          <rPr>
            <sz val="9"/>
            <color indexed="81"/>
            <rFont val="Tahoma"/>
            <family val="2"/>
          </rPr>
          <t xml:space="preserve">total sop (534)
ot5189 + ot5213
(334) ot 5213
(9) ot 5213 - 22/7
sop benfica (25)
ingresaron (299) sop 22/7
(25) ot 5213
</t>
        </r>
        <r>
          <rPr>
            <b/>
            <sz val="9"/>
            <color indexed="81"/>
            <rFont val="Tahoma"/>
            <family val="2"/>
          </rPr>
          <t xml:space="preserve">
quedan a favor (274) sop, faltan caños</t>
        </r>
      </text>
    </comment>
    <comment ref="T21" authorId="0">
      <text>
        <r>
          <rPr>
            <sz val="9"/>
            <color indexed="81"/>
            <rFont val="Tahoma"/>
            <family val="2"/>
          </rPr>
          <t>2/9 (110) total 210 nt 2-3065
22/10 (200) nt 2-3156
26/10 (58) (total 100)(42 ot 5228) nt 2-3161</t>
        </r>
      </text>
    </comment>
    <comment ref="T22" authorId="0">
      <text>
        <r>
          <rPr>
            <sz val="9"/>
            <color indexed="81"/>
            <rFont val="Tahoma"/>
            <family val="2"/>
          </rPr>
          <t>31/8 (6) nt 2-3058
1/9 (18) nt 2-3063
3/9 (9) nt 2-3068
4/9 (18) nt 2-3071
8/9 (18) nt 2-3075
14/9 (30) nt 2-3085
16/9 (9) nt 2-3091
17/11 (30) nt 2-3401
18/11 (9) nt 2-3403
25/11 (52) nt 2-3421
21/12 (18) nt 2-3450 (GOL PARA PROBAR, SCRAP)</t>
        </r>
      </text>
    </comment>
    <comment ref="T23" authorId="0">
      <text>
        <r>
          <rPr>
            <sz val="9"/>
            <color indexed="81"/>
            <rFont val="Tahoma"/>
            <family val="2"/>
          </rPr>
          <t>3/8 (100) nt 2-3010</t>
        </r>
      </text>
    </comment>
    <comment ref="T24" authorId="0">
      <text>
        <r>
          <rPr>
            <sz val="9"/>
            <color indexed="81"/>
            <rFont val="Tahoma"/>
            <family val="2"/>
          </rPr>
          <t>3/8 (100) nt 2-3010</t>
        </r>
      </text>
    </comment>
    <comment ref="T26" authorId="0">
      <text>
        <r>
          <rPr>
            <sz val="9"/>
            <color indexed="81"/>
            <rFont val="Tahoma"/>
            <family val="2"/>
          </rPr>
          <t>2/9 (6) nt 2-3066
3/9 (48) nt 2-3068
8/9 (51) nt 2-3075
2/10 (9) nt 2-3128
6/10 (54) nt 2-3131
14/10 (6) nt 2-3144
15/10 (43) nt 2-3149</t>
        </r>
      </text>
    </comment>
    <comment ref="T27" authorId="0">
      <text>
        <r>
          <rPr>
            <sz val="9"/>
            <color indexed="81"/>
            <rFont val="Tahoma"/>
            <family val="2"/>
          </rPr>
          <t>22/9 (50) nt 2-3103
30/10 (6) nt 2-3176
2/11 (84) nt 2-3179</t>
        </r>
      </text>
    </comment>
    <comment ref="T28" authorId="0">
      <text>
        <r>
          <rPr>
            <sz val="9"/>
            <color indexed="81"/>
            <rFont val="Tahoma"/>
            <family val="2"/>
          </rPr>
          <t>22/9 (50) nt 2-3102
9/11 (83) nt 2-3191
4/11 (12) nt 2-3180</t>
        </r>
      </text>
    </comment>
    <comment ref="T29" authorId="0">
      <text>
        <r>
          <rPr>
            <sz val="9"/>
            <color indexed="81"/>
            <rFont val="Tahoma"/>
            <family val="2"/>
          </rPr>
          <t>14/9 (21) nt 2-3085 (mec s/ pintar)
16/9 (29) nt 2-3091 (mec s/ pintar)
17/9 (30) 2-3092
18/9 (70) nt 2-3097
13/10 (12) nt 2-3142
15/10 (62) nt 2-3149</t>
        </r>
      </text>
    </comment>
    <comment ref="G30" authorId="0">
      <text>
        <r>
          <rPr>
            <sz val="9"/>
            <color indexed="81"/>
            <rFont val="Tahoma"/>
            <family val="2"/>
          </rPr>
          <t>(11) ot 5207</t>
        </r>
      </text>
    </comment>
    <comment ref="T30" authorId="0">
      <text>
        <r>
          <rPr>
            <sz val="9"/>
            <color indexed="81"/>
            <rFont val="Tahoma"/>
            <family val="2"/>
          </rPr>
          <t>14/10 (170) nt 2-3145
19/11 (157) total 200 nt 2-3405 fact sop bf (43 ot5239)</t>
        </r>
      </text>
    </comment>
    <comment ref="T31" authorId="0">
      <text>
        <r>
          <rPr>
            <sz val="9"/>
            <color indexed="81"/>
            <rFont val="Tahoma"/>
            <family val="2"/>
          </rPr>
          <t>30/12 (24) nt 2-2923
25/1/16 (176) nt 2-2944</t>
        </r>
      </text>
    </comment>
    <comment ref="T32" authorId="0">
      <text>
        <r>
          <rPr>
            <sz val="9"/>
            <color indexed="81"/>
            <rFont val="Tahoma"/>
            <family val="2"/>
          </rPr>
          <t>27/1/16 (6) nt 2-3203</t>
        </r>
      </text>
    </comment>
    <comment ref="T33" authorId="1">
      <text>
        <r>
          <rPr>
            <sz val="9"/>
            <color indexed="81"/>
            <rFont val="Tahoma"/>
            <family val="2"/>
          </rPr>
          <t>13/4 (220) rem 2-126</t>
        </r>
      </text>
    </comment>
    <comment ref="G34" authorId="0">
      <text>
        <r>
          <rPr>
            <sz val="9"/>
            <color indexed="81"/>
            <rFont val="Tahoma"/>
            <family val="2"/>
          </rPr>
          <t>CONTAMOS EN BF (299) CAÑOS</t>
        </r>
      </text>
    </comment>
    <comment ref="O34" authorId="0">
      <text>
        <r>
          <rPr>
            <sz val="9"/>
            <color indexed="81"/>
            <rFont val="Tahoma"/>
            <family val="2"/>
          </rPr>
          <t xml:space="preserve">CLIENTE provee (260) - (122) = 138
BENFICA provee (50)-(43) = 7 - (7) = 0
</t>
        </r>
      </text>
    </comment>
    <comment ref="T34" authorId="0">
      <text>
        <r>
          <rPr>
            <sz val="9"/>
            <color indexed="81"/>
            <rFont val="Tahoma"/>
            <family val="2"/>
          </rPr>
          <t>16/10 (122) nt 2-3151
sop provee cliente
19/11 (43) total 200 nt 2-3405 fact sop bf (157 ot5222)
25/11 (7) TOTAL 143 (136 ot 5272) nt 2-3420
15/12 (138) 2-3443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22/4 (300) rem 2-143</t>
        </r>
      </text>
    </comment>
    <comment ref="T36" authorId="0">
      <text>
        <r>
          <rPr>
            <sz val="9"/>
            <color indexed="81"/>
            <rFont val="Tahoma"/>
            <family val="2"/>
          </rPr>
          <t>29/12 (5) nt 2-2922
25/1/16 (190) nt 2-2944
25/1/16 (6) nt 2-2945</t>
        </r>
      </text>
    </comment>
    <comment ref="T37" authorId="0">
      <text>
        <r>
          <rPr>
            <sz val="9"/>
            <color indexed="81"/>
            <rFont val="Tahoma"/>
            <family val="2"/>
          </rPr>
          <t>2/9 (200) nt 2-2912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CLIENTE (100)</t>
        </r>
        <r>
          <rPr>
            <sz val="9"/>
            <color indexed="81"/>
            <rFont val="Tahoma"/>
            <family val="2"/>
          </rPr>
          <t xml:space="preserve"> 31/8 total 400 ot staco 4-3195
</t>
        </r>
        <r>
          <rPr>
            <b/>
            <sz val="9"/>
            <color indexed="81"/>
            <rFont val="Tahoma"/>
            <family val="2"/>
          </rPr>
          <t>BENFICA (200)</t>
        </r>
      </text>
    </comment>
    <comment ref="T38" authorId="0">
      <text>
        <r>
          <rPr>
            <sz val="9"/>
            <color indexed="81"/>
            <rFont val="Tahoma"/>
            <family val="2"/>
          </rPr>
          <t>29/9 (267) nt 2-3120
21/10 (20) TOTAL 76 falta nt (56 ot 5201)</t>
        </r>
      </text>
    </comment>
    <comment ref="T42" authorId="0">
      <text>
        <r>
          <rPr>
            <sz val="9"/>
            <color indexed="81"/>
            <rFont val="Tahoma"/>
            <family val="2"/>
          </rPr>
          <t>30/12 (3) nt 2-2924</t>
        </r>
      </text>
    </comment>
    <comment ref="T46" authorId="0">
      <text>
        <r>
          <rPr>
            <sz val="9"/>
            <color indexed="81"/>
            <rFont val="Tahoma"/>
            <family val="2"/>
          </rPr>
          <t>14/10 (277) nt 2-3145
28/10 (21) total 238 nt 2-3169 (65 ot 5257 - 152 ot 5272)</t>
        </r>
      </text>
    </comment>
    <comment ref="T47" authorId="0">
      <text>
        <r>
          <rPr>
            <sz val="9"/>
            <color indexed="81"/>
            <rFont val="Tahoma"/>
            <family val="2"/>
          </rPr>
          <t>9/11 (292) nt 2-3190</t>
        </r>
      </text>
    </comment>
    <comment ref="T48" authorId="0">
      <text>
        <r>
          <rPr>
            <sz val="9"/>
            <color indexed="81"/>
            <rFont val="Tahoma"/>
            <family val="2"/>
          </rPr>
          <t>26/10 (256) nt 2-3161
28/10 (31) nt 2-3169</t>
        </r>
      </text>
    </comment>
    <comment ref="T49" authorId="0">
      <text>
        <r>
          <rPr>
            <sz val="9"/>
            <color indexed="81"/>
            <rFont val="Tahoma"/>
            <family val="2"/>
          </rPr>
          <t>2/11 (145) nt 2-3179</t>
        </r>
      </text>
    </comment>
    <comment ref="T50" authorId="0">
      <text>
        <r>
          <rPr>
            <sz val="9"/>
            <color indexed="81"/>
            <rFont val="Tahoma"/>
            <family val="2"/>
          </rPr>
          <t>1/10 (47) nt 2-3126
19/10 (30) nt 2-3153
19/10 (9) nt 2-3152
23/10 (60) nt 2-3160
26/10 (207) nt 2-3162
2/11 (23) nt 2-3179</t>
        </r>
      </text>
    </comment>
    <comment ref="T51" authorId="0">
      <text>
        <r>
          <rPr>
            <sz val="9"/>
            <color indexed="81"/>
            <rFont val="Tahoma"/>
            <family val="2"/>
          </rPr>
          <t>17/12 (6) nt 2-3447
17/12 (9) nt 2-3448
21/12 (125) nt 2-3450</t>
        </r>
      </text>
    </comment>
    <comment ref="T52" authorId="0">
      <text>
        <r>
          <rPr>
            <sz val="9"/>
            <color indexed="81"/>
            <rFont val="Tahoma"/>
            <family val="2"/>
          </rPr>
          <t>15/10 (3) nt 2-3147
15/10 (45) nt 2-3149
19/10 (80) nt 2-3153
18/11 (6) nt 2-3403
25/11 (111) nt 2-3421</t>
        </r>
      </text>
    </comment>
    <comment ref="T53" authorId="0">
      <text>
        <r>
          <rPr>
            <sz val="9"/>
            <color indexed="81"/>
            <rFont val="Tahoma"/>
            <family val="2"/>
          </rPr>
          <t>4/11 (3) nt 2-3180
11/12 (6) nt 2-3441
17/12 (69) nt 2-3448
21/12 (75) nt 2-3450</t>
        </r>
      </text>
    </comment>
    <comment ref="T54" authorId="0">
      <text>
        <r>
          <rPr>
            <sz val="9"/>
            <color indexed="81"/>
            <rFont val="Tahoma"/>
            <family val="2"/>
          </rPr>
          <t>3/12 (9) nt 2-3433
9/12 (105) nt 2-3436
17/12 (72) nt 2-3448</t>
        </r>
      </text>
    </comment>
    <comment ref="T55" authorId="0">
      <text>
        <r>
          <rPr>
            <sz val="9"/>
            <color indexed="81"/>
            <rFont val="Tahoma"/>
            <family val="2"/>
          </rPr>
          <t>7/11 (8) nt 2-3189
12/11 (65) nt 2-3198
17/11 (168) nt 2-3401</t>
        </r>
      </text>
    </comment>
    <comment ref="T57" authorId="0">
      <text>
        <r>
          <rPr>
            <sz val="9"/>
            <color indexed="81"/>
            <rFont val="Tahoma"/>
            <family val="2"/>
          </rPr>
          <t>25/11 (9) nt 2-3419
30/11 (128) nt 2-3426
2/12 (96) nt 2-3429</t>
        </r>
      </text>
    </comment>
    <comment ref="T58" authorId="0">
      <text>
        <r>
          <rPr>
            <sz val="9"/>
            <color indexed="81"/>
            <rFont val="Tahoma"/>
            <family val="2"/>
          </rPr>
          <t>8/10 (119) nt 2-3140
15/10 (96) nt 2-3149</t>
        </r>
      </text>
    </comment>
    <comment ref="T59" authorId="0">
      <text>
        <r>
          <rPr>
            <sz val="9"/>
            <color indexed="81"/>
            <rFont val="Tahoma"/>
            <family val="2"/>
          </rPr>
          <t>2/11 (136) nt 2-3179</t>
        </r>
      </text>
    </comment>
    <comment ref="T60" authorId="0">
      <text>
        <r>
          <rPr>
            <sz val="9"/>
            <color indexed="81"/>
            <rFont val="Tahoma"/>
            <family val="2"/>
          </rPr>
          <t>28/9 (378) nt 2-3118
8/10 (357) nt 2-3138
13/10 (564) nt 2-3142
28/10 (705) nt 2-3167
30/10 (300) nt 2-3176</t>
        </r>
      </text>
    </comment>
    <comment ref="T61" authorId="0">
      <text>
        <r>
          <rPr>
            <sz val="9"/>
            <color indexed="81"/>
            <rFont val="Tahoma"/>
            <family val="2"/>
          </rPr>
          <t>16/10 (110) nt 2-3151
28/10 (65) total 238 nt 2-3169 (21 ot 5251 - 152 ot 5272)</t>
        </r>
      </text>
    </comment>
    <comment ref="T62" authorId="0">
      <text>
        <r>
          <rPr>
            <sz val="9"/>
            <color indexed="81"/>
            <rFont val="Tahoma"/>
            <family val="2"/>
          </rPr>
          <t>1/12 (400) nt 2-3427
11/12 (203) nt 2-3440
28/12 (146) total 646 - (500 ot 5294) nt 2-2920</t>
        </r>
      </text>
    </comment>
    <comment ref="T63" authorId="0">
      <text>
        <r>
          <rPr>
            <sz val="9"/>
            <color indexed="81"/>
            <rFont val="Tahoma"/>
            <family val="2"/>
          </rPr>
          <t>6/11 (550) nt 2-3187
16/11 (691) nt 2-187
23/11 (400) nt 2-3413</t>
        </r>
      </text>
    </comment>
    <comment ref="T64" authorId="0">
      <text>
        <r>
          <rPr>
            <sz val="9"/>
            <color indexed="81"/>
            <rFont val="Tahoma"/>
            <family val="2"/>
          </rPr>
          <t>16/10 (202) nt 2-3151</t>
        </r>
      </text>
    </comment>
    <comment ref="T65" authorId="0">
      <text>
        <r>
          <rPr>
            <sz val="9"/>
            <color indexed="81"/>
            <rFont val="Tahoma"/>
            <family val="2"/>
          </rPr>
          <t>15/10 (369) nt 2-3146</t>
        </r>
      </text>
    </comment>
    <comment ref="T66" authorId="0">
      <text>
        <r>
          <rPr>
            <sz val="9"/>
            <color indexed="81"/>
            <rFont val="Tahoma"/>
            <family val="2"/>
          </rPr>
          <t>11/11 (400) total 500  nt 2-3194</t>
        </r>
      </text>
    </comment>
    <comment ref="T67" authorId="0">
      <text>
        <r>
          <rPr>
            <sz val="9"/>
            <color indexed="81"/>
            <rFont val="Tahoma"/>
            <family val="2"/>
          </rPr>
          <t>11/11 (100) total 500  nt 2-3194
2/12 (572) nt 2-3430</t>
        </r>
      </text>
    </comment>
    <comment ref="T69" authorId="0">
      <text>
        <r>
          <rPr>
            <sz val="9"/>
            <color indexed="81"/>
            <rFont val="Tahoma"/>
            <family val="2"/>
          </rPr>
          <t>28/10 (298) nt 2-3165</t>
        </r>
      </text>
    </comment>
    <comment ref="T70" authorId="0">
      <text>
        <r>
          <rPr>
            <sz val="9"/>
            <color indexed="81"/>
            <rFont val="Tahoma"/>
            <family val="2"/>
          </rPr>
          <t>28/10 (298) nt 2-3165</t>
        </r>
      </text>
    </comment>
    <comment ref="T71" authorId="0">
      <text>
        <r>
          <rPr>
            <sz val="9"/>
            <color indexed="81"/>
            <rFont val="Tahoma"/>
            <family val="2"/>
          </rPr>
          <t>21/10 (859) nt 2-3155</t>
        </r>
      </text>
    </comment>
    <comment ref="T72" authorId="0">
      <text>
        <r>
          <rPr>
            <sz val="9"/>
            <color indexed="81"/>
            <rFont val="Tahoma"/>
            <family val="2"/>
          </rPr>
          <t>13/10 (227) rem 2-184
16/10 (209) nt 2-3150
30/10 (300) nt 2-3175
2/11 (203) nt 2-3177</t>
        </r>
      </text>
    </comment>
    <comment ref="T73" authorId="0">
      <text>
        <r>
          <rPr>
            <sz val="9"/>
            <color indexed="81"/>
            <rFont val="Tahoma"/>
            <family val="2"/>
          </rPr>
          <t>21/4 (1391) rem 2-139</t>
        </r>
      </text>
    </comment>
    <comment ref="T74" authorId="0">
      <text>
        <r>
          <rPr>
            <sz val="9"/>
            <color indexed="81"/>
            <rFont val="Tahoma"/>
            <family val="2"/>
          </rPr>
          <t>23/10 (68) nt 2-3158
27/10 (76) nt 2-3164</t>
        </r>
      </text>
    </comment>
    <comment ref="T75" authorId="0">
      <text>
        <r>
          <rPr>
            <sz val="9"/>
            <color indexed="81"/>
            <rFont val="Tahoma"/>
            <family val="2"/>
          </rPr>
          <t>23/10 (153) nt 2-3158</t>
        </r>
      </text>
    </comment>
    <comment ref="T76" authorId="0">
      <text>
        <r>
          <rPr>
            <sz val="9"/>
            <color indexed="81"/>
            <rFont val="Tahoma"/>
            <family val="2"/>
          </rPr>
          <t>17/11 (292) nt 2-3402</t>
        </r>
      </text>
    </comment>
    <comment ref="T77" authorId="0">
      <text>
        <r>
          <rPr>
            <sz val="9"/>
            <color indexed="81"/>
            <rFont val="Tahoma"/>
            <family val="2"/>
          </rPr>
          <t>5/11 (280) nt 2-3183</t>
        </r>
      </text>
    </comment>
    <comment ref="T78" authorId="0">
      <text>
        <r>
          <rPr>
            <sz val="9"/>
            <color indexed="81"/>
            <rFont val="Tahoma"/>
            <family val="2"/>
          </rPr>
          <t>5/11 (300) nt 2-3183</t>
        </r>
      </text>
    </comment>
    <comment ref="T80" authorId="0">
      <text>
        <r>
          <rPr>
            <sz val="9"/>
            <color indexed="81"/>
            <rFont val="Tahoma"/>
            <family val="2"/>
          </rPr>
          <t>30/6 total: 481+94 en garantía=575 nt 2-2904</t>
        </r>
        <r>
          <rPr>
            <b/>
            <sz val="9"/>
            <color indexed="81"/>
            <rFont val="Tahoma"/>
            <family val="2"/>
          </rPr>
          <t xml:space="preserve">
 </t>
        </r>
      </text>
    </comment>
    <comment ref="T81" authorId="0">
      <text>
        <r>
          <rPr>
            <sz val="9"/>
            <color indexed="81"/>
            <rFont val="Tahoma"/>
            <family val="2"/>
          </rPr>
          <t>1/10 (100) nt 2-3123
6/10 (67) nt 2-3134
13/11 (160) nt 2-3199
27/11 (74) nt 2-3424</t>
        </r>
      </text>
    </comment>
    <comment ref="T82" authorId="1">
      <text>
        <r>
          <rPr>
            <sz val="9"/>
            <color indexed="81"/>
            <rFont val="Tahoma"/>
            <family val="2"/>
          </rPr>
          <t>20/5 (380) rem 2-155</t>
        </r>
      </text>
    </comment>
    <comment ref="T83" authorId="1">
      <text>
        <r>
          <rPr>
            <sz val="9"/>
            <color indexed="81"/>
            <rFont val="Tahoma"/>
            <family val="2"/>
          </rPr>
          <t>20/5 (410) rem 2-155</t>
        </r>
      </text>
    </comment>
    <comment ref="T84" authorId="1">
      <text>
        <r>
          <rPr>
            <sz val="9"/>
            <color indexed="81"/>
            <rFont val="Tahoma"/>
            <family val="2"/>
          </rPr>
          <t>20/5 (50) rem 2-155</t>
        </r>
      </text>
    </comment>
    <comment ref="T85" authorId="1">
      <text>
        <r>
          <rPr>
            <sz val="9"/>
            <color indexed="81"/>
            <rFont val="Tahoma"/>
            <family val="2"/>
          </rPr>
          <t>20/5 (410) rem 2-155</t>
        </r>
      </text>
    </comment>
    <comment ref="T88" authorId="1">
      <text>
        <r>
          <rPr>
            <sz val="9"/>
            <color indexed="81"/>
            <rFont val="Tahoma"/>
            <family val="2"/>
          </rPr>
          <t>9/4 (112)
14/4 (400) rem 2-131
2/7 (100) nt 2-2955</t>
        </r>
      </text>
    </comment>
    <comment ref="T89" authorId="1">
      <text>
        <r>
          <rPr>
            <sz val="9"/>
            <color indexed="81"/>
            <rFont val="Tahoma"/>
            <family val="2"/>
          </rPr>
          <t xml:space="preserve">12/5 (79) + (159 ot 5147) (total 238) nt 2-2819
</t>
        </r>
      </text>
    </comment>
    <comment ref="R90" authorId="1">
      <text>
        <r>
          <rPr>
            <sz val="9"/>
            <color indexed="81"/>
            <rFont val="Tahoma"/>
            <family val="2"/>
          </rPr>
          <t>17/4 (121) rem 2-135</t>
        </r>
      </text>
    </comment>
    <comment ref="T90" authorId="1">
      <text>
        <r>
          <rPr>
            <sz val="9"/>
            <color indexed="81"/>
            <rFont val="Tahoma"/>
            <family val="2"/>
          </rPr>
          <t>22/4 (70) rem 2-2801</t>
        </r>
      </text>
    </comment>
    <comment ref="T91" authorId="0">
      <text>
        <r>
          <rPr>
            <sz val="9"/>
            <color indexed="81"/>
            <rFont val="Tahoma"/>
            <family val="2"/>
          </rPr>
          <t>1/6 (6) nt 2-2849 (mec pintadas)
4/6 (10) nt 2-2859  (mec pintadas)
5/6 (22) NT 2-2860 (mec pintadas)
NO CONTAR ENTREGADAS EN ESTE PEDIDO
ENTREGAR 100
17/9 (50) nt 2-3092
19/9 (10) nt 2-3098
21/9 (30) nt 2-3100
22/9 (10) total 56 nt 2-3103 (46 ot 5215)</t>
        </r>
      </text>
    </comment>
    <comment ref="T92" authorId="1">
      <text>
        <r>
          <rPr>
            <sz val="9"/>
            <color indexed="81"/>
            <rFont val="Tahoma"/>
            <family val="2"/>
          </rPr>
          <t>12/5 (159) + (79 ot 5138) (total 238) nt 2-2819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15/5 (154) nt 2-2823</t>
        </r>
      </text>
    </comment>
    <comment ref="T93" authorId="1">
      <text>
        <r>
          <rPr>
            <sz val="9"/>
            <color indexed="81"/>
            <rFont val="Tahoma"/>
            <family val="2"/>
          </rPr>
          <t>9/4 (400) de esta orden 288</t>
        </r>
      </text>
    </comment>
    <comment ref="R94" authorId="1">
      <text>
        <r>
          <rPr>
            <sz val="9"/>
            <color indexed="81"/>
            <rFont val="Tahoma"/>
            <family val="2"/>
          </rPr>
          <t>16/4 (136) rem 2-134</t>
        </r>
      </text>
    </comment>
    <comment ref="T94" authorId="1">
      <text>
        <r>
          <rPr>
            <sz val="9"/>
            <color indexed="81"/>
            <rFont val="Tahoma"/>
            <family val="2"/>
          </rPr>
          <t>23/4 (12) rem 2-148
27/4 (90) nt 2-2803</t>
        </r>
      </text>
    </comment>
    <comment ref="T95" authorId="0">
      <text>
        <r>
          <rPr>
            <sz val="9"/>
            <color indexed="81"/>
            <rFont val="Tahoma"/>
            <family val="2"/>
          </rPr>
          <t>27/8 (60) nt 2-3050</t>
        </r>
      </text>
    </comment>
    <comment ref="T97" authorId="1">
      <text>
        <r>
          <rPr>
            <sz val="9"/>
            <color indexed="81"/>
            <rFont val="Tahoma"/>
            <family val="2"/>
          </rPr>
          <t># 14/4 (50) rem 2-129
# 23/4 (50) rem 2-144</t>
        </r>
      </text>
    </comment>
    <comment ref="T98" authorId="1">
      <text>
        <r>
          <rPr>
            <sz val="9"/>
            <color indexed="81"/>
            <rFont val="Tahoma"/>
            <family val="2"/>
          </rPr>
          <t>21/4 (501) rem 2-142</t>
        </r>
      </text>
    </comment>
    <comment ref="T99" authorId="1">
      <text>
        <r>
          <rPr>
            <sz val="9"/>
            <color indexed="81"/>
            <rFont val="Tahoma"/>
            <family val="2"/>
          </rPr>
          <t>29/4 (200) rem 2-2806
14/5 (100) rem
15/5 (246) nt 2-2824
21/5 (100) rem 2-158
27/5 (200) nt 2-2835
28/5 (190) nt 2-2842
2/6 (140) nt 2-2855
4/6 (158) total (250) (92 oc5208) nt 2-2858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14/4 (147) rem 2-132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9/4 (78)</t>
        </r>
      </text>
    </comment>
    <comment ref="Q103" authorId="1">
      <text>
        <r>
          <rPr>
            <sz val="9"/>
            <color indexed="81"/>
            <rFont val="Tahoma"/>
            <family val="2"/>
          </rPr>
          <t>13/4 (155) rem 2-127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2/7 (30) nt 2-2957
8/7 (124) nt 2-2967</t>
        </r>
      </text>
    </comment>
    <comment ref="T104" authorId="0">
      <text>
        <r>
          <rPr>
            <sz val="9"/>
            <color indexed="81"/>
            <rFont val="Tahoma"/>
            <family val="2"/>
          </rPr>
          <t>23/10 (250) nt 2-3159
27/10 (99) nt 2-3163</t>
        </r>
      </text>
    </comment>
    <comment ref="T105" authorId="0">
      <text>
        <r>
          <rPr>
            <sz val="9"/>
            <color indexed="81"/>
            <rFont val="Tahoma"/>
            <family val="2"/>
          </rPr>
          <t>1/10 (180) nt 2-3123
6/10 (220) nt 2-3134</t>
        </r>
      </text>
    </comment>
    <comment ref="T106" authorId="1">
      <text>
        <r>
          <rPr>
            <b/>
            <sz val="9"/>
            <color indexed="81"/>
            <rFont val="Tahoma"/>
            <family val="2"/>
          </rPr>
          <t>9/4 (99)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9/4 (147)</t>
        </r>
      </text>
    </comment>
    <comment ref="Q108" authorId="1">
      <text>
        <r>
          <rPr>
            <sz val="9"/>
            <color indexed="81"/>
            <rFont val="Tahoma"/>
            <family val="2"/>
          </rPr>
          <t>13/4 (150) rem 2-127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14/5 (50) nt 2-2822
27/5 (97) nt 2-2836 fact</t>
        </r>
      </text>
    </comment>
    <comment ref="T109" authorId="0">
      <text>
        <r>
          <rPr>
            <sz val="9"/>
            <color indexed="81"/>
            <rFont val="Tahoma"/>
            <family val="2"/>
          </rPr>
          <t>14/8 (110) nt 2-3032
2/9 (39) nt 2-2912</t>
        </r>
      </text>
    </comment>
    <comment ref="T110" authorId="0">
      <text>
        <r>
          <rPr>
            <sz val="9"/>
            <color indexed="81"/>
            <rFont val="Tahoma"/>
            <family val="2"/>
          </rPr>
          <t>21/8 (30) nt 2-3038
23/9 (40) nt 2-3106</t>
        </r>
      </text>
    </comment>
    <comment ref="T112" authorId="0">
      <text>
        <r>
          <rPr>
            <sz val="9"/>
            <color indexed="81"/>
            <rFont val="Tahoma"/>
            <family val="2"/>
          </rPr>
          <t>22/7 (290) nt 2-2989</t>
        </r>
      </text>
    </comment>
    <comment ref="R113" authorId="1">
      <text>
        <r>
          <rPr>
            <sz val="9"/>
            <color indexed="81"/>
            <rFont val="Tahoma"/>
            <family val="2"/>
          </rPr>
          <t>16/4 (124) rem 2-134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21/4 (9) rem 2-141
27/4 (14) nt 2-2803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17/4 (50) rem 2-136
27/4 (60) nt 2-2803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14/4 (3) rem 2-132
29/4 (12) nt 2-2805 (mec sin pintar)
4/5 (29) nt 2-2810 (mec sin pintar)
11/5 (27) nt 2-2818 (mec pintada)
20/5 (62) NT 2-2831 (mec pintada)</t>
        </r>
      </text>
    </comment>
    <comment ref="G116" authorId="1">
      <text>
        <r>
          <rPr>
            <sz val="9"/>
            <color indexed="81"/>
            <rFont val="Tahoma"/>
            <family val="2"/>
          </rPr>
          <t>ENTREGAR:
50 SIN PINTAR
150 COMPLETAS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6/5 (9) nt 2-2812 (mec sin pintar)
7/5 (41) nt 2-2813 (mec sin pintar)
12/5 (50) nt 2-2820 (mec sin pintar)
28/5 (48) nt 2-2841 (mec pintada)
1/6 (50) nt 2-2851 (mec pintada)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14/4 (63) rem 2-130
28/4 (6) nt 2-2824 (mec)
29/4 (30) nt 2-2805 (mec sin pintar)
4/5 (9) nt 2-2810 (mec sin pintar)
8/5 (18) nt 2-2816 (mec pintada)
11/5 (102) nt 2-2818 (mec pintada)
20/5 (20) nt 2-2831 (mec pintada)
28/5 (70) nt 2-2841 (mec pintada)</t>
        </r>
      </text>
    </comment>
    <comment ref="N118" authorId="1">
      <text>
        <r>
          <rPr>
            <sz val="9"/>
            <color indexed="81"/>
            <rFont val="Tahoma"/>
            <family val="2"/>
          </rPr>
          <t>23/4 (153) rem 2-144 (devolución al cliente por error en boca caño)
25/4 reingresan caños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6/5 (50) nt 2-2811
14/5 (106) nt 2-2822</t>
        </r>
      </text>
    </comment>
    <comment ref="N119" authorId="1">
      <text>
        <r>
          <rPr>
            <sz val="9"/>
            <color indexed="81"/>
            <rFont val="Tahoma"/>
            <family val="2"/>
          </rPr>
          <t>21/4 (200) rem 4-3123</t>
        </r>
      </text>
    </comment>
    <comment ref="T119" authorId="0">
      <text>
        <r>
          <rPr>
            <sz val="9"/>
            <color indexed="81"/>
            <rFont val="Tahoma"/>
            <family val="2"/>
          </rPr>
          <t>8/7 (205) nt 2-2968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8/5 (490) rem 2-152
11/6 (301) nt 2-2903
25/7 (TOTAL 595) (423) nt 2-2996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17/4 (403) rem 2-138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18/6 (9) nt 2-2879
19/6 (14) nt 2-2881
22/6 (27) nt 2-2882 sin pintar mec
26/6 (3) nt 2-2895 pintada mec
29/6 (30) nt 2-2899
30/6 (44) nt 2-2952
2/7 (50)  nt 2-2956
6/7 (34) nt 2-2961</t>
        </r>
      </text>
    </comment>
    <comment ref="T124" authorId="0">
      <text>
        <r>
          <rPr>
            <sz val="9"/>
            <color indexed="81"/>
            <rFont val="Tahoma"/>
            <family val="2"/>
          </rPr>
          <t>10/6 (138)  NT 2-2864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4/5 (200) nt 2-2809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4/5 (306) nt 2-2809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3/7 (3) nt 2-2958
6/7 (50) nt 2-2961
7/7 (26) nt 2-2963
13/7 (52)  nt 2-2972
15/7 (63) nt 2-2978
17/7 (13) nt 2-2981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11/5 (1929) nt 2-2817
22/5 (1457) nt 2-2833
2/6  (814) + (2228 OT5196)(total 3042) nt 2-2854</t>
        </r>
      </text>
    </comment>
    <comment ref="T129" authorId="0">
      <text>
        <r>
          <rPr>
            <sz val="9"/>
            <color indexed="81"/>
            <rFont val="Tahoma"/>
            <family val="2"/>
          </rPr>
          <t>11/8 (300) nt 2-3028
26/8 (100) nt 2-3045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28/5 (301) nt 2-2841
5/6 (600) nt 2-2860
19/6 (372) nt 2-2881
17/7 (273) nt 2-2981</t>
        </r>
      </text>
    </comment>
    <comment ref="T131" authorId="0">
      <text>
        <r>
          <rPr>
            <sz val="9"/>
            <color indexed="81"/>
            <rFont val="Tahoma"/>
            <family val="2"/>
          </rPr>
          <t>20/5 (100) nt 2-2830
26/5 (46)  rem 2-161 fact
16/6 (total 200) (162) (38 ot 5189)  nt 2-2872</t>
        </r>
      </text>
    </comment>
    <comment ref="T132" authorId="0">
      <text>
        <r>
          <rPr>
            <sz val="9"/>
            <color indexed="81"/>
            <rFont val="Tahoma"/>
            <family val="2"/>
          </rPr>
          <t>20/5 (100) nt 2-2830
1/6 (199) nt 2-2848</t>
        </r>
      </text>
    </comment>
    <comment ref="T133" authorId="0">
      <text>
        <r>
          <rPr>
            <sz val="9"/>
            <color indexed="81"/>
            <rFont val="Tahoma"/>
            <family val="2"/>
          </rPr>
          <t>6/7 (120) nt 2-2961</t>
        </r>
      </text>
    </comment>
    <comment ref="T134" authorId="0">
      <text>
        <r>
          <rPr>
            <sz val="9"/>
            <color indexed="81"/>
            <rFont val="Tahoma"/>
            <family val="2"/>
          </rPr>
          <t>11/6 (89) nt 2-2865
16/6 (78) nt 2-2873</t>
        </r>
      </text>
    </comment>
    <comment ref="T135" authorId="0">
      <text>
        <r>
          <rPr>
            <sz val="9"/>
            <color indexed="81"/>
            <rFont val="Tahoma"/>
            <family val="2"/>
          </rPr>
          <t>1/6 (32) nt 2-2851 (mec pintada)
7/7 (27) nt 2-2963
8/7 (45) nt 2-2970
13/7 (52) nt 2-2972
17/7 (27) nt 2-2981
20/7 (15) nt 2-2984
21/7 (15) nt 2-2986
22/7 (43) nt 2-2988</t>
        </r>
      </text>
    </comment>
    <comment ref="G136" authorId="1">
      <text>
        <r>
          <rPr>
            <b/>
            <sz val="9"/>
            <color indexed="81"/>
            <rFont val="Tahoma"/>
            <family val="2"/>
          </rPr>
          <t>VER CUANTAS FACTURAMOS (DEBEMOS 2)</t>
        </r>
      </text>
    </comment>
    <comment ref="T136" authorId="0">
      <text>
        <r>
          <rPr>
            <sz val="9"/>
            <color indexed="81"/>
            <rFont val="Tahoma"/>
            <family val="2"/>
          </rPr>
          <t>5/6 (116) nt 2-2860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18/6 (8) nt 2-2879
23/6 (35) nt 2-2887
22/6 (30) nt 2-2882
24/6 (27) nt 2-2890</t>
        </r>
      </text>
    </comment>
    <comment ref="T138" authorId="0">
      <text>
        <r>
          <rPr>
            <sz val="9"/>
            <color indexed="81"/>
            <rFont val="Tahoma"/>
            <family val="2"/>
          </rPr>
          <t>25/6 (9) nt 2-2893
26/5 (33) nt 2-2896
8/10 (15) nt 2-3138
8/10 (17) nt 2-3140
13/10 (55) nt 2-3142</t>
        </r>
      </text>
    </comment>
    <comment ref="T139" authorId="0">
      <text>
        <r>
          <rPr>
            <sz val="9"/>
            <color indexed="81"/>
            <rFont val="Tahoma"/>
            <family val="2"/>
          </rPr>
          <t>4/8 (6) nt 2-3014
5/8 (24) nt 2-3020
6/8 (12) nt 2-3022
7/8 (50) nt 2-3023
10/8 (60) nt 2-3024
11/8 (14) nt 2-3027</t>
        </r>
      </text>
    </comment>
    <comment ref="T140" authorId="0">
      <text>
        <r>
          <rPr>
            <sz val="9"/>
            <color indexed="81"/>
            <rFont val="Tahoma"/>
            <family val="2"/>
          </rPr>
          <t>8/7 (1) nt 2-2964</t>
        </r>
      </text>
    </comment>
    <comment ref="O141" authorId="0">
      <text>
        <r>
          <rPr>
            <sz val="9"/>
            <color indexed="81"/>
            <rFont val="Tahoma"/>
            <family val="2"/>
          </rPr>
          <t>total sop (534)
ot5189 + ot5213
200 ot 5189</t>
        </r>
      </text>
    </comment>
    <comment ref="T141" authorId="0">
      <text>
        <r>
          <rPr>
            <sz val="9"/>
            <color indexed="81"/>
            <rFont val="Tahoma"/>
            <family val="2"/>
          </rPr>
          <t>11/8 (100) nt 2-3026
2/9 (100) total 210 nt 2-3065</t>
        </r>
      </text>
    </comment>
    <comment ref="T142" authorId="0">
      <text>
        <r>
          <rPr>
            <sz val="9"/>
            <color indexed="81"/>
            <rFont val="Tahoma"/>
            <family val="2"/>
          </rPr>
          <t>8/7 (8) nt 2-2964</t>
        </r>
      </text>
    </comment>
    <comment ref="T143" authorId="0">
      <text>
        <r>
          <rPr>
            <sz val="9"/>
            <color indexed="81"/>
            <rFont val="Tahoma"/>
            <family val="2"/>
          </rPr>
          <t>4/6 (20) nt 2-2901 (sin reb)
11/6 (40) nt 2-2866
19/6 (86) nt 2-2880</t>
        </r>
      </text>
    </comment>
    <comment ref="T144" authorId="0">
      <text>
        <r>
          <rPr>
            <sz val="9"/>
            <color indexed="81"/>
            <rFont val="Tahoma"/>
            <family val="2"/>
          </rPr>
          <t>23/7 (200) nt 2-2992</t>
        </r>
      </text>
    </comment>
    <comment ref="T145" authorId="0">
      <text>
        <r>
          <rPr>
            <sz val="9"/>
            <color indexed="81"/>
            <rFont val="Tahoma"/>
            <family val="2"/>
          </rPr>
          <t>25/6 (400) nt 2-2891</t>
        </r>
      </text>
    </comment>
    <comment ref="T146" authorId="0">
      <text>
        <r>
          <rPr>
            <sz val="9"/>
            <color indexed="81"/>
            <rFont val="Tahoma"/>
            <family val="2"/>
          </rPr>
          <t>17/6 (100) nt 2-2874
22/6 (259) nt 2-2884</t>
        </r>
      </text>
    </comment>
    <comment ref="T147" authorId="0">
      <text>
        <r>
          <rPr>
            <sz val="9"/>
            <color indexed="81"/>
            <rFont val="Tahoma"/>
            <family val="2"/>
          </rPr>
          <t>3/6 (60) nt 2-2856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26/5 (70) rem 2-160</t>
        </r>
      </text>
    </comment>
    <comment ref="T149" authorId="0">
      <text>
        <r>
          <rPr>
            <sz val="9"/>
            <color indexed="81"/>
            <rFont val="Tahoma"/>
            <family val="2"/>
          </rPr>
          <t>29/6 (165) nt 2-2900</t>
        </r>
      </text>
    </comment>
    <comment ref="T151" authorId="0">
      <text>
        <r>
          <rPr>
            <sz val="9"/>
            <color indexed="81"/>
            <rFont val="Tahoma"/>
            <family val="2"/>
          </rPr>
          <t>(70) 19/5 nt 2-2827
SIN PINTAR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pidio R11 cabeza clio</t>
        </r>
      </text>
    </comment>
    <comment ref="T152" authorId="0">
      <text>
        <r>
          <rPr>
            <sz val="9"/>
            <color indexed="81"/>
            <rFont val="Tahoma"/>
            <family val="2"/>
          </rPr>
          <t>15/6 (70) nt 2-2871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28/5 nt 2-2839</t>
        </r>
      </text>
    </comment>
    <comment ref="T154" authorId="1">
      <text>
        <r>
          <rPr>
            <sz val="9"/>
            <color indexed="81"/>
            <rFont val="Tahoma"/>
            <family val="2"/>
          </rPr>
          <t xml:space="preserve">28/5 nt 2-2839
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28/5 nt 2-2839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28/5 nt 2-2839</t>
        </r>
      </text>
    </comment>
    <comment ref="T157" authorId="0">
      <text>
        <r>
          <rPr>
            <sz val="9"/>
            <color indexed="81"/>
            <rFont val="Tahoma"/>
            <family val="2"/>
          </rPr>
          <t xml:space="preserve">16/6 (total 200) (38) (162 ot 5186)  nt 2-2872
26/6 (170) nt 2-2898
29/6 (95) nt 2-2900
</t>
        </r>
      </text>
    </comment>
    <comment ref="T158" authorId="0">
      <text>
        <r>
          <rPr>
            <sz val="9"/>
            <color indexed="81"/>
            <rFont val="Tahoma"/>
            <family val="2"/>
          </rPr>
          <t>24/6 (400) nt 2-2889</t>
        </r>
      </text>
    </comment>
    <comment ref="T159" authorId="0">
      <text>
        <r>
          <rPr>
            <sz val="9"/>
            <color indexed="81"/>
            <rFont val="Tahoma"/>
            <family val="2"/>
          </rPr>
          <t>4/9 (380) TOTAL 388 nt 2-3070 (8 sin cargo)</t>
        </r>
      </text>
    </comment>
    <comment ref="T160" authorId="0">
      <text>
        <r>
          <rPr>
            <sz val="9"/>
            <color indexed="81"/>
            <rFont val="Tahoma"/>
            <family val="2"/>
          </rPr>
          <t>29/5 (300) nt 2-2845</t>
        </r>
      </text>
    </comment>
    <comment ref="T161" authorId="0">
      <text>
        <r>
          <rPr>
            <sz val="9"/>
            <color indexed="81"/>
            <rFont val="Tahoma"/>
            <family val="2"/>
          </rPr>
          <t>4/7 (300) nt 2-2959</t>
        </r>
      </text>
    </comment>
    <comment ref="T162" authorId="0">
      <text>
        <r>
          <rPr>
            <sz val="9"/>
            <color indexed="81"/>
            <rFont val="Tahoma"/>
            <family val="2"/>
          </rPr>
          <t>24/8 (297) nt 2-3040</t>
        </r>
      </text>
    </comment>
    <comment ref="T163" authorId="0">
      <text>
        <r>
          <rPr>
            <sz val="9"/>
            <color indexed="81"/>
            <rFont val="Tahoma"/>
            <family val="2"/>
          </rPr>
          <t>26/8 (300) nt 2-3045</t>
        </r>
      </text>
    </comment>
    <comment ref="T164" authorId="0">
      <text>
        <r>
          <rPr>
            <sz val="9"/>
            <color indexed="81"/>
            <rFont val="Tahoma"/>
            <family val="2"/>
          </rPr>
          <t>24/8 (255) nt 2-3040
4/9 (303) nt 2-3070
28/10 (340) nt 2-3114</t>
        </r>
      </text>
    </comment>
    <comment ref="T165" authorId="0">
      <text>
        <r>
          <rPr>
            <sz val="9"/>
            <color indexed="81"/>
            <rFont val="Tahoma"/>
            <family val="2"/>
          </rPr>
          <t>18/7 (400) nt 2-2983</t>
        </r>
      </text>
    </comment>
    <comment ref="T166" authorId="0">
      <text>
        <r>
          <rPr>
            <sz val="9"/>
            <color indexed="81"/>
            <rFont val="Tahoma"/>
            <family val="2"/>
          </rPr>
          <t>27/5 (381) nt 2-2838</t>
        </r>
      </text>
    </comment>
    <comment ref="T167" authorId="0">
      <text>
        <r>
          <rPr>
            <sz val="9"/>
            <color indexed="81"/>
            <rFont val="Tahoma"/>
            <family val="2"/>
          </rPr>
          <t>27/5 (440) nt 2-2838</t>
        </r>
      </text>
    </comment>
    <comment ref="T168" authorId="0">
      <text>
        <r>
          <rPr>
            <sz val="9"/>
            <color indexed="81"/>
            <rFont val="Tahoma"/>
            <family val="2"/>
          </rPr>
          <t>29/8 (400) nt 2-3057</t>
        </r>
      </text>
    </comment>
    <comment ref="T169" authorId="0">
      <text>
        <r>
          <rPr>
            <sz val="9"/>
            <color indexed="81"/>
            <rFont val="Tahoma"/>
            <family val="2"/>
          </rPr>
          <t>27/5 (3000) nt 2-2838
29/5 (2437) nt 2-2844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18/5 (2500) nt 2-2825
20/5 (2769) nt 2-2829</t>
        </r>
      </text>
    </comment>
    <comment ref="T171" authorId="0">
      <text>
        <r>
          <rPr>
            <sz val="9"/>
            <color indexed="81"/>
            <rFont val="Tahoma"/>
            <family val="2"/>
          </rPr>
          <t>14/10 (1252) rem 2-185
neto = 1499,800kg</t>
        </r>
      </text>
    </comment>
    <comment ref="T172" authorId="0">
      <text>
        <r>
          <rPr>
            <sz val="9"/>
            <color indexed="81"/>
            <rFont val="Tahoma"/>
            <family val="2"/>
          </rPr>
          <t>4/6 (30) nt 2-2901 (10 sin reb)
11/6 (100) nt 2-2866
19/6 (47) nt 2-2880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22/5 (80) nt 2-2834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22/5 (97) nt 2-2834</t>
        </r>
      </text>
    </comment>
    <comment ref="T175" authorId="0">
      <text>
        <r>
          <rPr>
            <sz val="9"/>
            <color indexed="81"/>
            <rFont val="Tahoma"/>
            <family val="2"/>
          </rPr>
          <t>28/10 (131) nt 2-3114</t>
        </r>
      </text>
    </comment>
    <comment ref="T176" authorId="0">
      <text>
        <r>
          <rPr>
            <sz val="9"/>
            <color indexed="81"/>
            <rFont val="Tahoma"/>
            <family val="2"/>
          </rPr>
          <t>28/10 (212) nt 2-3114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17/6 (400) nt 2-2877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17/6 (400) nt 2-2877</t>
        </r>
      </text>
    </comment>
    <comment ref="G179" authorId="0">
      <text>
        <r>
          <rPr>
            <sz val="9"/>
            <color indexed="81"/>
            <rFont val="Tahoma"/>
            <family val="2"/>
          </rPr>
          <t xml:space="preserve">PIDIO 100 + el 15/6
</t>
        </r>
      </text>
    </comment>
    <comment ref="T179" authorId="0">
      <text>
        <r>
          <rPr>
            <sz val="9"/>
            <color indexed="81"/>
            <rFont val="Tahoma"/>
            <family val="2"/>
          </rPr>
          <t>8/7 (229) nt 2-2964</t>
        </r>
      </text>
    </comment>
    <comment ref="T180" authorId="0">
      <text>
        <r>
          <rPr>
            <sz val="9"/>
            <color indexed="81"/>
            <rFont val="Tahoma"/>
            <family val="2"/>
          </rPr>
          <t>8/7 (257) nt 2-2964</t>
        </r>
      </text>
    </comment>
    <comment ref="T181" authorId="0">
      <text>
        <r>
          <rPr>
            <sz val="9"/>
            <color indexed="81"/>
            <rFont val="Tahoma"/>
            <family val="2"/>
          </rPr>
          <t>24/8 (347) nt 2-3041
16/9 (253) TOTAL 450  nt 2-3090 (197 entrega agosto)</t>
        </r>
      </text>
    </comment>
    <comment ref="T182" authorId="0">
      <text>
        <r>
          <rPr>
            <sz val="9"/>
            <color indexed="81"/>
            <rFont val="Tahoma"/>
            <family val="2"/>
          </rPr>
          <t>16/9 (197) TOTAL 450  nt 2-3090 (253 entrega julio)
23/9 (419) nt 2-3108</t>
        </r>
      </text>
    </comment>
    <comment ref="T183" authorId="0">
      <text>
        <r>
          <rPr>
            <sz val="9"/>
            <color indexed="81"/>
            <rFont val="Tahoma"/>
            <family val="2"/>
          </rPr>
          <t xml:space="preserve">3/8 (54) nt 2-3009
14/8 (75) nt 2-3030
</t>
        </r>
      </text>
    </comment>
    <comment ref="T184" authorId="0">
      <text>
        <r>
          <rPr>
            <sz val="9"/>
            <color indexed="81"/>
            <rFont val="Tahoma"/>
            <family val="2"/>
          </rPr>
          <t>3/8 (129) nt 2-3009</t>
        </r>
      </text>
    </comment>
    <comment ref="T185" authorId="0">
      <text>
        <r>
          <rPr>
            <sz val="9"/>
            <color indexed="81"/>
            <rFont val="Tahoma"/>
            <family val="2"/>
          </rPr>
          <t>20/5 (2293) nt 2-2829</t>
        </r>
      </text>
    </comment>
    <comment ref="T186" authorId="0">
      <text>
        <r>
          <rPr>
            <sz val="9"/>
            <color indexed="81"/>
            <rFont val="Tahoma"/>
            <family val="2"/>
          </rPr>
          <t>8/7 (30) nt 2-2967
20/7 (73) nt 2-2985
14/8 (30) nt 2-3032
2/9 (29) nt 2-2912</t>
        </r>
      </text>
    </comment>
    <comment ref="T187" authorId="0">
      <text>
        <r>
          <rPr>
            <sz val="9"/>
            <color indexed="81"/>
            <rFont val="Tahoma"/>
            <family val="2"/>
          </rPr>
          <t>31/7 (10) nt 2-3003
10/9 (50) nt 2-3078
29/9 (40) nt 2-3121</t>
        </r>
      </text>
    </comment>
    <comment ref="T188" authorId="0">
      <text>
        <r>
          <rPr>
            <sz val="9"/>
            <color indexed="81"/>
            <rFont val="Tahoma"/>
            <family val="2"/>
          </rPr>
          <t>20/7 (6) nt 2-2984
21/7 (18) nt 2-2986
22/7 (15) nt 2-2988
23/7 (45) nt 2-2990
24/7 (90) nt 2-2994</t>
        </r>
      </text>
    </comment>
    <comment ref="T189" authorId="0">
      <text>
        <r>
          <rPr>
            <sz val="9"/>
            <color indexed="81"/>
            <rFont val="Tahoma"/>
            <family val="2"/>
          </rPr>
          <t xml:space="preserve">30/6 total: 481+94 en garantía=575 nt 2-2904
 </t>
        </r>
      </text>
    </comment>
    <comment ref="T190" authorId="0">
      <text>
        <r>
          <rPr>
            <sz val="9"/>
            <color indexed="81"/>
            <rFont val="Tahoma"/>
            <family val="2"/>
          </rPr>
          <t>28/5 (300) nt 2-2840</t>
        </r>
      </text>
    </comment>
    <comment ref="T191" authorId="0">
      <text>
        <r>
          <rPr>
            <sz val="9"/>
            <color indexed="81"/>
            <rFont val="Tahoma"/>
            <family val="2"/>
          </rPr>
          <t>27/7 (300) nt 2-2907
5/8 (350) nt 2-3018</t>
        </r>
      </text>
    </comment>
    <comment ref="T192" authorId="0">
      <text>
        <r>
          <rPr>
            <sz val="9"/>
            <color indexed="81"/>
            <rFont val="Tahoma"/>
            <family val="2"/>
          </rPr>
          <t>28/9 (300) nt 2-3116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26/5 (70) rem 2-159 fact</t>
        </r>
      </text>
    </comment>
    <comment ref="T194" authorId="0">
      <text>
        <r>
          <rPr>
            <sz val="9"/>
            <color indexed="81"/>
            <rFont val="Tahoma"/>
            <family val="2"/>
          </rPr>
          <t>28/5 (100) nt 2-2843</t>
        </r>
      </text>
    </comment>
    <comment ref="T195" authorId="0">
      <text>
        <r>
          <rPr>
            <sz val="9"/>
            <color indexed="81"/>
            <rFont val="Tahoma"/>
            <family val="2"/>
          </rPr>
          <t>28/5 (100) nt 2-2843</t>
        </r>
      </text>
    </comment>
    <comment ref="T196" authorId="0">
      <text>
        <r>
          <rPr>
            <sz val="9"/>
            <color indexed="81"/>
            <rFont val="Tahoma"/>
            <family val="2"/>
          </rPr>
          <t>28/5 (72) nt 2-2843</t>
        </r>
      </text>
    </comment>
    <comment ref="E197" authorId="0">
      <text>
        <r>
          <rPr>
            <b/>
            <sz val="9"/>
            <color indexed="81"/>
            <rFont val="Tahoma"/>
            <family val="2"/>
          </rPr>
          <t xml:space="preserve">COBRAR 
*CORTE +30%
*ACERO al 50% del precio </t>
        </r>
      </text>
    </comment>
    <comment ref="T197" authorId="0">
      <text>
        <r>
          <rPr>
            <sz val="9"/>
            <color indexed="81"/>
            <rFont val="Tahoma"/>
            <family val="2"/>
          </rPr>
          <t>15/6 (100) nt 2-2869</t>
        </r>
      </text>
    </comment>
    <comment ref="T198" authorId="0">
      <text>
        <r>
          <rPr>
            <sz val="9"/>
            <color indexed="81"/>
            <rFont val="Tahoma"/>
            <family val="2"/>
          </rPr>
          <t>25/6 (2500) nt 2-2892 (393,400kg)
30/6 (3601) nt 2-2951
(575kg)</t>
        </r>
      </text>
    </comment>
    <comment ref="T199" authorId="0">
      <text>
        <r>
          <rPr>
            <sz val="9"/>
            <color indexed="81"/>
            <rFont val="Tahoma"/>
            <family val="2"/>
          </rPr>
          <t>8/7 (117) total 200 nt 2-2968</t>
        </r>
      </text>
    </comment>
    <comment ref="T200" authorId="0">
      <text>
        <r>
          <rPr>
            <sz val="9"/>
            <color indexed="81"/>
            <rFont val="Tahoma"/>
            <family val="2"/>
          </rPr>
          <t>27/5 (100) nt 2-2836 fact
11/6 (400) nt 2-2866
20/7 (200) nt 2-2985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17/4 (400) rem 2-136
11/5 (810) nt 2-2818</t>
        </r>
      </text>
    </comment>
    <comment ref="T202" authorId="0">
      <text>
        <r>
          <rPr>
            <sz val="9"/>
            <color indexed="81"/>
            <rFont val="Tahoma"/>
            <family val="2"/>
          </rPr>
          <t xml:space="preserve">8/7 (3000) nt 2-2965
15/7 (3000) nt 2-2974 (TOTAL 4000) </t>
        </r>
      </text>
    </comment>
    <comment ref="T204" authorId="0">
      <text>
        <r>
          <rPr>
            <sz val="9"/>
            <color indexed="81"/>
            <rFont val="Tahoma"/>
            <family val="2"/>
          </rPr>
          <t>30/6 total: 481+94 en garantía=575 nt 2-2904
 30/6 (25) nt 2-2905</t>
        </r>
      </text>
    </comment>
    <comment ref="T205" authorId="0">
      <text>
        <r>
          <rPr>
            <sz val="9"/>
            <color indexed="81"/>
            <rFont val="Tahoma"/>
            <family val="2"/>
          </rPr>
          <t>11/8 (300) TOTAL 343 nt 2-3026 (43 ot 5201)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23/4 (20) rem 2-144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4/5 (9) nt 2-2810 (mec pintada)
6/5 (28) nt 2-2812 (mec pintada)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6/5 (30) nt 2-2811</t>
        </r>
      </text>
    </comment>
    <comment ref="T210" authorId="0">
      <text>
        <r>
          <rPr>
            <sz val="9"/>
            <color indexed="81"/>
            <rFont val="Tahoma"/>
            <family val="2"/>
          </rPr>
          <t>27/5 (20)  nt  2-2836 fact</t>
        </r>
      </text>
    </comment>
    <comment ref="T211" authorId="0">
      <text>
        <r>
          <rPr>
            <sz val="9"/>
            <color indexed="81"/>
            <rFont val="Tahoma"/>
            <family val="2"/>
          </rPr>
          <t xml:space="preserve">27/5 (20) nt 2-2837 </t>
        </r>
      </text>
    </comment>
    <comment ref="T212" authorId="0">
      <text>
        <r>
          <rPr>
            <sz val="9"/>
            <color indexed="81"/>
            <rFont val="Tahoma"/>
            <family val="2"/>
          </rPr>
          <t>29/5 (62) nt 2-2846</t>
        </r>
      </text>
    </comment>
    <comment ref="T213" authorId="0">
      <text>
        <r>
          <rPr>
            <sz val="9"/>
            <color indexed="81"/>
            <rFont val="Tahoma"/>
            <family val="2"/>
          </rPr>
          <t>2/7 (100) nt 2-2953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2/7  (total 788) nt 2-2954
(200) + (200) + (388)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2/7  (total 959) nt 2-2954
(500) + (459)</t>
        </r>
      </text>
    </comment>
    <comment ref="T216" authorId="0">
      <text>
        <r>
          <rPr>
            <sz val="9"/>
            <color indexed="81"/>
            <rFont val="Tahoma"/>
            <family val="2"/>
          </rPr>
          <t>27/8 (312) nt 2-3049</t>
        </r>
      </text>
    </comment>
    <comment ref="T217" authorId="0">
      <text>
        <r>
          <rPr>
            <sz val="9"/>
            <color indexed="81"/>
            <rFont val="Tahoma"/>
            <family val="2"/>
          </rPr>
          <t>27/8 (116) nt 2-3049</t>
        </r>
      </text>
    </comment>
    <comment ref="T218" authorId="0">
      <text>
        <r>
          <rPr>
            <sz val="9"/>
            <color indexed="81"/>
            <rFont val="Tahoma"/>
            <family val="2"/>
          </rPr>
          <t>27/8 (210) nt 2-3049</t>
        </r>
      </text>
    </comment>
    <comment ref="T219" authorId="0">
      <text>
        <r>
          <rPr>
            <sz val="9"/>
            <color indexed="81"/>
            <rFont val="Tahoma"/>
            <family val="2"/>
          </rPr>
          <t>27/8 (232) nt 2-3049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17/6 (500) nt 2-2875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17/6 (500) nt 2-2875
*500 tapas ok
*400 cajas ok
*100 cajas sin rebabar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17/6 (500) nt 2-2875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17/6 (500) nt 2-2875</t>
        </r>
      </text>
    </comment>
    <comment ref="T224" authorId="0">
      <text>
        <r>
          <rPr>
            <sz val="9"/>
            <color indexed="81"/>
            <rFont val="Tahoma"/>
            <family val="2"/>
          </rPr>
          <t>20/8 (1360) nt 2-3034</t>
        </r>
      </text>
    </comment>
    <comment ref="T225" authorId="0">
      <text>
        <r>
          <rPr>
            <sz val="9"/>
            <color indexed="81"/>
            <rFont val="Tahoma"/>
            <family val="2"/>
          </rPr>
          <t>2/9 (200) nt 2-3064</t>
        </r>
      </text>
    </comment>
    <comment ref="T226" authorId="0">
      <text>
        <r>
          <rPr>
            <sz val="9"/>
            <color indexed="81"/>
            <rFont val="Tahoma"/>
            <family val="2"/>
          </rPr>
          <t>11/8 (240) nt 2-3026
27/8 (100) nt 2-3051
2/9 (100) nt 2-3065
10/9 (78) total 200 (122 ot 5228) nt 2-3077</t>
        </r>
      </text>
    </comment>
    <comment ref="T227" authorId="0">
      <text>
        <r>
          <rPr>
            <sz val="9"/>
            <color indexed="81"/>
            <rFont val="Tahoma"/>
            <family val="2"/>
          </rPr>
          <t xml:space="preserve">22/9 (46) total 56 nt 2-3103 (10 ot 5150)
23/9 (43) nt 2-3110
25/9 (21) nt 2-3113 </t>
        </r>
      </text>
    </comment>
    <comment ref="T228" authorId="0">
      <text>
        <r>
          <rPr>
            <sz val="9"/>
            <color indexed="81"/>
            <rFont val="Tahoma"/>
            <family val="2"/>
          </rPr>
          <t>22/7 (150) nt 2-2989</t>
        </r>
      </text>
    </comment>
    <comment ref="T230" authorId="0">
      <text>
        <r>
          <rPr>
            <sz val="9"/>
            <color indexed="81"/>
            <rFont val="Tahoma"/>
            <family val="2"/>
          </rPr>
          <t>15/6 (40) nt 2-2871</t>
        </r>
      </text>
    </comment>
    <comment ref="T231" authorId="0">
      <text>
        <r>
          <rPr>
            <sz val="9"/>
            <color indexed="81"/>
            <rFont val="Tahoma"/>
            <family val="2"/>
          </rPr>
          <t>25/7 (20) nt 2-2994
28/7 (60) nt 2-2997
10/8 (156) nt 2-3024</t>
        </r>
      </text>
    </comment>
    <comment ref="T232" authorId="0">
      <text>
        <r>
          <rPr>
            <sz val="9"/>
            <color indexed="81"/>
            <rFont val="Tahoma"/>
            <family val="2"/>
          </rPr>
          <t>21/7 (1350) nt 2-2987</t>
        </r>
      </text>
    </comment>
    <comment ref="T233" authorId="0">
      <text>
        <r>
          <rPr>
            <sz val="9"/>
            <color indexed="81"/>
            <rFont val="Tahoma"/>
            <family val="2"/>
          </rPr>
          <t>25/7 (TOTAL 595) (132 dev) nt 2-2996</t>
        </r>
      </text>
    </comment>
    <comment ref="T234" authorId="0">
      <text>
        <r>
          <rPr>
            <sz val="9"/>
            <color indexed="81"/>
            <rFont val="Tahoma"/>
            <family val="2"/>
          </rPr>
          <t>4/6 (92) total (250) (158 oc5157) nt 2-2858
15/6 (400) nt 2-2870
26/6 (400) nt 2-2897
10/7 (500) nt 2-2971
17/7 (208) (TOTAL 250)
nt 2-2980</t>
        </r>
      </text>
    </comment>
    <comment ref="T235" authorId="0">
      <text>
        <r>
          <rPr>
            <sz val="9"/>
            <color indexed="81"/>
            <rFont val="Tahoma"/>
            <family val="2"/>
          </rPr>
          <t xml:space="preserve">15/7 (1000) nt 2-2974 (TOTAL 4000) </t>
        </r>
      </text>
    </comment>
    <comment ref="T236" authorId="0">
      <text>
        <r>
          <rPr>
            <sz val="9"/>
            <color indexed="81"/>
            <rFont val="Tahoma"/>
            <family val="2"/>
          </rPr>
          <t>30/7 (1520) nt 2-3002</t>
        </r>
      </text>
    </comment>
    <comment ref="T237" authorId="0">
      <text>
        <r>
          <rPr>
            <sz val="9"/>
            <color indexed="81"/>
            <rFont val="Tahoma"/>
            <family val="2"/>
          </rPr>
          <t>30/7 (640) nt 2-3002</t>
        </r>
      </text>
    </comment>
    <comment ref="T238" authorId="0">
      <text>
        <r>
          <rPr>
            <sz val="9"/>
            <color indexed="81"/>
            <rFont val="Tahoma"/>
            <family val="2"/>
          </rPr>
          <t>31/7 (24) nt 2-3005</t>
        </r>
      </text>
    </comment>
    <comment ref="T239" authorId="0">
      <text>
        <r>
          <rPr>
            <sz val="9"/>
            <color indexed="81"/>
            <rFont val="Tahoma"/>
            <family val="2"/>
          </rPr>
          <t>23/7 (12) nt 2-2992
31/7 (49) nt 2-3005</t>
        </r>
      </text>
    </comment>
    <comment ref="T240" authorId="0">
      <text>
        <r>
          <rPr>
            <sz val="9"/>
            <color indexed="81"/>
            <rFont val="Tahoma"/>
            <family val="2"/>
          </rPr>
          <t>11/9 (6) nt 2-3083 (mec s/ pintura)
14/9 (44) nt 2-3085 (mec s/ pintura)
6/10 (6) nt 2-3131
8/10 (50) nt 2-3138
8/10 (59) nt 2-3140</t>
        </r>
      </text>
    </comment>
    <comment ref="T241" authorId="0">
      <text>
        <r>
          <rPr>
            <sz val="9"/>
            <color indexed="81"/>
            <rFont val="Tahoma"/>
            <family val="2"/>
          </rPr>
          <t>20/8 (100) nt 2-3036
26/8 (100) nt 2-3047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29/7 (6) nt 2-2999
30/7 (21) nt 2-3000
3/8 (15) nt 2-3013
4/8 (48) nt 2-3014
31/8 (30) nt 2-3058
1/9 (114) nt 2-3063
2/9 (51) nt 2-3066</t>
        </r>
      </text>
    </comment>
    <comment ref="T243" authorId="0">
      <text>
        <r>
          <rPr>
            <sz val="9"/>
            <color indexed="81"/>
            <rFont val="Tahoma"/>
            <family val="2"/>
          </rPr>
          <t>26/8 (3) nt 2-3046
28/8 (69) nt 2-3055
31/8 (22) nt 2-3058
11/9 (82) nt 2-3083
25/9 (9) nt 2-3113
28/9 (60) nt 2-3118
1/10 (102) nt 2-3126</t>
        </r>
      </text>
    </comment>
    <comment ref="T244" authorId="0">
      <text>
        <r>
          <rPr>
            <sz val="9"/>
            <color indexed="81"/>
            <rFont val="Tahoma"/>
            <family val="2"/>
          </rPr>
          <t>26/8 (9) nt 2-3046
27/8 (60) nt 2-3052
28/8 (48) nt 2-3055
8/9 (71) nt 2-3075
11/9 (30) nt 2-3083</t>
        </r>
      </text>
    </comment>
    <comment ref="O245" authorId="0">
      <text>
        <r>
          <rPr>
            <sz val="9"/>
            <color indexed="81"/>
            <rFont val="Tahoma"/>
            <family val="2"/>
          </rPr>
          <t>31/8 (300) total 400 ot staco 4-3195</t>
        </r>
      </text>
    </comment>
    <comment ref="T245" authorId="0">
      <text>
        <r>
          <rPr>
            <sz val="9"/>
            <color indexed="81"/>
            <rFont val="Tahoma"/>
            <family val="2"/>
          </rPr>
          <t>21/9 (300) nt 2-3101</t>
        </r>
      </text>
    </comment>
    <comment ref="T246" authorId="0">
      <text>
        <r>
          <rPr>
            <sz val="9"/>
            <color indexed="81"/>
            <rFont val="Tahoma"/>
            <family val="2"/>
          </rPr>
          <t>2/9 (222) nt 2-3067
16/9 (148) nt 2-3090</t>
        </r>
      </text>
    </comment>
    <comment ref="T247" authorId="0">
      <text>
        <r>
          <rPr>
            <sz val="9"/>
            <color indexed="81"/>
            <rFont val="Tahoma"/>
            <family val="2"/>
          </rPr>
          <t>10/9 (122) total 200 (78 ot 5213) nt 2-3077
21/9 (172) nt 2-3101</t>
        </r>
      </text>
    </comment>
    <comment ref="T248" authorId="0">
      <text>
        <r>
          <rPr>
            <sz val="9"/>
            <color indexed="81"/>
            <rFont val="Tahoma"/>
            <family val="2"/>
          </rPr>
          <t>31/7 (316) nt 2-3007
11/8 (4) nt 2-3026</t>
        </r>
      </text>
    </comment>
    <comment ref="T249" authorId="0">
      <text>
        <r>
          <rPr>
            <sz val="9"/>
            <color indexed="81"/>
            <rFont val="Tahoma"/>
            <family val="2"/>
          </rPr>
          <t>2/9 (208) nt 2-3064</t>
        </r>
      </text>
    </comment>
    <comment ref="T250" authorId="0">
      <text>
        <r>
          <rPr>
            <sz val="9"/>
            <color indexed="81"/>
            <rFont val="Tahoma"/>
            <family val="2"/>
          </rPr>
          <t>2/9 (200) nt 2-3064</t>
        </r>
      </text>
    </comment>
    <comment ref="T252" authorId="0">
      <text>
        <r>
          <rPr>
            <sz val="9"/>
            <color indexed="81"/>
            <rFont val="Tahoma"/>
            <family val="2"/>
          </rPr>
          <t>17/7 (42) (TOTAL 250) nt 2-2980
23/7 (450) nt 2-2991
4/8 (600) nt 2-3016
14/8 (300) nt 2-3031
20/8 (208) nt 2-3035</t>
        </r>
      </text>
    </comment>
    <comment ref="E253" authorId="0">
      <text>
        <r>
          <rPr>
            <b/>
            <sz val="9"/>
            <color indexed="81"/>
            <rFont val="Tahoma"/>
            <family val="2"/>
          </rPr>
          <t>no pidieron este modelo, hubo un problema con el corte del acero</t>
        </r>
      </text>
    </comment>
    <comment ref="T253" authorId="0">
      <text>
        <r>
          <rPr>
            <sz val="9"/>
            <color indexed="81"/>
            <rFont val="Tahoma"/>
            <family val="2"/>
          </rPr>
          <t>30/7 (1480) nt 2-3001</t>
        </r>
      </text>
    </comment>
    <comment ref="T254" authorId="0">
      <text>
        <r>
          <rPr>
            <sz val="9"/>
            <color indexed="81"/>
            <rFont val="Tahoma"/>
            <family val="2"/>
          </rPr>
          <t>11/8 (1185) nt 1-3028</t>
        </r>
      </text>
    </comment>
    <comment ref="T255" authorId="0">
      <text>
        <r>
          <rPr>
            <sz val="9"/>
            <color indexed="81"/>
            <rFont val="Tahoma"/>
            <family val="2"/>
          </rPr>
          <t>20/8 (1500) nt 2-3034
26/8 (1620) nt 2-3044</t>
        </r>
      </text>
    </comment>
    <comment ref="T256" authorId="0">
      <text>
        <r>
          <rPr>
            <sz val="9"/>
            <color indexed="81"/>
            <rFont val="Tahoma"/>
            <family val="2"/>
          </rPr>
          <t>2/9 (400) nt 2-3064</t>
        </r>
      </text>
    </comment>
    <comment ref="T257" authorId="0">
      <text>
        <r>
          <rPr>
            <sz val="9"/>
            <color indexed="81"/>
            <rFont val="Tahoma"/>
            <family val="2"/>
          </rPr>
          <t>20/8 (936) nt 2-3034
24/8 (472) nt 2-3043
23/5/16 se usó barra para ot 5333 entregada con nt 2-3311</t>
        </r>
      </text>
    </comment>
    <comment ref="T258" authorId="0">
      <text>
        <r>
          <rPr>
            <sz val="9"/>
            <color indexed="81"/>
            <rFont val="Tahoma"/>
            <family val="2"/>
          </rPr>
          <t>2/9 (280) nt 2-3064</t>
        </r>
      </text>
    </comment>
    <comment ref="T260" authorId="0">
      <text>
        <r>
          <rPr>
            <sz val="9"/>
            <color indexed="81"/>
            <rFont val="Tahoma"/>
            <family val="2"/>
          </rPr>
          <t>4/8 (100) nt 2-3015</t>
        </r>
      </text>
    </comment>
    <comment ref="T261" authorId="0">
      <text>
        <r>
          <rPr>
            <sz val="9"/>
            <color indexed="81"/>
            <rFont val="Tahoma"/>
            <family val="2"/>
          </rPr>
          <t>27/8 (100) nt 2-3051</t>
        </r>
      </text>
    </comment>
    <comment ref="T262" authorId="0">
      <text>
        <r>
          <rPr>
            <sz val="9"/>
            <color indexed="81"/>
            <rFont val="Tahoma"/>
            <family val="2"/>
          </rPr>
          <t>27/10 (3158) nt 2-3163</t>
        </r>
      </text>
    </comment>
    <comment ref="T263" authorId="0">
      <text>
        <r>
          <rPr>
            <sz val="9"/>
            <color indexed="81"/>
            <rFont val="Tahoma"/>
            <family val="2"/>
          </rPr>
          <t>27/10 (2080) nt 2-3163</t>
        </r>
      </text>
    </comment>
    <comment ref="T264" authorId="0">
      <text>
        <r>
          <rPr>
            <sz val="9"/>
            <color indexed="81"/>
            <rFont val="Tahoma"/>
            <family val="2"/>
          </rPr>
          <t>27/10 (2464) nt 2-3163</t>
        </r>
      </text>
    </comment>
    <comment ref="T265" authorId="0">
      <text>
        <r>
          <rPr>
            <sz val="9"/>
            <color indexed="81"/>
            <rFont val="Tahoma"/>
            <family val="2"/>
          </rPr>
          <t>25/7 (TOTAL 595) (40 dev) nt 2-2996</t>
        </r>
      </text>
    </comment>
    <comment ref="T266" authorId="0">
      <text>
        <r>
          <rPr>
            <sz val="9"/>
            <color indexed="81"/>
            <rFont val="Tahoma"/>
            <family val="2"/>
          </rPr>
          <t>16/9 (50) nt 2-3088</t>
        </r>
      </text>
    </comment>
    <comment ref="T267" authorId="0">
      <text>
        <r>
          <rPr>
            <sz val="9"/>
            <color indexed="81"/>
            <rFont val="Tahoma"/>
            <family val="2"/>
          </rPr>
          <t>28/10 (1243) nt 2-3168</t>
        </r>
      </text>
    </comment>
    <comment ref="T268" authorId="0">
      <text>
        <r>
          <rPr>
            <sz val="9"/>
            <color indexed="81"/>
            <rFont val="Tahoma"/>
            <family val="2"/>
          </rPr>
          <t>27/10 (106) nt 2-3163</t>
        </r>
      </text>
    </comment>
    <comment ref="T269" authorId="0">
      <text>
        <r>
          <rPr>
            <sz val="9"/>
            <color indexed="81"/>
            <rFont val="Tahoma"/>
            <family val="2"/>
          </rPr>
          <t>5/11 (2050) nt 2-3181
11/11 (1900) nt 2-3192</t>
        </r>
      </text>
    </comment>
    <comment ref="T270" authorId="0">
      <text>
        <r>
          <rPr>
            <sz val="9"/>
            <color indexed="81"/>
            <rFont val="Tahoma"/>
            <family val="2"/>
          </rPr>
          <t>5/8 (100) nt 2-3017</t>
        </r>
      </text>
    </comment>
    <comment ref="T271" authorId="0">
      <text>
        <r>
          <rPr>
            <sz val="9"/>
            <color indexed="81"/>
            <rFont val="Tahoma"/>
            <family val="2"/>
          </rPr>
          <t>19/11 (2000) nt 2-3404
20/11 (2000) nt 2-3411
25/11 (1710) nt 2-3417</t>
        </r>
      </text>
    </comment>
    <comment ref="T272" authorId="0">
      <text>
        <r>
          <rPr>
            <sz val="9"/>
            <color indexed="81"/>
            <rFont val="Tahoma"/>
            <family val="2"/>
          </rPr>
          <t>11/8 (200) nt 2-3026</t>
        </r>
      </text>
    </comment>
    <comment ref="T273" authorId="0">
      <text>
        <r>
          <rPr>
            <sz val="9"/>
            <color indexed="81"/>
            <rFont val="Tahoma"/>
            <family val="2"/>
          </rPr>
          <t>18/8 (40) nt 2-2910</t>
        </r>
      </text>
    </comment>
    <comment ref="G274" authorId="0">
      <text>
        <r>
          <rPr>
            <sz val="9"/>
            <color indexed="81"/>
            <rFont val="Tahoma"/>
            <family val="2"/>
          </rPr>
          <t>CONTAMOS EN BF (130) CAÑOS</t>
        </r>
      </text>
    </comment>
    <comment ref="T274" authorId="0">
      <text>
        <r>
          <rPr>
            <sz val="9"/>
            <color indexed="81"/>
            <rFont val="Tahoma"/>
            <family val="2"/>
          </rPr>
          <t>27/8 (150) nt 2-3051</t>
        </r>
      </text>
    </comment>
    <comment ref="T275" authorId="0">
      <text>
        <r>
          <rPr>
            <sz val="9"/>
            <color indexed="81"/>
            <rFont val="Tahoma"/>
            <family val="2"/>
          </rPr>
          <t>9/12 (1500) nt 2-3437
9/12 (1522) nt 2-3437</t>
        </r>
      </text>
    </comment>
    <comment ref="T276" authorId="0">
      <text>
        <r>
          <rPr>
            <sz val="9"/>
            <color indexed="81"/>
            <rFont val="Tahoma"/>
            <family val="2"/>
          </rPr>
          <t>11/8 (206) nt 2-3027</t>
        </r>
      </text>
    </comment>
    <comment ref="T277" authorId="0">
      <text>
        <r>
          <rPr>
            <sz val="9"/>
            <color indexed="81"/>
            <rFont val="Tahoma"/>
            <family val="2"/>
          </rPr>
          <t>9/12 (1148) nt 2-3437</t>
        </r>
      </text>
    </comment>
    <comment ref="T278" authorId="0">
      <text>
        <r>
          <rPr>
            <sz val="9"/>
            <color indexed="81"/>
            <rFont val="Tahoma"/>
            <family val="2"/>
          </rPr>
          <t>2/9 (60) nt 2-2912</t>
        </r>
      </text>
    </comment>
    <comment ref="T279" authorId="0">
      <text>
        <r>
          <rPr>
            <sz val="9"/>
            <color indexed="81"/>
            <rFont val="Tahoma"/>
            <family val="2"/>
          </rPr>
          <t>14/8 (200) nt 2-3032</t>
        </r>
      </text>
    </comment>
    <comment ref="T280" authorId="0">
      <text>
        <r>
          <rPr>
            <sz val="9"/>
            <color indexed="81"/>
            <rFont val="Tahoma"/>
            <family val="2"/>
          </rPr>
          <t>20/8 (400) nt 2-3036</t>
        </r>
      </text>
    </comment>
    <comment ref="T281" authorId="0">
      <text>
        <r>
          <rPr>
            <sz val="9"/>
            <color indexed="81"/>
            <rFont val="Tahoma"/>
            <family val="2"/>
          </rPr>
          <t>29/9 (40) nt 2-3121
6/10 (20) nt 2-3133</t>
        </r>
      </text>
    </comment>
    <comment ref="T282" authorId="0">
      <text>
        <r>
          <rPr>
            <sz val="9"/>
            <color indexed="81"/>
            <rFont val="Tahoma"/>
            <family val="2"/>
          </rPr>
          <t>29/8 (668) nt 2-3056</t>
        </r>
      </text>
    </comment>
    <comment ref="T283" authorId="0">
      <text>
        <r>
          <rPr>
            <sz val="9"/>
            <color indexed="81"/>
            <rFont val="Tahoma"/>
            <family val="2"/>
          </rPr>
          <t>31/8 (144) nt 2-3061</t>
        </r>
      </text>
    </comment>
    <comment ref="T284" authorId="0">
      <text>
        <r>
          <rPr>
            <sz val="9"/>
            <color indexed="81"/>
            <rFont val="Tahoma"/>
            <family val="2"/>
          </rPr>
          <t>31/8 (110) nt 2-3061
2/9 (37) nt 2-3065</t>
        </r>
      </text>
    </comment>
    <comment ref="T285" authorId="0">
      <text>
        <r>
          <rPr>
            <sz val="9"/>
            <color indexed="81"/>
            <rFont val="Tahoma"/>
            <family val="2"/>
          </rPr>
          <t>10/9 (98) nt 2-3077</t>
        </r>
      </text>
    </comment>
    <comment ref="T286" authorId="0">
      <text>
        <r>
          <rPr>
            <sz val="9"/>
            <color indexed="81"/>
            <rFont val="Tahoma"/>
            <family val="2"/>
          </rPr>
          <t>26/8 (400) nt 2-3048
8/9 (600) nt 2-3074
17/9 (400) nt 2-3093
23/9 (200) nt 2-3105</t>
        </r>
      </text>
    </comment>
    <comment ref="T287" authorId="0">
      <text>
        <r>
          <rPr>
            <sz val="9"/>
            <color indexed="81"/>
            <rFont val="Tahoma"/>
            <family val="2"/>
          </rPr>
          <t>21/8 (50) nt 2-3038</t>
        </r>
      </text>
    </comment>
    <comment ref="T288" authorId="0">
      <text>
        <r>
          <rPr>
            <sz val="9"/>
            <color indexed="81"/>
            <rFont val="Tahoma"/>
            <family val="2"/>
          </rPr>
          <t>31/8 (60) nt 2-3059</t>
        </r>
      </text>
    </comment>
    <comment ref="T289" authorId="0">
      <text>
        <r>
          <rPr>
            <sz val="9"/>
            <color indexed="81"/>
            <rFont val="Tahoma"/>
            <family val="2"/>
          </rPr>
          <t>21/8 (40) nt 2-3038</t>
        </r>
      </text>
    </comment>
    <comment ref="T290" authorId="0">
      <text>
        <r>
          <rPr>
            <sz val="9"/>
            <color indexed="81"/>
            <rFont val="Tahoma"/>
            <family val="2"/>
          </rPr>
          <t>21/8 (30) nt 2-3038</t>
        </r>
      </text>
    </comment>
    <comment ref="T291" authorId="0">
      <text>
        <r>
          <rPr>
            <sz val="9"/>
            <color indexed="81"/>
            <rFont val="Tahoma"/>
            <family val="2"/>
          </rPr>
          <t>27/8 (84) nt 2-3049</t>
        </r>
      </text>
    </comment>
    <comment ref="T292" authorId="0">
      <text>
        <r>
          <rPr>
            <sz val="9"/>
            <color indexed="81"/>
            <rFont val="Tahoma"/>
            <family val="2"/>
          </rPr>
          <t>1/10 (60) nt 2-3124</t>
        </r>
      </text>
    </comment>
    <comment ref="T293" authorId="0">
      <text>
        <r>
          <rPr>
            <sz val="9"/>
            <color indexed="81"/>
            <rFont val="Tahoma"/>
            <family val="2"/>
          </rPr>
          <t>27/8 (100) nt 2-3049</t>
        </r>
      </text>
    </comment>
    <comment ref="T294" authorId="0">
      <text>
        <r>
          <rPr>
            <sz val="9"/>
            <color indexed="81"/>
            <rFont val="Tahoma"/>
            <family val="2"/>
          </rPr>
          <t>25/11 (2300) nt 2-3416</t>
        </r>
      </text>
    </comment>
    <comment ref="E295" authorId="0">
      <text>
        <r>
          <rPr>
            <sz val="9"/>
            <color indexed="81"/>
            <rFont val="Tahoma"/>
            <family val="2"/>
          </rPr>
          <t>ingresó barra diam 55
gustavo sanchez dio OK para cortar</t>
        </r>
      </text>
    </comment>
    <comment ref="T295" authorId="0">
      <text>
        <r>
          <rPr>
            <sz val="9"/>
            <color indexed="81"/>
            <rFont val="Tahoma"/>
            <family val="2"/>
          </rPr>
          <t>27/11 (500) nt 2-3423
3/12 (500) nt 2-3431
9/12 (261) nt 2-3437</t>
        </r>
      </text>
    </comment>
    <comment ref="T296" authorId="0">
      <text>
        <r>
          <rPr>
            <sz val="9"/>
            <color indexed="81"/>
            <rFont val="Tahoma"/>
            <family val="2"/>
          </rPr>
          <t>25/11 (1770) nt 2-3416</t>
        </r>
      </text>
    </comment>
    <comment ref="T297" authorId="0">
      <text>
        <r>
          <rPr>
            <sz val="9"/>
            <color indexed="81"/>
            <rFont val="Tahoma"/>
            <family val="2"/>
          </rPr>
          <t>27/8 (8) nt 2-3049
2/9 (24) nt 2-3064</t>
        </r>
      </text>
    </comment>
    <comment ref="T298" authorId="0">
      <text>
        <r>
          <rPr>
            <sz val="9"/>
            <color indexed="81"/>
            <rFont val="Tahoma"/>
            <family val="2"/>
          </rPr>
          <t>14/9 (36) nt 2-3087</t>
        </r>
      </text>
    </comment>
    <comment ref="T299" authorId="0">
      <text>
        <r>
          <rPr>
            <sz val="9"/>
            <color indexed="81"/>
            <rFont val="Tahoma"/>
            <family val="2"/>
          </rPr>
          <t>14/9 (24) nt 2-3087</t>
        </r>
      </text>
    </comment>
    <comment ref="T300" authorId="0">
      <text>
        <r>
          <rPr>
            <sz val="9"/>
            <color indexed="81"/>
            <rFont val="Tahoma"/>
            <family val="2"/>
          </rPr>
          <t>14/9 (12) nt 2-3087</t>
        </r>
      </text>
    </comment>
    <comment ref="T301" authorId="0">
      <text>
        <r>
          <rPr>
            <sz val="9"/>
            <color indexed="81"/>
            <rFont val="Tahoma"/>
            <family val="2"/>
          </rPr>
          <t>27/8 (200) nt 2-3050</t>
        </r>
      </text>
    </comment>
    <comment ref="T302" authorId="0">
      <text>
        <r>
          <rPr>
            <sz val="9"/>
            <color indexed="81"/>
            <rFont val="Tahoma"/>
            <family val="2"/>
          </rPr>
          <t>1/9 (47) nt 2-3063</t>
        </r>
      </text>
    </comment>
    <comment ref="T303" authorId="0">
      <text>
        <r>
          <rPr>
            <sz val="9"/>
            <color indexed="81"/>
            <rFont val="Tahoma"/>
            <family val="2"/>
          </rPr>
          <t>14/9 (58) nt 2-3087</t>
        </r>
      </text>
    </comment>
    <comment ref="T304" authorId="0">
      <text>
        <r>
          <rPr>
            <sz val="9"/>
            <color indexed="81"/>
            <rFont val="Tahoma"/>
            <family val="2"/>
          </rPr>
          <t>14/9 (6) nt 2-3087</t>
        </r>
      </text>
    </comment>
    <comment ref="T305" authorId="0">
      <text>
        <r>
          <rPr>
            <sz val="9"/>
            <color indexed="81"/>
            <rFont val="Tahoma"/>
            <family val="2"/>
          </rPr>
          <t>1/9 (204) nt 2-3062
8/9 (266) nt 2-3073</t>
        </r>
      </text>
    </comment>
    <comment ref="T306" authorId="0">
      <text>
        <r>
          <rPr>
            <sz val="9"/>
            <color indexed="81"/>
            <rFont val="Tahoma"/>
            <family val="2"/>
          </rPr>
          <t xml:space="preserve">4/9 (8) TOTAL 388 nt 2-3070 </t>
        </r>
      </text>
    </comment>
    <comment ref="T307" authorId="0">
      <text>
        <r>
          <rPr>
            <sz val="9"/>
            <color indexed="81"/>
            <rFont val="Tahoma"/>
            <family val="2"/>
          </rPr>
          <t>8/10 (4) nt 2-3140</t>
        </r>
      </text>
    </comment>
    <comment ref="T308" authorId="0">
      <text>
        <r>
          <rPr>
            <sz val="9"/>
            <color indexed="81"/>
            <rFont val="Tahoma"/>
            <family val="2"/>
          </rPr>
          <t xml:space="preserve">4/9 (424) nt 2-3071
</t>
        </r>
      </text>
    </comment>
    <comment ref="T309" authorId="0">
      <text>
        <r>
          <rPr>
            <sz val="9"/>
            <color indexed="81"/>
            <rFont val="Tahoma"/>
            <family val="2"/>
          </rPr>
          <t>8/10 (200) nt 2-3137
sop provee cliente
pernos provee benfica</t>
        </r>
      </text>
    </comment>
    <comment ref="T310" authorId="0">
      <text>
        <r>
          <rPr>
            <sz val="9"/>
            <color indexed="81"/>
            <rFont val="Tahoma"/>
            <family val="2"/>
          </rPr>
          <t>29/9 (141) nt 2-3120</t>
        </r>
      </text>
    </comment>
    <comment ref="E311" authorId="0">
      <text>
        <r>
          <rPr>
            <sz val="9"/>
            <color indexed="81"/>
            <rFont val="Tahoma"/>
            <family val="2"/>
          </rPr>
          <t>ingresó barra diam 45
gustavo sanchez dio OK para cortar</t>
        </r>
      </text>
    </comment>
    <comment ref="T311" authorId="0">
      <text>
        <r>
          <rPr>
            <sz val="9"/>
            <color indexed="81"/>
            <rFont val="Tahoma"/>
            <family val="2"/>
          </rPr>
          <t>25/11 (202) nt 2-3416</t>
        </r>
      </text>
    </comment>
    <comment ref="T312" authorId="0">
      <text>
        <r>
          <rPr>
            <sz val="9"/>
            <color indexed="81"/>
            <rFont val="Tahoma"/>
            <family val="2"/>
          </rPr>
          <t>28/9 (106) nt 2-3118
8/10 (6) nt 2-3140</t>
        </r>
      </text>
    </comment>
    <comment ref="T313" authorId="0">
      <text>
        <r>
          <rPr>
            <sz val="9"/>
            <color indexed="81"/>
            <rFont val="Tahoma"/>
            <family val="2"/>
          </rPr>
          <t xml:space="preserve">14/9 (384) nt 2-3085 </t>
        </r>
      </text>
    </comment>
    <comment ref="T317" authorId="0">
      <text>
        <r>
          <rPr>
            <sz val="9"/>
            <color indexed="81"/>
            <rFont val="Tahoma"/>
            <family val="2"/>
          </rPr>
          <t>22/9 (50) nt 2-3104</t>
        </r>
      </text>
    </comment>
    <comment ref="T318" authorId="0">
      <text>
        <r>
          <rPr>
            <sz val="9"/>
            <color indexed="81"/>
            <rFont val="Tahoma"/>
            <family val="2"/>
          </rPr>
          <t xml:space="preserve">2/10 (60) nt 2-3127
</t>
        </r>
      </text>
    </comment>
    <comment ref="T319" authorId="0">
      <text>
        <r>
          <rPr>
            <sz val="9"/>
            <color indexed="81"/>
            <rFont val="Tahoma"/>
            <family val="2"/>
          </rPr>
          <t>1/10 (166) nt 2-180</t>
        </r>
      </text>
    </comment>
    <comment ref="T321" authorId="0">
      <text>
        <r>
          <rPr>
            <sz val="9"/>
            <color indexed="81"/>
            <rFont val="Tahoma"/>
            <family val="2"/>
          </rPr>
          <t>8/10 (420) nt 2-3139</t>
        </r>
      </text>
    </comment>
    <comment ref="T325" authorId="0">
      <text>
        <r>
          <rPr>
            <sz val="9"/>
            <color indexed="81"/>
            <rFont val="Tahoma"/>
            <family val="2"/>
          </rPr>
          <t>22/12 (2000) nt 2-2915
23/12 (2000) nt 2-2917
30/12 (1705) nt 2-2925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18/6 (2500) nt 2-2878
22/6 (1800) nt 2-2883</t>
        </r>
      </text>
    </comment>
    <comment ref="T327" authorId="0">
      <text>
        <r>
          <rPr>
            <sz val="9"/>
            <color indexed="81"/>
            <rFont val="Tahoma"/>
            <family val="2"/>
          </rPr>
          <t>7/1/16 (2000) nt 2-2929
9/1/16 (2000) nt 2-2931
14/1/16 (1405) nt 2-2934</t>
        </r>
      </text>
    </comment>
    <comment ref="T328" authorId="0">
      <text>
        <r>
          <rPr>
            <sz val="9"/>
            <color indexed="81"/>
            <rFont val="Tahoma"/>
            <family val="2"/>
          </rPr>
          <t>22/10 (20) nt 2-3157</t>
        </r>
      </text>
    </comment>
    <comment ref="T329" authorId="0">
      <text>
        <r>
          <rPr>
            <sz val="9"/>
            <color indexed="81"/>
            <rFont val="Tahoma"/>
            <family val="2"/>
          </rPr>
          <t>5/11 (152) nt 2-3185</t>
        </r>
      </text>
    </comment>
    <comment ref="T330" authorId="0">
      <text>
        <r>
          <rPr>
            <sz val="9"/>
            <color indexed="81"/>
            <rFont val="Tahoma"/>
            <family val="2"/>
          </rPr>
          <t>5/11 (152) nt 2-3185
9/11 reingresan para refundir por problema con el caño.</t>
        </r>
      </text>
    </comment>
    <comment ref="T331" authorId="0">
      <text>
        <r>
          <rPr>
            <sz val="9"/>
            <color indexed="81"/>
            <rFont val="Tahoma"/>
            <family val="2"/>
          </rPr>
          <t>17/2/16 (215) nt 2-3213</t>
        </r>
      </text>
    </comment>
    <comment ref="T332" authorId="0">
      <text>
        <r>
          <rPr>
            <sz val="9"/>
            <color indexed="81"/>
            <rFont val="Tahoma"/>
            <family val="2"/>
          </rPr>
          <t>28/10 (65) total 238 nt 2-3169 (21 ot 5251 - 65 ot 5257)
30/10 (150) nt 2-3174
4/12 (110) nt 2-3434</t>
        </r>
      </text>
    </comment>
    <comment ref="O333" authorId="0">
      <text>
        <r>
          <rPr>
            <sz val="9"/>
            <color indexed="81"/>
            <rFont val="Tahoma"/>
            <family val="2"/>
          </rPr>
          <t>(200) PROVEE CLIENTE
(100) PROVEE BENFICA - (100)=0</t>
        </r>
      </text>
    </comment>
    <comment ref="T333" authorId="0">
      <text>
        <r>
          <rPr>
            <sz val="9"/>
            <color indexed="81"/>
            <rFont val="Tahoma"/>
            <family val="2"/>
          </rPr>
          <t>25/11 (136) TOTAL 143 (7 ot 5239) nt 2-3420
15/12 (164) nt 2-3443</t>
        </r>
      </text>
    </comment>
    <comment ref="T334" authorId="0">
      <text>
        <r>
          <rPr>
            <sz val="9"/>
            <color indexed="81"/>
            <rFont val="Tahoma"/>
            <family val="2"/>
          </rPr>
          <t>17/2/16 (141) nt 2-3213</t>
        </r>
      </text>
    </comment>
    <comment ref="T335" authorId="0">
      <text>
        <r>
          <rPr>
            <sz val="9"/>
            <color indexed="81"/>
            <rFont val="Tahoma"/>
            <family val="2"/>
          </rPr>
          <t>12/11 (845) nt 2-3197</t>
        </r>
      </text>
    </comment>
    <comment ref="T336" authorId="0">
      <text>
        <r>
          <rPr>
            <sz val="9"/>
            <color indexed="81"/>
            <rFont val="Tahoma"/>
            <family val="2"/>
          </rPr>
          <t>19/11 (315) nt 2-3407</t>
        </r>
      </text>
    </comment>
    <comment ref="T337" authorId="0">
      <text>
        <r>
          <rPr>
            <sz val="9"/>
            <color indexed="81"/>
            <rFont val="Tahoma"/>
            <family val="2"/>
          </rPr>
          <t>12/11 (131) nt 2-3196</t>
        </r>
      </text>
    </comment>
    <comment ref="T338" authorId="0">
      <text>
        <r>
          <rPr>
            <sz val="9"/>
            <color indexed="81"/>
            <rFont val="Tahoma"/>
            <family val="2"/>
          </rPr>
          <t>12/11 (131) nt 2-3196</t>
        </r>
      </text>
    </comment>
    <comment ref="T339" authorId="0">
      <text>
        <r>
          <rPr>
            <sz val="9"/>
            <color indexed="81"/>
            <rFont val="Tahoma"/>
            <family val="2"/>
          </rPr>
          <t xml:space="preserve">20/1/16 (1980) nt 2-2938 </t>
        </r>
      </text>
    </comment>
    <comment ref="T340" authorId="0">
      <text>
        <r>
          <rPr>
            <sz val="9"/>
            <color indexed="81"/>
            <rFont val="Tahoma"/>
            <family val="2"/>
          </rPr>
          <t xml:space="preserve">20/1/16 (1320) nt 2-2938 </t>
        </r>
      </text>
    </comment>
    <comment ref="T341" authorId="0">
      <text>
        <r>
          <rPr>
            <sz val="9"/>
            <color indexed="81"/>
            <rFont val="Tahoma"/>
            <family val="2"/>
          </rPr>
          <t>19/11 (70) nt 2-3409</t>
        </r>
      </text>
    </comment>
    <comment ref="T342" authorId="0">
      <text>
        <r>
          <rPr>
            <sz val="9"/>
            <color indexed="81"/>
            <rFont val="Tahoma"/>
            <family val="2"/>
          </rPr>
          <t>26/11 (100) 2-3425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26/1/16 (3135) nt 2-3202</t>
        </r>
      </text>
    </comment>
    <comment ref="T344" authorId="0">
      <text>
        <r>
          <rPr>
            <sz val="9"/>
            <color indexed="81"/>
            <rFont val="Tahoma"/>
            <family val="2"/>
          </rPr>
          <t>29/1/16 (1201) nt 2-3209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28/1/16 (500) nt 2-3204</t>
        </r>
      </text>
    </comment>
    <comment ref="T346" authorId="0">
      <text>
        <r>
          <rPr>
            <sz val="9"/>
            <color indexed="81"/>
            <rFont val="Tahoma"/>
            <family val="2"/>
          </rPr>
          <t>29/2/16 (300) nt 2-3222</t>
        </r>
      </text>
    </comment>
    <comment ref="T347" authorId="0">
      <text>
        <r>
          <rPr>
            <sz val="9"/>
            <color indexed="81"/>
            <rFont val="Tahoma"/>
            <family val="2"/>
          </rPr>
          <t>9/12 (615) nt 2-3435
18/12 (400) nt 2-3449
23/12 (474) nt 2-2919
5/1/16 (400) nt 2-2927
12/1/16 (400) nt 2-2932
28/1/16 (111) nt 2-3206</t>
        </r>
      </text>
    </comment>
    <comment ref="T348" authorId="0">
      <text>
        <r>
          <rPr>
            <sz val="9"/>
            <color indexed="81"/>
            <rFont val="Tahoma"/>
            <family val="2"/>
          </rPr>
          <t>19/11 (250) nt 2-3408
23/11 (264) nt 2-3412</t>
        </r>
      </text>
    </comment>
    <comment ref="T349" authorId="0">
      <text>
        <r>
          <rPr>
            <sz val="9"/>
            <color indexed="81"/>
            <rFont val="Tahoma"/>
            <family val="2"/>
          </rPr>
          <t xml:space="preserve">29/2/16 (300) nt 2-3222
pendiente entregar 50 para completar pedido
7/3/16 (50) nt 2-3232
 </t>
        </r>
      </text>
    </comment>
    <comment ref="T350" authorId="0">
      <text>
        <r>
          <rPr>
            <sz val="9"/>
            <color indexed="81"/>
            <rFont val="Tahoma"/>
            <family val="2"/>
          </rPr>
          <t xml:space="preserve">22/12 (3) nt 2-2916
30/12 (176) nt 2-2923
</t>
        </r>
      </text>
    </comment>
    <comment ref="T351" authorId="0">
      <text>
        <r>
          <rPr>
            <sz val="9"/>
            <color indexed="81"/>
            <rFont val="Tahoma"/>
            <family val="2"/>
          </rPr>
          <t>8/3/16 (301) nt 2-3233
11/3/16 soledad avisa que eran 300
15/3/16 reingresan problema calidad. ARO DE ALUMINIO en el medio de la pieza
18/3/16 (300) nt 2-3249
PROBLEMA SOLUCIONADO</t>
        </r>
      </text>
    </comment>
    <comment ref="T352" authorId="0">
      <text>
        <r>
          <rPr>
            <sz val="9"/>
            <color indexed="81"/>
            <rFont val="Tahoma"/>
            <family val="2"/>
          </rPr>
          <t>29/2/16 (200) nt 2-3222
pendiente entregar 35 para completar pedido
7/3/16 (35) nt 2-3232
7/3/16 (8) nt 2-3232 FALTAN FACTURAR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27/1/16 (400) nt 2-2949</t>
        </r>
      </text>
    </comment>
    <comment ref="O354" authorId="0">
      <text>
        <r>
          <rPr>
            <sz val="9"/>
            <color indexed="81"/>
            <rFont val="Tahoma"/>
            <family val="2"/>
          </rPr>
          <t>22/7 total (300) 
ot 5228 (291)
ot 5213 (9)</t>
        </r>
      </text>
    </comment>
    <comment ref="T354" authorId="0">
      <text>
        <r>
          <rPr>
            <sz val="9"/>
            <color indexed="81"/>
            <rFont val="Tahoma"/>
            <family val="2"/>
          </rPr>
          <t>26/10 (42) (total 100)(58 ot 5213) nt 2-3161
28/10 (129) nt 2-3169
17/12 (100) nt 2-3445</t>
        </r>
      </text>
    </comment>
    <comment ref="T355" authorId="0">
      <text>
        <r>
          <rPr>
            <b/>
            <sz val="9"/>
            <color indexed="81"/>
            <rFont val="Tahoma"/>
            <family val="2"/>
          </rPr>
          <t xml:space="preserve">usados  ot 5311 </t>
        </r>
      </text>
    </comment>
    <comment ref="T356" authorId="0">
      <text>
        <r>
          <rPr>
            <sz val="9"/>
            <color indexed="81"/>
            <rFont val="Tahoma"/>
            <family val="2"/>
          </rPr>
          <t>21/10 (160) nt 2-3154
15/12 (58) nt 2-3443
17/12 (154) nt 2-3445</t>
        </r>
      </text>
    </comment>
    <comment ref="T357" authorId="0">
      <text>
        <r>
          <rPr>
            <sz val="9"/>
            <color indexed="81"/>
            <rFont val="Tahoma"/>
            <family val="2"/>
          </rPr>
          <t>17/12 (120) nt 2-3448</t>
        </r>
      </text>
    </comment>
    <comment ref="T358" authorId="0">
      <text>
        <r>
          <rPr>
            <sz val="9"/>
            <color indexed="81"/>
            <rFont val="Tahoma"/>
            <family val="2"/>
          </rPr>
          <t>25/11 (500) nt 2-3421
17/12 (1000) nt 2-3448</t>
        </r>
      </text>
    </comment>
    <comment ref="T359" authorId="0">
      <text>
        <r>
          <rPr>
            <sz val="9"/>
            <color indexed="81"/>
            <rFont val="Tahoma"/>
            <family val="2"/>
          </rPr>
          <t>29/2/16 (6176) nt 2-3222</t>
        </r>
      </text>
    </comment>
    <comment ref="T360" authorId="0">
      <text>
        <r>
          <rPr>
            <sz val="9"/>
            <color indexed="81"/>
            <rFont val="Tahoma"/>
            <family val="2"/>
          </rPr>
          <t>7/3/16 (2070) nt 2-3232</t>
        </r>
      </text>
    </comment>
    <comment ref="T361" authorId="0">
      <text>
        <r>
          <rPr>
            <sz val="9"/>
            <color indexed="81"/>
            <rFont val="Tahoma"/>
            <family val="2"/>
          </rPr>
          <t>8/3/16 (2133) nt 2-3233</t>
        </r>
      </text>
    </comment>
    <comment ref="T362" authorId="0">
      <text>
        <r>
          <rPr>
            <sz val="9"/>
            <color indexed="81"/>
            <rFont val="Tahoma"/>
            <family val="2"/>
          </rPr>
          <t>15/3/16 (2000) nt 2-3237 PARCIAL neto 400,600kg
22/3/16 (2000) nt 2-3251
22/3/16 (825) nt 2-3251</t>
        </r>
      </text>
    </comment>
    <comment ref="T363" authorId="0">
      <text>
        <r>
          <rPr>
            <sz val="9"/>
            <color indexed="81"/>
            <rFont val="Tahoma"/>
            <family val="2"/>
          </rPr>
          <t>25/11 (165) nt 2-3418
3/12 (38) nt 2-3432</t>
        </r>
      </text>
    </comment>
    <comment ref="T364" authorId="0">
      <text>
        <r>
          <rPr>
            <sz val="9"/>
            <color indexed="81"/>
            <rFont val="Tahoma"/>
            <family val="2"/>
          </rPr>
          <t>5/11 (152) nt 2-3185
9/11 reingresan para refundir por problema con el caño.
25/11 (149) nt 2-3418</t>
        </r>
      </text>
    </comment>
    <comment ref="T365" authorId="0">
      <text>
        <r>
          <rPr>
            <sz val="9"/>
            <color indexed="81"/>
            <rFont val="Tahoma"/>
            <family val="2"/>
          </rPr>
          <t>5/1/16 (400) nt 2-2927</t>
        </r>
      </text>
    </comment>
    <comment ref="T366" authorId="0">
      <text>
        <r>
          <rPr>
            <sz val="9"/>
            <color indexed="81"/>
            <rFont val="Tahoma"/>
            <family val="2"/>
          </rPr>
          <t>5/1/16 (200) nt 2-2927</t>
        </r>
      </text>
    </comment>
    <comment ref="T367" authorId="0">
      <text>
        <r>
          <rPr>
            <sz val="9"/>
            <color indexed="81"/>
            <rFont val="Tahoma"/>
            <family val="2"/>
          </rPr>
          <t>16/11 (194) nt 2-186</t>
        </r>
      </text>
    </comment>
    <comment ref="T368" authorId="0">
      <text>
        <r>
          <rPr>
            <sz val="9"/>
            <color indexed="81"/>
            <rFont val="Tahoma"/>
            <family val="2"/>
          </rPr>
          <t>2/11 (290) nt 2-3178</t>
        </r>
      </text>
    </comment>
    <comment ref="T369" authorId="0">
      <text>
        <r>
          <rPr>
            <sz val="9"/>
            <color indexed="81"/>
            <rFont val="Tahoma"/>
            <family val="2"/>
          </rPr>
          <t>22/3/16 (930) nt 2-3251</t>
        </r>
      </text>
    </comment>
    <comment ref="T370" authorId="0">
      <text>
        <r>
          <rPr>
            <sz val="9"/>
            <color indexed="81"/>
            <rFont val="Tahoma"/>
            <family val="2"/>
          </rPr>
          <t>4/4/16 (5056) nt 2-3261</t>
        </r>
      </text>
    </comment>
    <comment ref="T371" authorId="0">
      <text>
        <r>
          <rPr>
            <sz val="9"/>
            <color indexed="81"/>
            <rFont val="Tahoma"/>
            <family val="2"/>
          </rPr>
          <t>22/3/16 (200) nt 2-3252</t>
        </r>
      </text>
    </comment>
    <comment ref="T372" authorId="0">
      <text>
        <r>
          <rPr>
            <sz val="9"/>
            <color indexed="81"/>
            <rFont val="Tahoma"/>
            <family val="2"/>
          </rPr>
          <t>4/4/16 (1218) nt 2-3261</t>
        </r>
      </text>
    </comment>
    <comment ref="T373" authorId="0">
      <text>
        <r>
          <rPr>
            <sz val="9"/>
            <color indexed="81"/>
            <rFont val="Tahoma"/>
            <family val="2"/>
          </rPr>
          <t>4/4/16 (1549) nt 2-3261</t>
        </r>
      </text>
    </comment>
    <comment ref="T374" authorId="0">
      <text>
        <r>
          <rPr>
            <sz val="9"/>
            <color indexed="81"/>
            <rFont val="Tahoma"/>
            <family val="2"/>
          </rPr>
          <t>11/4/16 (2000)+(1937) nt 2-3266</t>
        </r>
      </text>
    </comment>
    <comment ref="T375" authorId="0">
      <text>
        <r>
          <rPr>
            <sz val="9"/>
            <color indexed="81"/>
            <rFont val="Tahoma"/>
            <family val="2"/>
          </rPr>
          <t>4/12 (130) nt 2-3434</t>
        </r>
      </text>
    </comment>
    <comment ref="T376" authorId="0">
      <text>
        <r>
          <rPr>
            <sz val="9"/>
            <color indexed="81"/>
            <rFont val="Tahoma"/>
            <family val="2"/>
          </rPr>
          <t>4/12 (105) nt 2-3434</t>
        </r>
      </text>
    </comment>
    <comment ref="T377" authorId="0">
      <text>
        <r>
          <rPr>
            <sz val="9"/>
            <color indexed="81"/>
            <rFont val="Tahoma"/>
            <family val="2"/>
          </rPr>
          <t>22/4/16 (1882) nt 2-3283</t>
        </r>
      </text>
    </comment>
    <comment ref="T378" authorId="0">
      <text>
        <r>
          <rPr>
            <sz val="9"/>
            <color indexed="81"/>
            <rFont val="Tahoma"/>
            <family val="2"/>
          </rPr>
          <t>1/2/16 (426) nt 2-3428</t>
        </r>
      </text>
    </comment>
    <comment ref="T379" authorId="0">
      <text>
        <r>
          <rPr>
            <sz val="9"/>
            <color indexed="81"/>
            <rFont val="Tahoma"/>
            <family val="2"/>
          </rPr>
          <t>4/12 (130) nt 2-3434
11/12 (307) nt 2-3438
12/4/16 (73) se entregaron 149 en total nt 2-3271 (76) ot 5213</t>
        </r>
      </text>
    </comment>
    <comment ref="T380" authorId="0">
      <text>
        <r>
          <rPr>
            <sz val="9"/>
            <color indexed="81"/>
            <rFont val="Tahoma"/>
            <family val="2"/>
          </rPr>
          <t>28/12 (500) total 646 - (146 ot 5283) nt 2-2920</t>
        </r>
      </text>
    </comment>
    <comment ref="T381" authorId="0">
      <text>
        <r>
          <rPr>
            <sz val="9"/>
            <color indexed="81"/>
            <rFont val="Tahoma"/>
            <family val="2"/>
          </rPr>
          <t>18/2/16 (155) nt 2-3214 + (155) bujes de cola benfica</t>
        </r>
      </text>
    </comment>
    <comment ref="T382" authorId="0">
      <text>
        <r>
          <rPr>
            <sz val="9"/>
            <color indexed="81"/>
            <rFont val="Tahoma"/>
            <family val="2"/>
          </rPr>
          <t>7/1/16 (400) nt 2-2930</t>
        </r>
      </text>
    </comment>
    <comment ref="T383" authorId="0">
      <text>
        <r>
          <rPr>
            <sz val="9"/>
            <color indexed="81"/>
            <rFont val="Tahoma"/>
            <family val="2"/>
          </rPr>
          <t>28/1/16 (400) nt 2-3207</t>
        </r>
      </text>
    </comment>
    <comment ref="O384" authorId="0">
      <text>
        <r>
          <rPr>
            <sz val="9"/>
            <color indexed="81"/>
            <rFont val="Tahoma"/>
            <family val="2"/>
          </rPr>
          <t>16/2/16 (202) ot 4-3258</t>
        </r>
      </text>
    </comment>
    <comment ref="T384" authorId="0">
      <text>
        <r>
          <rPr>
            <sz val="9"/>
            <color indexed="81"/>
            <rFont val="Tahoma"/>
            <family val="2"/>
          </rPr>
          <t>18/2/16 (198) nt 2-3214</t>
        </r>
      </text>
    </comment>
    <comment ref="T385" authorId="0">
      <text>
        <r>
          <rPr>
            <sz val="9"/>
            <color indexed="81"/>
            <rFont val="Tahoma"/>
            <family val="2"/>
          </rPr>
          <t>9/3/16 (285) nt 2-3234</t>
        </r>
      </text>
    </comment>
    <comment ref="T386" authorId="0">
      <text>
        <r>
          <rPr>
            <sz val="9"/>
            <color indexed="81"/>
            <rFont val="Tahoma"/>
            <family val="2"/>
          </rPr>
          <t>18/1/16 (490) nt 2-2936</t>
        </r>
      </text>
    </comment>
    <comment ref="T387" authorId="0">
      <text>
        <r>
          <rPr>
            <sz val="9"/>
            <color indexed="81"/>
            <rFont val="Tahoma"/>
            <family val="2"/>
          </rPr>
          <t>22/4/16 (1882) nt 2-3283</t>
        </r>
      </text>
    </comment>
    <comment ref="T389" authorId="0">
      <text>
        <r>
          <rPr>
            <sz val="9"/>
            <color indexed="81"/>
            <rFont val="Tahoma"/>
            <family val="2"/>
          </rPr>
          <t>15/12 (70) nt 2-3444</t>
        </r>
      </text>
    </comment>
    <comment ref="T390" authorId="0">
      <text>
        <r>
          <rPr>
            <sz val="9"/>
            <color indexed="81"/>
            <rFont val="Tahoma"/>
            <family val="2"/>
          </rPr>
          <t>15/12 (500) nt 2-3442</t>
        </r>
      </text>
    </comment>
    <comment ref="T391" authorId="0">
      <text>
        <r>
          <rPr>
            <sz val="9"/>
            <color indexed="81"/>
            <rFont val="Tahoma"/>
            <family val="2"/>
          </rPr>
          <t>17/12 (500) nt 2-3446</t>
        </r>
      </text>
    </comment>
    <comment ref="T392" authorId="0">
      <text>
        <r>
          <rPr>
            <sz val="9"/>
            <color indexed="81"/>
            <rFont val="Tahoma"/>
            <family val="2"/>
          </rPr>
          <t>6/5/16 (1418) nt 2-3295</t>
        </r>
      </text>
    </comment>
    <comment ref="T393" authorId="0">
      <text>
        <r>
          <rPr>
            <sz val="9"/>
            <color indexed="81"/>
            <rFont val="Tahoma"/>
            <family val="2"/>
          </rPr>
          <t xml:space="preserve">22/4/16 (320) nt 2-3285
</t>
        </r>
      </text>
    </comment>
    <comment ref="T394" authorId="0">
      <text>
        <r>
          <rPr>
            <sz val="9"/>
            <color indexed="81"/>
            <rFont val="Tahoma"/>
            <family val="2"/>
          </rPr>
          <t>30/12 (20) nt 2-2926</t>
        </r>
      </text>
    </comment>
    <comment ref="T395" authorId="0">
      <text>
        <r>
          <rPr>
            <sz val="9"/>
            <color indexed="81"/>
            <rFont val="Tahoma"/>
            <family val="2"/>
          </rPr>
          <t>5/1/16 (60) nt 2-2928</t>
        </r>
      </text>
    </comment>
    <comment ref="T396" authorId="0">
      <text>
        <r>
          <rPr>
            <sz val="9"/>
            <color indexed="81"/>
            <rFont val="Tahoma"/>
            <family val="2"/>
          </rPr>
          <t>27/1/16 (315) nt 2-2946</t>
        </r>
      </text>
    </comment>
    <comment ref="T397" authorId="0">
      <text>
        <r>
          <rPr>
            <sz val="9"/>
            <color indexed="81"/>
            <rFont val="Tahoma"/>
            <family val="2"/>
          </rPr>
          <t>27/1/16 (327) nt 2-2946</t>
        </r>
      </text>
    </comment>
    <comment ref="O398" authorId="0">
      <text>
        <r>
          <rPr>
            <sz val="9"/>
            <color indexed="81"/>
            <rFont val="Tahoma"/>
            <family val="2"/>
          </rPr>
          <t>9/3/16 SOP (347)
719-347=372
(372) PROVEE BENFICA</t>
        </r>
      </text>
    </comment>
    <comment ref="T398" authorId="0">
      <text>
        <r>
          <rPr>
            <sz val="9"/>
            <color indexed="81"/>
            <rFont val="Tahoma"/>
            <family val="2"/>
          </rPr>
          <t>1/3/16 (226) nt 2-3225
3/3/16 (250) nt 2-3231
12/4/16 (222) nt 2-3271</t>
        </r>
      </text>
    </comment>
    <comment ref="T399" authorId="0">
      <text>
        <r>
          <rPr>
            <sz val="9"/>
            <color indexed="81"/>
            <rFont val="Tahoma"/>
            <family val="2"/>
          </rPr>
          <t>18/2/16 (115) nt 2-3214
22/2/16 (429) nt 2-3216</t>
        </r>
      </text>
    </comment>
    <comment ref="T400" authorId="0">
      <text>
        <r>
          <rPr>
            <sz val="9"/>
            <color indexed="81"/>
            <rFont val="Tahoma"/>
            <family val="2"/>
          </rPr>
          <t>27/1/16 (809) nt 2-2946</t>
        </r>
      </text>
    </comment>
    <comment ref="T401" authorId="0">
      <text>
        <r>
          <rPr>
            <sz val="9"/>
            <color indexed="81"/>
            <rFont val="Tahoma"/>
            <family val="2"/>
          </rPr>
          <t>15/5/16 (461) nt 2-3303
23/5/16 (715) nt 2-3311 se entregó de más - 1 barra habia de ot 5241</t>
        </r>
      </text>
    </comment>
    <comment ref="T402" authorId="0">
      <text>
        <r>
          <rPr>
            <sz val="9"/>
            <color indexed="81"/>
            <rFont val="Tahoma"/>
            <family val="2"/>
          </rPr>
          <t>6/5/16 (288) nt 2-3295</t>
        </r>
      </text>
    </comment>
    <comment ref="T403" authorId="0">
      <text>
        <r>
          <rPr>
            <sz val="9"/>
            <color indexed="81"/>
            <rFont val="Tahoma"/>
            <family val="2"/>
          </rPr>
          <t>27/1/16 (76) nt 2-2950</t>
        </r>
      </text>
    </comment>
    <comment ref="T404" authorId="0">
      <text>
        <r>
          <rPr>
            <sz val="9"/>
            <color indexed="81"/>
            <rFont val="Tahoma"/>
            <family val="2"/>
          </rPr>
          <t>27/1/16 (60) nt 2-2950</t>
        </r>
      </text>
    </comment>
    <comment ref="T405" authorId="0">
      <text>
        <r>
          <rPr>
            <sz val="9"/>
            <color indexed="81"/>
            <rFont val="Tahoma"/>
            <family val="2"/>
          </rPr>
          <t>18/1/16 (100) rem 2-189
*100 carcazas completas pintadas
*100 bujes de cola</t>
        </r>
      </text>
    </comment>
    <comment ref="O406" authorId="0">
      <text>
        <r>
          <rPr>
            <sz val="9"/>
            <color indexed="81"/>
            <rFont val="Tahoma"/>
            <family val="2"/>
          </rPr>
          <t>*CLIENTE PROVEE SOMBRERITO
*BENFICA PROVEE PERNO</t>
        </r>
      </text>
    </comment>
    <comment ref="T407" authorId="0">
      <text>
        <r>
          <rPr>
            <sz val="9"/>
            <color indexed="81"/>
            <rFont val="Tahoma"/>
            <family val="2"/>
          </rPr>
          <t>16/3/16 (1400) nt 2-3239</t>
        </r>
      </text>
    </comment>
    <comment ref="T408" authorId="0">
      <text>
        <r>
          <rPr>
            <sz val="9"/>
            <color indexed="81"/>
            <rFont val="Tahoma"/>
            <family val="2"/>
          </rPr>
          <t>11/5/16 (1038) NT 2-3297</t>
        </r>
      </text>
    </comment>
    <comment ref="T409" authorId="0">
      <text>
        <r>
          <rPr>
            <sz val="9"/>
            <color indexed="81"/>
            <rFont val="Tahoma"/>
            <family val="2"/>
          </rPr>
          <t>16/3/16 (700) nt 2-3239</t>
        </r>
      </text>
    </comment>
    <comment ref="T410" authorId="0">
      <text>
        <r>
          <rPr>
            <sz val="9"/>
            <color indexed="81"/>
            <rFont val="Tahoma"/>
            <family val="2"/>
          </rPr>
          <t>2/5/16 (1214) nt 2-3291</t>
        </r>
      </text>
    </comment>
    <comment ref="G411" authorId="0">
      <text>
        <r>
          <rPr>
            <sz val="9"/>
            <color indexed="81"/>
            <rFont val="Tahoma"/>
            <family val="2"/>
          </rPr>
          <t>1er entrega sem 25/1</t>
        </r>
      </text>
    </comment>
    <comment ref="T411" authorId="0">
      <text>
        <r>
          <rPr>
            <sz val="9"/>
            <color indexed="81"/>
            <rFont val="Tahoma"/>
            <family val="2"/>
          </rPr>
          <t>28/1/16 (400) nt 2-3205
17/2/16 (700) nt 2-3212
01/3/16 (400) nt 2-3226
16/3/16 (400) nt 2-3241
29/3/16 (250) nt 2-3254
31/3/16 (260) nt 2-3258
13/4/16 (450) nt 2-3270
20/5/16 (449) nt 2-3309 se entregaron (450) - 1 a/c dev 12/4/16</t>
        </r>
      </text>
    </comment>
    <comment ref="T412" authorId="0">
      <text>
        <r>
          <rPr>
            <sz val="9"/>
            <color indexed="81"/>
            <rFont val="Tahoma"/>
            <family val="2"/>
          </rPr>
          <t>27/4/16 (127) se entregaron (375) 248 para ot 5175</t>
        </r>
      </text>
    </comment>
    <comment ref="T414" authorId="0">
      <text>
        <r>
          <rPr>
            <sz val="9"/>
            <color indexed="81"/>
            <rFont val="Tahoma"/>
            <family val="2"/>
          </rPr>
          <t>6/7 (154) nt 2-2962</t>
        </r>
      </text>
    </comment>
    <comment ref="T415" authorId="0">
      <text>
        <r>
          <rPr>
            <sz val="9"/>
            <color indexed="81"/>
            <rFont val="Tahoma"/>
            <family val="2"/>
          </rPr>
          <t>22/1/16 (200) nt 2-2942</t>
        </r>
      </text>
    </comment>
    <comment ref="T416" authorId="0">
      <text>
        <r>
          <rPr>
            <sz val="9"/>
            <color indexed="81"/>
            <rFont val="Tahoma"/>
            <family val="2"/>
          </rPr>
          <t>18/2/15 (600) nt 2-3215</t>
        </r>
      </text>
    </comment>
    <comment ref="T417" authorId="0">
      <text>
        <r>
          <rPr>
            <sz val="9"/>
            <color indexed="81"/>
            <rFont val="Tahoma"/>
            <family val="2"/>
          </rPr>
          <t>14/3/16 (600) nt 2-3236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3/3/16 (1040) 
110 VAN EN DEV nt 2-3228</t>
        </r>
      </text>
    </comment>
    <comment ref="T420" authorId="0">
      <text>
        <r>
          <rPr>
            <sz val="9"/>
            <color indexed="81"/>
            <rFont val="Tahoma"/>
            <family val="2"/>
          </rPr>
          <t>27/1/16 (56) nt 2-2950</t>
        </r>
      </text>
    </comment>
    <comment ref="T422" authorId="0">
      <text>
        <r>
          <rPr>
            <sz val="9"/>
            <color indexed="81"/>
            <rFont val="Tahoma"/>
            <family val="2"/>
          </rPr>
          <t>2/5/16 (2000) nt 2-329
6/5/16 (2000) nt 2-3295
6/5/16 (1050) nt 2-3295
11/5/16 (328) NT 2-3297</t>
        </r>
      </text>
    </comment>
    <comment ref="T423" authorId="0">
      <text>
        <r>
          <rPr>
            <sz val="9"/>
            <color indexed="81"/>
            <rFont val="Tahoma"/>
            <family val="2"/>
          </rPr>
          <t>11/5/16 (1725) NT 2-3297
15/5/16 (2000) + (751) nt 2-3303</t>
        </r>
      </text>
    </comment>
    <comment ref="T424" authorId="0">
      <text>
        <r>
          <rPr>
            <sz val="9"/>
            <color indexed="81"/>
            <rFont val="Tahoma"/>
            <family val="2"/>
          </rPr>
          <t>23/5/16 (200) nt 2-3312
31/5/16 (300) nt 2-3318
1/6/16 (126) nt 2-3321</t>
        </r>
      </text>
    </comment>
    <comment ref="T425" authorId="0">
      <text>
        <r>
          <rPr>
            <sz val="9"/>
            <color indexed="81"/>
            <rFont val="Tahoma"/>
            <family val="2"/>
          </rPr>
          <t>11/5/16 (550) nt 2-3299</t>
        </r>
      </text>
    </comment>
    <comment ref="T426" authorId="0">
      <text>
        <r>
          <rPr>
            <sz val="9"/>
            <color indexed="81"/>
            <rFont val="Tahoma"/>
            <family val="2"/>
          </rPr>
          <t>31/3/16 (500) nt 2-3257</t>
        </r>
      </text>
    </comment>
    <comment ref="T427" authorId="0">
      <text>
        <r>
          <rPr>
            <sz val="9"/>
            <color indexed="81"/>
            <rFont val="Tahoma"/>
            <family val="2"/>
          </rPr>
          <t>11/4/16 (660) nt 2-3267</t>
        </r>
      </text>
    </comment>
    <comment ref="T428" authorId="0">
      <text>
        <r>
          <rPr>
            <sz val="9"/>
            <color indexed="81"/>
            <rFont val="Tahoma"/>
            <family val="2"/>
          </rPr>
          <t>29/3/16 (310) nt 2-3253
Se usaron 274 sop en stock + 12/4 cliente devuelve (36) sop ot 4-3280</t>
        </r>
      </text>
    </comment>
    <comment ref="T429" authorId="0">
      <text>
        <r>
          <rPr>
            <sz val="9"/>
            <color indexed="81"/>
            <rFont val="Tahoma"/>
            <family val="2"/>
          </rPr>
          <t>29/3/16 (310) nt 2-3253</t>
        </r>
      </text>
    </comment>
    <comment ref="G430" authorId="0">
      <text>
        <r>
          <rPr>
            <sz val="9"/>
            <color indexed="81"/>
            <rFont val="Tahoma"/>
            <family val="2"/>
          </rPr>
          <t xml:space="preserve">cortes 60 (barras final 45)
</t>
        </r>
      </text>
    </comment>
    <comment ref="T430" authorId="0">
      <text>
        <r>
          <rPr>
            <sz val="9"/>
            <color indexed="81"/>
            <rFont val="Tahoma"/>
            <family val="2"/>
          </rPr>
          <t>1/3/16 (60) nt 2-3224</t>
        </r>
      </text>
    </comment>
    <comment ref="G431" authorId="0">
      <text>
        <r>
          <rPr>
            <sz val="9"/>
            <color indexed="81"/>
            <rFont val="Tahoma"/>
            <family val="2"/>
          </rPr>
          <t xml:space="preserve">cortes 64 (barras final 48)
</t>
        </r>
      </text>
    </comment>
    <comment ref="T431" authorId="0">
      <text>
        <r>
          <rPr>
            <sz val="9"/>
            <color indexed="81"/>
            <rFont val="Tahoma"/>
            <family val="2"/>
          </rPr>
          <t>1/3/16 (64) nt 2-3224</t>
        </r>
      </text>
    </comment>
    <comment ref="G432" authorId="0">
      <text>
        <r>
          <rPr>
            <sz val="9"/>
            <color indexed="81"/>
            <rFont val="Tahoma"/>
            <family val="2"/>
          </rPr>
          <t>cortes 68 (barras final 51)</t>
        </r>
      </text>
    </comment>
    <comment ref="T432" authorId="0">
      <text>
        <r>
          <rPr>
            <sz val="9"/>
            <color indexed="81"/>
            <rFont val="Tahoma"/>
            <family val="2"/>
          </rPr>
          <t>1/3/16 (68) nt 2-3224</t>
        </r>
      </text>
    </comment>
    <comment ref="T433" authorId="0">
      <text>
        <r>
          <rPr>
            <sz val="9"/>
            <color indexed="81"/>
            <rFont val="Tahoma"/>
            <family val="2"/>
          </rPr>
          <t>7/4/16 (300) nt 2-3264
8/4/16 (174) nt 2-3265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12/4/16 (32)+(44 recupero scrap) se entregaron 149 en total nt 2-3271 (73) ot 5281</t>
        </r>
      </text>
    </comment>
    <comment ref="T434" authorId="0">
      <text>
        <r>
          <rPr>
            <sz val="9"/>
            <color indexed="81"/>
            <rFont val="Tahoma"/>
            <family val="2"/>
          </rPr>
          <t>21/3/16 (300) nt 2-3250
29/3/16 (128) nt 2-3253</t>
        </r>
      </text>
    </comment>
    <comment ref="T435" authorId="0">
      <text>
        <r>
          <rPr>
            <sz val="9"/>
            <color indexed="81"/>
            <rFont val="Tahoma"/>
            <family val="2"/>
          </rPr>
          <t>16/3/16 (111) nt 2-3243
21/3/16 (193) nt 2-3250</t>
        </r>
      </text>
    </comment>
    <comment ref="T436" authorId="0">
      <text>
        <r>
          <rPr>
            <sz val="9"/>
            <color indexed="81"/>
            <rFont val="Tahoma"/>
            <family val="2"/>
          </rPr>
          <t>3/3/16 (57) nt 2-3230</t>
        </r>
      </text>
    </comment>
    <comment ref="T437" authorId="0">
      <text>
        <r>
          <rPr>
            <sz val="9"/>
            <color indexed="81"/>
            <rFont val="Tahoma"/>
            <family val="2"/>
          </rPr>
          <t>4/4/16 (149) nt 2-3262</t>
        </r>
      </text>
    </comment>
    <comment ref="T438" authorId="0">
      <text>
        <r>
          <rPr>
            <sz val="9"/>
            <color indexed="81"/>
            <rFont val="Tahoma"/>
            <family val="2"/>
          </rPr>
          <t>16/3/16 (152) nt 2-3240</t>
        </r>
      </text>
    </comment>
    <comment ref="T439" authorId="0">
      <text>
        <r>
          <rPr>
            <sz val="9"/>
            <color indexed="81"/>
            <rFont val="Tahoma"/>
            <family val="2"/>
          </rPr>
          <t>4/4/16 (50) nt 2-3262
12/4/16 (50) nt 2-3274</t>
        </r>
      </text>
    </comment>
    <comment ref="G440" authorId="1">
      <text>
        <r>
          <rPr>
            <sz val="9"/>
            <color indexed="81"/>
            <rFont val="Tahoma"/>
            <family val="2"/>
          </rPr>
          <t>chequear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3/3/16 (1040) 
110 VAN EN DEV nt 2-3228</t>
        </r>
      </text>
    </comment>
    <comment ref="T441" authorId="0">
      <text>
        <r>
          <rPr>
            <sz val="9"/>
            <color indexed="81"/>
            <rFont val="Tahoma"/>
            <family val="2"/>
          </rPr>
          <t>29/3/16 (171) nt 2-3253</t>
        </r>
      </text>
    </comment>
    <comment ref="T442" authorId="0">
      <text>
        <r>
          <rPr>
            <sz val="9"/>
            <color indexed="81"/>
            <rFont val="Tahoma"/>
            <family val="2"/>
          </rPr>
          <t>16/6/16 (684) nt 2-3341</t>
        </r>
      </text>
    </comment>
    <comment ref="T443" authorId="0">
      <text>
        <r>
          <rPr>
            <sz val="9"/>
            <color indexed="81"/>
            <rFont val="Tahoma"/>
            <family val="2"/>
          </rPr>
          <t>18/5/16 (500) nt 2-3307
23/5/16 (500) nt 2-3312</t>
        </r>
      </text>
    </comment>
    <comment ref="T444" authorId="0">
      <text>
        <r>
          <rPr>
            <sz val="9"/>
            <color indexed="81"/>
            <rFont val="Tahoma"/>
            <family val="2"/>
          </rPr>
          <t>12/4/16 (70) nt 2-3275</t>
        </r>
      </text>
    </comment>
    <comment ref="T445" authorId="0">
      <text>
        <r>
          <rPr>
            <sz val="9"/>
            <color indexed="81"/>
            <rFont val="Tahoma"/>
            <family val="2"/>
          </rPr>
          <t>8/4/16 (109) nt 2-3301</t>
        </r>
      </text>
    </comment>
    <comment ref="T446" authorId="0">
      <text>
        <r>
          <rPr>
            <sz val="9"/>
            <color indexed="81"/>
            <rFont val="Tahoma"/>
            <family val="2"/>
          </rPr>
          <t>8/4/16 (110) nt 2-3301</t>
        </r>
      </text>
    </comment>
    <comment ref="T447" authorId="0">
      <text>
        <r>
          <rPr>
            <sz val="9"/>
            <color indexed="81"/>
            <rFont val="Tahoma"/>
            <family val="2"/>
          </rPr>
          <t>1/6/16 (417) nt 2-3321</t>
        </r>
      </text>
    </comment>
    <comment ref="T449" authorId="0">
      <text>
        <r>
          <rPr>
            <sz val="9"/>
            <color indexed="81"/>
            <rFont val="Tahoma"/>
            <family val="2"/>
          </rPr>
          <t>17/3/16 (500) nt 2-3244</t>
        </r>
      </text>
    </comment>
    <comment ref="T450" authorId="0">
      <text>
        <r>
          <rPr>
            <sz val="9"/>
            <color indexed="81"/>
            <rFont val="Tahoma"/>
            <family val="2"/>
          </rPr>
          <t>(840) ENTREGAS ANTERIORES
5/4/16 (10) nt 2-3263
12/4/16 (250) nt 2-3272
14/4/16 (81) nt 2-3276</t>
        </r>
      </text>
    </comment>
    <comment ref="T451" authorId="0">
      <text>
        <r>
          <rPr>
            <sz val="9"/>
            <color indexed="81"/>
            <rFont val="Tahoma"/>
            <family val="2"/>
          </rPr>
          <t>21/6/16 (202) nt 2-3343</t>
        </r>
      </text>
    </comment>
    <comment ref="T452" authorId="0">
      <text>
        <r>
          <rPr>
            <sz val="9"/>
            <color indexed="81"/>
            <rFont val="Tahoma"/>
            <family val="2"/>
          </rPr>
          <t>8/4/16 (134) nt 2-3265</t>
        </r>
      </text>
    </comment>
    <comment ref="T453" authorId="0">
      <text>
        <r>
          <rPr>
            <sz val="9"/>
            <color indexed="81"/>
            <rFont val="Tahoma"/>
            <family val="2"/>
          </rPr>
          <t>14/4/16 (70) nt 2-3278</t>
        </r>
      </text>
    </comment>
    <comment ref="T454" authorId="0">
      <text>
        <r>
          <rPr>
            <sz val="9"/>
            <color indexed="81"/>
            <rFont val="Tahoma"/>
            <family val="2"/>
          </rPr>
          <t>17/3/16 (60) nt 2-3246</t>
        </r>
      </text>
    </comment>
    <comment ref="T455" authorId="0">
      <text>
        <r>
          <rPr>
            <sz val="9"/>
            <color indexed="81"/>
            <rFont val="Tahoma"/>
            <family val="2"/>
          </rPr>
          <t>5/5/16 (85) nt 2-3293</t>
        </r>
      </text>
    </comment>
    <comment ref="G456" authorId="0">
      <text>
        <r>
          <rPr>
            <b/>
            <sz val="9"/>
            <color indexed="81"/>
            <rFont val="Tahoma"/>
            <family val="2"/>
          </rPr>
          <t>DEBEMOS PAGAS</t>
        </r>
      </text>
    </comment>
    <comment ref="T456" authorId="0">
      <text>
        <r>
          <rPr>
            <sz val="9"/>
            <color indexed="81"/>
            <rFont val="Tahoma"/>
            <family val="2"/>
          </rPr>
          <t>2/5/16 (58) nt 2-3292 se entregaron 560 - (502) ot 5329</t>
        </r>
      </text>
    </comment>
    <comment ref="T457" authorId="0">
      <text>
        <r>
          <rPr>
            <sz val="9"/>
            <color indexed="81"/>
            <rFont val="Tahoma"/>
            <family val="2"/>
          </rPr>
          <t>4/4/16 nt 2-3260
se sumo despunte + dif x manipulacion y acarreo</t>
        </r>
      </text>
    </comment>
    <comment ref="T458" authorId="0">
      <text>
        <r>
          <rPr>
            <sz val="9"/>
            <color indexed="81"/>
            <rFont val="Tahoma"/>
            <family val="2"/>
          </rPr>
          <t>4/4/16 nt 2-3260
se sumo despunte + dif x manipulacion y acarreo</t>
        </r>
      </text>
    </comment>
    <comment ref="T459" authorId="0">
      <text>
        <r>
          <rPr>
            <sz val="9"/>
            <color indexed="81"/>
            <rFont val="Tahoma"/>
            <family val="2"/>
          </rPr>
          <t>4/4/16 nt 2-3260
se sumo despunte + dif x manipulacion y acarreo</t>
        </r>
      </text>
    </comment>
    <comment ref="T460" authorId="0">
      <text>
        <r>
          <rPr>
            <sz val="9"/>
            <color indexed="81"/>
            <rFont val="Tahoma"/>
            <family val="2"/>
          </rPr>
          <t>4/4/16 nt 2-3260
se sumo despunte + dif x manipulacion y acarreo</t>
        </r>
      </text>
    </comment>
    <comment ref="T461" authorId="0">
      <text>
        <r>
          <rPr>
            <sz val="9"/>
            <color indexed="81"/>
            <rFont val="Tahoma"/>
            <family val="2"/>
          </rPr>
          <t>4/4/16 nt 2-3260</t>
        </r>
      </text>
    </comment>
    <comment ref="T462" authorId="0">
      <text>
        <r>
          <rPr>
            <sz val="9"/>
            <color indexed="81"/>
            <rFont val="Tahoma"/>
            <family val="2"/>
          </rPr>
          <t>4/4/16 nt 2-3260
se sumo despunte + dif x manipulacion y acarreo</t>
        </r>
      </text>
    </comment>
    <comment ref="T463" authorId="0">
      <text>
        <r>
          <rPr>
            <sz val="9"/>
            <color indexed="81"/>
            <rFont val="Tahoma"/>
            <family val="2"/>
          </rPr>
          <t>4/4/16 nt 2-3260</t>
        </r>
      </text>
    </comment>
    <comment ref="T464" authorId="0">
      <text>
        <r>
          <rPr>
            <sz val="9"/>
            <color indexed="81"/>
            <rFont val="Tahoma"/>
            <family val="2"/>
          </rPr>
          <t>4/4/16 nt 2-3260</t>
        </r>
      </text>
    </comment>
    <comment ref="T465" authorId="0">
      <text>
        <r>
          <rPr>
            <sz val="9"/>
            <color indexed="81"/>
            <rFont val="Tahoma"/>
            <family val="2"/>
          </rPr>
          <t>4/4/16 nt 2-3260</t>
        </r>
      </text>
    </comment>
    <comment ref="T468" authorId="0">
      <text>
        <r>
          <rPr>
            <sz val="9"/>
            <color indexed="81"/>
            <rFont val="Tahoma"/>
            <family val="2"/>
          </rPr>
          <t xml:space="preserve">14/4/16 (500) nt 2-3279
2/5/16 (502) nt 2-3292 se entregaron 560 - (58) ot 5324 deuda </t>
        </r>
      </text>
    </comment>
    <comment ref="T470" authorId="0">
      <text>
        <r>
          <rPr>
            <sz val="9"/>
            <color indexed="81"/>
            <rFont val="Tahoma"/>
            <family val="2"/>
          </rPr>
          <t xml:space="preserve">24/6/16 (222) nt 2-3349
</t>
        </r>
      </text>
    </comment>
    <comment ref="T471" authorId="0">
      <text>
        <r>
          <rPr>
            <sz val="9"/>
            <color indexed="81"/>
            <rFont val="Tahoma"/>
            <family val="2"/>
          </rPr>
          <t>23/5/16 (2500) nt 2-3311
27/5/16 (2935) nt 2-3316</t>
        </r>
      </text>
    </comment>
    <comment ref="T472" authorId="0">
      <text>
        <r>
          <rPr>
            <sz val="9"/>
            <color indexed="81"/>
            <rFont val="Tahoma"/>
            <family val="2"/>
          </rPr>
          <t>14/4/16 (109) nt 2-3277
18/4/16 (125) nt 2-3280
22/4/16 (150) nt 2-3286
25/4/16 (150) nt 2-3288
10/5/16 (210) nt 2-3296</t>
        </r>
      </text>
    </comment>
    <comment ref="T473" authorId="0">
      <text>
        <r>
          <rPr>
            <sz val="9"/>
            <color indexed="81"/>
            <rFont val="Tahoma"/>
            <family val="2"/>
          </rPr>
          <t>31/5/16 (280) nt 2-609
2/6/16 (220) R 2-191</t>
        </r>
      </text>
    </comment>
    <comment ref="G474" authorId="0">
      <text>
        <r>
          <rPr>
            <sz val="9"/>
            <color indexed="81"/>
            <rFont val="Tahoma"/>
            <family val="2"/>
          </rPr>
          <t>15/6/16 SE MODIFICA CANTIDAD DE (750) A (500)</t>
        </r>
      </text>
    </comment>
    <comment ref="T476" authorId="0">
      <text>
        <r>
          <rPr>
            <sz val="9"/>
            <color indexed="81"/>
            <rFont val="Tahoma"/>
            <family val="2"/>
          </rPr>
          <t>22/4/16 (70) nt 2-3284</t>
        </r>
      </text>
    </comment>
    <comment ref="G477" authorId="0">
      <text>
        <r>
          <rPr>
            <b/>
            <sz val="9"/>
            <color indexed="81"/>
            <rFont val="Tahoma"/>
            <family val="2"/>
          </rPr>
          <t>ENTREGAR A PARTIR DEL 25/4 (600 CADA 15 DÍAS)</t>
        </r>
      </text>
    </comment>
    <comment ref="T477" authorId="0">
      <text>
        <r>
          <rPr>
            <sz val="9"/>
            <color indexed="81"/>
            <rFont val="Tahoma"/>
            <family val="2"/>
          </rPr>
          <t>21/6/16 (180) nt 2-3346</t>
        </r>
      </text>
    </comment>
    <comment ref="T479" authorId="0">
      <text>
        <r>
          <rPr>
            <sz val="9"/>
            <color indexed="81"/>
            <rFont val="Tahoma"/>
            <family val="2"/>
          </rPr>
          <t>17/9 (150) nt 2-3094
17/3/16 (20) nt 2-3247
22/4/16 (280) nt 2-3284
27/4/16 (248) se entregaron (375) 127 para ot 5332</t>
        </r>
      </text>
    </comment>
    <comment ref="E480" authorId="0">
      <text>
        <r>
          <rPr>
            <b/>
            <sz val="9"/>
            <color indexed="81"/>
            <rFont val="Tahoma"/>
            <family val="2"/>
          </rPr>
          <t>DEVOLVER POR DEFECTOS EN REBABADO Y EN LA BASE</t>
        </r>
      </text>
    </comment>
    <comment ref="T480" authorId="0">
      <text>
        <r>
          <rPr>
            <sz val="9"/>
            <color indexed="81"/>
            <rFont val="Tahoma"/>
            <family val="2"/>
          </rPr>
          <t>20/5/16 (1) nt 2-3309 se entregaron (450) - (449) p/ ot 5306
21/6/16 (174) nt 2-3337 en devolucion</t>
        </r>
      </text>
    </comment>
    <comment ref="T481" authorId="0">
      <text>
        <r>
          <rPr>
            <sz val="9"/>
            <color indexed="81"/>
            <rFont val="Tahoma"/>
            <family val="2"/>
          </rPr>
          <t>15/5/16 (373) nt 2-3303</t>
        </r>
      </text>
    </comment>
    <comment ref="T482" authorId="0">
      <text>
        <r>
          <rPr>
            <sz val="9"/>
            <color indexed="81"/>
            <rFont val="Tahoma"/>
            <family val="2"/>
          </rPr>
          <t>31/5/16 (1215) nt 2-3320
B 533,800
T 11,600
N 522,200</t>
        </r>
      </text>
    </comment>
    <comment ref="T483" authorId="0">
      <text>
        <r>
          <rPr>
            <sz val="9"/>
            <color indexed="81"/>
            <rFont val="Tahoma"/>
            <family val="2"/>
          </rPr>
          <t>23/5/16 (123) nt 2-3311</t>
        </r>
      </text>
    </comment>
    <comment ref="T484" authorId="0">
      <text>
        <r>
          <rPr>
            <sz val="9"/>
            <color indexed="81"/>
            <rFont val="Tahoma"/>
            <family val="2"/>
          </rPr>
          <t>23/5/16 (500) nt 2-3311</t>
        </r>
      </text>
    </comment>
    <comment ref="T485" authorId="0">
      <text>
        <r>
          <rPr>
            <sz val="9"/>
            <color indexed="81"/>
            <rFont val="Tahoma"/>
            <family val="2"/>
          </rPr>
          <t>31/5/16 (782) nt 2-3320
B 491,600
T 7,200
N 484,400
8/6/16 (500) nt 2-3328
B 327,400
T 9,200
N 318,200</t>
        </r>
      </text>
    </comment>
    <comment ref="T486" authorId="0">
      <text>
        <r>
          <rPr>
            <sz val="9"/>
            <color indexed="81"/>
            <rFont val="Tahoma"/>
            <family val="2"/>
          </rPr>
          <t>5/5/16 (200) nt 2-3294 eran 260 (60) ot 5335</t>
        </r>
      </text>
    </comment>
    <comment ref="T487" authorId="0">
      <text>
        <r>
          <rPr>
            <sz val="9"/>
            <color indexed="81"/>
            <rFont val="Tahoma"/>
            <family val="2"/>
          </rPr>
          <t>5/5/16 (60) nt 2-3294 eran 260 (200) ot 5334
12/5/16 (285) nt 2-3302</t>
        </r>
      </text>
    </comment>
    <comment ref="T488" authorId="0">
      <text>
        <r>
          <rPr>
            <sz val="9"/>
            <color indexed="81"/>
            <rFont val="Tahoma"/>
            <family val="2"/>
          </rPr>
          <t>12/5/16 (300) nt 2-3302</t>
        </r>
      </text>
    </comment>
    <comment ref="O489" authorId="0">
      <text>
        <r>
          <rPr>
            <b/>
            <sz val="9"/>
            <color indexed="81"/>
            <rFont val="Tahoma"/>
            <family val="2"/>
          </rPr>
          <t>CLIENTE PROVEE SOP
BENFICA PROVEE PERNO</t>
        </r>
      </text>
    </comment>
    <comment ref="T489" authorId="0">
      <text>
        <r>
          <rPr>
            <sz val="9"/>
            <color indexed="81"/>
            <rFont val="Tahoma"/>
            <family val="2"/>
          </rPr>
          <t>30/5/16 (200) eran 450 nt 2-3317 (250) ot 5247</t>
        </r>
      </text>
    </comment>
    <comment ref="T490" authorId="0">
      <text>
        <r>
          <rPr>
            <sz val="9"/>
            <color indexed="81"/>
            <rFont val="Tahoma"/>
            <family val="2"/>
          </rPr>
          <t>10/6/16 (2000) nt 2-3333
Bruto: 409
Tara: 6,800
Neto:402,250
14/6/16 (2000) nt 2-3336
Bruto: 411,200
Tara:7,400
Neto:403,800
16/6/16 (1910) nt 2-3341
Bruto: 397,800
Tara: 10,600
Neto: 387,200
24/6/16 (2470) nt 2-3348
Bruto: 510,600
Tara: 10,400
Neto: 500,200</t>
        </r>
      </text>
    </comment>
    <comment ref="T491" authorId="0">
      <text>
        <r>
          <rPr>
            <sz val="9"/>
            <color indexed="81"/>
            <rFont val="Tahoma"/>
            <family val="2"/>
          </rPr>
          <t>3/6/16 (2500) nt 2-3325
Bruto: 432,600
Tara: 8,600
Neto: 424,000
4/6/16 (1434) nt 2-3326
Bruto: 249,200
Tara: 8,000
Neto: 241,250</t>
        </r>
      </text>
    </comment>
    <comment ref="T492" authorId="0">
      <text>
        <r>
          <rPr>
            <sz val="9"/>
            <color indexed="81"/>
            <rFont val="Tahoma"/>
            <family val="2"/>
          </rPr>
          <t>8/6/16 (1036) nt 2-3328
B 455,600
T 8,000
N 447,600</t>
        </r>
      </text>
    </comment>
    <comment ref="T493" authorId="0">
      <text>
        <r>
          <rPr>
            <sz val="9"/>
            <color indexed="81"/>
            <rFont val="Tahoma"/>
            <family val="2"/>
          </rPr>
          <t xml:space="preserve">8/6/16 (314) nt 2-3329
Bruto: 372,800
Tara: 7,200
Neto: 365,600
14/6/16 (350) nt 2-3336
Bruto: 419,200
Tara: 6,600
Neto: 412,600
14/6/16 (393) nt 2-3336
Bruto: 471,600
Tara: 9,600
Neto: 462
</t>
        </r>
      </text>
    </comment>
    <comment ref="T494" authorId="0">
      <text>
        <r>
          <rPr>
            <sz val="9"/>
            <color indexed="81"/>
            <rFont val="Tahoma"/>
            <family val="2"/>
          </rPr>
          <t>8/6/16 (328) nt 2-3328
B 370,400
T 11,600
N 358,800</t>
        </r>
      </text>
    </comment>
    <comment ref="T495" authorId="0">
      <text>
        <r>
          <rPr>
            <sz val="9"/>
            <color indexed="81"/>
            <rFont val="Tahoma"/>
            <family val="2"/>
          </rPr>
          <t>8/6/16 (366) nt 2-3328
B 445,000
T 6,600
N 438,400</t>
        </r>
      </text>
    </comment>
    <comment ref="T496" authorId="0">
      <text>
        <r>
          <rPr>
            <sz val="9"/>
            <color indexed="81"/>
            <rFont val="Tahoma"/>
            <family val="2"/>
          </rPr>
          <t xml:space="preserve">DIAM 69.8
16/6/16 (350) nt 2-3341
Bruto:
Tara:
Neto:
24/6/16 (450) nt 2-3348
Bruto: 552,800
Tara: 9,400
Neto: 543,400
24/6/16 (440) nt 2-3348
Bruto: 539,200
Tara: 9,200
Neto: 530
</t>
        </r>
      </text>
    </comment>
    <comment ref="T497" authorId="0">
      <text>
        <r>
          <rPr>
            <sz val="9"/>
            <color indexed="81"/>
            <rFont val="Tahoma"/>
            <family val="2"/>
          </rPr>
          <t>24/6/16 (1143) nt 2-3348
Bruto: 399,800
Tara: 9,600
Neto: 390,200</t>
        </r>
      </text>
    </comment>
    <comment ref="V498" authorId="0">
      <text>
        <r>
          <rPr>
            <b/>
            <sz val="9"/>
            <color indexed="81"/>
            <rFont val="Tahoma"/>
            <family val="2"/>
          </rPr>
          <t>ANULÓ MEDIDA SEBASTIAN MIERCOLES 8-6-16</t>
        </r>
      </text>
    </comment>
    <comment ref="G503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V503" authorId="0">
      <text>
        <r>
          <rPr>
            <sz val="9"/>
            <color indexed="81"/>
            <rFont val="Tahoma"/>
            <family val="2"/>
          </rPr>
          <t>DEV PLACA 12/5/16 nt 2-3300</t>
        </r>
      </text>
    </comment>
    <comment ref="G504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V504" authorId="0">
      <text>
        <r>
          <rPr>
            <sz val="9"/>
            <color indexed="81"/>
            <rFont val="Tahoma"/>
            <family val="2"/>
          </rPr>
          <t>DEV PLACA 12/5/16 nt 2-3300</t>
        </r>
      </text>
    </comment>
    <comment ref="G505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V505" authorId="0">
      <text>
        <r>
          <rPr>
            <sz val="9"/>
            <color indexed="81"/>
            <rFont val="Tahoma"/>
            <family val="2"/>
          </rPr>
          <t>DEV PLACA 12/5/16 nt 2-3300</t>
        </r>
      </text>
    </comment>
    <comment ref="T506" authorId="0">
      <text>
        <r>
          <rPr>
            <b/>
            <sz val="9"/>
            <color indexed="81"/>
            <rFont val="Tahoma"/>
            <family val="2"/>
          </rPr>
          <t>3/5/16 (100) rem x</t>
        </r>
      </text>
    </comment>
    <comment ref="F510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F511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T512" authorId="0">
      <text>
        <r>
          <rPr>
            <sz val="9"/>
            <color indexed="81"/>
            <rFont val="Tahoma"/>
            <family val="2"/>
          </rPr>
          <t xml:space="preserve">14/6/16 (500) nt 2-3338
eran total (600) - 100 ot 5251 </t>
        </r>
      </text>
    </comment>
    <comment ref="O513" authorId="0">
      <text>
        <r>
          <rPr>
            <b/>
            <sz val="9"/>
            <color indexed="81"/>
            <rFont val="Tahoma"/>
            <family val="2"/>
          </rPr>
          <t>CLIENTE PROVEE SOP
BENFICA PROVEE PERNO</t>
        </r>
      </text>
    </comment>
    <comment ref="T513" authorId="0">
      <text>
        <r>
          <rPr>
            <sz val="9"/>
            <color indexed="81"/>
            <rFont val="Tahoma"/>
            <family val="2"/>
          </rPr>
          <t>30/5/16 (250) eran 450 nt 2-3317 (200) ot 5336</t>
        </r>
      </text>
    </comment>
    <comment ref="T514" authorId="0">
      <text>
        <r>
          <rPr>
            <sz val="9"/>
            <color indexed="81"/>
            <rFont val="Tahoma"/>
            <family val="2"/>
          </rPr>
          <t>7/6/16 (202) nt 2-3327</t>
        </r>
      </text>
    </comment>
    <comment ref="T515" authorId="0">
      <text>
        <r>
          <rPr>
            <sz val="9"/>
            <color indexed="81"/>
            <rFont val="Tahoma"/>
            <family val="2"/>
          </rPr>
          <t>18/9 (2000) nt 2-3096
21/9 (2122) nt 2-3099</t>
        </r>
      </text>
    </comment>
    <comment ref="T516" authorId="0">
      <text>
        <r>
          <rPr>
            <sz val="9"/>
            <color indexed="81"/>
            <rFont val="Tahoma"/>
            <family val="2"/>
          </rPr>
          <t>21/7 (1005) nt 2-2987</t>
        </r>
      </text>
    </comment>
    <comment ref="T517" authorId="0">
      <text>
        <r>
          <rPr>
            <sz val="9"/>
            <color indexed="81"/>
            <rFont val="Tahoma"/>
            <family val="2"/>
          </rPr>
          <t>21/7 (677) nt 2-2987</t>
        </r>
      </text>
    </comment>
    <comment ref="T518" authorId="0">
      <text>
        <r>
          <rPr>
            <sz val="9"/>
            <color indexed="81"/>
            <rFont val="Tahoma"/>
            <family val="2"/>
          </rPr>
          <t>23/7 (594) nt 2-2993
25/7 (600) nt 2-2995
30/7 (580) nt 2-3001
31/7 (600) nt 2-3008
3/8 (600) nt 2-3011</t>
        </r>
      </text>
    </comment>
    <comment ref="T519" authorId="0">
      <text>
        <r>
          <rPr>
            <sz val="9"/>
            <color indexed="81"/>
            <rFont val="Tahoma"/>
            <family val="2"/>
          </rPr>
          <t>26/5/16 (50) nt 2-3315</t>
        </r>
      </text>
    </comment>
    <comment ref="T522" authorId="0">
      <text>
        <r>
          <rPr>
            <sz val="9"/>
            <color indexed="81"/>
            <rFont val="Tahoma"/>
            <family val="2"/>
          </rPr>
          <t>14/6/16 (100) nt 2-3338
eran total (600) - 500 ot 5247
21/6/16 (188) nt 2-3344</t>
        </r>
      </text>
    </comment>
    <comment ref="T525" authorId="0">
      <text>
        <r>
          <rPr>
            <sz val="9"/>
            <color indexed="81"/>
            <rFont val="Tahoma"/>
            <family val="2"/>
          </rPr>
          <t>25/9 (3015) nt 2-3112</t>
        </r>
      </text>
    </comment>
    <comment ref="T526" authorId="0">
      <text>
        <r>
          <rPr>
            <sz val="9"/>
            <color indexed="81"/>
            <rFont val="Tahoma"/>
            <family val="2"/>
          </rPr>
          <t>29/9 (1086) nt 2-3119
Bruto=157.200kg
Tara= 7kg
Neto= 150.200kg</t>
        </r>
      </text>
    </comment>
    <comment ref="T527" authorId="0">
      <text>
        <r>
          <rPr>
            <sz val="9"/>
            <color indexed="81"/>
            <rFont val="Tahoma"/>
            <family val="2"/>
          </rPr>
          <t>1/10 (2001) nt 2-3122
Bruto=306.200kg
Tara= 9kg
Neto= 297.200kg</t>
        </r>
      </text>
    </comment>
    <comment ref="T528" authorId="0">
      <text>
        <r>
          <rPr>
            <sz val="9"/>
            <color indexed="81"/>
            <rFont val="Tahoma"/>
            <family val="2"/>
          </rPr>
          <t>4/6 (2500) nt 2-2857
15/6 (1480) nt 2-2869</t>
        </r>
      </text>
    </comment>
    <comment ref="T529" authorId="0">
      <text>
        <r>
          <rPr>
            <sz val="9"/>
            <color indexed="81"/>
            <rFont val="Tahoma"/>
            <family val="2"/>
          </rPr>
          <t>15/6 (1295) nt 2-2869</t>
        </r>
      </text>
    </comment>
    <comment ref="T530" authorId="0">
      <text>
        <r>
          <rPr>
            <sz val="9"/>
            <color indexed="81"/>
            <rFont val="Tahoma"/>
            <family val="2"/>
          </rPr>
          <t>4/9 (3140) nt 2-3069</t>
        </r>
      </text>
    </comment>
    <comment ref="T531" authorId="0">
      <text>
        <r>
          <rPr>
            <sz val="9"/>
            <color indexed="81"/>
            <rFont val="Tahoma"/>
            <family val="2"/>
          </rPr>
          <t>10/9 (1904) nt 2-3076</t>
        </r>
      </text>
    </comment>
    <comment ref="T532" authorId="0">
      <text>
        <r>
          <rPr>
            <sz val="9"/>
            <color indexed="81"/>
            <rFont val="Tahoma"/>
            <family val="2"/>
          </rPr>
          <t>10/9 (805) nt 2-3076</t>
        </r>
      </text>
    </comment>
    <comment ref="T533" authorId="0">
      <text>
        <r>
          <rPr>
            <sz val="9"/>
            <color indexed="81"/>
            <rFont val="Tahoma"/>
            <family val="2"/>
          </rPr>
          <t>5/11 (342) nt 2-3181</t>
        </r>
      </text>
    </comment>
    <comment ref="T534" authorId="0">
      <text>
        <r>
          <rPr>
            <sz val="9"/>
            <color indexed="81"/>
            <rFont val="Tahoma"/>
            <family val="2"/>
          </rPr>
          <t>14/6/16 (720) nt 2-3335
Neto: 292,200</t>
        </r>
      </text>
    </comment>
    <comment ref="E535" authorId="0">
      <text>
        <r>
          <rPr>
            <sz val="9"/>
            <color indexed="81"/>
            <rFont val="Tahoma"/>
            <family val="2"/>
          </rPr>
          <t>9/6/16 (585kg)  RED 1040 - diam 19,05 Borroni 
Colada: 31813XX</t>
        </r>
      </text>
    </comment>
    <comment ref="O537" authorId="0">
      <text>
        <r>
          <rPr>
            <b/>
            <sz val="9"/>
            <color indexed="81"/>
            <rFont val="Tahoma"/>
            <family val="2"/>
          </rPr>
          <t>CHEQUEAR CANT DE SOPORTES</t>
        </r>
      </text>
    </comment>
    <comment ref="T538" authorId="0">
      <text>
        <r>
          <rPr>
            <sz val="9"/>
            <color indexed="81"/>
            <rFont val="Tahoma"/>
            <family val="2"/>
          </rPr>
          <t>10/6/16 (65) nt 2-3332</t>
        </r>
      </text>
    </comment>
    <comment ref="T540" authorId="0">
      <text>
        <r>
          <rPr>
            <sz val="9"/>
            <color indexed="81"/>
            <rFont val="Tahoma"/>
            <family val="2"/>
          </rPr>
          <t xml:space="preserve">6/8 (513) nt 2-3021
</t>
        </r>
      </text>
    </comment>
    <comment ref="T541" authorId="0">
      <text>
        <r>
          <rPr>
            <sz val="9"/>
            <color indexed="81"/>
            <rFont val="Tahoma"/>
            <family val="2"/>
          </rPr>
          <t>6/8 (611) nt 2-3021</t>
        </r>
      </text>
    </comment>
    <comment ref="T542" authorId="0">
      <text>
        <r>
          <rPr>
            <sz val="9"/>
            <color indexed="81"/>
            <rFont val="Tahoma"/>
            <family val="2"/>
          </rPr>
          <t>11/8 (1956) nt 2-3028</t>
        </r>
      </text>
    </comment>
    <comment ref="E543" authorId="0">
      <text>
        <r>
          <rPr>
            <b/>
            <sz val="9"/>
            <color indexed="81"/>
            <rFont val="Tahoma"/>
            <family val="2"/>
          </rPr>
          <t>tuvimos que cortar esta medida en lugar de (25 58 16R)</t>
        </r>
      </text>
    </comment>
    <comment ref="T543" authorId="0">
      <text>
        <r>
          <rPr>
            <sz val="9"/>
            <color indexed="81"/>
            <rFont val="Tahoma"/>
            <family val="2"/>
          </rPr>
          <t>30/7 (1480) nt 2-3001</t>
        </r>
      </text>
    </comment>
    <comment ref="T546" authorId="0">
      <text>
        <r>
          <rPr>
            <sz val="9"/>
            <color indexed="81"/>
            <rFont val="Tahoma"/>
            <family val="2"/>
          </rPr>
          <t>21/6/16 (50) nt 2-3345</t>
        </r>
      </text>
    </comment>
  </commentList>
</comments>
</file>

<file path=xl/comments10.xml><?xml version="1.0" encoding="utf-8"?>
<comments xmlns="http://schemas.openxmlformats.org/spreadsheetml/2006/main">
  <authors>
    <author>BELU</author>
  </authors>
  <commentList>
    <comment ref="D2" authorId="0">
      <text>
        <r>
          <rPr>
            <sz val="9"/>
            <color indexed="81"/>
            <rFont val="Tahoma"/>
            <family val="2"/>
          </rPr>
          <t>28/4/16
29/4/16</t>
        </r>
      </text>
    </comment>
    <comment ref="D3" authorId="0">
      <text>
        <r>
          <rPr>
            <sz val="9"/>
            <color indexed="81"/>
            <rFont val="Tahoma"/>
            <family val="2"/>
          </rPr>
          <t>26/4/16
27/4/16
28/4/16</t>
        </r>
      </text>
    </comment>
  </commentList>
</comments>
</file>

<file path=xl/comments2.xml><?xml version="1.0" encoding="utf-8"?>
<comments xmlns="http://schemas.openxmlformats.org/spreadsheetml/2006/main">
  <authors>
    <author>BELU</author>
    <author>Jose</author>
  </authors>
  <commentList>
    <comment ref="B3" authorId="0">
      <text>
        <r>
          <rPr>
            <sz val="9"/>
            <color indexed="81"/>
            <rFont val="Tahoma"/>
            <family val="2"/>
          </rPr>
          <t>(+98) COMPLETOS C/ PERFORACION ERROR</t>
        </r>
      </text>
    </comment>
    <comment ref="L3" authorId="1">
      <text>
        <r>
          <rPr>
            <sz val="9"/>
            <color indexed="81"/>
            <rFont val="Tahoma"/>
            <family val="2"/>
          </rPr>
          <t xml:space="preserve">+ (419) SOP FIESTA97 CON FALLA </t>
        </r>
      </text>
    </comment>
    <comment ref="B13" authorId="0">
      <text>
        <r>
          <rPr>
            <sz val="9"/>
            <color indexed="81"/>
            <rFont val="Tahoma"/>
            <family val="2"/>
          </rPr>
          <t>+ (85) SOP + PERNO SOLDADO MAL</t>
        </r>
      </text>
    </comment>
    <comment ref="E13" authorId="0">
      <text>
        <r>
          <rPr>
            <sz val="9"/>
            <color indexed="81"/>
            <rFont val="Tahoma"/>
            <family val="2"/>
          </rPr>
          <t>29/10 (200) R19
6/11 (140) CLIO
6/11 (44) CLIO
9/11 (140) CLIO
9/11 (25) CLIO
10/11 (175) CLIO
17/11 (15) CLIO</t>
        </r>
      </text>
    </comment>
    <comment ref="D16" authorId="0">
      <text>
        <r>
          <rPr>
            <sz val="9"/>
            <color indexed="81"/>
            <rFont val="Tahoma"/>
            <family val="2"/>
          </rPr>
          <t>16-17-18/11 (514) F94 (S)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+ (85) SOP + PERNO SOLDADO MAL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(769) fundicion ene 2016 - R11 - R19 - CLIO
</t>
        </r>
      </text>
    </comment>
  </commentList>
</comments>
</file>

<file path=xl/comments3.xml><?xml version="1.0" encoding="utf-8"?>
<comments xmlns="http://schemas.openxmlformats.org/spreadsheetml/2006/main">
  <authors>
    <author>BELU</author>
    <author>Jose</author>
  </authors>
  <commentList>
    <comment ref="F8" authorId="0">
      <text>
        <r>
          <rPr>
            <sz val="9"/>
            <color indexed="81"/>
            <rFont val="Tahoma"/>
            <family val="2"/>
          </rPr>
          <t xml:space="preserve">(53) ANILLADOS
(21) SOLO CAÑO
(42) C/ SOP SOLDADO
</t>
        </r>
      </text>
    </comment>
    <comment ref="I8" authorId="0">
      <text>
        <r>
          <rPr>
            <sz val="9"/>
            <color indexed="81"/>
            <rFont val="Tahoma"/>
            <family val="2"/>
          </rPr>
          <t>630 al 16/6</t>
        </r>
      </text>
    </comment>
    <comment ref="J8" authorId="1">
      <text>
        <r>
          <rPr>
            <sz val="9"/>
            <color indexed="81"/>
            <rFont val="Tahoma"/>
            <family val="2"/>
          </rPr>
          <t>5/5 (21) se fundieron</t>
        </r>
      </text>
    </comment>
    <comment ref="I10" authorId="1">
      <text>
        <r>
          <rPr>
            <sz val="9"/>
            <color indexed="81"/>
            <rFont val="Tahoma"/>
            <family val="2"/>
          </rPr>
          <t>4/5 (155) elias
4/5 (9) resto ant</t>
        </r>
      </text>
    </comment>
    <comment ref="I11" authorId="1">
      <text>
        <r>
          <rPr>
            <sz val="9"/>
            <color indexed="81"/>
            <rFont val="Tahoma"/>
            <family val="2"/>
          </rPr>
          <t>7/5 (73) se fudieron</t>
        </r>
      </text>
    </comment>
    <comment ref="F12" authorId="0">
      <text>
        <r>
          <rPr>
            <sz val="9"/>
            <color indexed="81"/>
            <rFont val="Tahoma"/>
            <family val="2"/>
          </rPr>
          <t>(22) SOLO CAÑO
(43) C/ SOP SOLDADO</t>
        </r>
      </text>
    </comment>
    <comment ref="F15" authorId="0">
      <text>
        <r>
          <rPr>
            <sz val="9"/>
            <color indexed="81"/>
            <rFont val="Tahoma"/>
            <family val="2"/>
          </rPr>
          <t>(56) C/ SOP SOLDADO
(52) SOLO CAÑO</t>
        </r>
      </text>
    </comment>
  </commentList>
</comments>
</file>

<file path=xl/comments4.xml><?xml version="1.0" encoding="utf-8"?>
<comments xmlns="http://schemas.openxmlformats.org/spreadsheetml/2006/main">
  <authors>
    <author>BELU</author>
  </authors>
  <commentList>
    <comment ref="C25" authorId="0">
      <text>
        <r>
          <rPr>
            <sz val="9"/>
            <color indexed="81"/>
            <rFont val="Tahoma"/>
            <family val="2"/>
          </rPr>
          <t>5/3/16 (91) en stock
22/6/16 se entregaron (50) al vasco</t>
        </r>
      </text>
    </comment>
  </commentList>
</comments>
</file>

<file path=xl/comments5.xml><?xml version="1.0" encoding="utf-8"?>
<comments xmlns="http://schemas.openxmlformats.org/spreadsheetml/2006/main">
  <authors>
    <author>BELU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PROMEDIO ERA 190
EN MARZO 2016 BAJÓ A 150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restar de fundición a partir del 13/7</t>
        </r>
      </text>
    </comment>
    <comment ref="GU29" authorId="0">
      <text>
        <r>
          <rPr>
            <sz val="9"/>
            <color indexed="81"/>
            <rFont val="Tahoma"/>
            <family val="2"/>
          </rPr>
          <t>P/ COMPLETAR SEM 15/2</t>
        </r>
      </text>
    </comment>
    <comment ref="GX29" authorId="0">
      <text>
        <r>
          <rPr>
            <sz val="9"/>
            <color indexed="81"/>
            <rFont val="Tahoma"/>
            <family val="2"/>
          </rPr>
          <t>ENTREGA SEM 22/2</t>
        </r>
      </text>
    </comment>
    <comment ref="HE29" authorId="0">
      <text>
        <r>
          <rPr>
            <sz val="9"/>
            <color indexed="81"/>
            <rFont val="Tahoma"/>
            <family val="2"/>
          </rPr>
          <t>ENTREGA SEM 22/2</t>
        </r>
      </text>
    </comment>
    <comment ref="HF29" authorId="0">
      <text>
        <r>
          <rPr>
            <b/>
            <sz val="9"/>
            <color indexed="81"/>
            <rFont val="Tahoma"/>
            <family val="2"/>
          </rPr>
          <t>sem 29/2</t>
        </r>
      </text>
    </comment>
    <comment ref="HG29" authorId="0">
      <text>
        <r>
          <rPr>
            <b/>
            <sz val="9"/>
            <color indexed="81"/>
            <rFont val="Tahoma"/>
            <family val="2"/>
          </rPr>
          <t>sem 29/2</t>
        </r>
      </text>
    </comment>
    <comment ref="F51" authorId="0">
      <text>
        <r>
          <rPr>
            <sz val="9"/>
            <color indexed="81"/>
            <rFont val="Tahoma"/>
            <family val="2"/>
          </rPr>
          <t>600 feb
600 mar
500 abr</t>
        </r>
      </text>
    </comment>
    <comment ref="HO51" authorId="0">
      <text>
        <r>
          <rPr>
            <sz val="9"/>
            <color indexed="81"/>
            <rFont val="Tahoma"/>
            <family val="2"/>
          </rPr>
          <t>deberia haber 112 stock - chequear</t>
        </r>
      </text>
    </comment>
    <comment ref="F52" authorId="0">
      <text>
        <r>
          <rPr>
            <sz val="9"/>
            <color indexed="81"/>
            <rFont val="Tahoma"/>
            <family val="2"/>
          </rPr>
          <t>500 mar
500 abr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SALEN 6 X COLADA</t>
        </r>
      </text>
    </comment>
    <comment ref="F58" authorId="0">
      <text>
        <r>
          <rPr>
            <sz val="9"/>
            <color indexed="81"/>
            <rFont val="Tahoma"/>
            <family val="2"/>
          </rPr>
          <t>(500) mayo
(500) junio
(1000) julio
(1000) agosto</t>
        </r>
      </text>
    </comment>
    <comment ref="JF58" authorId="0">
      <text>
        <r>
          <rPr>
            <sz val="9"/>
            <color indexed="81"/>
            <rFont val="Tahoma"/>
            <family val="2"/>
          </rPr>
          <t>FALTAN FUNDIR 700 PARA ENTREGA MAYO</t>
        </r>
      </text>
    </comment>
  </commentList>
</comments>
</file>

<file path=xl/comments6.xml><?xml version="1.0" encoding="utf-8"?>
<comments xmlns="http://schemas.openxmlformats.org/spreadsheetml/2006/main">
  <authors>
    <author>BELU</author>
  </authors>
  <commentList>
    <comment ref="HI11" authorId="0">
      <text>
        <r>
          <rPr>
            <b/>
            <sz val="9"/>
            <color indexed="81"/>
            <rFont val="Tahoma"/>
            <family val="2"/>
          </rPr>
          <t>ENTREGA DEUDA  (450)</t>
        </r>
      </text>
    </comment>
    <comment ref="HP11" authorId="0">
      <text>
        <r>
          <rPr>
            <b/>
            <sz val="9"/>
            <color indexed="81"/>
            <rFont val="Tahoma"/>
            <family val="2"/>
          </rPr>
          <t>ENTREGA C/ 15 D (600)</t>
        </r>
      </text>
    </comment>
    <comment ref="IK11" authorId="0">
      <text>
        <r>
          <rPr>
            <b/>
            <sz val="9"/>
            <color indexed="81"/>
            <rFont val="Tahoma"/>
            <family val="2"/>
          </rPr>
          <t>ENTREGA C/ 15 D (600)</t>
        </r>
      </text>
    </comment>
    <comment ref="GT14" authorId="0">
      <text>
        <r>
          <rPr>
            <b/>
            <sz val="9"/>
            <color indexed="81"/>
            <rFont val="Tahoma"/>
            <family val="2"/>
          </rPr>
          <t>entrega ANTERIOR</t>
        </r>
      </text>
    </comment>
    <comment ref="HS14" authorId="0">
      <text>
        <r>
          <rPr>
            <b/>
            <sz val="9"/>
            <color indexed="81"/>
            <rFont val="Tahoma"/>
            <family val="2"/>
          </rPr>
          <t>ENTREGA PEDIDO MAYO (500)</t>
        </r>
      </text>
    </comment>
    <comment ref="IQ14" authorId="0">
      <text>
        <r>
          <rPr>
            <b/>
            <sz val="9"/>
            <color indexed="81"/>
            <rFont val="Tahoma"/>
            <family val="2"/>
          </rPr>
          <t>ENTREGA PEDIDO MAYO (500)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SALEN 6 X COLADA</t>
        </r>
      </text>
    </comment>
  </commentList>
</comments>
</file>

<file path=xl/comments7.xml><?xml version="1.0" encoding="utf-8"?>
<comments xmlns="http://schemas.openxmlformats.org/spreadsheetml/2006/main">
  <authors>
    <author>Invitado</author>
    <author>ANDREA</author>
    <author>User</author>
    <author>a</author>
    <author>BELU</author>
  </authors>
  <commentList>
    <comment ref="I10" authorId="0">
      <text>
        <r>
          <rPr>
            <sz val="9"/>
            <color indexed="81"/>
            <rFont val="Tahoma"/>
            <family val="2"/>
          </rPr>
          <t xml:space="preserve">vinieron 211 - esta mercaderia mas las carcazas perdidas
</t>
        </r>
      </text>
    </comment>
    <comment ref="F11" authorId="0">
      <text>
        <r>
          <rPr>
            <sz val="9"/>
            <color indexed="81"/>
            <rFont val="Tahoma"/>
            <family val="2"/>
          </rPr>
          <t>ver!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
vinieron 211 - estas carcazas perdidas mas 155 mandadas
</t>
        </r>
      </text>
    </comment>
    <comment ref="B45" authorId="1">
      <text>
        <r>
          <rPr>
            <b/>
            <i/>
            <sz val="8"/>
            <color indexed="81"/>
            <rFont val="Tahoma"/>
            <family val="2"/>
          </rPr>
          <t>soportes en poder de peralta</t>
        </r>
      </text>
    </comment>
    <comment ref="B72" authorId="2">
      <text>
        <r>
          <rPr>
            <b/>
            <sz val="8"/>
            <color indexed="81"/>
            <rFont val="Tahoma"/>
            <family val="2"/>
          </rPr>
          <t>me olvide sop, entregue el 10/4</t>
        </r>
      </text>
    </comment>
    <comment ref="H85" authorId="1">
      <text>
        <r>
          <rPr>
            <b/>
            <sz val="8"/>
            <color indexed="81"/>
            <rFont val="Tahoma"/>
            <family val="2"/>
          </rPr>
          <t>sin remito</t>
        </r>
      </text>
    </comment>
    <comment ref="I93" authorId="1">
      <text>
        <r>
          <rPr>
            <sz val="8"/>
            <color indexed="81"/>
            <rFont val="Tahoma"/>
            <family val="2"/>
          </rPr>
          <t xml:space="preserve">peralta cobra 207
</t>
        </r>
      </text>
    </comment>
    <comment ref="B94" authorId="1">
      <text>
        <r>
          <rPr>
            <sz val="8"/>
            <color indexed="81"/>
            <rFont val="Tahoma"/>
            <family val="2"/>
          </rPr>
          <t xml:space="preserve">ENVIAMOS TUBOS 17/7
115 TUBOS
</t>
        </r>
      </text>
    </comment>
    <comment ref="I94" authorId="1">
      <text>
        <r>
          <rPr>
            <sz val="8"/>
            <color indexed="81"/>
            <rFont val="Tahoma"/>
            <family val="2"/>
          </rPr>
          <t xml:space="preserve">peralta factura 113    
</t>
        </r>
      </text>
    </comment>
    <comment ref="K113" authorId="1">
      <text>
        <r>
          <rPr>
            <sz val="8"/>
            <color indexed="81"/>
            <rFont val="Tahoma"/>
            <family val="2"/>
          </rPr>
          <t xml:space="preserve">vinieron sin soldar
</t>
        </r>
      </text>
    </comment>
    <comment ref="I166" authorId="3">
      <text>
        <r>
          <rPr>
            <sz val="8"/>
            <color indexed="81"/>
            <rFont val="Tahoma"/>
            <family val="2"/>
          </rPr>
          <t xml:space="preserve">ENTREGO EN BREMET
</t>
        </r>
      </text>
    </comment>
    <comment ref="D254" authorId="3">
      <text>
        <r>
          <rPr>
            <sz val="8"/>
            <color indexed="81"/>
            <rFont val="Tahoma"/>
            <family val="2"/>
          </rPr>
          <t xml:space="preserve">SE LE ENTREGARON AL VASCO
</t>
        </r>
      </text>
    </comment>
    <comment ref="D480" authorId="4">
      <text>
        <r>
          <rPr>
            <b/>
            <sz val="9"/>
            <color indexed="81"/>
            <rFont val="Tahoma"/>
            <family val="2"/>
          </rPr>
          <t>MAL CONTADAS 26/1 BELEN CONTROLO</t>
        </r>
      </text>
    </comment>
    <comment ref="D487" authorId="4">
      <text>
        <r>
          <rPr>
            <b/>
            <sz val="9"/>
            <color indexed="81"/>
            <rFont val="Tahoma"/>
            <family val="2"/>
          </rPr>
          <t>MAL CONTADAS 26/1 BELEN CONTROLO</t>
        </r>
      </text>
    </comment>
  </commentList>
</comments>
</file>

<file path=xl/comments8.xml><?xml version="1.0" encoding="utf-8"?>
<comments xmlns="http://schemas.openxmlformats.org/spreadsheetml/2006/main">
  <authors>
    <author>BELU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KG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KG</t>
        </r>
      </text>
    </comment>
  </commentList>
</comments>
</file>

<file path=xl/comments9.xml><?xml version="1.0" encoding="utf-8"?>
<comments xmlns="http://schemas.openxmlformats.org/spreadsheetml/2006/main">
  <authors>
    <author>BELU</author>
  </authors>
  <commentList>
    <comment ref="G3" authorId="0">
      <text>
        <r>
          <rPr>
            <sz val="9"/>
            <color indexed="81"/>
            <rFont val="Tahoma"/>
            <family val="2"/>
          </rPr>
          <t>4/11 (3) nt 2-3180
11/12 (6) nt 2-3441</t>
        </r>
      </text>
    </comment>
    <comment ref="G4" authorId="0">
      <text>
        <r>
          <rPr>
            <sz val="9"/>
            <color indexed="81"/>
            <rFont val="Tahoma"/>
            <family val="2"/>
          </rPr>
          <t>3/12 (9) nt 2-3433
9/12 (105) nt 2-3436</t>
        </r>
      </text>
    </comment>
    <comment ref="G14" authorId="0">
      <text>
        <r>
          <rPr>
            <sz val="9"/>
            <color indexed="81"/>
            <rFont val="Tahoma"/>
            <family val="2"/>
          </rPr>
          <t>25/11 (500) nt 2-3421</t>
        </r>
      </text>
    </comment>
  </commentList>
</comments>
</file>

<file path=xl/sharedStrings.xml><?xml version="1.0" encoding="utf-8"?>
<sst xmlns="http://schemas.openxmlformats.org/spreadsheetml/2006/main" count="9425" uniqueCount="1256">
  <si>
    <t>FECHA OT</t>
  </si>
  <si>
    <t>CLIENTE</t>
  </si>
  <si>
    <t>OT Nº</t>
  </si>
  <si>
    <t>TECNOBOX</t>
  </si>
  <si>
    <t>alas grandes</t>
  </si>
  <si>
    <t>VASCO</t>
  </si>
  <si>
    <t>Arco</t>
  </si>
  <si>
    <t>Tapa escuadra</t>
  </si>
  <si>
    <t>caja rectangular c/tapa</t>
  </si>
  <si>
    <t>escuadra tronzador</t>
  </si>
  <si>
    <t>ALAS CHICAS</t>
  </si>
  <si>
    <t>RAMIREZ</t>
  </si>
  <si>
    <t>BASES</t>
  </si>
  <si>
    <t>STACO</t>
  </si>
  <si>
    <t>TRAFIC</t>
  </si>
  <si>
    <t>tapones</t>
  </si>
  <si>
    <t>TRINTER</t>
  </si>
  <si>
    <t>ESCORT 87</t>
  </si>
  <si>
    <t>GRII/ P505</t>
  </si>
  <si>
    <t>PALIO</t>
  </si>
  <si>
    <t>R 12</t>
  </si>
  <si>
    <t>LENA</t>
  </si>
  <si>
    <t>FIESTA 94</t>
  </si>
  <si>
    <t>R 9</t>
  </si>
  <si>
    <t>ADR</t>
  </si>
  <si>
    <t>ALUMINCA</t>
  </si>
  <si>
    <t>esquinero rack</t>
  </si>
  <si>
    <t>HELMONT</t>
  </si>
  <si>
    <t>TAPAS MINI</t>
  </si>
  <si>
    <t>GOL</t>
  </si>
  <si>
    <t xml:space="preserve">PENDIENTE </t>
  </si>
  <si>
    <t>R 19</t>
  </si>
  <si>
    <t>R 18</t>
  </si>
  <si>
    <t>NUNEZ</t>
  </si>
  <si>
    <t>TERMONOR</t>
  </si>
  <si>
    <t>TAPONES</t>
  </si>
  <si>
    <t>FIAT</t>
  </si>
  <si>
    <t>FALTA</t>
  </si>
  <si>
    <t>FIAT C/ PERNO</t>
  </si>
  <si>
    <t>P 205 / PARTNER</t>
  </si>
  <si>
    <t>TAUNUS</t>
  </si>
  <si>
    <t>CLIO</t>
  </si>
  <si>
    <t>COCO GIACOMETTI</t>
  </si>
  <si>
    <t>ENTREGAS</t>
  </si>
  <si>
    <t>PEDIDO</t>
  </si>
  <si>
    <t>PENDIENTE</t>
  </si>
  <si>
    <t>PENDIENTE ENTREGA</t>
  </si>
  <si>
    <t>OK</t>
  </si>
  <si>
    <t>N/A</t>
  </si>
  <si>
    <t>FUNDICIÓN</t>
  </si>
  <si>
    <t>ESQUINERO</t>
  </si>
  <si>
    <t>PRODUCTO</t>
  </si>
  <si>
    <t>REAL PEDIDO</t>
  </si>
  <si>
    <t>PINTURA</t>
  </si>
  <si>
    <t>OT CERRADA</t>
  </si>
  <si>
    <t>SI</t>
  </si>
  <si>
    <t>NO</t>
  </si>
  <si>
    <t>TORGA</t>
  </si>
  <si>
    <t>PISTOLAS DE AIRE</t>
  </si>
  <si>
    <t>R 11</t>
  </si>
  <si>
    <t>ABRIL</t>
  </si>
  <si>
    <t>SOLDADO SOP</t>
  </si>
  <si>
    <t>ZINCADO</t>
  </si>
  <si>
    <t>MECANIZADO</t>
  </si>
  <si>
    <t>PARCIAL</t>
  </si>
  <si>
    <t>ref</t>
  </si>
  <si>
    <t>FUNDIDO TOTAL / PROCESO OK</t>
  </si>
  <si>
    <t>FUNDICION PARCIAL  / PROCESO OK PARCIAL</t>
  </si>
  <si>
    <t>FUNDICION PROGRAMADA /EN PROCESO</t>
  </si>
  <si>
    <t>BENFICA</t>
  </si>
  <si>
    <t>FILTRO CHICO</t>
  </si>
  <si>
    <t>FILTRO MINI</t>
  </si>
  <si>
    <t>FILTRO GRANDE</t>
  </si>
  <si>
    <t>DODGE 1500</t>
  </si>
  <si>
    <t>TRAFIC S/PINTAR</t>
  </si>
  <si>
    <t xml:space="preserve">FIAT </t>
  </si>
  <si>
    <t>REGATA</t>
  </si>
  <si>
    <t>PROVEE SOPORTE</t>
  </si>
  <si>
    <t>PROVEE CAÑOS</t>
  </si>
  <si>
    <t>FIAT C/ PERNO (#2)</t>
  </si>
  <si>
    <t>R 9 (#3)</t>
  </si>
  <si>
    <t>ENTREGA</t>
  </si>
  <si>
    <t>RENAULT CLIO</t>
  </si>
  <si>
    <t xml:space="preserve">RENAULT 11 </t>
  </si>
  <si>
    <t>RENAULT 19</t>
  </si>
  <si>
    <t>RENAULT TRAFIC</t>
  </si>
  <si>
    <t>ESCORT 96</t>
  </si>
  <si>
    <t>FIESTA 97/KA</t>
  </si>
  <si>
    <t>SIERRA</t>
  </si>
  <si>
    <t>TWINGO</t>
  </si>
  <si>
    <t>RESPONSABLE</t>
  </si>
  <si>
    <t>STOCK FINAL</t>
  </si>
  <si>
    <t>CANTIDAD</t>
  </si>
  <si>
    <t>FECHA RETIRO STOCK</t>
  </si>
  <si>
    <t>CORTE</t>
  </si>
  <si>
    <t>FIESTA 97/ KA</t>
  </si>
  <si>
    <t>RENAULT 9/ 18</t>
  </si>
  <si>
    <t>TERMINADO</t>
  </si>
  <si>
    <t>CON SOPORTE</t>
  </si>
  <si>
    <t>CORSA diam 35</t>
  </si>
  <si>
    <t>d1500</t>
  </si>
  <si>
    <t>clio</t>
  </si>
  <si>
    <t>FIAT CON PERNO</t>
  </si>
  <si>
    <t>EN PROCESO</t>
  </si>
  <si>
    <t>REMITO / NT</t>
  </si>
  <si>
    <t>Nº</t>
  </si>
  <si>
    <t>FECHA</t>
  </si>
  <si>
    <t>NT</t>
  </si>
  <si>
    <t>2-00002809</t>
  </si>
  <si>
    <t>FIAT + FIAT C/PERNO</t>
  </si>
  <si>
    <t>2-00002810</t>
  </si>
  <si>
    <t>FASD</t>
  </si>
  <si>
    <t>FIAT C/ PERNO + FIAT + ESCORT 96</t>
  </si>
  <si>
    <t>2-00002803</t>
  </si>
  <si>
    <t>R19 + R9 + R12</t>
  </si>
  <si>
    <t>1860 PRUEBA</t>
  </si>
  <si>
    <t>STOCK</t>
  </si>
  <si>
    <t xml:space="preserve">PG </t>
  </si>
  <si>
    <t xml:space="preserve">Cremallera Ø 23,98 / L.CORTE 577mm </t>
  </si>
  <si>
    <t>Cremallera Ø 23,98 / L.CORTE 634mm</t>
  </si>
  <si>
    <t xml:space="preserve">Cremallera Ø 23,98 / L.CORTE 628mm </t>
  </si>
  <si>
    <t xml:space="preserve">Cremallera Ø 23,98 / L.CORTE 592mm </t>
  </si>
  <si>
    <t>tocho forja ø 57 x 50mm</t>
  </si>
  <si>
    <t>TIPO</t>
  </si>
  <si>
    <t>PENDIENTE OT FUNDICIÓN</t>
  </si>
  <si>
    <t>NUKE</t>
  </si>
  <si>
    <t>TERMINADAS</t>
  </si>
  <si>
    <t>MEWAR MEDIA CAÑA GDE</t>
  </si>
  <si>
    <t>MEWAR MEDIA CAÑA  CH</t>
  </si>
  <si>
    <t>RESISTENCIAS FUSORAS</t>
  </si>
  <si>
    <t>UBICACIÓN</t>
  </si>
  <si>
    <t>CANT</t>
  </si>
  <si>
    <t>ESTADO</t>
  </si>
  <si>
    <t>RIGON</t>
  </si>
  <si>
    <t>FALTA MEC</t>
  </si>
  <si>
    <t xml:space="preserve">ALAS GRANDES </t>
  </si>
  <si>
    <t>FALTA REB</t>
  </si>
  <si>
    <t>TAPA FILTRO MEDIANO</t>
  </si>
  <si>
    <t>FALTA PULIR</t>
  </si>
  <si>
    <t>FALTA SOLD + PINTAR</t>
  </si>
  <si>
    <t>FALTA PINTAR</t>
  </si>
  <si>
    <t>CARCAZA ESCORT 96</t>
  </si>
  <si>
    <t>CARCAZA R11</t>
  </si>
  <si>
    <t>CARCAZA TAUNUS COMPLETA</t>
  </si>
  <si>
    <t>STOCK PP Y PT</t>
  </si>
  <si>
    <t>CARCAZA D1500/ ESCORT 87 SIN SOP</t>
  </si>
  <si>
    <t>CARCAZA D1500</t>
  </si>
  <si>
    <t>DISTINTO Ø BENFICA</t>
  </si>
  <si>
    <t xml:space="preserve">NT </t>
  </si>
  <si>
    <t>2-00002811</t>
  </si>
  <si>
    <t>TRAFIC SOLO CUERPO + FIESTA 94 S/ PINTAR</t>
  </si>
  <si>
    <t>MAYO</t>
  </si>
  <si>
    <t>Cliente</t>
  </si>
  <si>
    <t>Modelo</t>
  </si>
  <si>
    <t>CAJAS DE DIRECCION</t>
  </si>
  <si>
    <t>PEUGEOT 505/GRII</t>
  </si>
  <si>
    <t>PEUGEOT PATNER/205</t>
  </si>
  <si>
    <t>RENAULT 12</t>
  </si>
  <si>
    <t>CORSA ROD. Ø 40</t>
  </si>
  <si>
    <t>CORSA ROD. Ø 35</t>
  </si>
  <si>
    <t>ESQUINERO RACK</t>
  </si>
  <si>
    <t xml:space="preserve">ESQUINERO MINI </t>
  </si>
  <si>
    <t>ALAS SKATES</t>
  </si>
  <si>
    <t>BASES SKATES</t>
  </si>
  <si>
    <t>ALAS SKATES GRANDES</t>
  </si>
  <si>
    <t>BASES SKATES GRANDES</t>
  </si>
  <si>
    <t>FILTRO CHICO  (rectangular)</t>
  </si>
  <si>
    <t>TAPA CHICA (rectangular)</t>
  </si>
  <si>
    <t>FILTRO MEDIANO</t>
  </si>
  <si>
    <t>TAPA MEDIANA</t>
  </si>
  <si>
    <t>TAPA GRANDE</t>
  </si>
  <si>
    <t>TAPA mini BENFICA</t>
  </si>
  <si>
    <t>BERLINGO</t>
  </si>
  <si>
    <t>TROMPETAS 1910</t>
  </si>
  <si>
    <t>TROMPETAS 1910 MOD BENFICA</t>
  </si>
  <si>
    <t>GOTA FORD 3 L - 1860</t>
  </si>
  <si>
    <t>ROCAM 1845</t>
  </si>
  <si>
    <t>ANTEN</t>
  </si>
  <si>
    <t>SOPORTE CHICO / MARIPOSA</t>
  </si>
  <si>
    <t>SOPORTE MEDIANO</t>
  </si>
  <si>
    <t>SOPORTE DOBLE</t>
  </si>
  <si>
    <t>SOPORTE GAMA</t>
  </si>
  <si>
    <t>CRUZETA FM</t>
  </si>
  <si>
    <t>COCO GIA</t>
  </si>
  <si>
    <t>BLOQUETES CON He</t>
  </si>
  <si>
    <t>ARCO</t>
  </si>
  <si>
    <t>TAPA ESCUADRA</t>
  </si>
  <si>
    <t>CAJA RECTANGULAR C/ TAPA</t>
  </si>
  <si>
    <t>ESCUADRA TRONZADOR</t>
  </si>
  <si>
    <t>TAPA COMPRESOR FINA</t>
  </si>
  <si>
    <t>TAPA COMPRESOR INTERMEDIA</t>
  </si>
  <si>
    <t>FORJA PIVOTE (23 63 15) EXTREMO FIAT</t>
  </si>
  <si>
    <t>FORJA PIVOTE (25 60 18R)</t>
  </si>
  <si>
    <t>FORJA</t>
  </si>
  <si>
    <t>PLAZO DE ENTREGA</t>
  </si>
  <si>
    <t>SOLDADURA</t>
  </si>
  <si>
    <t>SOLDAR BRIDA PIÑON PEUGEOT (48U502)</t>
  </si>
  <si>
    <t>SOLDAR BRIDA PIÑON R12 (48U303)</t>
  </si>
  <si>
    <t>MERCADERIA EN TRANSITO</t>
  </si>
  <si>
    <t>SALE</t>
  </si>
  <si>
    <t>REINGRESO BENFICA</t>
  </si>
  <si>
    <t>FALTANTE</t>
  </si>
  <si>
    <t>soldadura</t>
  </si>
  <si>
    <t xml:space="preserve">FECHA </t>
  </si>
  <si>
    <t>fecha 1</t>
  </si>
  <si>
    <t>cant</t>
  </si>
  <si>
    <t>fecha 2</t>
  </si>
  <si>
    <t>fecha 3</t>
  </si>
  <si>
    <t>PROVIENE</t>
  </si>
  <si>
    <t>caños fiat</t>
  </si>
  <si>
    <t>megal</t>
  </si>
  <si>
    <t>carcazas clio (REPINTAR)</t>
  </si>
  <si>
    <t>carcazas fiat c/perno (REPINTAR)</t>
  </si>
  <si>
    <t>carcaza escort 87 (REPINTAR)</t>
  </si>
  <si>
    <t>carcaza fiat - pernos - soportes</t>
  </si>
  <si>
    <t>pintura</t>
  </si>
  <si>
    <t>caños fiesta 94 c/ sop anillado</t>
  </si>
  <si>
    <t>zincado</t>
  </si>
  <si>
    <t>carcaza escort 87 - soportes</t>
  </si>
  <si>
    <t>carcaza regata</t>
  </si>
  <si>
    <t>as pintura</t>
  </si>
  <si>
    <t>caños R9</t>
  </si>
  <si>
    <t xml:space="preserve">carcaza fiesta 94  </t>
  </si>
  <si>
    <t xml:space="preserve">soporte - pernos fiat p/ c. perdidas </t>
  </si>
  <si>
    <t>carcaza dodge 1500</t>
  </si>
  <si>
    <t>carcaza taunus</t>
  </si>
  <si>
    <t>carcazas R9</t>
  </si>
  <si>
    <t>carcazas clio c/ sop. anillado</t>
  </si>
  <si>
    <t>carcazas escort 87 - soportes</t>
  </si>
  <si>
    <t>carcazas dodge 1500</t>
  </si>
  <si>
    <t>caños dodge 1500 p/ zincar</t>
  </si>
  <si>
    <t>caños trafic p/zincar</t>
  </si>
  <si>
    <t>caños escort 87</t>
  </si>
  <si>
    <t>caños clio</t>
  </si>
  <si>
    <t>caños r19 c/ sop p/ soldar</t>
  </si>
  <si>
    <t>carcazas fiat c/perno</t>
  </si>
  <si>
    <t>carcazas fiat c/perno c/sop p/soldar</t>
  </si>
  <si>
    <t>carcazas fiat</t>
  </si>
  <si>
    <t>carcazas clio</t>
  </si>
  <si>
    <t>carcazas r9</t>
  </si>
  <si>
    <t>carcazas r19 c/ sop anillado</t>
  </si>
  <si>
    <t>caños r19 c/ soporte</t>
  </si>
  <si>
    <t>caños escort 96 y soportes</t>
  </si>
  <si>
    <t>caños, pernos y soportes fiat</t>
  </si>
  <si>
    <t>X</t>
  </si>
  <si>
    <t>clio c/ sop. anillado</t>
  </si>
  <si>
    <t>carcazas regatta</t>
  </si>
  <si>
    <t>escort 96 y soportes</t>
  </si>
  <si>
    <t>pedestales</t>
  </si>
  <si>
    <t xml:space="preserve">escort 87   </t>
  </si>
  <si>
    <t>dodge 1500</t>
  </si>
  <si>
    <t>escort c/ sop</t>
  </si>
  <si>
    <t>escort 87 y soportes</t>
  </si>
  <si>
    <t>fiat, soporte y perno</t>
  </si>
  <si>
    <t>caños fiat p/ zincar</t>
  </si>
  <si>
    <t>caños trafic c/ sop anillado</t>
  </si>
  <si>
    <t>ver</t>
  </si>
  <si>
    <t>dodge 1500 para RETRABAJAR</t>
  </si>
  <si>
    <t xml:space="preserve">fiat </t>
  </si>
  <si>
    <t>fiesta 94 c/ sop anillado</t>
  </si>
  <si>
    <t>taunus</t>
  </si>
  <si>
    <t>sierra (lena) recibimos nos</t>
  </si>
  <si>
    <t>fiat c/ sop y perno</t>
  </si>
  <si>
    <t>fiat</t>
  </si>
  <si>
    <t>R9</t>
  </si>
  <si>
    <t>trafic c/ sop anillado</t>
  </si>
  <si>
    <t>caños fiesta 97/ka</t>
  </si>
  <si>
    <t>soportes fiesta 97 c/ perno soldado</t>
  </si>
  <si>
    <t>soportes-perno fiesta 97</t>
  </si>
  <si>
    <t>caños clio c/ sop anillado</t>
  </si>
  <si>
    <t>caños regata</t>
  </si>
  <si>
    <t>caños r9</t>
  </si>
  <si>
    <t>FIESTA 94 P/RETRABAJAR</t>
  </si>
  <si>
    <t>VER VASCO</t>
  </si>
  <si>
    <t>CAÑOS/SOP/PERNO FIAT</t>
  </si>
  <si>
    <t>CAÑOS TAUNUS</t>
  </si>
  <si>
    <t>CARCAZAS FIAT</t>
  </si>
  <si>
    <t>CARCAZAS FIAT C/PERNO</t>
  </si>
  <si>
    <t>CARCAZAS CLIO C/SOP ANILL</t>
  </si>
  <si>
    <t>CARCAZAS FIAT/SOP/PERNO</t>
  </si>
  <si>
    <t>CARCAZA FIESTA 97/TUBO</t>
  </si>
  <si>
    <t>carcaza clio</t>
  </si>
  <si>
    <t>caños r 19</t>
  </si>
  <si>
    <t>fiat c/perno mecaniz</t>
  </si>
  <si>
    <t>TWINGO LENA</t>
  </si>
  <si>
    <t>carcazas fiesta 94 c/sop</t>
  </si>
  <si>
    <t>carcazas r 11 c/sop</t>
  </si>
  <si>
    <t>carcazas d 1500</t>
  </si>
  <si>
    <t>carcazas d 1500 p/retrabajar</t>
  </si>
  <si>
    <t>fiat lisa p/retrabajar</t>
  </si>
  <si>
    <t>carcazas trafic</t>
  </si>
  <si>
    <t>carcazas,sop,pernos fiat</t>
  </si>
  <si>
    <t>carcazas r 19</t>
  </si>
  <si>
    <t>carcazas d 1500   ELEPINT</t>
  </si>
  <si>
    <t>carcazas fiatc/perno   ELEPINT</t>
  </si>
  <si>
    <t>carcaza trafic   ELEPINT</t>
  </si>
  <si>
    <t>carcaza fiesta ELEPINT</t>
  </si>
  <si>
    <t>carcaza fiesta c/sop</t>
  </si>
  <si>
    <t>caños sierra vasco p/fundir</t>
  </si>
  <si>
    <t xml:space="preserve">caños y sop escort 87 </t>
  </si>
  <si>
    <t>carcaza fiesta 94 c/sop</t>
  </si>
  <si>
    <t>carcaza fiat ELEPINT</t>
  </si>
  <si>
    <t>caños r 9</t>
  </si>
  <si>
    <t xml:space="preserve">carcazas r 19 </t>
  </si>
  <si>
    <t>caño sierra</t>
  </si>
  <si>
    <t>carcaza clio c/sop anillado</t>
  </si>
  <si>
    <t>carcaza escort 87 + soporte</t>
  </si>
  <si>
    <t>carcaza fiat</t>
  </si>
  <si>
    <t>carcaza r 9</t>
  </si>
  <si>
    <t>carcaza escort 87</t>
  </si>
  <si>
    <t>caños d 1500</t>
  </si>
  <si>
    <t>carcazas fiesta 94</t>
  </si>
  <si>
    <t>carcaza r 18</t>
  </si>
  <si>
    <t>carcaza r 19</t>
  </si>
  <si>
    <t>caños trafic c/sop</t>
  </si>
  <si>
    <t>carcazas r 9</t>
  </si>
  <si>
    <t>carcazas r 11</t>
  </si>
  <si>
    <t>carcaza fiat c/p</t>
  </si>
  <si>
    <t>caño taunus</t>
  </si>
  <si>
    <t>caño r 19</t>
  </si>
  <si>
    <t>carcaza fiat lisa</t>
  </si>
  <si>
    <t>carcaza trafic</t>
  </si>
  <si>
    <t>caño fiat</t>
  </si>
  <si>
    <t>carcaza fiesta 97</t>
  </si>
  <si>
    <t>carcazas fiesta 97</t>
  </si>
  <si>
    <t>soporte dax REBABADO</t>
  </si>
  <si>
    <t>soportes dax</t>
  </si>
  <si>
    <t>carcaza fiesta 94</t>
  </si>
  <si>
    <t>carcazas fiat c/p</t>
  </si>
  <si>
    <t>carcazas sierra</t>
  </si>
  <si>
    <t>caños f 94</t>
  </si>
  <si>
    <t>caños f 97</t>
  </si>
  <si>
    <t>???</t>
  </si>
  <si>
    <t>fiesta 94</t>
  </si>
  <si>
    <t>escort 87</t>
  </si>
  <si>
    <t>carcaza escort 96</t>
  </si>
  <si>
    <t xml:space="preserve">caño clio </t>
  </si>
  <si>
    <t>sierra</t>
  </si>
  <si>
    <t>fiat c/perno</t>
  </si>
  <si>
    <t>r 9</t>
  </si>
  <si>
    <t>caño d 1500</t>
  </si>
  <si>
    <t>caño regatta</t>
  </si>
  <si>
    <t>trafic</t>
  </si>
  <si>
    <t>regatta</t>
  </si>
  <si>
    <t>fiat lisa</t>
  </si>
  <si>
    <t>r 19</t>
  </si>
  <si>
    <t>d 1500</t>
  </si>
  <si>
    <t>r 18</t>
  </si>
  <si>
    <t>fiat c/p</t>
  </si>
  <si>
    <t>caños fiesta</t>
  </si>
  <si>
    <t>r 11</t>
  </si>
  <si>
    <t>caños twingo vasco</t>
  </si>
  <si>
    <t xml:space="preserve">escort 96 </t>
  </si>
  <si>
    <t>caño trafic</t>
  </si>
  <si>
    <t>caño fiat c/p</t>
  </si>
  <si>
    <t>fiesta 97</t>
  </si>
  <si>
    <t>RN 19</t>
  </si>
  <si>
    <t>RN 9</t>
  </si>
  <si>
    <t>FIAT LISA</t>
  </si>
  <si>
    <t xml:space="preserve">TWINGO </t>
  </si>
  <si>
    <t>twingo</t>
  </si>
  <si>
    <t>dispositivo twingo</t>
  </si>
  <si>
    <t>dispositivo fiesta 94</t>
  </si>
  <si>
    <t>DISPOSITIVO CLIO</t>
  </si>
  <si>
    <t>caño d1500</t>
  </si>
  <si>
    <t>especial RN 19</t>
  </si>
  <si>
    <t>Rn 9</t>
  </si>
  <si>
    <t>rn 9</t>
  </si>
  <si>
    <t>RN 11</t>
  </si>
  <si>
    <t>rn 19</t>
  </si>
  <si>
    <t>SIErra</t>
  </si>
  <si>
    <t>fiesta 94 largas</t>
  </si>
  <si>
    <t>Fiat Lisa</t>
  </si>
  <si>
    <t>Fiat Lisa c/Perno</t>
  </si>
  <si>
    <t>Fiesta ´94</t>
  </si>
  <si>
    <t>escort 96</t>
  </si>
  <si>
    <t>caño escort 87</t>
  </si>
  <si>
    <t>caño r 9</t>
  </si>
  <si>
    <t>fiat con perno</t>
  </si>
  <si>
    <t>BLOQUETES BRONCE</t>
  </si>
  <si>
    <t>FILTRO MINI DIAM CHICO</t>
  </si>
  <si>
    <t>TAPA MINI</t>
  </si>
  <si>
    <t xml:space="preserve">FILTRO CHICO </t>
  </si>
  <si>
    <t>TAPA CHICA</t>
  </si>
  <si>
    <t>FILTRO MINI DIAM GDE</t>
  </si>
  <si>
    <t>CORTADOS</t>
  </si>
  <si>
    <t>MEC</t>
  </si>
  <si>
    <t>REM</t>
  </si>
  <si>
    <t>2-152</t>
  </si>
  <si>
    <t>(490) PISTOLAS DE AIRES</t>
  </si>
  <si>
    <t>OT BF</t>
  </si>
  <si>
    <t>2-00002817</t>
  </si>
  <si>
    <t>205kg bronce en bloquetes (1929u)</t>
  </si>
  <si>
    <t>TOTAL</t>
  </si>
  <si>
    <t>PENDIENTE FUNDIR</t>
  </si>
  <si>
    <t xml:space="preserve">R 9 </t>
  </si>
  <si>
    <t>2-00002818</t>
  </si>
  <si>
    <t>2-00002819</t>
  </si>
  <si>
    <t>FIAT LISA + FIAT C/PERNO + TAPONES</t>
  </si>
  <si>
    <t xml:space="preserve">TRAFIC </t>
  </si>
  <si>
    <t>2-00002820</t>
  </si>
  <si>
    <t>5138 + 5147</t>
  </si>
  <si>
    <t>1-76886</t>
  </si>
  <si>
    <t>MDT</t>
  </si>
  <si>
    <t>DESCRIPCIÓN</t>
  </si>
  <si>
    <t>9-161558</t>
  </si>
  <si>
    <t>FACT</t>
  </si>
  <si>
    <t>CAÑOS PLAZA</t>
  </si>
  <si>
    <t xml:space="preserve">REM </t>
  </si>
  <si>
    <t>19-15514</t>
  </si>
  <si>
    <t>ACEROS BORRONI (LENA)</t>
  </si>
  <si>
    <t>1040 - 42MM (CANTIDAD: 1542 KG)</t>
  </si>
  <si>
    <t>TUBO 28,58 X 1,59L (CANTIDAD: 1199KG = 1TN)</t>
  </si>
  <si>
    <t>ALSI 132  (CANTIDAD: KG BRUTO 2006 / KG NETO 2002) - ANALISIS: 7211 - 4 FARDOS X 332 LINGO</t>
  </si>
  <si>
    <t>PROVEEDOR / CLIENTE</t>
  </si>
  <si>
    <t>1-00002425</t>
  </si>
  <si>
    <t>INGRESO</t>
  </si>
  <si>
    <t>MP CORTE</t>
  </si>
  <si>
    <t xml:space="preserve">MP  </t>
  </si>
  <si>
    <t>DEVOLUCIÓN/ CAMBIO</t>
  </si>
  <si>
    <t>DEV 01</t>
  </si>
  <si>
    <r>
      <t>GOL (x1) + R19 (x1) + D1500 (x1)</t>
    </r>
    <r>
      <rPr>
        <sz val="11"/>
        <color rgb="FFFF0000"/>
        <rFont val="Calibri"/>
        <family val="2"/>
        <scheme val="minor"/>
      </rPr>
      <t xml:space="preserve"> (DEV 01)</t>
    </r>
  </si>
  <si>
    <t>DEV 02</t>
  </si>
  <si>
    <t>TOCHO CAJA AXIAL (Ø42 x 60mm) TRAF. SAE 1040</t>
  </si>
  <si>
    <t>VARIOS</t>
  </si>
  <si>
    <t>CLIENTES</t>
  </si>
  <si>
    <t>PROFUNDIDAD</t>
  </si>
  <si>
    <t>CANCELO</t>
  </si>
  <si>
    <t>FILTRO mini BENFICA Ø GRANDE</t>
  </si>
  <si>
    <t>FILTRO mini BENFICA Ø CHICO</t>
  </si>
  <si>
    <t>TOTAL DIAS</t>
  </si>
  <si>
    <t>1860 (GOTA)</t>
  </si>
  <si>
    <t>BASE FORD 3L - 1861</t>
  </si>
  <si>
    <t>JUNIO</t>
  </si>
  <si>
    <t>JULIO</t>
  </si>
  <si>
    <t>AGOSTO</t>
  </si>
  <si>
    <t>SEPTIEMBRE</t>
  </si>
  <si>
    <t>x</t>
  </si>
  <si>
    <t>PLANIFICACIÓN FUNDICIÓN ALUMINIO</t>
  </si>
  <si>
    <t xml:space="preserve">CLIO </t>
  </si>
  <si>
    <t xml:space="preserve">DODGE 1500  </t>
  </si>
  <si>
    <t xml:space="preserve">FIAT C/ PERNO  </t>
  </si>
  <si>
    <t xml:space="preserve">FIESTA 94  </t>
  </si>
  <si>
    <t xml:space="preserve">GOL  </t>
  </si>
  <si>
    <t xml:space="preserve">P 205 / PARTNER </t>
  </si>
  <si>
    <t xml:space="preserve">PEUGEOT 505/GRII </t>
  </si>
  <si>
    <t xml:space="preserve">R 12  </t>
  </si>
  <si>
    <t xml:space="preserve">R 9  </t>
  </si>
  <si>
    <t xml:space="preserve">TRAFIC  </t>
  </si>
  <si>
    <t xml:space="preserve">esquineros - termonor - filtro gde - tapa gde - tapones </t>
  </si>
  <si>
    <t>STATUS (Días para entrega)</t>
  </si>
  <si>
    <t>OT      (Tiempo OC recibida)</t>
  </si>
  <si>
    <t>FUDICIÓN</t>
  </si>
  <si>
    <t>DEVOLUCIÓN</t>
  </si>
  <si>
    <t>2-00002823</t>
  </si>
  <si>
    <t>2-00002824</t>
  </si>
  <si>
    <t>ESQUINEROS</t>
  </si>
  <si>
    <t xml:space="preserve">PRECIO </t>
  </si>
  <si>
    <t>DEBE</t>
  </si>
  <si>
    <t>CODIGO</t>
  </si>
  <si>
    <t>PEDIR</t>
  </si>
  <si>
    <t>PEDIDO SOPORTES BRUZZESE 18/5</t>
  </si>
  <si>
    <t>2-00002827</t>
  </si>
  <si>
    <t>19/5</t>
  </si>
  <si>
    <t>R9 SIN PINTAR</t>
  </si>
  <si>
    <t>2-00002829</t>
  </si>
  <si>
    <t>20/5</t>
  </si>
  <si>
    <t xml:space="preserve">TOCHO / FORJA </t>
  </si>
  <si>
    <t>5195/5198</t>
  </si>
  <si>
    <t>2-00002830</t>
  </si>
  <si>
    <t>100 R9 / 100 F94</t>
  </si>
  <si>
    <t>2-00002828</t>
  </si>
  <si>
    <t>ELEPINT</t>
  </si>
  <si>
    <t>133 TRAFIC / 100 F94</t>
  </si>
  <si>
    <t>L</t>
  </si>
  <si>
    <t>L/T</t>
  </si>
  <si>
    <t>T</t>
  </si>
  <si>
    <t>CREMALLERA GRII (CORTE 606mm)</t>
  </si>
  <si>
    <t>CREMALLERA R9 (CORTE 586mm)</t>
  </si>
  <si>
    <t>CREMALLERA GOL (CORTE 525mm)</t>
  </si>
  <si>
    <t>22/5/15</t>
  </si>
  <si>
    <t>FORJA PIVOTE (25 74 16)</t>
  </si>
  <si>
    <t>FORJA PIVOTE (25 58 16R)</t>
  </si>
  <si>
    <t>P 205 /PARTNER</t>
  </si>
  <si>
    <t>27-5-15</t>
  </si>
  <si>
    <t xml:space="preserve">FIESTA 94 </t>
  </si>
  <si>
    <t>2-00002839</t>
  </si>
  <si>
    <t>2-00002841</t>
  </si>
  <si>
    <t>PG</t>
  </si>
  <si>
    <t>CREMALLERAS</t>
  </si>
  <si>
    <t>FIAT + FIESTA 94 + TAPONES</t>
  </si>
  <si>
    <t>28/5</t>
  </si>
  <si>
    <t>28/5/15</t>
  </si>
  <si>
    <t>P 505/ GRII</t>
  </si>
  <si>
    <t>2-00002838</t>
  </si>
  <si>
    <t>27/5</t>
  </si>
  <si>
    <t>FORJA (23 63 15) + BRIDS PEUGEOT Y R12</t>
  </si>
  <si>
    <t>2-00002842</t>
  </si>
  <si>
    <t>2-00002844</t>
  </si>
  <si>
    <t xml:space="preserve">FORJA (23 63 15)  </t>
  </si>
  <si>
    <t>2-00002845</t>
  </si>
  <si>
    <t>GRII</t>
  </si>
  <si>
    <t>29/5</t>
  </si>
  <si>
    <t>2-00002846</t>
  </si>
  <si>
    <t>30/6/15</t>
  </si>
  <si>
    <t>r9</t>
  </si>
  <si>
    <t>S</t>
  </si>
  <si>
    <t>2-00002847</t>
  </si>
  <si>
    <t>2-00002848</t>
  </si>
  <si>
    <t>2-00002849</t>
  </si>
  <si>
    <t>FIESTA 94 + R9</t>
  </si>
  <si>
    <t>2-00002850</t>
  </si>
  <si>
    <t>12 CAJAS PROTOTIPO</t>
  </si>
  <si>
    <t>2-00002851</t>
  </si>
  <si>
    <t>FIESTA 94 + FIAT</t>
  </si>
  <si>
    <t>2-00002852</t>
  </si>
  <si>
    <t>2-00002854</t>
  </si>
  <si>
    <t>2-00002855</t>
  </si>
  <si>
    <t>MUESTRAS 1845 + 1861</t>
  </si>
  <si>
    <t>BLOQUETES 3042</t>
  </si>
  <si>
    <t>140 ESQUINEROS</t>
  </si>
  <si>
    <t xml:space="preserve">TAPA INTERMEDIA </t>
  </si>
  <si>
    <t>CANT X DÍA</t>
  </si>
  <si>
    <t>2-00002856</t>
  </si>
  <si>
    <t>(60) F94</t>
  </si>
  <si>
    <t>DEV 03</t>
  </si>
  <si>
    <t>DEV 04</t>
  </si>
  <si>
    <t>MES DE CIERRE OT</t>
  </si>
  <si>
    <t>20-7-15</t>
  </si>
  <si>
    <t>15-6-15</t>
  </si>
  <si>
    <t>S/T</t>
  </si>
  <si>
    <t>BF</t>
  </si>
  <si>
    <t>r11</t>
  </si>
  <si>
    <t>FIAT C/ PERNO + F94 + R11</t>
  </si>
  <si>
    <t>2-00002862</t>
  </si>
  <si>
    <t>e1</t>
  </si>
  <si>
    <t>e2</t>
  </si>
  <si>
    <t xml:space="preserve">e </t>
  </si>
  <si>
    <t>e</t>
  </si>
  <si>
    <t>e3</t>
  </si>
  <si>
    <t>e4</t>
  </si>
  <si>
    <t>E4</t>
  </si>
  <si>
    <t>E5</t>
  </si>
  <si>
    <t>E3</t>
  </si>
  <si>
    <t>E2</t>
  </si>
  <si>
    <t>E1</t>
  </si>
  <si>
    <t>E6</t>
  </si>
  <si>
    <t>E7</t>
  </si>
  <si>
    <t>E8</t>
  </si>
  <si>
    <t>17-6-15</t>
  </si>
  <si>
    <t>solo nunez</t>
  </si>
  <si>
    <t>fiat c/ perno</t>
  </si>
  <si>
    <t>CORTE DIAM 36 x 150mm (+-5mm)</t>
  </si>
  <si>
    <t>CORTE 630mm DIAM 30,98mm</t>
  </si>
  <si>
    <t>CORTE 701mm DIAM 29,98mm</t>
  </si>
  <si>
    <t>CORTE 551mm DIAM 24,98mm</t>
  </si>
  <si>
    <t>CORTE 608mm DIAM 24,98mm</t>
  </si>
  <si>
    <t>CORTE 573mm DIAM 24,98mm</t>
  </si>
  <si>
    <t>CORTE 888mm DIAM 27,70mm</t>
  </si>
  <si>
    <t>CORTE 813mm DIAM 27,98mm</t>
  </si>
  <si>
    <t>23-5-15</t>
  </si>
  <si>
    <t>15-06-15</t>
  </si>
  <si>
    <t>FORJA PIVOTE (25 60 18R) ROTULA R9-11</t>
  </si>
  <si>
    <t>30-06-15</t>
  </si>
  <si>
    <t>fasd</t>
  </si>
  <si>
    <t>lena</t>
  </si>
  <si>
    <t>fiat + p</t>
  </si>
  <si>
    <t>f94</t>
  </si>
  <si>
    <t>regata</t>
  </si>
  <si>
    <t>total</t>
  </si>
  <si>
    <t>FABRICACIÓN CAÑOS</t>
  </si>
  <si>
    <t>PENDIENTE FABRICAR</t>
  </si>
  <si>
    <t>A</t>
  </si>
  <si>
    <t>28-5-15</t>
  </si>
  <si>
    <t>29-5-15</t>
  </si>
  <si>
    <t>T/V</t>
  </si>
  <si>
    <t>T/S</t>
  </si>
  <si>
    <t>FIAT C/PERNO</t>
  </si>
  <si>
    <t>R12</t>
  </si>
  <si>
    <t>1-00005951</t>
  </si>
  <si>
    <t>24/6</t>
  </si>
  <si>
    <t>MATRIZ</t>
  </si>
  <si>
    <t xml:space="preserve">1 MATRIZ PUENTE GAMA + 1 MATRIZ SOPORTE CHICO </t>
  </si>
  <si>
    <t>24-06-15</t>
  </si>
  <si>
    <t>SOPORTE CHICO</t>
  </si>
  <si>
    <t>PUENTE GAMA</t>
  </si>
  <si>
    <t>DEV 05</t>
  </si>
  <si>
    <t>23-06-15</t>
  </si>
  <si>
    <t>30-07-15</t>
  </si>
  <si>
    <t>23/6</t>
  </si>
  <si>
    <t>18-06-15</t>
  </si>
  <si>
    <t>26-06-15</t>
  </si>
  <si>
    <t>vasco</t>
  </si>
  <si>
    <t>r19</t>
  </si>
  <si>
    <t>F97 / KA</t>
  </si>
  <si>
    <t>T/A</t>
  </si>
  <si>
    <t>NUNES</t>
  </si>
  <si>
    <t>sabado</t>
  </si>
  <si>
    <t>BASES CHICAS</t>
  </si>
  <si>
    <t>FORJA PIVOTE (23 70 17) EXTREMO RENAULT / PEUGEOT</t>
  </si>
  <si>
    <t>FORJA PIVOTE (25 58 16R) ROTULA SENDA GOL</t>
  </si>
  <si>
    <t>FORJA PIVOTE (25 64 16) ROTULA CURVA CORSA</t>
  </si>
  <si>
    <t xml:space="preserve">R9 </t>
  </si>
  <si>
    <t>total operarios x matriz</t>
  </si>
  <si>
    <t>FORD DURATEC - 1870</t>
  </si>
  <si>
    <t>caño escort 87 = d1500</t>
  </si>
  <si>
    <t>13-07-15</t>
  </si>
  <si>
    <t>E9</t>
  </si>
  <si>
    <t>E10</t>
  </si>
  <si>
    <t>14-7</t>
  </si>
  <si>
    <t>17/7</t>
  </si>
  <si>
    <t>16/7</t>
  </si>
  <si>
    <t>CRISOL CCB 250</t>
  </si>
  <si>
    <t>PEANA CILINDRICA N° 29</t>
  </si>
  <si>
    <t>DESCRIPCION</t>
  </si>
  <si>
    <t>USD</t>
  </si>
  <si>
    <t>15-07-15</t>
  </si>
  <si>
    <t>PIÑON FIAT (118,9mm)</t>
  </si>
  <si>
    <t>PIÑON FIESTA 94 (104,6mm)</t>
  </si>
  <si>
    <t>17-07-15</t>
  </si>
  <si>
    <t>22/7</t>
  </si>
  <si>
    <t>SOP. TRAFIC</t>
  </si>
  <si>
    <t>(TOTAL 300) P/ OT 5228 (291) + OT 5213 (9)</t>
  </si>
  <si>
    <t>TUBO DIAM 28,58</t>
  </si>
  <si>
    <t>TUBO DIAM 34,92</t>
  </si>
  <si>
    <t>GASTO EMBALAJE</t>
  </si>
  <si>
    <t>PRECIO UNI</t>
  </si>
  <si>
    <t>23/7/15</t>
  </si>
  <si>
    <t>DEV</t>
  </si>
  <si>
    <t>25-07-15</t>
  </si>
  <si>
    <t>E11</t>
  </si>
  <si>
    <t>E13</t>
  </si>
  <si>
    <t>E14</t>
  </si>
  <si>
    <t>clio (fasd)</t>
  </si>
  <si>
    <t>fiat (vasco)</t>
  </si>
  <si>
    <t>regata (fasd)</t>
  </si>
  <si>
    <t>FUNDICION</t>
  </si>
  <si>
    <t>PIÑON CHEVROLET CORSA</t>
  </si>
  <si>
    <t>PIÑON R19/ CLIO / EXPRESS / KANGOO</t>
  </si>
  <si>
    <t>TOCHO CAJA AXIAL (Ø46 x 33mm) TRAF. SAE 1040</t>
  </si>
  <si>
    <t>30-7-15</t>
  </si>
  <si>
    <t>FORJA PIVOTE (23 70 16)</t>
  </si>
  <si>
    <t xml:space="preserve">FORJA PIVOTE (25 70 16) </t>
  </si>
  <si>
    <t>31/7</t>
  </si>
  <si>
    <t>clio (lena)</t>
  </si>
  <si>
    <t>PERNOS FIAT</t>
  </si>
  <si>
    <t>ESQUINEROS PULIDO ESPEJO</t>
  </si>
  <si>
    <t>22-07-15</t>
  </si>
  <si>
    <t>OTRO</t>
  </si>
  <si>
    <t>SOP TRAFIC PROVEE CLIENTE (A DEFINIR ORDEN)</t>
  </si>
  <si>
    <t>FORJA PIVOTE (25 74 16) BRAZO FIAT VARIOS</t>
  </si>
  <si>
    <t>30-08-15</t>
  </si>
  <si>
    <t>FORJA PIVOTE (25 70 16) EXTREMO FALCON</t>
  </si>
  <si>
    <t>30-08-16</t>
  </si>
  <si>
    <t>E12</t>
  </si>
  <si>
    <t>clio (lena + fasd)</t>
  </si>
  <si>
    <t>fiat (fasd)</t>
  </si>
  <si>
    <t>fiat c/ perno (fasd)</t>
  </si>
  <si>
    <t>14-08-15</t>
  </si>
  <si>
    <t>1620 p entregar 20/8</t>
  </si>
  <si>
    <t>SE ENTREGO MEDIDA SIN ORDEN DE LENA</t>
  </si>
  <si>
    <t>fiesta 94 (fasd)</t>
  </si>
  <si>
    <t>19-8</t>
  </si>
  <si>
    <t>20/8</t>
  </si>
  <si>
    <t>P505/GRII</t>
  </si>
  <si>
    <t>20-08-15</t>
  </si>
  <si>
    <t>20-08-16</t>
  </si>
  <si>
    <t>20-08-17</t>
  </si>
  <si>
    <t>20-08-18</t>
  </si>
  <si>
    <t>DIAM 23,80 (208mm)</t>
  </si>
  <si>
    <t>DIAM 25,40 (665mm)</t>
  </si>
  <si>
    <t>DIAM 24,30 (628mm)</t>
  </si>
  <si>
    <t>DIAM 24,30 (592mm)</t>
  </si>
  <si>
    <t>DIAM 24,30 (579mm)</t>
  </si>
  <si>
    <t>DIAM 19,10 (1000mm)</t>
  </si>
  <si>
    <t>HEX 19,05 (1000mm)</t>
  </si>
  <si>
    <t xml:space="preserve">ESQUINEROS  </t>
  </si>
  <si>
    <t>quedan 1 barra x cortar</t>
  </si>
  <si>
    <t>TOCHO(Ø57mm x 50mm) TRAF SAE 1040</t>
  </si>
  <si>
    <t>ANULADO</t>
  </si>
  <si>
    <t>27-08-15</t>
  </si>
  <si>
    <t>24-07-15</t>
  </si>
  <si>
    <t>E16</t>
  </si>
  <si>
    <t>fiesta 94 (lena)</t>
  </si>
  <si>
    <t>27-8</t>
  </si>
  <si>
    <t>28-8</t>
  </si>
  <si>
    <t>FUNLUX</t>
  </si>
  <si>
    <t>FAROLAS</t>
  </si>
  <si>
    <t>28-08-15</t>
  </si>
  <si>
    <t>28-09-15</t>
  </si>
  <si>
    <t>31-08-15</t>
  </si>
  <si>
    <t>CORTE DIAM 38 X 1m</t>
  </si>
  <si>
    <t>CORTE DIAM 40 x 1m</t>
  </si>
  <si>
    <t>CORTE DIAM 42 x 1m</t>
  </si>
  <si>
    <t>CORTE DIAM 50,80 x 1m</t>
  </si>
  <si>
    <t>CORTE DIAM 55 x 1m</t>
  </si>
  <si>
    <t>DIAM 25,40 (813mm) retrabajar a 630mm</t>
  </si>
  <si>
    <t>PERNO FIAT</t>
  </si>
  <si>
    <t>PERNO FIESTA 97/KA</t>
  </si>
  <si>
    <t>PROFUNDIDADES</t>
  </si>
  <si>
    <t>trafic (fasd)</t>
  </si>
  <si>
    <t>STOCK ANT</t>
  </si>
  <si>
    <t>INGRESO STACO ANT</t>
  </si>
  <si>
    <t>INGRESO STACO 8/9/15</t>
  </si>
  <si>
    <t>STOCK AL 9/9/15</t>
  </si>
  <si>
    <t>A001000003124</t>
  </si>
  <si>
    <t>MP</t>
  </si>
  <si>
    <t>TUBO 28,58 X 1,59L (CANTIDAD: 559KG) + TUBO 34,92 (CANTIDAD: 249KG)</t>
  </si>
  <si>
    <t>escort 87 (fasd)</t>
  </si>
  <si>
    <t>fiesta 97 (fasd)</t>
  </si>
  <si>
    <t>R9 (vasco)</t>
  </si>
  <si>
    <t>OCTUBRE</t>
  </si>
  <si>
    <t>14-09-15</t>
  </si>
  <si>
    <t>14-10-15</t>
  </si>
  <si>
    <t>P205/PARTNER</t>
  </si>
  <si>
    <t>RETIRO 14/9/15</t>
  </si>
  <si>
    <t>ESQUINEROS MINI</t>
  </si>
  <si>
    <t>14-9-15</t>
  </si>
  <si>
    <t>14-9</t>
  </si>
  <si>
    <t>R19 (fasd)</t>
  </si>
  <si>
    <t>R11 (fasd)</t>
  </si>
  <si>
    <t>R9 (fasd)</t>
  </si>
  <si>
    <t>CORSA  diam 40</t>
  </si>
  <si>
    <t>16-9</t>
  </si>
  <si>
    <t>remito</t>
  </si>
  <si>
    <t>17-09-15</t>
  </si>
  <si>
    <t>25-09-15</t>
  </si>
  <si>
    <t>21-09-15</t>
  </si>
  <si>
    <t>21-10-15</t>
  </si>
  <si>
    <t>19-09-15</t>
  </si>
  <si>
    <t>19-10-15</t>
  </si>
  <si>
    <t>STOCK AL 22/9</t>
  </si>
  <si>
    <t>22-09-15</t>
  </si>
  <si>
    <t>D1500 (lena)</t>
  </si>
  <si>
    <t>23-9</t>
  </si>
  <si>
    <t>23-09-15</t>
  </si>
  <si>
    <t>15-10-15</t>
  </si>
  <si>
    <t>15-11-15</t>
  </si>
  <si>
    <t>15-12-15</t>
  </si>
  <si>
    <t>24-9</t>
  </si>
  <si>
    <t>ENTREGAS SEPTIEMBRE</t>
  </si>
  <si>
    <t>CARCAZAS CON CAÑO</t>
  </si>
  <si>
    <t>CARCAZAS SIN CAÑO</t>
  </si>
  <si>
    <t>TECNOBOX (ESQUINEROS)</t>
  </si>
  <si>
    <t>TECNOBOX (OTROS)</t>
  </si>
  <si>
    <t>HELMONT (FILROS)</t>
  </si>
  <si>
    <t>HELMONT (TAPAS)</t>
  </si>
  <si>
    <t>EN MEC</t>
  </si>
  <si>
    <t>EN PINTURA</t>
  </si>
  <si>
    <t>INGRESO BRUZZESE23/9</t>
  </si>
  <si>
    <t>STOCK AL 23/9</t>
  </si>
  <si>
    <t>RETIRO 22/9 + 23/9</t>
  </si>
  <si>
    <t>STOCK AL 28/9</t>
  </si>
  <si>
    <t>D1500</t>
  </si>
  <si>
    <t>28-9</t>
  </si>
  <si>
    <t>E17</t>
  </si>
  <si>
    <t>E18</t>
  </si>
  <si>
    <t>18/19</t>
  </si>
  <si>
    <t>E19</t>
  </si>
  <si>
    <t>E20</t>
  </si>
  <si>
    <t>CORTE DIAM 23,25 (589mm )</t>
  </si>
  <si>
    <t>CORTE DIAM 23,25 (468mm)</t>
  </si>
  <si>
    <t>clio (vasco)</t>
  </si>
  <si>
    <t>SEM 41</t>
  </si>
  <si>
    <t>SEM 42</t>
  </si>
  <si>
    <t>SEM 43</t>
  </si>
  <si>
    <t>SEM 44</t>
  </si>
  <si>
    <t>SEM 45</t>
  </si>
  <si>
    <t>TOCHO (DIAM 67mm x 40 mm)</t>
  </si>
  <si>
    <t>16/10/15</t>
  </si>
  <si>
    <t>FILTRO MINI DIAM CH</t>
  </si>
  <si>
    <t>30/10/15</t>
  </si>
  <si>
    <t>FUNDICON</t>
  </si>
  <si>
    <t>ver kg</t>
  </si>
  <si>
    <t>trafic (lena)</t>
  </si>
  <si>
    <t>NOVIEMBRE</t>
  </si>
  <si>
    <t>DICIEMBRE</t>
  </si>
  <si>
    <t>SEM 46</t>
  </si>
  <si>
    <t>SEM 47</t>
  </si>
  <si>
    <t>SEM 48</t>
  </si>
  <si>
    <t>SEM 49</t>
  </si>
  <si>
    <t>SEM 50</t>
  </si>
  <si>
    <t>SEM 52</t>
  </si>
  <si>
    <t>SEM 53</t>
  </si>
  <si>
    <t>SEM 54</t>
  </si>
  <si>
    <t>FERIADO</t>
  </si>
  <si>
    <t>CAMBIAR</t>
  </si>
  <si>
    <t>SAB X 31</t>
  </si>
  <si>
    <t>E</t>
  </si>
  <si>
    <t>falta cortar 1 barras</t>
  </si>
  <si>
    <t>FORJA PIVOTE (25 60 19)</t>
  </si>
  <si>
    <t>14/11/15</t>
  </si>
  <si>
    <t>FORJA PIVOTE (25 74 20)</t>
  </si>
  <si>
    <t>FORJA PIVOTE (25 70 20)</t>
  </si>
  <si>
    <t>FORJA PIVOTE (25 55 19R)</t>
  </si>
  <si>
    <t>16/10</t>
  </si>
  <si>
    <t>TOCHO CAJA AXIAL (DIAM 46 X 60mm)</t>
  </si>
  <si>
    <t>15/11/15</t>
  </si>
  <si>
    <t>OT</t>
  </si>
  <si>
    <t>0004-3218</t>
  </si>
  <si>
    <t>21/10/15</t>
  </si>
  <si>
    <t>(202) ESCORT 87 MAL SOLDADAS PARA RETRABAJAR</t>
  </si>
  <si>
    <t>R19</t>
  </si>
  <si>
    <t>adr</t>
  </si>
  <si>
    <t>SOLDADURA SOPORTE CLIO</t>
  </si>
  <si>
    <t>1-12307</t>
  </si>
  <si>
    <t>(37) TAPA FILTRO MINI</t>
  </si>
  <si>
    <t>(6) TAPA FILTRO CH</t>
  </si>
  <si>
    <t>(19) TAPA FILTRO GDE</t>
  </si>
  <si>
    <t>(35) FILTRO MINI</t>
  </si>
  <si>
    <t>(9) FILTRO CH</t>
  </si>
  <si>
    <t>(28) FILTRO GDE</t>
  </si>
  <si>
    <t>28/10</t>
  </si>
  <si>
    <t>1-49329</t>
  </si>
  <si>
    <t>28/10/15</t>
  </si>
  <si>
    <t>ENERGIA VERDE</t>
  </si>
  <si>
    <t>INSUMOS FUNDICION</t>
  </si>
  <si>
    <t>(5) GARRAFAS X 10kg</t>
  </si>
  <si>
    <t>27/10/15</t>
  </si>
  <si>
    <t>CAPACHOS</t>
  </si>
  <si>
    <t>(1) CAPACHO PG3 PROPIEDAD CLIENTE -  DEV. CAPACHO BF</t>
  </si>
  <si>
    <t>1-13348</t>
  </si>
  <si>
    <t>1-79308</t>
  </si>
  <si>
    <t>20/10/15</t>
  </si>
  <si>
    <t>ALSI 132  (KG NETO 1890) - ANALISIS: 7484 - 4 FARDOS X 332 LINGO</t>
  </si>
  <si>
    <t>29-10-15</t>
  </si>
  <si>
    <t>PISTOLAS</t>
  </si>
  <si>
    <t>30/10</t>
  </si>
  <si>
    <t>FORJA PIVOTE (25 60 18R) ROTULA R9-11-19</t>
  </si>
  <si>
    <t>COMENTARIOS</t>
  </si>
  <si>
    <t>e11</t>
  </si>
  <si>
    <t>e12</t>
  </si>
  <si>
    <t>29-11-15</t>
  </si>
  <si>
    <t>TOCHO EJE DIAM 24 X 171,5mm</t>
  </si>
  <si>
    <t>STOCK AL 6/11/15</t>
  </si>
  <si>
    <t>CAÑOS BENFICA AL 6/11/15</t>
  </si>
  <si>
    <t>CAÑOS STACO AL 6/11/15</t>
  </si>
  <si>
    <t>1-00006054</t>
  </si>
  <si>
    <t xml:space="preserve">305 KG RECORTE TUBO ALUMINIO </t>
  </si>
  <si>
    <t>V</t>
  </si>
  <si>
    <t>FORJA PIVOTE (25 74 19)</t>
  </si>
  <si>
    <t>TOCHO (DIAM 42mm x 30mm)</t>
  </si>
  <si>
    <t>TOCHO (DIAM 57mm x 50mm)</t>
  </si>
  <si>
    <t>TOCHO (DIAM 42mm x 60mm)</t>
  </si>
  <si>
    <t>TOCHO (DIAM 47mm x 60mm)</t>
  </si>
  <si>
    <t>A001000005226</t>
  </si>
  <si>
    <t xml:space="preserve"> TUBO 34,92 (CANTIDAD: 496KG)</t>
  </si>
  <si>
    <t>13/11/15</t>
  </si>
  <si>
    <t>1-80573</t>
  </si>
  <si>
    <t>ALSI 132  (KG NETO 2429) - ANALISIS: 7521 - 5 FARDOS X 415 LINGO</t>
  </si>
  <si>
    <t>FER X 24</t>
  </si>
  <si>
    <t>V/T</t>
  </si>
  <si>
    <t>RETRABAJO</t>
  </si>
  <si>
    <t>19/11</t>
  </si>
  <si>
    <t>19-11-15</t>
  </si>
  <si>
    <t>(66) 1860 + (48) 1870 DURATEC PARA VALORIZAR Y DESCONTAR</t>
  </si>
  <si>
    <t>ESQ-EV (ESQUINERO MINI)</t>
  </si>
  <si>
    <t>PROF - EV22 (PROFUNDIDADES)</t>
  </si>
  <si>
    <t>PEUGEOT GRII/505</t>
  </si>
  <si>
    <t xml:space="preserve">R19 (fasd) </t>
  </si>
  <si>
    <t>24/11</t>
  </si>
  <si>
    <t>PEUGEOT 205/PARTNER</t>
  </si>
  <si>
    <t>CORSA DIAM 35</t>
  </si>
  <si>
    <t>fiat (fasd + vasco)</t>
  </si>
  <si>
    <t>26-11</t>
  </si>
  <si>
    <t>0002-3422</t>
  </si>
  <si>
    <t>ASADO</t>
  </si>
  <si>
    <t>FUNLAUX</t>
  </si>
  <si>
    <t>SANTANA</t>
  </si>
  <si>
    <t>CORTE DIAM 50,8 x 42,5mm</t>
  </si>
  <si>
    <t>PRESTAMO</t>
  </si>
  <si>
    <t>SILUMIN 152kg (22 lingotes)</t>
  </si>
  <si>
    <t>26/11</t>
  </si>
  <si>
    <t>0001-49704</t>
  </si>
  <si>
    <t>30/11/15</t>
  </si>
  <si>
    <t>(4) GARRAFAS X 10kg</t>
  </si>
  <si>
    <t>S/A</t>
  </si>
  <si>
    <t>INGRESO STACO 9/11</t>
  </si>
  <si>
    <t>STOCK AL 5/12</t>
  </si>
  <si>
    <t>INGRESO BRUZZESE 1/12</t>
  </si>
  <si>
    <t>EJES SKATES GRANDES</t>
  </si>
  <si>
    <t>1 BOLSA</t>
  </si>
  <si>
    <t>CAJA RECTANGULAR ALUMINCA</t>
  </si>
  <si>
    <t>2 BOLSAS</t>
  </si>
  <si>
    <t>TAPA CAJA RECT ALUMINCA</t>
  </si>
  <si>
    <t>ESCUADRA ALUMINCA</t>
  </si>
  <si>
    <t>INVENTARIO CAÑOS AL 5/12/2015</t>
  </si>
  <si>
    <t xml:space="preserve">BENFICA  </t>
  </si>
  <si>
    <t xml:space="preserve">STACO  </t>
  </si>
  <si>
    <t xml:space="preserve"> SOLO CAÑO</t>
  </si>
  <si>
    <t>C/ SOPORTE SOLDADO</t>
  </si>
  <si>
    <t>MODELO</t>
  </si>
  <si>
    <t>INGRESOS/ BAJAS</t>
  </si>
  <si>
    <t>15/12/15</t>
  </si>
  <si>
    <t>SILUMIN  COQUILLA</t>
  </si>
  <si>
    <t>BORRELLI</t>
  </si>
  <si>
    <t>ALUMINIO (312kg)</t>
  </si>
  <si>
    <t>1-80965</t>
  </si>
  <si>
    <t>ALSI 132 (KG NETO 2457) - ANALISIS: 7560 - 5 FARDOS X 415 LINGOTES</t>
  </si>
  <si>
    <t>ORION / ESCORT 96</t>
  </si>
  <si>
    <t>fiat con perno (fasd)</t>
  </si>
  <si>
    <t>28/12/15</t>
  </si>
  <si>
    <t>25/01/16</t>
  </si>
  <si>
    <t>15/02/16</t>
  </si>
  <si>
    <t xml:space="preserve"> </t>
  </si>
  <si>
    <t>PENDIENTE MECANIZAR (50)</t>
  </si>
  <si>
    <t>PENDIENTE MECANIZAR (46)</t>
  </si>
  <si>
    <t>PENDIENTE MECANIZAR (153)</t>
  </si>
  <si>
    <t>TOTAL PTE MEC PEDIDO VIEJO</t>
  </si>
  <si>
    <t>PENDIENTE MECANIZAR (300)</t>
  </si>
  <si>
    <t>EN PINTURA (179)</t>
  </si>
  <si>
    <t>EN PINTURA (200)</t>
  </si>
  <si>
    <t>PARA ENTREGAR (1000)</t>
  </si>
  <si>
    <t>PEDIDO VIEJO</t>
  </si>
  <si>
    <t>PEDIDO NUEVO</t>
  </si>
  <si>
    <t>TOTAL CARCAZAS PEDIDAS</t>
  </si>
  <si>
    <t>PARA ENTREGAR (100)</t>
  </si>
  <si>
    <t>PENDIENTE MECANIZAR (141)</t>
  </si>
  <si>
    <t>15/12</t>
  </si>
  <si>
    <t xml:space="preserve">FORJA PIVOTE (25 74 16)  </t>
  </si>
  <si>
    <t>PARABOLA II 3040 (ANTENA)</t>
  </si>
  <si>
    <t>20-12-15</t>
  </si>
  <si>
    <t>feb</t>
  </si>
  <si>
    <t>mar</t>
  </si>
  <si>
    <t>ene</t>
  </si>
  <si>
    <t>SEM 1</t>
  </si>
  <si>
    <t>ENERO 16</t>
  </si>
  <si>
    <t>SEM 2</t>
  </si>
  <si>
    <t>SEM 3</t>
  </si>
  <si>
    <t>SEM 4</t>
  </si>
  <si>
    <t>FILTRO GDE</t>
  </si>
  <si>
    <t>TAPAS FILTRO MINI</t>
  </si>
  <si>
    <t>TUBO DIAM 28,58*1,59</t>
  </si>
  <si>
    <t>JULIO 15</t>
  </si>
  <si>
    <t>COSTOS A CONSIDERAR</t>
  </si>
  <si>
    <t>F/S</t>
  </si>
  <si>
    <t>F/V</t>
  </si>
  <si>
    <t>FORJA PIVOTE (25 78 19)</t>
  </si>
  <si>
    <t>16-5302</t>
  </si>
  <si>
    <t>fiesta 94 (lena + vasco)</t>
  </si>
  <si>
    <t>16-5303</t>
  </si>
  <si>
    <t>16-5304</t>
  </si>
  <si>
    <t>16-5305</t>
  </si>
  <si>
    <t>30/3/16</t>
  </si>
  <si>
    <t>CANCELADA 20/1/16</t>
  </si>
  <si>
    <t>trafic (vasco)</t>
  </si>
  <si>
    <t>19-1</t>
  </si>
  <si>
    <t>FEBRERO 16</t>
  </si>
  <si>
    <t>MARZO 16</t>
  </si>
  <si>
    <t>SEM 7</t>
  </si>
  <si>
    <t>SEM 8</t>
  </si>
  <si>
    <t>SEM 9</t>
  </si>
  <si>
    <t>SEM 10</t>
  </si>
  <si>
    <t>SEM 11</t>
  </si>
  <si>
    <t>SEM 12</t>
  </si>
  <si>
    <t>V/L</t>
  </si>
  <si>
    <t>fiat (lena)</t>
  </si>
  <si>
    <t>22-1-16</t>
  </si>
  <si>
    <t>25-1</t>
  </si>
  <si>
    <t>CERRADA BELEN</t>
  </si>
  <si>
    <t>dif</t>
  </si>
  <si>
    <t>26/1</t>
  </si>
  <si>
    <t>16-5307</t>
  </si>
  <si>
    <t>19/2/16</t>
  </si>
  <si>
    <t>R11</t>
  </si>
  <si>
    <t>16-5308</t>
  </si>
  <si>
    <t>29-1</t>
  </si>
  <si>
    <t>INGRESO BRUZZESE 29/1/16</t>
  </si>
  <si>
    <t>FORJA PIVOTE (23 70 17)</t>
  </si>
  <si>
    <t>FORJA PIVOTE (25 70 16)</t>
  </si>
  <si>
    <t>STOCK AL 16/2/16</t>
  </si>
  <si>
    <t>INGRESO STACO 28/1/16</t>
  </si>
  <si>
    <t>STOCK SEGÚN ALE 29/1/16</t>
  </si>
  <si>
    <t>taunus (lena)</t>
  </si>
  <si>
    <t>16-2</t>
  </si>
  <si>
    <t>INGRESO STACO 16/2/16</t>
  </si>
  <si>
    <t>abr</t>
  </si>
  <si>
    <t>m/a</t>
  </si>
  <si>
    <t>15/4/2016</t>
  </si>
  <si>
    <t>20/3/16</t>
  </si>
  <si>
    <t>SOLDADURA SOPORTE TRAFIC</t>
  </si>
  <si>
    <t>24-2-16</t>
  </si>
  <si>
    <t>R19 (lena)</t>
  </si>
  <si>
    <t>26-2-16</t>
  </si>
  <si>
    <t>29-2</t>
  </si>
  <si>
    <t>S/BF</t>
  </si>
  <si>
    <t>26-02-16</t>
  </si>
  <si>
    <t>CORTE 1m diam 38 / 3000 (15 barras)</t>
  </si>
  <si>
    <t>CORTE 1m diam 40 / 3000 (16 barras)</t>
  </si>
  <si>
    <t>CORTE 1m diam 42 / 3000 (17 barras)</t>
  </si>
  <si>
    <t>0001-2044</t>
  </si>
  <si>
    <t>VISILU</t>
  </si>
  <si>
    <t>PERNOS</t>
  </si>
  <si>
    <t>PERNOS FIAT (895) PARCIAL</t>
  </si>
  <si>
    <t>ingreso staco 1/3/16</t>
  </si>
  <si>
    <t>STOCK AL 8/3/16</t>
  </si>
  <si>
    <t>ingreso visilu 7/3/16</t>
  </si>
  <si>
    <t>A/B</t>
  </si>
  <si>
    <t>0040-4258</t>
  </si>
  <si>
    <t>CITY GAS</t>
  </si>
  <si>
    <t>FIAT LISA COMPLETA</t>
  </si>
  <si>
    <t>AL 9/3/16</t>
  </si>
  <si>
    <t>TAUNUS COMPLETA</t>
  </si>
  <si>
    <t>retiro fundi marzo</t>
  </si>
  <si>
    <t>STOCK AL 14/3/16</t>
  </si>
  <si>
    <t>ingreso staco 9/3/16</t>
  </si>
  <si>
    <t>retiro fundi feb</t>
  </si>
  <si>
    <t>retiro 14/3/16 R11 (S + VASCO)</t>
  </si>
  <si>
    <t>INVENTARIO SOPORTES AL 14/3/2015</t>
  </si>
  <si>
    <t>TAPA INTERMEDIA</t>
  </si>
  <si>
    <t>A/V</t>
  </si>
  <si>
    <t>V/B</t>
  </si>
  <si>
    <t>CORTES DIAM 42 X 30mm</t>
  </si>
  <si>
    <t>ABRIL 16</t>
  </si>
  <si>
    <t>fiat (bf)</t>
  </si>
  <si>
    <t>fiesta 94 (vasco)</t>
  </si>
  <si>
    <t>R11 (vasco)</t>
  </si>
  <si>
    <t>CORTES DIAM 45 X 1m (11 barras)</t>
  </si>
  <si>
    <t>CORTES DIAM 50 X 1m (6 barras)</t>
  </si>
  <si>
    <t>CORTES DIAM 55 X 1m (11 barras)</t>
  </si>
  <si>
    <t>CORTES DIAM 60 X 1m (5 barras)</t>
  </si>
  <si>
    <t>CORTES DIAM 11 X 1m (14 barras)</t>
  </si>
  <si>
    <t>CORTES DIAM 63,5 X 1m (2 barras)</t>
  </si>
  <si>
    <t>CORTES DIAM 24,3 x 582mm</t>
  </si>
  <si>
    <t>CORTES DIAM 24,3 x 576mm</t>
  </si>
  <si>
    <t>CORTES DIAM 24,3 x 571mm</t>
  </si>
  <si>
    <t>FORJA PIVOTE (25 70 19)</t>
  </si>
  <si>
    <t>FORJA PIVOTE (25 67 19R)</t>
  </si>
  <si>
    <t>MURANO</t>
  </si>
  <si>
    <t>ADER</t>
  </si>
  <si>
    <t>ALAMBRE ALUMINIO 4043 NOVA (SC) DIAM 1.2 (ROLLO 7KG) (3038 + IVA)</t>
  </si>
  <si>
    <t>1-297669</t>
  </si>
  <si>
    <t>TAYLOR</t>
  </si>
  <si>
    <t>ELEM SEG</t>
  </si>
  <si>
    <t>GUANTES NUEVOS</t>
  </si>
  <si>
    <t>1-35994</t>
  </si>
  <si>
    <t>ESQUINEROS RACK</t>
  </si>
  <si>
    <t>ESQ MINI</t>
  </si>
  <si>
    <t>PARABOLAS</t>
  </si>
  <si>
    <t>CLIO (BF)</t>
  </si>
  <si>
    <t>R12 (ADR + V)</t>
  </si>
  <si>
    <t xml:space="preserve">ESQ RACK </t>
  </si>
  <si>
    <t>PARABOLAS (AFUERA)</t>
  </si>
  <si>
    <t>PARABOLAS (PULIDO)</t>
  </si>
  <si>
    <t>FAROLAS (CORTE REB)</t>
  </si>
  <si>
    <t>FAROLAS (PULIDO)</t>
  </si>
  <si>
    <t>PTE PROCESAR</t>
  </si>
  <si>
    <t>pablo</t>
  </si>
  <si>
    <t>facundo</t>
  </si>
  <si>
    <t>brian</t>
  </si>
  <si>
    <t>ayala</t>
  </si>
  <si>
    <t>elias</t>
  </si>
  <si>
    <t>P</t>
  </si>
  <si>
    <t>F</t>
  </si>
  <si>
    <t>B</t>
  </si>
  <si>
    <t>F/B</t>
  </si>
  <si>
    <t>EM</t>
  </si>
  <si>
    <t>EV</t>
  </si>
  <si>
    <t>ESQUINEROS ESPEJO</t>
  </si>
  <si>
    <t>SABADO</t>
  </si>
  <si>
    <t>GOL (PULIDO)</t>
  </si>
  <si>
    <t>0001-2135</t>
  </si>
  <si>
    <t>ESQUINEROS GRANDES PARTIDA MALA PARA FRENTEAR BASE SI SE PUEDE (175)</t>
  </si>
  <si>
    <t>A/E</t>
  </si>
  <si>
    <t>pte</t>
  </si>
  <si>
    <t xml:space="preserve">FIESTA 94 (S) </t>
  </si>
  <si>
    <t>CORTE TOCHO (DIAM 50.8 X 45mm)</t>
  </si>
  <si>
    <t>CORTE TOCHO (DIAM 50.8 X 36mm)</t>
  </si>
  <si>
    <t>CORTE TOCHO (DIAM 57 X 50mm)</t>
  </si>
  <si>
    <t>CORTE TOCHO (DIAM 46 X 33mm)</t>
  </si>
  <si>
    <t>CREMALLERA FIAT (495.6mm)</t>
  </si>
  <si>
    <t>S/B</t>
  </si>
  <si>
    <t>24/5/16</t>
  </si>
  <si>
    <t>26/6/16</t>
  </si>
  <si>
    <t>M</t>
  </si>
  <si>
    <t>S/L</t>
  </si>
  <si>
    <t xml:space="preserve">S </t>
  </si>
  <si>
    <t>stock 26/4</t>
  </si>
  <si>
    <t>COMPLETAR PRODUCCION</t>
  </si>
  <si>
    <t>CORTE 1</t>
  </si>
  <si>
    <t>CORTE 2</t>
  </si>
  <si>
    <t>CORTE 3</t>
  </si>
  <si>
    <t>CORTE 4</t>
  </si>
  <si>
    <t>CORTE 5</t>
  </si>
  <si>
    <t>CORTE 6</t>
  </si>
  <si>
    <t>CORTE 7</t>
  </si>
  <si>
    <t>CORTE 8</t>
  </si>
  <si>
    <t>SOBRANTES</t>
  </si>
  <si>
    <t>#1</t>
  </si>
  <si>
    <t>FIAT (S)</t>
  </si>
  <si>
    <t>CLIO (L)</t>
  </si>
  <si>
    <t>R9 (L)</t>
  </si>
  <si>
    <t>TRAFIC (L)</t>
  </si>
  <si>
    <t>R11 (L)</t>
  </si>
  <si>
    <t>FIESTA 94 (L)</t>
  </si>
  <si>
    <t>R19 (L)</t>
  </si>
  <si>
    <t>R12 (L)</t>
  </si>
  <si>
    <t>FIAT C/PERNO (L)</t>
  </si>
  <si>
    <t>EA</t>
  </si>
  <si>
    <t>ale</t>
  </si>
  <si>
    <t>0005-69105</t>
  </si>
  <si>
    <t>27/4/16</t>
  </si>
  <si>
    <t>TECNIFOS</t>
  </si>
  <si>
    <t>INSUMOS MATRICERIA</t>
  </si>
  <si>
    <t>ACEITE SOLUBLE SEMISINTETICO 2 X 20L = 40l</t>
  </si>
  <si>
    <t>WATERJET</t>
  </si>
  <si>
    <t>40 HOJAS DE CHAPA INOX. 1250 x 2500mm E2mm</t>
  </si>
  <si>
    <t>2 HOJAS DE CHAPA INOX. 1250 x 2500mm E3mm</t>
  </si>
  <si>
    <t>2 HOJAS DE CHAPA INOX. 1250 x 2500mm E4mm</t>
  </si>
  <si>
    <t>MAYO 16</t>
  </si>
  <si>
    <t>CAÑO</t>
  </si>
  <si>
    <t>FALTAN 3 CAÑOS</t>
  </si>
  <si>
    <t>TERMINADOS</t>
  </si>
  <si>
    <t>26/4/16</t>
  </si>
  <si>
    <t>CANT. OT</t>
  </si>
  <si>
    <t>2/5 (200) + 3/5 (200)</t>
  </si>
  <si>
    <t>3/5 trafic (50)+ 4/5 trafic (130)</t>
  </si>
  <si>
    <t>F/P</t>
  </si>
  <si>
    <t>B/M</t>
  </si>
  <si>
    <t>0042-4526</t>
  </si>
  <si>
    <t>faltan 108 R9</t>
  </si>
  <si>
    <t>CORTE TOCHO (DIAM 57 X 40mm) era diam 58</t>
  </si>
  <si>
    <t>1-13841</t>
  </si>
  <si>
    <t>REMA</t>
  </si>
  <si>
    <t>ALSI (500kg)</t>
  </si>
  <si>
    <t>STOCK CAÑOS ANT</t>
  </si>
  <si>
    <t>CLIO/F94</t>
  </si>
  <si>
    <t>CORTADO</t>
  </si>
  <si>
    <t>TOTAL CAÑOS</t>
  </si>
  <si>
    <t>YA FUNDIDO</t>
  </si>
  <si>
    <t>caños disponibles</t>
  </si>
  <si>
    <t>pte fundir</t>
  </si>
  <si>
    <t>F94</t>
  </si>
  <si>
    <t>SOBRAN P/F94</t>
  </si>
  <si>
    <t>SOBRAN P/R9</t>
  </si>
  <si>
    <t>FABRICAR</t>
  </si>
  <si>
    <t>9/5/16 OK</t>
  </si>
  <si>
    <t>F94 / CLIO</t>
  </si>
  <si>
    <t>PTE</t>
  </si>
  <si>
    <t>0010-9758</t>
  </si>
  <si>
    <t>TUBO REDONDO 28.58 X 1.59L (1188KG)</t>
  </si>
  <si>
    <t>sd</t>
  </si>
  <si>
    <t>2 HOJAS PARA CORTE WATER</t>
  </si>
  <si>
    <t>B/F</t>
  </si>
  <si>
    <t>para stock</t>
  </si>
  <si>
    <t>ok</t>
  </si>
  <si>
    <t>PIN</t>
  </si>
  <si>
    <t>1 HOJAS DE CHAPA INOX. 1250 x 2500mm E3mm</t>
  </si>
  <si>
    <t>1 HOJAS DE CHAPA INOX. 1250 x 2500mm E4mm</t>
  </si>
  <si>
    <t>SOLDAR BRIDAS A PIÑONES</t>
  </si>
  <si>
    <t>1-13851</t>
  </si>
  <si>
    <t>ALSI (500kg) - LOTE BF 879</t>
  </si>
  <si>
    <t>R9 (ADR)</t>
  </si>
  <si>
    <t>0043-4003</t>
  </si>
  <si>
    <t>16/5/2016</t>
  </si>
  <si>
    <t xml:space="preserve">CORTE TOCHO (Ø46 x 33mm) </t>
  </si>
  <si>
    <t xml:space="preserve">CORTE TOCHO (Ø55 x 47mm) </t>
  </si>
  <si>
    <t xml:space="preserve">CORTE TOCHO (Ø55 x 56mm) </t>
  </si>
  <si>
    <t>CORTE TOCHO (Ø50,8 x 39mm)</t>
  </si>
  <si>
    <t>16/5</t>
  </si>
  <si>
    <t>17/5</t>
  </si>
  <si>
    <t>17/5/16</t>
  </si>
  <si>
    <t>RAMOS</t>
  </si>
  <si>
    <t>54kg carter (retiró BORRELLI)</t>
  </si>
  <si>
    <t>0001-9409</t>
  </si>
  <si>
    <t>QUIMING</t>
  </si>
  <si>
    <t>20kg silicio</t>
  </si>
  <si>
    <t>15kg alambron</t>
  </si>
  <si>
    <t>15kg al-sr 10% alambron</t>
  </si>
  <si>
    <t xml:space="preserve">fundiquim 40% </t>
  </si>
  <si>
    <t>1 capacho</t>
  </si>
  <si>
    <t xml:space="preserve">SI </t>
  </si>
  <si>
    <t>asl</t>
  </si>
  <si>
    <t xml:space="preserve">trafic (lena) </t>
  </si>
  <si>
    <t>23/5</t>
  </si>
  <si>
    <t>F/A</t>
  </si>
  <si>
    <t>CLIO COMPLETA MEC</t>
  </si>
  <si>
    <t>FIAT LISA COMPLETA MEC</t>
  </si>
  <si>
    <t>24/5</t>
  </si>
  <si>
    <t>stock 24/5/16</t>
  </si>
  <si>
    <t>0001-80029</t>
  </si>
  <si>
    <t>23/5/16</t>
  </si>
  <si>
    <t>KINGAGRO</t>
  </si>
  <si>
    <t>WATER JET</t>
  </si>
  <si>
    <t>ORMETAL CHAPA AL 6061 25mm x 1520mm x 3020 mm</t>
  </si>
  <si>
    <t>CORSA</t>
  </si>
  <si>
    <t>3 tachos</t>
  </si>
  <si>
    <t>NO HORNO</t>
  </si>
  <si>
    <t>FIAT(S)</t>
  </si>
  <si>
    <t>CLIO(S)</t>
  </si>
  <si>
    <t>P/E</t>
  </si>
  <si>
    <t>M/P</t>
  </si>
  <si>
    <t>FIAT C/PERNO (S)</t>
  </si>
  <si>
    <t>MINI DOMO</t>
  </si>
  <si>
    <t xml:space="preserve">27/5 </t>
  </si>
  <si>
    <t>30/5</t>
  </si>
  <si>
    <t>31/5/16</t>
  </si>
  <si>
    <t>1 tacho</t>
  </si>
  <si>
    <t>R11 (lena)</t>
  </si>
  <si>
    <t>fiat c/ perno (lena)</t>
  </si>
  <si>
    <t>0001-9437</t>
  </si>
  <si>
    <t>26/5/16</t>
  </si>
  <si>
    <t>6 KG PINTUQUIM V  + 50 KG SILICIO</t>
  </si>
  <si>
    <t>0042-4528</t>
  </si>
  <si>
    <t>30/5/16</t>
  </si>
  <si>
    <t>ESQUINEROS MINI MEC</t>
  </si>
  <si>
    <t>PROFUNDIDADES MEC</t>
  </si>
  <si>
    <t>FORJA (25 74 20)</t>
  </si>
  <si>
    <t>27/7/16</t>
  </si>
  <si>
    <t>FORJA (25 60 19)</t>
  </si>
  <si>
    <t>27/6/16</t>
  </si>
  <si>
    <t>TOCHO DIAM 46 x33mm</t>
  </si>
  <si>
    <t>TOCHO DIAM 63 X 47mm</t>
  </si>
  <si>
    <t>TOCHO DIAM 63.5 X 44mm</t>
  </si>
  <si>
    <t>TOCHO DIAM 63.5 X 48mm</t>
  </si>
  <si>
    <t>TOCHO DIAM 67 X 40mm</t>
  </si>
  <si>
    <t>TOCHO DIAM 36 X 54mm</t>
  </si>
  <si>
    <t>JUNIO 16</t>
  </si>
  <si>
    <t>0001-124248</t>
  </si>
  <si>
    <t>MEDEMET</t>
  </si>
  <si>
    <t>CHATARRA AL 1RA CLASE 288 kg ($25 = $7200)</t>
  </si>
  <si>
    <t xml:space="preserve">15KG PINDEMAT A 50F + 25KG REFRACTARIO LCF 384 A </t>
  </si>
  <si>
    <t>0009-169717</t>
  </si>
  <si>
    <t>TUBO REDONDO 34,92 X 1,59L (309KG)</t>
  </si>
  <si>
    <t>0001-13895</t>
  </si>
  <si>
    <t>ALSI (503kg) - LOTE BF 881</t>
  </si>
  <si>
    <t>CORTE DIAM 44,45 X (33,5 +-0,5)</t>
  </si>
  <si>
    <t>MAZAS</t>
  </si>
  <si>
    <t>FORJA (25 57 19)</t>
  </si>
  <si>
    <t>SOPORTE MARIPOSA</t>
  </si>
  <si>
    <t>ESQUINEROS MINI PTE MEC</t>
  </si>
  <si>
    <t>0001-124423</t>
  </si>
  <si>
    <t>MANTENIMIENTO FUNDI</t>
  </si>
  <si>
    <t>CRISOL CCB 250 + PEANA CILINDRICA N°29</t>
  </si>
  <si>
    <t>F/M</t>
  </si>
  <si>
    <t>R9 (lena)</t>
  </si>
  <si>
    <t>13/6/16</t>
  </si>
  <si>
    <t>0043-3980</t>
  </si>
  <si>
    <t>ALSI modificado a pedido de Borrelli (501kg) - LOTE BF 882</t>
  </si>
  <si>
    <t>0001-13908</t>
  </si>
  <si>
    <t>CORTE DIAM 31 / 35.5mm x 95mm (PEDIDO ESPECIAL)</t>
  </si>
  <si>
    <t xml:space="preserve">FORJA PIVOTE (25 58 16R) </t>
  </si>
  <si>
    <t xml:space="preserve">FORJA PIVOTE (25 64 16) </t>
  </si>
  <si>
    <t>CLIO MECANIZADAS</t>
  </si>
  <si>
    <t>jun</t>
  </si>
  <si>
    <t>jul</t>
  </si>
  <si>
    <t>ago</t>
  </si>
  <si>
    <t>SOP MARIPOSA (ANTEN)</t>
  </si>
  <si>
    <t>ANTENAS ANT (X AFUERA)</t>
  </si>
  <si>
    <t>ANTENAS (CINCEL)</t>
  </si>
  <si>
    <t>ANTENAS (LIMA)</t>
  </si>
  <si>
    <t>21/6</t>
  </si>
  <si>
    <t>16/6</t>
  </si>
  <si>
    <t>TOCHO DIAM 42 X 30mm (BARRA DIAM 42.8 - 1026)</t>
  </si>
  <si>
    <t>TOCHO DIAM 42 X 60mm (BARRA DIAM 42 - 1040)</t>
  </si>
  <si>
    <t>4 tachos</t>
  </si>
</sst>
</file>

<file path=xl/styles.xml><?xml version="1.0" encoding="utf-8"?>
<styleSheet xmlns="http://schemas.openxmlformats.org/spreadsheetml/2006/main">
  <numFmts count="5">
    <numFmt numFmtId="164" formatCode="_ [$€-2]\ * #,##0.00_ ;_ [$€-2]\ * \-#,##0.00_ ;_ [$€-2]\ * &quot;-&quot;??_ "/>
    <numFmt numFmtId="165" formatCode="0.0"/>
    <numFmt numFmtId="166" formatCode="dd\-mm\-yy;@"/>
    <numFmt numFmtId="167" formatCode="&quot;$&quot;\ #,##0"/>
    <numFmt numFmtId="168" formatCode="d\-m\-yy;@"/>
  </numFmts>
  <fonts count="6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0"/>
      <color rgb="FFFF0000"/>
      <name val="Arial"/>
      <family val="2"/>
    </font>
    <font>
      <i/>
      <sz val="11"/>
      <name val="Calibri"/>
      <family val="2"/>
    </font>
    <font>
      <sz val="10"/>
      <color indexed="10"/>
      <name val="Arial"/>
      <family val="2"/>
    </font>
    <font>
      <sz val="18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i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9C0006"/>
      <name val="Calibri"/>
      <family val="2"/>
      <scheme val="minor"/>
    </font>
    <font>
      <sz val="11"/>
      <name val="Calibri"/>
      <family val="2"/>
    </font>
    <font>
      <sz val="10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i/>
      <sz val="11"/>
      <color theme="0"/>
      <name val="Calibri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0"/>
      <color rgb="FF00B05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99CC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i/>
      <sz val="10"/>
      <color rgb="FFFF0000"/>
      <name val="Arial"/>
      <family val="2"/>
    </font>
    <font>
      <sz val="12"/>
      <color theme="1"/>
      <name val="Times New Roman"/>
      <family val="1"/>
    </font>
    <font>
      <b/>
      <sz val="20"/>
      <color theme="0"/>
      <name val="Calibri"/>
      <family val="2"/>
      <scheme val="minor"/>
    </font>
    <font>
      <sz val="9"/>
      <name val="Arial"/>
      <family val="2"/>
    </font>
    <font>
      <b/>
      <sz val="2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5"/>
      <name val="Calibri"/>
      <family val="2"/>
      <scheme val="minor"/>
    </font>
    <font>
      <i/>
      <sz val="9"/>
      <name val="Calibri"/>
      <family val="2"/>
      <scheme val="minor"/>
    </font>
    <font>
      <b/>
      <sz val="18"/>
      <color theme="3" tint="0.59999389629810485"/>
      <name val="Calibri"/>
      <family val="2"/>
      <scheme val="minor"/>
    </font>
    <font>
      <sz val="10"/>
      <color rgb="FFFF0000"/>
      <name val="Verdana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lightUp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gray0625"/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gray0625"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006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Up">
        <bgColor theme="0" tint="-0.499984740745262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3" fillId="10" borderId="0" applyNumberFormat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2" fillId="0" borderId="0"/>
    <xf numFmtId="0" fontId="20" fillId="0" borderId="0"/>
  </cellStyleXfs>
  <cellXfs count="1162">
    <xf numFmtId="0" fontId="0" fillId="0" borderId="0" xfId="0"/>
    <xf numFmtId="0" fontId="6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/>
    <xf numFmtId="0" fontId="7" fillId="3" borderId="1" xfId="2" applyFont="1" applyBorder="1" applyAlignment="1">
      <alignment horizontal="left"/>
    </xf>
    <xf numFmtId="0" fontId="7" fillId="3" borderId="1" xfId="2" applyFont="1" applyBorder="1" applyAlignment="1">
      <alignment horizontal="center"/>
    </xf>
    <xf numFmtId="1" fontId="7" fillId="3" borderId="1" xfId="2" applyNumberFormat="1" applyFont="1" applyBorder="1" applyAlignment="1">
      <alignment horizontal="center"/>
    </xf>
    <xf numFmtId="0" fontId="7" fillId="3" borderId="1" xfId="2" applyFont="1" applyBorder="1"/>
    <xf numFmtId="0" fontId="8" fillId="2" borderId="1" xfId="1" applyFont="1" applyBorder="1" applyAlignment="1">
      <alignment horizontal="left"/>
    </xf>
    <xf numFmtId="0" fontId="8" fillId="2" borderId="1" xfId="1" applyFont="1" applyBorder="1" applyAlignment="1">
      <alignment horizontal="center"/>
    </xf>
    <xf numFmtId="1" fontId="8" fillId="2" borderId="1" xfId="1" applyNumberFormat="1" applyFont="1" applyBorder="1" applyAlignment="1">
      <alignment horizontal="center"/>
    </xf>
    <xf numFmtId="0" fontId="8" fillId="2" borderId="1" xfId="1" applyFont="1" applyBorder="1"/>
    <xf numFmtId="0" fontId="6" fillId="0" borderId="1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" fillId="2" borderId="1" xfId="1" applyBorder="1" applyAlignment="1">
      <alignment horizontal="left"/>
    </xf>
    <xf numFmtId="0" fontId="1" fillId="2" borderId="1" xfId="1" applyBorder="1"/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1" fontId="8" fillId="2" borderId="4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0" xfId="0" applyFont="1" applyFill="1"/>
    <xf numFmtId="0" fontId="6" fillId="6" borderId="1" xfId="0" applyFont="1" applyFill="1" applyBorder="1"/>
    <xf numFmtId="0" fontId="5" fillId="0" borderId="0" xfId="0" applyFont="1" applyFill="1" applyBorder="1" applyAlignment="1">
      <alignment horizontal="center" vertical="top"/>
    </xf>
    <xf numFmtId="0" fontId="6" fillId="0" borderId="0" xfId="0" applyFont="1" applyBorder="1"/>
    <xf numFmtId="0" fontId="6" fillId="4" borderId="1" xfId="0" applyFont="1" applyFill="1" applyBorder="1"/>
    <xf numFmtId="0" fontId="6" fillId="7" borderId="1" xfId="0" applyFont="1" applyFill="1" applyBorder="1"/>
    <xf numFmtId="0" fontId="6" fillId="5" borderId="1" xfId="0" applyFont="1" applyFill="1" applyBorder="1"/>
    <xf numFmtId="0" fontId="6" fillId="4" borderId="0" xfId="0" applyFont="1" applyFill="1"/>
    <xf numFmtId="0" fontId="6" fillId="5" borderId="0" xfId="0" applyFont="1" applyFill="1"/>
    <xf numFmtId="0" fontId="6" fillId="7" borderId="0" xfId="0" applyFont="1" applyFill="1"/>
    <xf numFmtId="1" fontId="6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center"/>
    </xf>
    <xf numFmtId="0" fontId="6" fillId="0" borderId="0" xfId="0" applyFont="1" applyFill="1" applyBorder="1"/>
    <xf numFmtId="1" fontId="8" fillId="2" borderId="2" xfId="1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1" fillId="2" borderId="6" xfId="1" applyNumberForma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4" fillId="0" borderId="0" xfId="4"/>
    <xf numFmtId="0" fontId="14" fillId="0" borderId="1" xfId="4" applyBorder="1"/>
    <xf numFmtId="0" fontId="14" fillId="0" borderId="1" xfId="4" applyFill="1" applyBorder="1" applyAlignment="1">
      <alignment horizontal="center"/>
    </xf>
    <xf numFmtId="0" fontId="14" fillId="0" borderId="1" xfId="4" applyFill="1" applyBorder="1"/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/>
    <xf numFmtId="17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0" fillId="9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8" borderId="1" xfId="0" applyFill="1" applyBorder="1"/>
    <xf numFmtId="16" fontId="6" fillId="4" borderId="1" xfId="0" applyNumberFormat="1" applyFont="1" applyFill="1" applyBorder="1" applyAlignment="1">
      <alignment horizontal="left"/>
    </xf>
    <xf numFmtId="0" fontId="14" fillId="0" borderId="0" xfId="7" applyFont="1"/>
    <xf numFmtId="0" fontId="14" fillId="0" borderId="0" xfId="7" applyFont="1" applyAlignment="1">
      <alignment horizontal="left"/>
    </xf>
    <xf numFmtId="0" fontId="14" fillId="0" borderId="0" xfId="7" applyFont="1" applyAlignment="1">
      <alignment horizontal="center"/>
    </xf>
    <xf numFmtId="0" fontId="14" fillId="0" borderId="22" xfId="7" applyFont="1" applyBorder="1" applyAlignment="1">
      <alignment horizontal="center"/>
    </xf>
    <xf numFmtId="0" fontId="22" fillId="0" borderId="23" xfId="7" applyFont="1" applyBorder="1" applyAlignment="1">
      <alignment horizontal="center"/>
    </xf>
    <xf numFmtId="0" fontId="14" fillId="0" borderId="17" xfId="7" applyFont="1" applyBorder="1" applyAlignment="1">
      <alignment horizontal="center"/>
    </xf>
    <xf numFmtId="0" fontId="14" fillId="0" borderId="23" xfId="7" applyFont="1" applyBorder="1" applyAlignment="1">
      <alignment horizontal="center"/>
    </xf>
    <xf numFmtId="0" fontId="14" fillId="0" borderId="22" xfId="7" applyFont="1" applyFill="1" applyBorder="1" applyAlignment="1">
      <alignment horizontal="center"/>
    </xf>
    <xf numFmtId="0" fontId="14" fillId="0" borderId="17" xfId="7" applyFont="1" applyFill="1" applyBorder="1" applyAlignment="1">
      <alignment horizontal="center"/>
    </xf>
    <xf numFmtId="0" fontId="22" fillId="0" borderId="17" xfId="7" applyFont="1" applyBorder="1" applyAlignment="1">
      <alignment horizontal="center"/>
    </xf>
    <xf numFmtId="0" fontId="14" fillId="0" borderId="21" xfId="7" applyFont="1" applyBorder="1" applyAlignment="1">
      <alignment horizontal="center"/>
    </xf>
    <xf numFmtId="0" fontId="14" fillId="0" borderId="20" xfId="7" applyFont="1" applyBorder="1" applyAlignment="1">
      <alignment horizontal="center"/>
    </xf>
    <xf numFmtId="0" fontId="14" fillId="0" borderId="19" xfId="7" applyFont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7" applyFont="1" applyFill="1" applyBorder="1" applyAlignment="1">
      <alignment horizontal="center"/>
    </xf>
    <xf numFmtId="0" fontId="14" fillId="0" borderId="24" xfId="7" applyFont="1" applyFill="1" applyBorder="1" applyAlignment="1">
      <alignment horizontal="center"/>
    </xf>
    <xf numFmtId="0" fontId="14" fillId="0" borderId="25" xfId="7" applyFont="1" applyFill="1" applyBorder="1" applyAlignment="1">
      <alignment horizontal="center"/>
    </xf>
    <xf numFmtId="0" fontId="14" fillId="0" borderId="26" xfId="7" applyFont="1" applyFill="1" applyBorder="1" applyAlignment="1">
      <alignment horizontal="center"/>
    </xf>
    <xf numFmtId="0" fontId="14" fillId="0" borderId="27" xfId="7" applyFont="1" applyFill="1" applyBorder="1" applyAlignment="1">
      <alignment horizontal="center"/>
    </xf>
    <xf numFmtId="0" fontId="14" fillId="22" borderId="17" xfId="7" applyFont="1" applyFill="1" applyBorder="1"/>
    <xf numFmtId="0" fontId="14" fillId="22" borderId="22" xfId="7" applyFont="1" applyFill="1" applyBorder="1"/>
    <xf numFmtId="0" fontId="14" fillId="22" borderId="23" xfId="7" applyFont="1" applyFill="1" applyBorder="1"/>
    <xf numFmtId="0" fontId="14" fillId="22" borderId="28" xfId="7" applyFont="1" applyFill="1" applyBorder="1"/>
    <xf numFmtId="0" fontId="14" fillId="22" borderId="0" xfId="7" applyFont="1" applyFill="1" applyBorder="1"/>
    <xf numFmtId="0" fontId="14" fillId="22" borderId="31" xfId="7" applyFont="1" applyFill="1" applyBorder="1"/>
    <xf numFmtId="0" fontId="14" fillId="0" borderId="32" xfId="7" applyFont="1" applyFill="1" applyBorder="1"/>
    <xf numFmtId="0" fontId="14" fillId="0" borderId="6" xfId="7" applyFont="1" applyFill="1" applyBorder="1"/>
    <xf numFmtId="0" fontId="14" fillId="0" borderId="39" xfId="7" applyFont="1" applyFill="1" applyBorder="1"/>
    <xf numFmtId="0" fontId="14" fillId="0" borderId="33" xfId="7" applyFont="1" applyFill="1" applyBorder="1"/>
    <xf numFmtId="0" fontId="14" fillId="0" borderId="40" xfId="7" applyFont="1" applyFill="1" applyBorder="1"/>
    <xf numFmtId="0" fontId="14" fillId="0" borderId="42" xfId="7" applyFont="1" applyFill="1" applyBorder="1"/>
    <xf numFmtId="0" fontId="14" fillId="0" borderId="1" xfId="7" applyFont="1" applyFill="1" applyBorder="1"/>
    <xf numFmtId="0" fontId="14" fillId="0" borderId="3" xfId="7" applyFont="1" applyFill="1" applyBorder="1"/>
    <xf numFmtId="0" fontId="14" fillId="0" borderId="2" xfId="7" applyFont="1" applyFill="1" applyBorder="1"/>
    <xf numFmtId="0" fontId="14" fillId="0" borderId="1" xfId="7" applyFont="1" applyFill="1" applyBorder="1" applyAlignment="1"/>
    <xf numFmtId="0" fontId="14" fillId="0" borderId="42" xfId="7" applyFont="1" applyFill="1" applyBorder="1" applyAlignment="1">
      <alignment horizontal="center"/>
    </xf>
    <xf numFmtId="0" fontId="14" fillId="0" borderId="1" xfId="7" applyFont="1" applyFill="1" applyBorder="1" applyAlignment="1">
      <alignment horizontal="center"/>
    </xf>
    <xf numFmtId="0" fontId="14" fillId="0" borderId="33" xfId="7" applyFont="1" applyFill="1" applyBorder="1" applyAlignment="1">
      <alignment horizontal="center"/>
    </xf>
    <xf numFmtId="0" fontId="24" fillId="0" borderId="1" xfId="7" applyFont="1" applyFill="1" applyBorder="1"/>
    <xf numFmtId="0" fontId="14" fillId="0" borderId="0" xfId="7" applyFont="1" applyFill="1"/>
    <xf numFmtId="0" fontId="22" fillId="0" borderId="1" xfId="7" applyFont="1" applyFill="1" applyBorder="1"/>
    <xf numFmtId="0" fontId="14" fillId="0" borderId="45" xfId="7" applyFont="1" applyFill="1" applyBorder="1"/>
    <xf numFmtId="0" fontId="14" fillId="0" borderId="4" xfId="7" applyFont="1" applyFill="1" applyBorder="1"/>
    <xf numFmtId="0" fontId="14" fillId="0" borderId="43" xfId="7" applyFont="1" applyFill="1" applyBorder="1"/>
    <xf numFmtId="0" fontId="14" fillId="0" borderId="46" xfId="7" applyFont="1" applyFill="1" applyBorder="1"/>
    <xf numFmtId="0" fontId="14" fillId="0" borderId="44" xfId="7" applyFont="1" applyFill="1" applyBorder="1"/>
    <xf numFmtId="0" fontId="14" fillId="0" borderId="42" xfId="7" applyFont="1" applyBorder="1"/>
    <xf numFmtId="0" fontId="14" fillId="0" borderId="1" xfId="7" applyFont="1" applyBorder="1"/>
    <xf numFmtId="0" fontId="14" fillId="0" borderId="33" xfId="7" applyFont="1" applyBorder="1"/>
    <xf numFmtId="0" fontId="14" fillId="0" borderId="3" xfId="7" applyFont="1" applyBorder="1"/>
    <xf numFmtId="0" fontId="14" fillId="0" borderId="1" xfId="7" applyFont="1" applyBorder="1" applyAlignment="1">
      <alignment vertical="center"/>
    </xf>
    <xf numFmtId="0" fontId="6" fillId="0" borderId="1" xfId="0" applyFont="1" applyBorder="1" applyAlignment="1">
      <alignment horizontal="left" wrapText="1"/>
    </xf>
    <xf numFmtId="0" fontId="14" fillId="0" borderId="4" xfId="7" applyFont="1" applyBorder="1"/>
    <xf numFmtId="0" fontId="14" fillId="0" borderId="43" xfId="7" applyFont="1" applyBorder="1"/>
    <xf numFmtId="0" fontId="14" fillId="0" borderId="45" xfId="7" applyFont="1" applyBorder="1"/>
    <xf numFmtId="0" fontId="14" fillId="0" borderId="46" xfId="7" applyFont="1" applyBorder="1"/>
    <xf numFmtId="0" fontId="6" fillId="0" borderId="1" xfId="7" applyFont="1" applyBorder="1"/>
    <xf numFmtId="0" fontId="6" fillId="0" borderId="1" xfId="7" applyFont="1" applyFill="1" applyBorder="1"/>
    <xf numFmtId="0" fontId="6" fillId="0" borderId="1" xfId="7" applyFont="1" applyBorder="1" applyAlignment="1">
      <alignment vertical="center"/>
    </xf>
    <xf numFmtId="0" fontId="6" fillId="0" borderId="1" xfId="7" applyFont="1" applyBorder="1" applyAlignment="1">
      <alignment wrapText="1"/>
    </xf>
    <xf numFmtId="0" fontId="6" fillId="0" borderId="1" xfId="7" applyFont="1" applyBorder="1" applyAlignment="1">
      <alignment horizontal="left" wrapText="1"/>
    </xf>
    <xf numFmtId="0" fontId="26" fillId="0" borderId="0" xfId="4" applyFont="1"/>
    <xf numFmtId="0" fontId="26" fillId="0" borderId="29" xfId="4" applyFont="1" applyBorder="1" applyAlignment="1">
      <alignment horizontal="center"/>
    </xf>
    <xf numFmtId="0" fontId="26" fillId="0" borderId="7" xfId="4" applyFont="1" applyBorder="1" applyAlignment="1">
      <alignment horizontal="center"/>
    </xf>
    <xf numFmtId="0" fontId="26" fillId="0" borderId="20" xfId="4" applyFont="1" applyFill="1" applyBorder="1" applyAlignment="1">
      <alignment horizontal="center"/>
    </xf>
    <xf numFmtId="0" fontId="26" fillId="0" borderId="7" xfId="4" applyFont="1" applyFill="1" applyBorder="1" applyAlignment="1">
      <alignment horizontal="center"/>
    </xf>
    <xf numFmtId="0" fontId="26" fillId="0" borderId="19" xfId="4" applyFont="1" applyFill="1" applyBorder="1" applyAlignment="1">
      <alignment horizontal="center"/>
    </xf>
    <xf numFmtId="0" fontId="26" fillId="15" borderId="6" xfId="4" applyFont="1" applyFill="1" applyBorder="1"/>
    <xf numFmtId="16" fontId="26" fillId="15" borderId="6" xfId="4" applyNumberFormat="1" applyFont="1" applyFill="1" applyBorder="1" applyAlignment="1">
      <alignment horizontal="center"/>
    </xf>
    <xf numFmtId="0" fontId="26" fillId="15" borderId="6" xfId="4" applyFont="1" applyFill="1" applyBorder="1" applyAlignment="1">
      <alignment horizontal="center"/>
    </xf>
    <xf numFmtId="0" fontId="26" fillId="15" borderId="12" xfId="4" applyFont="1" applyFill="1" applyBorder="1" applyAlignment="1">
      <alignment horizontal="center"/>
    </xf>
    <xf numFmtId="16" fontId="26" fillId="15" borderId="40" xfId="4" applyNumberFormat="1" applyFont="1" applyFill="1" applyBorder="1" applyAlignment="1">
      <alignment horizontal="center"/>
    </xf>
    <xf numFmtId="0" fontId="26" fillId="15" borderId="6" xfId="4" applyFont="1" applyFill="1" applyBorder="1" applyAlignment="1">
      <alignment horizontal="right"/>
    </xf>
    <xf numFmtId="0" fontId="26" fillId="15" borderId="0" xfId="4" applyFont="1" applyFill="1"/>
    <xf numFmtId="0" fontId="26" fillId="0" borderId="1" xfId="4" applyFont="1" applyFill="1" applyBorder="1"/>
    <xf numFmtId="0" fontId="26" fillId="0" borderId="1" xfId="4" applyFont="1" applyFill="1" applyBorder="1" applyAlignment="1">
      <alignment horizontal="center"/>
    </xf>
    <xf numFmtId="16" fontId="26" fillId="0" borderId="1" xfId="4" applyNumberFormat="1" applyFont="1" applyFill="1" applyBorder="1" applyAlignment="1">
      <alignment horizontal="center"/>
    </xf>
    <xf numFmtId="0" fontId="26" fillId="0" borderId="2" xfId="4" applyFont="1" applyFill="1" applyBorder="1" applyAlignment="1">
      <alignment horizontal="center"/>
    </xf>
    <xf numFmtId="16" fontId="26" fillId="0" borderId="3" xfId="4" applyNumberFormat="1" applyFont="1" applyFill="1" applyBorder="1" applyAlignment="1">
      <alignment horizontal="center"/>
    </xf>
    <xf numFmtId="0" fontId="26" fillId="0" borderId="1" xfId="4" applyFont="1" applyFill="1" applyBorder="1" applyAlignment="1">
      <alignment horizontal="right"/>
    </xf>
    <xf numFmtId="0" fontId="26" fillId="0" borderId="0" xfId="4" applyFont="1" applyFill="1"/>
    <xf numFmtId="0" fontId="26" fillId="15" borderId="1" xfId="4" applyFont="1" applyFill="1" applyBorder="1"/>
    <xf numFmtId="0" fontId="26" fillId="15" borderId="1" xfId="4" applyFont="1" applyFill="1" applyBorder="1" applyAlignment="1">
      <alignment horizontal="center"/>
    </xf>
    <xf numFmtId="16" fontId="26" fillId="15" borderId="1" xfId="4" applyNumberFormat="1" applyFont="1" applyFill="1" applyBorder="1" applyAlignment="1">
      <alignment horizontal="center"/>
    </xf>
    <xf numFmtId="0" fontId="26" fillId="15" borderId="2" xfId="4" applyFont="1" applyFill="1" applyBorder="1" applyAlignment="1">
      <alignment horizontal="center"/>
    </xf>
    <xf numFmtId="16" fontId="26" fillId="15" borderId="3" xfId="4" applyNumberFormat="1" applyFont="1" applyFill="1" applyBorder="1" applyAlignment="1">
      <alignment horizontal="center"/>
    </xf>
    <xf numFmtId="0" fontId="26" fillId="15" borderId="1" xfId="4" applyFont="1" applyFill="1" applyBorder="1" applyAlignment="1">
      <alignment horizontal="right"/>
    </xf>
    <xf numFmtId="0" fontId="26" fillId="0" borderId="1" xfId="4" applyFont="1" applyBorder="1"/>
    <xf numFmtId="0" fontId="26" fillId="0" borderId="1" xfId="4" applyFont="1" applyBorder="1" applyAlignment="1">
      <alignment horizontal="center"/>
    </xf>
    <xf numFmtId="16" fontId="26" fillId="0" borderId="1" xfId="4" applyNumberFormat="1" applyFont="1" applyBorder="1" applyAlignment="1">
      <alignment horizontal="center"/>
    </xf>
    <xf numFmtId="0" fontId="26" fillId="0" borderId="2" xfId="4" applyFont="1" applyBorder="1" applyAlignment="1">
      <alignment horizontal="center"/>
    </xf>
    <xf numFmtId="0" fontId="26" fillId="0" borderId="3" xfId="4" applyFont="1" applyBorder="1" applyAlignment="1">
      <alignment horizontal="center"/>
    </xf>
    <xf numFmtId="0" fontId="26" fillId="0" borderId="1" xfId="4" applyFont="1" applyBorder="1" applyAlignment="1">
      <alignment horizontal="right"/>
    </xf>
    <xf numFmtId="16" fontId="26" fillId="15" borderId="1" xfId="4" applyNumberFormat="1" applyFont="1" applyFill="1" applyBorder="1"/>
    <xf numFmtId="16" fontId="26" fillId="0" borderId="3" xfId="4" applyNumberFormat="1" applyFont="1" applyBorder="1" applyAlignment="1">
      <alignment horizontal="center"/>
    </xf>
    <xf numFmtId="0" fontId="26" fillId="15" borderId="3" xfId="4" applyFont="1" applyFill="1" applyBorder="1" applyAlignment="1">
      <alignment horizontal="center"/>
    </xf>
    <xf numFmtId="0" fontId="26" fillId="9" borderId="1" xfId="4" applyFont="1" applyFill="1" applyBorder="1"/>
    <xf numFmtId="16" fontId="26" fillId="9" borderId="1" xfId="4" applyNumberFormat="1" applyFont="1" applyFill="1" applyBorder="1" applyAlignment="1">
      <alignment horizontal="center"/>
    </xf>
    <xf numFmtId="0" fontId="26" fillId="9" borderId="1" xfId="4" applyFont="1" applyFill="1" applyBorder="1" applyAlignment="1">
      <alignment horizontal="center"/>
    </xf>
    <xf numFmtId="0" fontId="26" fillId="9" borderId="3" xfId="4" applyFont="1" applyFill="1" applyBorder="1" applyAlignment="1">
      <alignment horizontal="center"/>
    </xf>
    <xf numFmtId="0" fontId="26" fillId="9" borderId="1" xfId="4" applyFont="1" applyFill="1" applyBorder="1" applyAlignment="1">
      <alignment horizontal="right"/>
    </xf>
    <xf numFmtId="0" fontId="26" fillId="9" borderId="0" xfId="4" applyFont="1" applyFill="1"/>
    <xf numFmtId="0" fontId="26" fillId="9" borderId="2" xfId="4" applyFont="1" applyFill="1" applyBorder="1" applyAlignment="1">
      <alignment horizontal="center"/>
    </xf>
    <xf numFmtId="16" fontId="26" fillId="9" borderId="3" xfId="4" applyNumberFormat="1" applyFont="1" applyFill="1" applyBorder="1" applyAlignment="1">
      <alignment horizontal="center"/>
    </xf>
    <xf numFmtId="16" fontId="26" fillId="7" borderId="1" xfId="4" applyNumberFormat="1" applyFont="1" applyFill="1" applyBorder="1" applyAlignment="1">
      <alignment horizontal="center"/>
    </xf>
    <xf numFmtId="0" fontId="26" fillId="7" borderId="1" xfId="4" applyFont="1" applyFill="1" applyBorder="1" applyAlignment="1">
      <alignment horizontal="center"/>
    </xf>
    <xf numFmtId="0" fontId="27" fillId="0" borderId="1" xfId="4" applyFont="1" applyBorder="1" applyAlignment="1">
      <alignment horizontal="center"/>
    </xf>
    <xf numFmtId="0" fontId="26" fillId="28" borderId="1" xfId="4" applyFont="1" applyFill="1" applyBorder="1" applyAlignment="1">
      <alignment horizontal="center"/>
    </xf>
    <xf numFmtId="0" fontId="26" fillId="28" borderId="2" xfId="4" applyFont="1" applyFill="1" applyBorder="1" applyAlignment="1">
      <alignment horizontal="center"/>
    </xf>
    <xf numFmtId="16" fontId="26" fillId="28" borderId="3" xfId="4" applyNumberFormat="1" applyFont="1" applyFill="1" applyBorder="1" applyAlignment="1">
      <alignment horizontal="center"/>
    </xf>
    <xf numFmtId="16" fontId="26" fillId="9" borderId="1" xfId="4" applyNumberFormat="1" applyFont="1" applyFill="1" applyBorder="1"/>
    <xf numFmtId="16" fontId="26" fillId="6" borderId="1" xfId="4" applyNumberFormat="1" applyFont="1" applyFill="1" applyBorder="1" applyAlignment="1">
      <alignment horizontal="center"/>
    </xf>
    <xf numFmtId="0" fontId="26" fillId="6" borderId="1" xfId="4" applyFont="1" applyFill="1" applyBorder="1" applyAlignment="1">
      <alignment horizontal="center"/>
    </xf>
    <xf numFmtId="2" fontId="26" fillId="0" borderId="1" xfId="4" applyNumberFormat="1" applyFont="1" applyBorder="1" applyAlignment="1">
      <alignment horizontal="center"/>
    </xf>
    <xf numFmtId="0" fontId="26" fillId="0" borderId="0" xfId="4" applyFont="1" applyAlignment="1">
      <alignment horizontal="center"/>
    </xf>
    <xf numFmtId="0" fontId="26" fillId="0" borderId="0" xfId="4" applyFont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14" fillId="0" borderId="8" xfId="7" applyFont="1" applyFill="1" applyBorder="1"/>
    <xf numFmtId="0" fontId="14" fillId="0" borderId="8" xfId="7" applyFont="1" applyFill="1" applyBorder="1" applyAlignment="1">
      <alignment horizontal="center"/>
    </xf>
    <xf numFmtId="0" fontId="14" fillId="0" borderId="54" xfId="7" applyFont="1" applyFill="1" applyBorder="1"/>
    <xf numFmtId="0" fontId="14" fillId="0" borderId="8" xfId="7" applyFont="1" applyBorder="1"/>
    <xf numFmtId="0" fontId="14" fillId="0" borderId="54" xfId="7" applyFont="1" applyBorder="1"/>
    <xf numFmtId="0" fontId="14" fillId="0" borderId="47" xfId="7" applyFont="1" applyBorder="1"/>
    <xf numFmtId="0" fontId="14" fillId="0" borderId="48" xfId="7" applyFont="1" applyBorder="1"/>
    <xf numFmtId="0" fontId="6" fillId="0" borderId="6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2" xfId="4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7" applyFont="1" applyBorder="1" applyAlignment="1">
      <alignment horizontal="center"/>
    </xf>
    <xf numFmtId="0" fontId="6" fillId="0" borderId="1" xfId="7" applyFont="1" applyFill="1" applyBorder="1" applyAlignment="1">
      <alignment horizontal="center"/>
    </xf>
    <xf numFmtId="0" fontId="6" fillId="0" borderId="1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7" applyFont="1" applyFill="1" applyBorder="1" applyAlignment="1">
      <alignment wrapText="1"/>
    </xf>
    <xf numFmtId="0" fontId="6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6" fillId="7" borderId="6" xfId="0" applyFont="1" applyFill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14" fillId="0" borderId="0" xfId="7" applyFont="1" applyBorder="1" applyAlignment="1">
      <alignment horizontal="left"/>
    </xf>
    <xf numFmtId="0" fontId="14" fillId="0" borderId="0" xfId="7" applyFont="1" applyFill="1" applyBorder="1" applyAlignment="1">
      <alignment horizontal="center"/>
    </xf>
    <xf numFmtId="0" fontId="14" fillId="0" borderId="0" xfId="7" applyFont="1" applyBorder="1" applyAlignment="1">
      <alignment horizontal="center"/>
    </xf>
    <xf numFmtId="0" fontId="14" fillId="0" borderId="1" xfId="0" applyFont="1" applyFill="1" applyBorder="1" applyAlignment="1"/>
    <xf numFmtId="0" fontId="6" fillId="0" borderId="1" xfId="7" applyFont="1" applyFill="1" applyBorder="1" applyAlignment="1">
      <alignment horizontal="center" vertical="center"/>
    </xf>
    <xf numFmtId="0" fontId="6" fillId="0" borderId="1" xfId="7" applyFont="1" applyFill="1" applyBorder="1" applyAlignment="1">
      <alignment horizont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1" fontId="5" fillId="0" borderId="3" xfId="0" applyNumberFormat="1" applyFont="1" applyFill="1" applyBorder="1" applyAlignment="1">
      <alignment horizontal="center" vertical="top" wrapText="1"/>
    </xf>
    <xf numFmtId="1" fontId="19" fillId="0" borderId="1" xfId="0" applyNumberFormat="1" applyFont="1" applyBorder="1" applyAlignment="1">
      <alignment horizontal="center"/>
    </xf>
    <xf numFmtId="165" fontId="14" fillId="0" borderId="0" xfId="7" applyNumberFormat="1" applyFont="1" applyAlignment="1">
      <alignment horizontal="left"/>
    </xf>
    <xf numFmtId="165" fontId="6" fillId="0" borderId="1" xfId="7" applyNumberFormat="1" applyFont="1" applyBorder="1"/>
    <xf numFmtId="0" fontId="14" fillId="0" borderId="2" xfId="7" applyFont="1" applyBorder="1"/>
    <xf numFmtId="0" fontId="14" fillId="0" borderId="44" xfId="7" applyFont="1" applyBorder="1"/>
    <xf numFmtId="0" fontId="14" fillId="0" borderId="23" xfId="7" applyFont="1" applyFill="1" applyBorder="1" applyAlignment="1">
      <alignment horizontal="center"/>
    </xf>
    <xf numFmtId="0" fontId="14" fillId="0" borderId="5" xfId="7" applyFont="1" applyFill="1" applyBorder="1" applyAlignment="1">
      <alignment horizontal="center"/>
    </xf>
    <xf numFmtId="0" fontId="14" fillId="0" borderId="52" xfId="7" applyFont="1" applyFill="1" applyBorder="1" applyAlignment="1">
      <alignment horizontal="center"/>
    </xf>
    <xf numFmtId="0" fontId="14" fillId="0" borderId="53" xfId="7" applyFont="1" applyFill="1" applyBorder="1" applyAlignment="1">
      <alignment horizontal="center"/>
    </xf>
    <xf numFmtId="0" fontId="14" fillId="0" borderId="56" xfId="7" applyFont="1" applyFill="1" applyBorder="1" applyAlignment="1">
      <alignment horizontal="center"/>
    </xf>
    <xf numFmtId="0" fontId="14" fillId="0" borderId="12" xfId="7" applyFont="1" applyFill="1" applyBorder="1"/>
    <xf numFmtId="0" fontId="14" fillId="0" borderId="36" xfId="7" applyFont="1" applyBorder="1"/>
    <xf numFmtId="0" fontId="14" fillId="0" borderId="34" xfId="7" applyFont="1" applyBorder="1"/>
    <xf numFmtId="0" fontId="14" fillId="0" borderId="2" xfId="7" applyFont="1" applyFill="1" applyBorder="1" applyAlignment="1">
      <alignment horizontal="center"/>
    </xf>
    <xf numFmtId="0" fontId="14" fillId="14" borderId="1" xfId="7" applyFont="1" applyFill="1" applyBorder="1"/>
    <xf numFmtId="0" fontId="14" fillId="12" borderId="3" xfId="7" applyFont="1" applyFill="1" applyBorder="1"/>
    <xf numFmtId="0" fontId="14" fillId="31" borderId="3" xfId="7" applyFont="1" applyFill="1" applyBorder="1"/>
    <xf numFmtId="0" fontId="14" fillId="5" borderId="1" xfId="7" applyFont="1" applyFill="1" applyBorder="1"/>
    <xf numFmtId="0" fontId="14" fillId="12" borderId="1" xfId="7" applyFont="1" applyFill="1" applyBorder="1"/>
    <xf numFmtId="0" fontId="14" fillId="6" borderId="33" xfId="7" applyFont="1" applyFill="1" applyBorder="1"/>
    <xf numFmtId="0" fontId="14" fillId="32" borderId="33" xfId="7" applyFont="1" applyFill="1" applyBorder="1"/>
    <xf numFmtId="0" fontId="0" fillId="0" borderId="1" xfId="0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31" fillId="0" borderId="3" xfId="0" applyNumberFormat="1" applyFont="1" applyBorder="1" applyAlignment="1">
      <alignment horizontal="center"/>
    </xf>
    <xf numFmtId="1" fontId="31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6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31" fillId="0" borderId="1" xfId="0" applyNumberFormat="1" applyFont="1" applyBorder="1" applyAlignment="1">
      <alignment horizontal="center"/>
    </xf>
    <xf numFmtId="166" fontId="19" fillId="0" borderId="1" xfId="0" applyNumberFormat="1" applyFont="1" applyBorder="1" applyAlignment="1">
      <alignment horizontal="center"/>
    </xf>
    <xf numFmtId="0" fontId="11" fillId="0" borderId="1" xfId="0" applyFont="1" applyFill="1" applyBorder="1"/>
    <xf numFmtId="0" fontId="6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34" fillId="0" borderId="0" xfId="0" applyFont="1" applyAlignment="1">
      <alignment horizontal="center"/>
    </xf>
    <xf numFmtId="167" fontId="34" fillId="0" borderId="0" xfId="0" applyNumberFormat="1" applyFont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4" applyFont="1" applyBorder="1" applyAlignment="1">
      <alignment horizontal="center"/>
    </xf>
    <xf numFmtId="167" fontId="35" fillId="0" borderId="1" xfId="4" applyNumberFormat="1" applyFont="1" applyBorder="1" applyAlignment="1">
      <alignment horizontal="center"/>
    </xf>
    <xf numFmtId="0" fontId="34" fillId="0" borderId="1" xfId="4" applyFont="1" applyBorder="1" applyAlignment="1">
      <alignment horizontal="center" wrapText="1"/>
    </xf>
    <xf numFmtId="0" fontId="36" fillId="3" borderId="1" xfId="2" applyFont="1" applyBorder="1" applyAlignment="1">
      <alignment horizontal="center"/>
    </xf>
    <xf numFmtId="167" fontId="35" fillId="0" borderId="4" xfId="4" applyNumberFormat="1" applyFont="1" applyBorder="1" applyAlignment="1">
      <alignment horizontal="center"/>
    </xf>
    <xf numFmtId="0" fontId="34" fillId="0" borderId="0" xfId="4" applyFont="1" applyFill="1" applyBorder="1" applyAlignment="1">
      <alignment horizontal="center" wrapText="1"/>
    </xf>
    <xf numFmtId="0" fontId="35" fillId="0" borderId="0" xfId="4" applyFont="1" applyBorder="1" applyAlignment="1">
      <alignment horizontal="center"/>
    </xf>
    <xf numFmtId="0" fontId="35" fillId="0" borderId="0" xfId="4" applyFont="1" applyAlignment="1">
      <alignment horizontal="center"/>
    </xf>
    <xf numFmtId="167" fontId="35" fillId="0" borderId="7" xfId="4" applyNumberFormat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5" fillId="0" borderId="5" xfId="4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5" fillId="0" borderId="1" xfId="0" applyNumberFormat="1" applyFont="1" applyFill="1" applyBorder="1" applyAlignment="1">
      <alignment horizontal="center" vertical="top"/>
    </xf>
    <xf numFmtId="166" fontId="6" fillId="0" borderId="1" xfId="0" applyNumberFormat="1" applyFont="1" applyFill="1" applyBorder="1" applyAlignment="1">
      <alignment horizontal="center" vertical="center"/>
    </xf>
    <xf numFmtId="1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4" fillId="0" borderId="58" xfId="7" applyFont="1" applyFill="1" applyBorder="1" applyAlignment="1">
      <alignment horizontal="center"/>
    </xf>
    <xf numFmtId="166" fontId="19" fillId="0" borderId="3" xfId="0" applyNumberFormat="1" applyFont="1" applyBorder="1" applyAlignment="1">
      <alignment horizontal="center"/>
    </xf>
    <xf numFmtId="0" fontId="19" fillId="0" borderId="3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left"/>
    </xf>
    <xf numFmtId="1" fontId="31" fillId="0" borderId="46" xfId="0" applyNumberFormat="1" applyFont="1" applyBorder="1" applyAlignment="1">
      <alignment horizontal="center"/>
    </xf>
    <xf numFmtId="1" fontId="9" fillId="0" borderId="46" xfId="0" applyNumberFormat="1" applyFont="1" applyBorder="1" applyAlignment="1">
      <alignment horizontal="center"/>
    </xf>
    <xf numFmtId="0" fontId="19" fillId="0" borderId="4" xfId="0" applyFont="1" applyBorder="1"/>
    <xf numFmtId="0" fontId="6" fillId="7" borderId="4" xfId="0" applyFont="1" applyFill="1" applyBorder="1"/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166" fontId="0" fillId="0" borderId="6" xfId="0" applyNumberFormat="1" applyBorder="1" applyAlignment="1">
      <alignment horizontal="center"/>
    </xf>
    <xf numFmtId="1" fontId="31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1" fontId="31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6" fillId="0" borderId="4" xfId="0" applyFont="1" applyFill="1" applyBorder="1"/>
    <xf numFmtId="0" fontId="14" fillId="0" borderId="6" xfId="0" applyFont="1" applyFill="1" applyBorder="1" applyAlignment="1"/>
    <xf numFmtId="0" fontId="11" fillId="0" borderId="6" xfId="0" applyFont="1" applyFill="1" applyBorder="1" applyAlignment="1">
      <alignment horizontal="left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6" fillId="7" borderId="5" xfId="0" applyFont="1" applyFill="1" applyBorder="1"/>
    <xf numFmtId="0" fontId="14" fillId="9" borderId="42" xfId="7" applyFont="1" applyFill="1" applyBorder="1"/>
    <xf numFmtId="0" fontId="14" fillId="9" borderId="1" xfId="7" applyFont="1" applyFill="1" applyBorder="1"/>
    <xf numFmtId="0" fontId="14" fillId="9" borderId="33" xfId="7" applyFont="1" applyFill="1" applyBorder="1"/>
    <xf numFmtId="168" fontId="0" fillId="0" borderId="1" xfId="0" applyNumberFormat="1" applyBorder="1" applyAlignment="1">
      <alignment horizontal="center"/>
    </xf>
    <xf numFmtId="1" fontId="31" fillId="0" borderId="40" xfId="0" applyNumberFormat="1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0" fontId="6" fillId="0" borderId="40" xfId="0" applyFont="1" applyBorder="1"/>
    <xf numFmtId="0" fontId="0" fillId="0" borderId="1" xfId="0" applyBorder="1" applyAlignment="1">
      <alignment horizontal="center"/>
    </xf>
    <xf numFmtId="0" fontId="10" fillId="0" borderId="2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5" xfId="0" applyFill="1" applyBorder="1"/>
    <xf numFmtId="0" fontId="6" fillId="0" borderId="46" xfId="0" applyFont="1" applyFill="1" applyBorder="1" applyAlignment="1">
      <alignment horizontal="left"/>
    </xf>
    <xf numFmtId="166" fontId="6" fillId="0" borderId="6" xfId="0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left"/>
    </xf>
    <xf numFmtId="0" fontId="6" fillId="4" borderId="6" xfId="0" applyFont="1" applyFill="1" applyBorder="1"/>
    <xf numFmtId="0" fontId="6" fillId="5" borderId="6" xfId="0" applyFont="1" applyFill="1" applyBorder="1"/>
    <xf numFmtId="0" fontId="14" fillId="4" borderId="42" xfId="7" applyFont="1" applyFill="1" applyBorder="1"/>
    <xf numFmtId="0" fontId="14" fillId="4" borderId="1" xfId="7" applyFont="1" applyFill="1" applyBorder="1"/>
    <xf numFmtId="0" fontId="14" fillId="4" borderId="33" xfId="7" applyFont="1" applyFill="1" applyBorder="1"/>
    <xf numFmtId="0" fontId="14" fillId="34" borderId="1" xfId="7" applyFont="1" applyFill="1" applyBorder="1"/>
    <xf numFmtId="0" fontId="31" fillId="0" borderId="1" xfId="0" applyFont="1" applyBorder="1" applyAlignment="1">
      <alignment horizontal="center"/>
    </xf>
    <xf numFmtId="0" fontId="14" fillId="31" borderId="1" xfId="7" applyFont="1" applyFill="1" applyBorder="1"/>
    <xf numFmtId="0" fontId="14" fillId="0" borderId="1" xfId="0" applyFont="1" applyBorder="1" applyAlignment="1"/>
    <xf numFmtId="166" fontId="6" fillId="0" borderId="1" xfId="0" applyNumberFormat="1" applyFont="1" applyBorder="1" applyAlignment="1">
      <alignment horizontal="center"/>
    </xf>
    <xf numFmtId="166" fontId="38" fillId="10" borderId="1" xfId="3" applyNumberFormat="1" applyFont="1" applyBorder="1" applyAlignment="1">
      <alignment horizontal="left" vertical="center" wrapText="1"/>
    </xf>
    <xf numFmtId="0" fontId="13" fillId="0" borderId="1" xfId="3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4" fillId="35" borderId="1" xfId="7" applyFont="1" applyFill="1" applyBorder="1"/>
    <xf numFmtId="0" fontId="6" fillId="0" borderId="0" xfId="0" applyFont="1" applyFill="1"/>
    <xf numFmtId="168" fontId="0" fillId="0" borderId="4" xfId="0" applyNumberFormat="1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32" fillId="0" borderId="1" xfId="0" applyFont="1" applyFill="1" applyBorder="1"/>
    <xf numFmtId="0" fontId="0" fillId="0" borderId="0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6" xfId="7" applyFont="1" applyBorder="1"/>
    <xf numFmtId="0" fontId="6" fillId="0" borderId="6" xfId="7" applyFont="1" applyBorder="1" applyAlignment="1">
      <alignment horizontal="center"/>
    </xf>
    <xf numFmtId="0" fontId="6" fillId="0" borderId="6" xfId="7" applyFont="1" applyFill="1" applyBorder="1"/>
    <xf numFmtId="0" fontId="14" fillId="0" borderId="6" xfId="7" applyFont="1" applyFill="1" applyBorder="1" applyAlignment="1">
      <alignment horizontal="center"/>
    </xf>
    <xf numFmtId="0" fontId="14" fillId="0" borderId="57" xfId="7" applyFont="1" applyFill="1" applyBorder="1"/>
    <xf numFmtId="0" fontId="14" fillId="0" borderId="32" xfId="7" applyFont="1" applyFill="1" applyBorder="1" applyAlignment="1">
      <alignment horizontal="center"/>
    </xf>
    <xf numFmtId="0" fontId="14" fillId="0" borderId="39" xfId="7" applyFont="1" applyFill="1" applyBorder="1" applyAlignment="1">
      <alignment horizontal="center"/>
    </xf>
    <xf numFmtId="0" fontId="14" fillId="33" borderId="40" xfId="7" applyFont="1" applyFill="1" applyBorder="1"/>
    <xf numFmtId="0" fontId="14" fillId="33" borderId="6" xfId="7" applyFont="1" applyFill="1" applyBorder="1"/>
    <xf numFmtId="0" fontId="14" fillId="0" borderId="60" xfId="7" applyFont="1" applyFill="1" applyBorder="1" applyAlignment="1">
      <alignment horizontal="center"/>
    </xf>
    <xf numFmtId="0" fontId="14" fillId="34" borderId="6" xfId="7" applyFont="1" applyFill="1" applyBorder="1"/>
    <xf numFmtId="0" fontId="14" fillId="9" borderId="32" xfId="7" applyFont="1" applyFill="1" applyBorder="1"/>
    <xf numFmtId="0" fontId="14" fillId="9" borderId="6" xfId="7" applyFont="1" applyFill="1" applyBorder="1"/>
    <xf numFmtId="0" fontId="42" fillId="36" borderId="1" xfId="7" applyFont="1" applyFill="1" applyBorder="1" applyAlignment="1">
      <alignment horizontal="center" vertical="center" textRotation="90" wrapText="1"/>
    </xf>
    <xf numFmtId="0" fontId="42" fillId="36" borderId="1" xfId="7" applyFont="1" applyFill="1" applyBorder="1"/>
    <xf numFmtId="0" fontId="42" fillId="36" borderId="1" xfId="7" applyFont="1" applyFill="1" applyBorder="1" applyAlignment="1">
      <alignment horizontal="center" vertical="center" wrapText="1"/>
    </xf>
    <xf numFmtId="0" fontId="40" fillId="36" borderId="1" xfId="7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4" fillId="0" borderId="36" xfId="7" applyFont="1" applyFill="1" applyBorder="1"/>
    <xf numFmtId="0" fontId="14" fillId="0" borderId="34" xfId="7" applyFont="1" applyFill="1" applyBorder="1"/>
    <xf numFmtId="0" fontId="14" fillId="0" borderId="35" xfId="7" applyFont="1" applyFill="1" applyBorder="1"/>
    <xf numFmtId="0" fontId="14" fillId="34" borderId="42" xfId="7" applyFont="1" applyFill="1" applyBorder="1"/>
    <xf numFmtId="0" fontId="14" fillId="37" borderId="1" xfId="7" applyFont="1" applyFill="1" applyBorder="1" applyAlignment="1"/>
    <xf numFmtId="0" fontId="14" fillId="4" borderId="3" xfId="7" applyFont="1" applyFill="1" applyBorder="1"/>
    <xf numFmtId="0" fontId="14" fillId="9" borderId="1" xfId="7" applyFont="1" applyFill="1" applyBorder="1" applyAlignment="1"/>
    <xf numFmtId="0" fontId="14" fillId="22" borderId="29" xfId="7" applyFont="1" applyFill="1" applyBorder="1"/>
    <xf numFmtId="0" fontId="14" fillId="22" borderId="30" xfId="7" applyFont="1" applyFill="1" applyBorder="1"/>
    <xf numFmtId="0" fontId="14" fillId="0" borderId="29" xfId="7" applyFont="1" applyFill="1" applyBorder="1" applyAlignment="1">
      <alignment horizontal="center"/>
    </xf>
    <xf numFmtId="0" fontId="22" fillId="0" borderId="29" xfId="7" applyFont="1" applyFill="1" applyBorder="1" applyAlignment="1">
      <alignment horizontal="center"/>
    </xf>
    <xf numFmtId="0" fontId="14" fillId="0" borderId="30" xfId="7" applyFont="1" applyFill="1" applyBorder="1" applyAlignment="1">
      <alignment horizontal="center"/>
    </xf>
    <xf numFmtId="0" fontId="14" fillId="0" borderId="14" xfId="7" applyFont="1" applyFill="1" applyBorder="1" applyAlignment="1">
      <alignment horizontal="center"/>
    </xf>
    <xf numFmtId="0" fontId="14" fillId="0" borderId="34" xfId="7" applyFont="1" applyFill="1" applyBorder="1" applyAlignment="1"/>
    <xf numFmtId="0" fontId="14" fillId="9" borderId="34" xfId="7" applyFont="1" applyFill="1" applyBorder="1" applyAlignment="1"/>
    <xf numFmtId="0" fontId="14" fillId="31" borderId="1" xfId="7" applyFont="1" applyFill="1" applyBorder="1" applyAlignment="1"/>
    <xf numFmtId="0" fontId="14" fillId="0" borderId="37" xfId="7" applyFont="1" applyFill="1" applyBorder="1"/>
    <xf numFmtId="0" fontId="14" fillId="9" borderId="3" xfId="7" applyFont="1" applyFill="1" applyBorder="1"/>
    <xf numFmtId="0" fontId="14" fillId="34" borderId="3" xfId="7" applyFont="1" applyFill="1" applyBorder="1"/>
    <xf numFmtId="0" fontId="14" fillId="0" borderId="33" xfId="7" applyFont="1" applyFill="1" applyBorder="1" applyAlignment="1"/>
    <xf numFmtId="0" fontId="14" fillId="22" borderId="14" xfId="7" applyFont="1" applyFill="1" applyBorder="1"/>
    <xf numFmtId="0" fontId="14" fillId="0" borderId="35" xfId="7" applyFont="1" applyFill="1" applyBorder="1" applyAlignment="1"/>
    <xf numFmtId="0" fontId="14" fillId="0" borderId="33" xfId="7" applyFont="1" applyBorder="1" applyAlignment="1">
      <alignment vertical="center"/>
    </xf>
    <xf numFmtId="0" fontId="14" fillId="14" borderId="3" xfId="7" applyFont="1" applyFill="1" applyBorder="1"/>
    <xf numFmtId="0" fontId="14" fillId="14" borderId="33" xfId="7" applyFont="1" applyFill="1" applyBorder="1"/>
    <xf numFmtId="0" fontId="5" fillId="0" borderId="1" xfId="0" applyFont="1" applyFill="1" applyBorder="1" applyAlignment="1">
      <alignment horizontal="left" vertical="top" wrapText="1"/>
    </xf>
    <xf numFmtId="0" fontId="14" fillId="13" borderId="33" xfId="7" applyFont="1" applyFill="1" applyBorder="1" applyAlignment="1"/>
    <xf numFmtId="0" fontId="14" fillId="6" borderId="1" xfId="7" applyFont="1" applyFill="1" applyBorder="1"/>
    <xf numFmtId="0" fontId="14" fillId="38" borderId="1" xfId="7" applyFont="1" applyFill="1" applyBorder="1"/>
    <xf numFmtId="0" fontId="44" fillId="34" borderId="1" xfId="7" applyFont="1" applyFill="1" applyBorder="1"/>
    <xf numFmtId="0" fontId="11" fillId="0" borderId="1" xfId="7" applyFont="1" applyFill="1" applyBorder="1"/>
    <xf numFmtId="0" fontId="11" fillId="0" borderId="1" xfId="7" applyFont="1" applyFill="1" applyBorder="1" applyAlignment="1">
      <alignment vertical="center"/>
    </xf>
    <xf numFmtId="0" fontId="11" fillId="0" borderId="1" xfId="7" applyFont="1" applyFill="1" applyBorder="1" applyAlignment="1">
      <alignment wrapText="1"/>
    </xf>
    <xf numFmtId="165" fontId="45" fillId="0" borderId="1" xfId="7" applyNumberFormat="1" applyFont="1" applyBorder="1"/>
    <xf numFmtId="165" fontId="45" fillId="0" borderId="6" xfId="7" applyNumberFormat="1" applyFont="1" applyFill="1" applyBorder="1"/>
    <xf numFmtId="0" fontId="0" fillId="0" borderId="1" xfId="0" applyBorder="1" applyAlignment="1">
      <alignment horizontal="center"/>
    </xf>
    <xf numFmtId="0" fontId="14" fillId="34" borderId="33" xfId="7" applyFont="1" applyFill="1" applyBorder="1"/>
    <xf numFmtId="0" fontId="14" fillId="31" borderId="42" xfId="7" applyFont="1" applyFill="1" applyBorder="1"/>
    <xf numFmtId="0" fontId="11" fillId="0" borderId="6" xfId="7" applyFont="1" applyBorder="1" applyAlignment="1">
      <alignment horizontal="center"/>
    </xf>
    <xf numFmtId="0" fontId="11" fillId="0" borderId="1" xfId="7" applyFont="1" applyFill="1" applyBorder="1" applyAlignment="1">
      <alignment horizontal="center"/>
    </xf>
    <xf numFmtId="0" fontId="11" fillId="0" borderId="1" xfId="7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wrapText="1"/>
    </xf>
    <xf numFmtId="0" fontId="14" fillId="29" borderId="42" xfId="7" applyFont="1" applyFill="1" applyBorder="1"/>
    <xf numFmtId="0" fontId="14" fillId="29" borderId="1" xfId="7" applyFont="1" applyFill="1" applyBorder="1"/>
    <xf numFmtId="0" fontId="14" fillId="8" borderId="33" xfId="7" applyFont="1" applyFill="1" applyBorder="1"/>
    <xf numFmtId="0" fontId="31" fillId="0" borderId="1" xfId="1" applyFont="1" applyFill="1" applyBorder="1" applyAlignment="1">
      <alignment horizontal="center"/>
    </xf>
    <xf numFmtId="0" fontId="46" fillId="0" borderId="1" xfId="0" applyFont="1" applyBorder="1"/>
    <xf numFmtId="0" fontId="14" fillId="39" borderId="1" xfId="7" applyFont="1" applyFill="1" applyBorder="1"/>
    <xf numFmtId="0" fontId="14" fillId="0" borderId="38" xfId="7" applyFont="1" applyFill="1" applyBorder="1"/>
    <xf numFmtId="0" fontId="14" fillId="0" borderId="31" xfId="7" applyFont="1" applyBorder="1"/>
    <xf numFmtId="0" fontId="14" fillId="6" borderId="3" xfId="7" applyFont="1" applyFill="1" applyBorder="1"/>
    <xf numFmtId="0" fontId="14" fillId="0" borderId="0" xfId="7" applyFont="1" applyBorder="1"/>
    <xf numFmtId="0" fontId="14" fillId="0" borderId="28" xfId="7" applyFont="1" applyBorder="1"/>
    <xf numFmtId="0" fontId="14" fillId="12" borderId="33" xfId="7" applyFont="1" applyFill="1" applyBorder="1"/>
    <xf numFmtId="0" fontId="14" fillId="40" borderId="42" xfId="7" applyFont="1" applyFill="1" applyBorder="1"/>
    <xf numFmtId="0" fontId="14" fillId="6" borderId="42" xfId="7" applyFont="1" applyFill="1" applyBorder="1"/>
    <xf numFmtId="0" fontId="6" fillId="9" borderId="1" xfId="0" applyFont="1" applyFill="1" applyBorder="1" applyAlignment="1">
      <alignment horizontal="left"/>
    </xf>
    <xf numFmtId="0" fontId="47" fillId="14" borderId="1" xfId="7" applyFont="1" applyFill="1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8" xfId="0" applyBorder="1" applyAlignment="1">
      <alignment vertical="center" wrapText="1"/>
    </xf>
    <xf numFmtId="0" fontId="48" fillId="0" borderId="1" xfId="0" applyFont="1" applyBorder="1" applyAlignment="1">
      <alignment horizontal="center"/>
    </xf>
    <xf numFmtId="0" fontId="48" fillId="0" borderId="4" xfId="0" applyFont="1" applyBorder="1" applyAlignment="1">
      <alignment horizontal="center"/>
    </xf>
    <xf numFmtId="0" fontId="14" fillId="9" borderId="37" xfId="7" applyFont="1" applyFill="1" applyBorder="1"/>
    <xf numFmtId="0" fontId="14" fillId="8" borderId="1" xfId="7" applyFont="1" applyFill="1" applyBorder="1"/>
    <xf numFmtId="0" fontId="14" fillId="8" borderId="42" xfId="7" applyFont="1" applyFill="1" applyBorder="1"/>
    <xf numFmtId="166" fontId="6" fillId="0" borderId="1" xfId="0" applyNumberFormat="1" applyFont="1" applyFill="1" applyBorder="1" applyAlignment="1">
      <alignment horizontal="center"/>
    </xf>
    <xf numFmtId="0" fontId="14" fillId="41" borderId="3" xfId="7" applyFont="1" applyFill="1" applyBorder="1"/>
    <xf numFmtId="0" fontId="14" fillId="41" borderId="1" xfId="7" applyFont="1" applyFill="1" applyBorder="1"/>
    <xf numFmtId="0" fontId="41" fillId="36" borderId="2" xfId="7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5" xfId="0" applyFont="1" applyFill="1" applyBorder="1"/>
    <xf numFmtId="166" fontId="6" fillId="0" borderId="4" xfId="0" applyNumberFormat="1" applyFont="1" applyFill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/>
    </xf>
    <xf numFmtId="0" fontId="11" fillId="0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11" fillId="0" borderId="4" xfId="0" applyFont="1" applyFill="1" applyBorder="1"/>
    <xf numFmtId="0" fontId="3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center"/>
    </xf>
    <xf numFmtId="0" fontId="6" fillId="4" borderId="4" xfId="0" applyFont="1" applyFill="1" applyBorder="1"/>
    <xf numFmtId="0" fontId="6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center" vertical="top"/>
    </xf>
    <xf numFmtId="166" fontId="6" fillId="0" borderId="4" xfId="0" applyNumberFormat="1" applyFont="1" applyBorder="1" applyAlignment="1">
      <alignment horizontal="center"/>
    </xf>
    <xf numFmtId="0" fontId="0" fillId="0" borderId="4" xfId="0" applyBorder="1"/>
    <xf numFmtId="1" fontId="6" fillId="0" borderId="6" xfId="0" applyNumberFormat="1" applyFont="1" applyFill="1" applyBorder="1" applyAlignment="1">
      <alignment horizontal="center"/>
    </xf>
    <xf numFmtId="166" fontId="6" fillId="0" borderId="5" xfId="0" applyNumberFormat="1" applyFont="1" applyFill="1" applyBorder="1" applyAlignment="1">
      <alignment horizontal="center" vertical="center"/>
    </xf>
    <xf numFmtId="1" fontId="31" fillId="0" borderId="61" xfId="0" applyNumberFormat="1" applyFont="1" applyBorder="1" applyAlignment="1">
      <alignment horizontal="center"/>
    </xf>
    <xf numFmtId="1" fontId="9" fillId="0" borderId="61" xfId="0" applyNumberFormat="1" applyFont="1" applyBorder="1" applyAlignment="1">
      <alignment horizontal="center"/>
    </xf>
    <xf numFmtId="0" fontId="19" fillId="0" borderId="5" xfId="0" applyFont="1" applyBorder="1"/>
    <xf numFmtId="1" fontId="31" fillId="0" borderId="5" xfId="0" applyNumberFormat="1" applyFon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6" fillId="0" borderId="6" xfId="0" applyFont="1" applyFill="1" applyBorder="1" applyAlignment="1"/>
    <xf numFmtId="168" fontId="0" fillId="0" borderId="5" xfId="0" applyNumberForma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11" fillId="0" borderId="6" xfId="0" applyFont="1" applyBorder="1"/>
    <xf numFmtId="0" fontId="6" fillId="0" borderId="6" xfId="0" applyFont="1" applyFill="1" applyBorder="1" applyAlignment="1">
      <alignment horizontal="left" vertical="top"/>
    </xf>
    <xf numFmtId="0" fontId="0" fillId="0" borderId="6" xfId="0" applyBorder="1"/>
    <xf numFmtId="166" fontId="6" fillId="0" borderId="6" xfId="0" applyNumberFormat="1" applyFont="1" applyFill="1" applyBorder="1" applyAlignment="1">
      <alignment horizontal="center"/>
    </xf>
    <xf numFmtId="0" fontId="0" fillId="0" borderId="6" xfId="0" applyFill="1" applyBorder="1"/>
    <xf numFmtId="0" fontId="14" fillId="42" borderId="1" xfId="7" applyFont="1" applyFill="1" applyBorder="1"/>
    <xf numFmtId="0" fontId="14" fillId="14" borderId="42" xfId="7" applyFont="1" applyFill="1" applyBorder="1"/>
    <xf numFmtId="165" fontId="3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9" borderId="1" xfId="0" applyFont="1" applyFill="1" applyBorder="1" applyAlignment="1">
      <alignment horizontal="left" vertical="top"/>
    </xf>
    <xf numFmtId="0" fontId="42" fillId="36" borderId="3" xfId="7" applyFont="1" applyFill="1" applyBorder="1"/>
    <xf numFmtId="0" fontId="14" fillId="0" borderId="40" xfId="7" applyFont="1" applyFill="1" applyBorder="1" applyAlignment="1">
      <alignment horizontal="center"/>
    </xf>
    <xf numFmtId="0" fontId="14" fillId="14" borderId="6" xfId="7" applyFont="1" applyFill="1" applyBorder="1" applyAlignment="1">
      <alignment horizontal="center"/>
    </xf>
    <xf numFmtId="0" fontId="14" fillId="9" borderId="0" xfId="7" applyFont="1" applyFill="1"/>
    <xf numFmtId="0" fontId="0" fillId="0" borderId="1" xfId="0" applyBorder="1" applyAlignment="1">
      <alignment horizontal="center"/>
    </xf>
    <xf numFmtId="0" fontId="14" fillId="43" borderId="3" xfId="7" applyFont="1" applyFill="1" applyBorder="1"/>
    <xf numFmtId="0" fontId="14" fillId="43" borderId="1" xfId="7" applyFont="1" applyFill="1" applyBorder="1"/>
    <xf numFmtId="0" fontId="14" fillId="31" borderId="33" xfId="7" applyFont="1" applyFill="1" applyBorder="1"/>
    <xf numFmtId="0" fontId="14" fillId="24" borderId="32" xfId="7" applyFont="1" applyFill="1" applyBorder="1"/>
    <xf numFmtId="0" fontId="14" fillId="24" borderId="42" xfId="7" applyFont="1" applyFill="1" applyBorder="1"/>
    <xf numFmtId="0" fontId="14" fillId="24" borderId="45" xfId="7" applyFont="1" applyFill="1" applyBorder="1"/>
    <xf numFmtId="0" fontId="14" fillId="24" borderId="1" xfId="7" applyFont="1" applyFill="1" applyBorder="1"/>
    <xf numFmtId="0" fontId="14" fillId="24" borderId="4" xfId="7" applyFont="1" applyFill="1" applyBorder="1"/>
    <xf numFmtId="0" fontId="14" fillId="44" borderId="1" xfId="7" applyFont="1" applyFill="1" applyBorder="1"/>
    <xf numFmtId="0" fontId="14" fillId="45" borderId="1" xfId="7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4" fillId="0" borderId="1" xfId="4" applyFill="1" applyBorder="1" applyAlignment="1">
      <alignment horizontal="center" vertical="center" wrapText="1"/>
    </xf>
    <xf numFmtId="0" fontId="14" fillId="0" borderId="1" xfId="4" applyBorder="1" applyAlignment="1">
      <alignment vertical="center" wrapText="1"/>
    </xf>
    <xf numFmtId="0" fontId="14" fillId="7" borderId="1" xfId="4" applyFill="1" applyBorder="1"/>
    <xf numFmtId="14" fontId="0" fillId="0" borderId="1" xfId="0" applyNumberFormat="1" applyBorder="1"/>
    <xf numFmtId="0" fontId="14" fillId="43" borderId="42" xfId="7" applyFont="1" applyFill="1" applyBorder="1"/>
    <xf numFmtId="0" fontId="14" fillId="43" borderId="2" xfId="7" applyFont="1" applyFill="1" applyBorder="1"/>
    <xf numFmtId="0" fontId="14" fillId="39" borderId="33" xfId="7" applyFont="1" applyFill="1" applyBorder="1"/>
    <xf numFmtId="0" fontId="22" fillId="0" borderId="33" xfId="7" applyFont="1" applyFill="1" applyBorder="1"/>
    <xf numFmtId="0" fontId="14" fillId="7" borderId="1" xfId="7" applyFont="1" applyFill="1" applyBorder="1"/>
    <xf numFmtId="0" fontId="14" fillId="13" borderId="1" xfId="7" applyFont="1" applyFill="1" applyBorder="1"/>
    <xf numFmtId="0" fontId="14" fillId="13" borderId="33" xfId="7" applyFont="1" applyFill="1" applyBorder="1"/>
    <xf numFmtId="0" fontId="14" fillId="7" borderId="42" xfId="7" applyFont="1" applyFill="1" applyBorder="1"/>
    <xf numFmtId="0" fontId="14" fillId="14" borderId="2" xfId="7" applyFont="1" applyFill="1" applyBorder="1"/>
    <xf numFmtId="0" fontId="14" fillId="0" borderId="38" xfId="7" applyFont="1" applyBorder="1"/>
    <xf numFmtId="0" fontId="14" fillId="0" borderId="25" xfId="7" applyFont="1" applyBorder="1"/>
    <xf numFmtId="0" fontId="14" fillId="0" borderId="62" xfId="7" applyFont="1" applyFill="1" applyBorder="1" applyAlignment="1">
      <alignment horizontal="center"/>
    </xf>
    <xf numFmtId="0" fontId="42" fillId="36" borderId="42" xfId="7" applyFont="1" applyFill="1" applyBorder="1"/>
    <xf numFmtId="0" fontId="42" fillId="36" borderId="33" xfId="7" applyFont="1" applyFill="1" applyBorder="1"/>
    <xf numFmtId="0" fontId="14" fillId="0" borderId="29" xfId="7" applyFont="1" applyBorder="1" applyAlignment="1"/>
    <xf numFmtId="0" fontId="14" fillId="14" borderId="0" xfId="7" applyFont="1" applyFill="1"/>
    <xf numFmtId="0" fontId="14" fillId="35" borderId="12" xfId="7" applyFont="1" applyFill="1" applyBorder="1"/>
    <xf numFmtId="0" fontId="14" fillId="35" borderId="32" xfId="7" applyFont="1" applyFill="1" applyBorder="1"/>
    <xf numFmtId="0" fontId="14" fillId="35" borderId="6" xfId="7" applyFont="1" applyFill="1" applyBorder="1"/>
    <xf numFmtId="0" fontId="14" fillId="32" borderId="1" xfId="7" applyFont="1" applyFill="1" applyBorder="1"/>
    <xf numFmtId="0" fontId="14" fillId="46" borderId="1" xfId="7" applyFont="1" applyFill="1" applyBorder="1"/>
    <xf numFmtId="16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6" xfId="7" applyFont="1" applyFill="1" applyBorder="1"/>
    <xf numFmtId="0" fontId="6" fillId="0" borderId="1" xfId="7" applyFont="1" applyFill="1" applyBorder="1" applyAlignment="1">
      <alignment vertical="center"/>
    </xf>
    <xf numFmtId="0" fontId="14" fillId="0" borderId="0" xfId="7" applyFont="1" applyFill="1" applyAlignment="1">
      <alignment horizontal="left"/>
    </xf>
    <xf numFmtId="0" fontId="50" fillId="0" borderId="1" xfId="0" applyFont="1" applyFill="1" applyBorder="1" applyAlignment="1">
      <alignment horizontal="center"/>
    </xf>
    <xf numFmtId="0" fontId="14" fillId="12" borderId="2" xfId="7" applyFont="1" applyFill="1" applyBorder="1"/>
    <xf numFmtId="0" fontId="14" fillId="36" borderId="33" xfId="7" applyFont="1" applyFill="1" applyBorder="1"/>
    <xf numFmtId="0" fontId="14" fillId="45" borderId="42" xfId="7" applyFont="1" applyFill="1" applyBorder="1"/>
    <xf numFmtId="0" fontId="14" fillId="48" borderId="42" xfId="7" applyFont="1" applyFill="1" applyBorder="1"/>
    <xf numFmtId="0" fontId="14" fillId="9" borderId="2" xfId="7" applyFont="1" applyFill="1" applyBorder="1"/>
    <xf numFmtId="0" fontId="14" fillId="46" borderId="33" xfId="7" applyFont="1" applyFill="1" applyBorder="1"/>
    <xf numFmtId="0" fontId="42" fillId="36" borderId="36" xfId="7" applyFont="1" applyFill="1" applyBorder="1"/>
    <xf numFmtId="0" fontId="42" fillId="36" borderId="34" xfId="7" applyFont="1" applyFill="1" applyBorder="1"/>
    <xf numFmtId="0" fontId="14" fillId="35" borderId="42" xfId="7" applyFont="1" applyFill="1" applyBorder="1"/>
    <xf numFmtId="0" fontId="14" fillId="29" borderId="33" xfId="7" applyFont="1" applyFill="1" applyBorder="1"/>
    <xf numFmtId="0" fontId="14" fillId="37" borderId="33" xfId="7" applyFont="1" applyFill="1" applyBorder="1"/>
    <xf numFmtId="0" fontId="0" fillId="0" borderId="1" xfId="0" applyFill="1" applyBorder="1" applyAlignment="1">
      <alignment horizontal="center"/>
    </xf>
    <xf numFmtId="0" fontId="26" fillId="0" borderId="4" xfId="4" applyFont="1" applyBorder="1" applyAlignment="1">
      <alignment horizontal="center"/>
    </xf>
    <xf numFmtId="0" fontId="26" fillId="9" borderId="4" xfId="4" applyFont="1" applyFill="1" applyBorder="1"/>
    <xf numFmtId="0" fontId="26" fillId="9" borderId="4" xfId="4" applyFont="1" applyFill="1" applyBorder="1" applyAlignment="1">
      <alignment horizontal="center"/>
    </xf>
    <xf numFmtId="16" fontId="26" fillId="9" borderId="4" xfId="4" applyNumberFormat="1" applyFont="1" applyFill="1" applyBorder="1" applyAlignment="1">
      <alignment horizontal="center"/>
    </xf>
    <xf numFmtId="0" fontId="26" fillId="9" borderId="44" xfId="4" applyFont="1" applyFill="1" applyBorder="1" applyAlignment="1">
      <alignment horizontal="center"/>
    </xf>
    <xf numFmtId="16" fontId="26" fillId="9" borderId="46" xfId="4" applyNumberFormat="1" applyFont="1" applyFill="1" applyBorder="1" applyAlignment="1">
      <alignment horizontal="center"/>
    </xf>
    <xf numFmtId="0" fontId="26" fillId="0" borderId="4" xfId="4" applyFon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14" fillId="0" borderId="27" xfId="7" applyFont="1" applyBorder="1"/>
    <xf numFmtId="0" fontId="14" fillId="47" borderId="1" xfId="7" applyFont="1" applyFill="1" applyBorder="1"/>
    <xf numFmtId="0" fontId="14" fillId="0" borderId="1" xfId="7" applyFont="1" applyBorder="1" applyAlignment="1">
      <alignment horizontal="center"/>
    </xf>
    <xf numFmtId="165" fontId="6" fillId="0" borderId="4" xfId="7" applyNumberFormat="1" applyFont="1" applyBorder="1"/>
    <xf numFmtId="0" fontId="14" fillId="0" borderId="4" xfId="7" applyFont="1" applyFill="1" applyBorder="1" applyAlignment="1">
      <alignment horizontal="center"/>
    </xf>
    <xf numFmtId="0" fontId="14" fillId="0" borderId="45" xfId="7" applyFont="1" applyFill="1" applyBorder="1" applyAlignment="1">
      <alignment horizontal="center"/>
    </xf>
    <xf numFmtId="0" fontId="14" fillId="0" borderId="43" xfId="7" applyFont="1" applyFill="1" applyBorder="1" applyAlignment="1">
      <alignment horizontal="center"/>
    </xf>
    <xf numFmtId="0" fontId="14" fillId="0" borderId="63" xfId="7" applyFont="1" applyFill="1" applyBorder="1" applyAlignment="1">
      <alignment horizontal="center"/>
    </xf>
    <xf numFmtId="0" fontId="14" fillId="14" borderId="4" xfId="7" applyFont="1" applyFill="1" applyBorder="1"/>
    <xf numFmtId="0" fontId="14" fillId="14" borderId="43" xfId="7" applyFont="1" applyFill="1" applyBorder="1"/>
    <xf numFmtId="0" fontId="14" fillId="14" borderId="45" xfId="7" applyFont="1" applyFill="1" applyBorder="1"/>
    <xf numFmtId="0" fontId="14" fillId="0" borderId="1" xfId="7" applyFont="1" applyBorder="1" applyAlignment="1">
      <alignment horizontal="left"/>
    </xf>
    <xf numFmtId="165" fontId="14" fillId="0" borderId="1" xfId="7" applyNumberFormat="1" applyFont="1" applyBorder="1" applyAlignment="1">
      <alignment horizontal="left"/>
    </xf>
    <xf numFmtId="0" fontId="14" fillId="37" borderId="1" xfId="7" applyFont="1" applyFill="1" applyBorder="1"/>
    <xf numFmtId="0" fontId="42" fillId="36" borderId="38" xfId="7" applyFont="1" applyFill="1" applyBorder="1"/>
    <xf numFmtId="0" fontId="14" fillId="36" borderId="2" xfId="7" applyFont="1" applyFill="1" applyBorder="1"/>
    <xf numFmtId="0" fontId="14" fillId="47" borderId="2" xfId="7" applyFont="1" applyFill="1" applyBorder="1"/>
    <xf numFmtId="0" fontId="14" fillId="35" borderId="2" xfId="7" applyFont="1" applyFill="1" applyBorder="1"/>
    <xf numFmtId="0" fontId="14" fillId="45" borderId="3" xfId="7" applyFont="1" applyFill="1" applyBorder="1"/>
    <xf numFmtId="0" fontId="14" fillId="43" borderId="41" xfId="7" applyFont="1" applyFill="1" applyBorder="1"/>
    <xf numFmtId="0" fontId="14" fillId="24" borderId="55" xfId="7" applyFont="1" applyFill="1" applyBorder="1"/>
    <xf numFmtId="0" fontId="0" fillId="0" borderId="1" xfId="0" applyFill="1" applyBorder="1" applyAlignment="1">
      <alignment horizontal="center"/>
    </xf>
    <xf numFmtId="0" fontId="6" fillId="9" borderId="1" xfId="0" applyFont="1" applyFill="1" applyBorder="1"/>
    <xf numFmtId="0" fontId="0" fillId="0" borderId="1" xfId="0" applyBorder="1" applyAlignment="1">
      <alignment horizontal="center"/>
    </xf>
    <xf numFmtId="0" fontId="14" fillId="0" borderId="41" xfId="7" applyFont="1" applyFill="1" applyBorder="1"/>
    <xf numFmtId="0" fontId="14" fillId="47" borderId="3" xfId="7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8" fillId="2" borderId="4" xfId="1" applyFont="1" applyBorder="1" applyAlignment="1">
      <alignment horizontal="left"/>
    </xf>
    <xf numFmtId="0" fontId="8" fillId="2" borderId="6" xfId="1" applyFont="1" applyBorder="1" applyAlignment="1">
      <alignment horizontal="left"/>
    </xf>
    <xf numFmtId="0" fontId="2" fillId="3" borderId="5" xfId="2" applyBorder="1" applyAlignment="1">
      <alignment horizontal="left"/>
    </xf>
    <xf numFmtId="0" fontId="1" fillId="2" borderId="6" xfId="1" applyBorder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0" xfId="0" applyNumberFormat="1" applyFont="1" applyFill="1" applyAlignment="1">
      <alignment horizontal="center" vertical="center"/>
    </xf>
    <xf numFmtId="166" fontId="6" fillId="0" borderId="5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  <xf numFmtId="0" fontId="2" fillId="3" borderId="6" xfId="2" applyBorder="1" applyAlignment="1">
      <alignment horizontal="left"/>
    </xf>
    <xf numFmtId="0" fontId="14" fillId="4" borderId="4" xfId="0" applyFont="1" applyFill="1" applyBorder="1" applyAlignment="1"/>
    <xf numFmtId="0" fontId="14" fillId="0" borderId="5" xfId="0" applyFont="1" applyBorder="1" applyAlignment="1"/>
    <xf numFmtId="0" fontId="19" fillId="0" borderId="1" xfId="0" applyFont="1" applyFill="1" applyBorder="1" applyAlignment="1">
      <alignment horizontal="left"/>
    </xf>
    <xf numFmtId="0" fontId="11" fillId="0" borderId="4" xfId="0" applyFont="1" applyBorder="1"/>
    <xf numFmtId="0" fontId="6" fillId="14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left"/>
    </xf>
    <xf numFmtId="0" fontId="8" fillId="2" borderId="4" xfId="1" applyFont="1" applyBorder="1" applyAlignment="1">
      <alignment horizontal="center"/>
    </xf>
    <xf numFmtId="0" fontId="8" fillId="2" borderId="6" xfId="1" applyFont="1" applyBorder="1" applyAlignment="1">
      <alignment horizontal="center"/>
    </xf>
    <xf numFmtId="16" fontId="6" fillId="0" borderId="1" xfId="0" applyNumberFormat="1" applyFont="1" applyBorder="1"/>
    <xf numFmtId="0" fontId="0" fillId="0" borderId="5" xfId="0" applyBorder="1"/>
    <xf numFmtId="0" fontId="2" fillId="3" borderId="5" xfId="2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8" fillId="2" borderId="6" xfId="1" applyNumberFormat="1" applyFont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0" fontId="0" fillId="0" borderId="2" xfId="0" applyFill="1" applyBorder="1"/>
    <xf numFmtId="1" fontId="2" fillId="3" borderId="5" xfId="2" applyNumberForma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1" fontId="19" fillId="0" borderId="2" xfId="0" applyNumberFormat="1" applyFont="1" applyBorder="1" applyAlignment="1">
      <alignment horizontal="center"/>
    </xf>
    <xf numFmtId="0" fontId="0" fillId="0" borderId="0" xfId="0" applyFill="1"/>
    <xf numFmtId="0" fontId="6" fillId="0" borderId="4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9" fillId="0" borderId="8" xfId="0" applyNumberFormat="1" applyFont="1" applyBorder="1" applyAlignment="1">
      <alignment horizontal="center"/>
    </xf>
    <xf numFmtId="1" fontId="8" fillId="2" borderId="54" xfId="1" applyNumberFormat="1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6" fontId="9" fillId="0" borderId="57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19" fillId="0" borderId="54" xfId="0" applyNumberFormat="1" applyFont="1" applyBorder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6" fontId="0" fillId="0" borderId="40" xfId="0" applyNumberFormat="1" applyBorder="1" applyAlignment="1">
      <alignment horizontal="center"/>
    </xf>
    <xf numFmtId="0" fontId="9" fillId="0" borderId="54" xfId="0" applyFont="1" applyBorder="1" applyAlignment="1">
      <alignment horizontal="center"/>
    </xf>
    <xf numFmtId="166" fontId="9" fillId="0" borderId="44" xfId="0" applyNumberFormat="1" applyFont="1" applyBorder="1" applyAlignment="1">
      <alignment horizontal="center"/>
    </xf>
    <xf numFmtId="166" fontId="9" fillId="0" borderId="5" xfId="0" applyNumberFormat="1" applyFont="1" applyBorder="1" applyAlignment="1">
      <alignment horizontal="center"/>
    </xf>
    <xf numFmtId="1" fontId="8" fillId="2" borderId="8" xfId="1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0" xfId="0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6" fillId="0" borderId="3" xfId="0" applyFont="1" applyBorder="1"/>
    <xf numFmtId="0" fontId="19" fillId="0" borderId="4" xfId="0" applyFont="1" applyBorder="1" applyAlignment="1">
      <alignment horizontal="left"/>
    </xf>
    <xf numFmtId="1" fontId="6" fillId="0" borderId="3" xfId="0" applyNumberFormat="1" applyFont="1" applyBorder="1" applyAlignment="1">
      <alignment horizontal="center"/>
    </xf>
    <xf numFmtId="1" fontId="6" fillId="0" borderId="3" xfId="0" applyNumberFormat="1" applyFont="1" applyBorder="1"/>
    <xf numFmtId="0" fontId="6" fillId="0" borderId="46" xfId="0" applyFont="1" applyBorder="1"/>
    <xf numFmtId="0" fontId="11" fillId="0" borderId="3" xfId="0" applyFont="1" applyBorder="1"/>
    <xf numFmtId="0" fontId="8" fillId="2" borderId="4" xfId="1" applyFont="1" applyBorder="1"/>
    <xf numFmtId="0" fontId="8" fillId="2" borderId="6" xfId="1" applyFont="1" applyBorder="1"/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/>
    <xf numFmtId="0" fontId="6" fillId="5" borderId="4" xfId="0" applyFont="1" applyFill="1" applyBorder="1" applyAlignment="1">
      <alignment horizontal="left"/>
    </xf>
    <xf numFmtId="0" fontId="2" fillId="3" borderId="5" xfId="2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21" borderId="33" xfId="7" applyFont="1" applyFill="1" applyBorder="1"/>
    <xf numFmtId="0" fontId="14" fillId="9" borderId="33" xfId="7" applyFont="1" applyFill="1" applyBorder="1" applyAlignment="1">
      <alignment wrapText="1"/>
    </xf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33" xfId="7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6" fillId="7" borderId="2" xfId="0" applyFont="1" applyFill="1" applyBorder="1"/>
    <xf numFmtId="0" fontId="6" fillId="0" borderId="0" xfId="0" applyFont="1" applyBorder="1" applyAlignment="1">
      <alignment horizontal="center"/>
    </xf>
    <xf numFmtId="0" fontId="6" fillId="0" borderId="2" xfId="0" applyFont="1" applyBorder="1"/>
    <xf numFmtId="0" fontId="14" fillId="40" borderId="1" xfId="7" applyFont="1" applyFill="1" applyBorder="1"/>
    <xf numFmtId="0" fontId="0" fillId="0" borderId="0" xfId="0" applyAlignment="1">
      <alignment horizontal="center"/>
    </xf>
    <xf numFmtId="0" fontId="0" fillId="0" borderId="8" xfId="0" applyBorder="1"/>
    <xf numFmtId="0" fontId="14" fillId="47" borderId="0" xfId="4" applyFill="1"/>
    <xf numFmtId="14" fontId="0" fillId="0" borderId="0" xfId="0" applyNumberFormat="1"/>
    <xf numFmtId="0" fontId="14" fillId="50" borderId="1" xfId="7" applyFont="1" applyFill="1" applyBorder="1"/>
    <xf numFmtId="0" fontId="0" fillId="0" borderId="1" xfId="0" applyFill="1" applyBorder="1" applyAlignment="1">
      <alignment horizontal="center"/>
    </xf>
    <xf numFmtId="0" fontId="53" fillId="0" borderId="0" xfId="0" applyFont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Fill="1" applyBorder="1"/>
    <xf numFmtId="1" fontId="5" fillId="0" borderId="8" xfId="0" applyNumberFormat="1" applyFont="1" applyFill="1" applyBorder="1" applyAlignment="1">
      <alignment horizontal="center" vertical="top" wrapText="1"/>
    </xf>
    <xf numFmtId="1" fontId="9" fillId="0" borderId="8" xfId="0" applyNumberFormat="1" applyFont="1" applyBorder="1" applyAlignment="1">
      <alignment horizontal="center"/>
    </xf>
    <xf numFmtId="0" fontId="6" fillId="7" borderId="44" xfId="0" applyFont="1" applyFill="1" applyBorder="1"/>
    <xf numFmtId="0" fontId="5" fillId="0" borderId="8" xfId="0" applyFont="1" applyFill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0" borderId="3" xfId="0" applyFont="1" applyFill="1" applyBorder="1"/>
    <xf numFmtId="0" fontId="6" fillId="7" borderId="46" xfId="0" applyFont="1" applyFill="1" applyBorder="1"/>
    <xf numFmtId="0" fontId="6" fillId="7" borderId="3" xfId="0" applyFont="1" applyFill="1" applyBorder="1"/>
    <xf numFmtId="0" fontId="0" fillId="0" borderId="44" xfId="0" applyBorder="1" applyAlignment="1">
      <alignment horizontal="center"/>
    </xf>
    <xf numFmtId="166" fontId="6" fillId="0" borderId="46" xfId="0" applyNumberFormat="1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/>
    </xf>
    <xf numFmtId="0" fontId="11" fillId="0" borderId="46" xfId="0" applyFont="1" applyBorder="1"/>
    <xf numFmtId="0" fontId="0" fillId="0" borderId="44" xfId="0" applyFill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" fontId="6" fillId="0" borderId="56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0" fontId="6" fillId="0" borderId="61" xfId="0" applyFont="1" applyBorder="1"/>
    <xf numFmtId="0" fontId="11" fillId="0" borderId="5" xfId="0" applyFont="1" applyFill="1" applyBorder="1"/>
    <xf numFmtId="166" fontId="5" fillId="0" borderId="1" xfId="0" applyNumberFormat="1" applyFont="1" applyFill="1" applyBorder="1" applyAlignment="1">
      <alignment horizontal="center" vertical="top" wrapText="1"/>
    </xf>
    <xf numFmtId="17" fontId="26" fillId="0" borderId="0" xfId="4" applyNumberFormat="1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48" borderId="1" xfId="7" applyFont="1" applyFill="1" applyBorder="1"/>
    <xf numFmtId="0" fontId="14" fillId="0" borderId="1" xfId="4" applyBorder="1" applyAlignment="1">
      <alignment horizontal="center" vertical="center" wrapText="1"/>
    </xf>
    <xf numFmtId="0" fontId="14" fillId="0" borderId="1" xfId="4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4" applyFont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14" fillId="47" borderId="1" xfId="4" applyFill="1" applyBorder="1"/>
    <xf numFmtId="0" fontId="9" fillId="0" borderId="1" xfId="0" applyFont="1" applyBorder="1"/>
    <xf numFmtId="0" fontId="14" fillId="0" borderId="1" xfId="4" applyFill="1" applyBorder="1" applyAlignment="1">
      <alignment horizontal="center" vertical="center"/>
    </xf>
    <xf numFmtId="0" fontId="9" fillId="0" borderId="1" xfId="0" applyFont="1" applyFill="1" applyBorder="1"/>
    <xf numFmtId="0" fontId="31" fillId="0" borderId="1" xfId="0" applyFont="1" applyFill="1" applyBorder="1"/>
    <xf numFmtId="0" fontId="14" fillId="0" borderId="2" xfId="4" applyFill="1" applyBorder="1" applyAlignment="1">
      <alignment horizontal="center" vertical="center" wrapText="1"/>
    </xf>
    <xf numFmtId="0" fontId="14" fillId="0" borderId="2" xfId="4" applyFill="1" applyBorder="1" applyAlignment="1">
      <alignment horizontal="center" vertical="center"/>
    </xf>
    <xf numFmtId="0" fontId="14" fillId="0" borderId="3" xfId="4" applyFill="1" applyBorder="1" applyAlignment="1">
      <alignment horizontal="center" vertical="center" wrapText="1"/>
    </xf>
    <xf numFmtId="0" fontId="14" fillId="0" borderId="3" xfId="4" applyFill="1" applyBorder="1" applyAlignment="1">
      <alignment horizontal="center"/>
    </xf>
    <xf numFmtId="0" fontId="14" fillId="0" borderId="3" xfId="4" applyFill="1" applyBorder="1" applyAlignment="1">
      <alignment horizontal="center" vertical="center"/>
    </xf>
    <xf numFmtId="0" fontId="14" fillId="0" borderId="42" xfId="4" applyFill="1" applyBorder="1" applyAlignment="1">
      <alignment horizontal="center"/>
    </xf>
    <xf numFmtId="0" fontId="14" fillId="0" borderId="33" xfId="4" applyFill="1" applyBorder="1" applyAlignment="1">
      <alignment horizontal="center"/>
    </xf>
    <xf numFmtId="0" fontId="14" fillId="0" borderId="42" xfId="4" applyFill="1" applyBorder="1" applyAlignment="1">
      <alignment horizontal="center" vertical="center"/>
    </xf>
    <xf numFmtId="0" fontId="14" fillId="0" borderId="33" xfId="4" applyFill="1" applyBorder="1" applyAlignment="1">
      <alignment horizontal="center" vertical="center"/>
    </xf>
    <xf numFmtId="0" fontId="14" fillId="0" borderId="55" xfId="4" applyFill="1" applyBorder="1" applyAlignment="1">
      <alignment horizontal="center"/>
    </xf>
    <xf numFmtId="0" fontId="14" fillId="0" borderId="48" xfId="4" applyFill="1" applyBorder="1" applyAlignment="1">
      <alignment horizontal="center"/>
    </xf>
    <xf numFmtId="0" fontId="55" fillId="51" borderId="3" xfId="4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3" xfId="0" applyFill="1" applyBorder="1"/>
    <xf numFmtId="0" fontId="14" fillId="0" borderId="42" xfId="4" applyFill="1" applyBorder="1" applyAlignment="1"/>
    <xf numFmtId="0" fontId="0" fillId="0" borderId="47" xfId="0" applyFill="1" applyBorder="1"/>
    <xf numFmtId="0" fontId="0" fillId="0" borderId="47" xfId="0" applyFill="1" applyBorder="1" applyAlignment="1">
      <alignment horizontal="center"/>
    </xf>
    <xf numFmtId="0" fontId="0" fillId="0" borderId="48" xfId="0" applyFill="1" applyBorder="1"/>
    <xf numFmtId="0" fontId="54" fillId="0" borderId="0" xfId="0" applyFont="1" applyFill="1" applyBorder="1" applyAlignment="1">
      <alignment horizontal="center"/>
    </xf>
    <xf numFmtId="0" fontId="14" fillId="0" borderId="16" xfId="4" applyFill="1" applyBorder="1"/>
    <xf numFmtId="0" fontId="14" fillId="0" borderId="41" xfId="4" applyFill="1" applyBorder="1"/>
    <xf numFmtId="0" fontId="14" fillId="0" borderId="41" xfId="4" applyFill="1" applyBorder="1" applyAlignment="1">
      <alignment vertical="center"/>
    </xf>
    <xf numFmtId="0" fontId="14" fillId="0" borderId="15" xfId="4" applyFill="1" applyBorder="1"/>
    <xf numFmtId="0" fontId="14" fillId="0" borderId="0" xfId="4" applyFill="1" applyBorder="1" applyAlignment="1">
      <alignment horizontal="center"/>
    </xf>
    <xf numFmtId="0" fontId="14" fillId="0" borderId="32" xfId="4" applyFill="1" applyBorder="1" applyAlignment="1">
      <alignment horizontal="center"/>
    </xf>
    <xf numFmtId="0" fontId="14" fillId="0" borderId="39" xfId="4" applyFill="1" applyBorder="1" applyAlignment="1">
      <alignment horizontal="center"/>
    </xf>
    <xf numFmtId="0" fontId="32" fillId="0" borderId="9" xfId="4" applyFont="1" applyFill="1" applyBorder="1" applyAlignment="1">
      <alignment horizontal="center" vertical="center" wrapText="1"/>
    </xf>
    <xf numFmtId="0" fontId="32" fillId="0" borderId="49" xfId="4" applyFont="1" applyFill="1" applyBorder="1" applyAlignment="1">
      <alignment horizontal="center" vertical="center" wrapText="1"/>
    </xf>
    <xf numFmtId="0" fontId="14" fillId="0" borderId="6" xfId="4" applyFill="1" applyBorder="1"/>
    <xf numFmtId="0" fontId="0" fillId="0" borderId="39" xfId="0" applyFill="1" applyBorder="1"/>
    <xf numFmtId="0" fontId="32" fillId="0" borderId="10" xfId="4" applyFont="1" applyFill="1" applyBorder="1" applyAlignment="1">
      <alignment horizontal="center"/>
    </xf>
    <xf numFmtId="0" fontId="15" fillId="0" borderId="10" xfId="4" applyFont="1" applyFill="1" applyBorder="1" applyAlignment="1">
      <alignment horizontal="center" vertical="center" wrapText="1"/>
    </xf>
    <xf numFmtId="0" fontId="54" fillId="0" borderId="0" xfId="0" applyFont="1" applyFill="1" applyBorder="1" applyAlignment="1"/>
    <xf numFmtId="0" fontId="57" fillId="0" borderId="1" xfId="4" applyFont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/>
    </xf>
    <xf numFmtId="0" fontId="59" fillId="0" borderId="1" xfId="4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4" fillId="21" borderId="1" xfId="7" applyFont="1" applyFill="1" applyBorder="1"/>
    <xf numFmtId="0" fontId="6" fillId="0" borderId="1" xfId="7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52" borderId="1" xfId="7" applyFont="1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53" borderId="1" xfId="7" applyFont="1" applyFill="1" applyBorder="1"/>
    <xf numFmtId="0" fontId="0" fillId="0" borderId="0" xfId="0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47" borderId="1" xfId="7" applyFont="1" applyFill="1" applyBorder="1" applyAlignment="1">
      <alignment horizontal="center" wrapText="1"/>
    </xf>
    <xf numFmtId="0" fontId="14" fillId="47" borderId="0" xfId="7" applyFont="1" applyFill="1"/>
    <xf numFmtId="0" fontId="61" fillId="0" borderId="1" xfId="4" applyFont="1" applyBorder="1" applyAlignment="1">
      <alignment horizontal="center"/>
    </xf>
    <xf numFmtId="0" fontId="61" fillId="0" borderId="0" xfId="4" applyFont="1" applyAlignment="1">
      <alignment horizontal="center"/>
    </xf>
    <xf numFmtId="0" fontId="26" fillId="0" borderId="0" xfId="4" applyFont="1" applyFill="1" applyAlignment="1">
      <alignment horizontal="center"/>
    </xf>
    <xf numFmtId="0" fontId="26" fillId="24" borderId="4" xfId="4" applyFont="1" applyFill="1" applyBorder="1" applyAlignment="1"/>
    <xf numFmtId="0" fontId="26" fillId="24" borderId="5" xfId="4" applyFont="1" applyFill="1" applyBorder="1" applyAlignment="1"/>
    <xf numFmtId="0" fontId="26" fillId="24" borderId="6" xfId="4" applyFont="1" applyFill="1" applyBorder="1" applyAlignment="1"/>
    <xf numFmtId="0" fontId="61" fillId="0" borderId="1" xfId="4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3" fillId="0" borderId="1" xfId="0" applyFont="1" applyBorder="1" applyAlignment="1">
      <alignment wrapText="1"/>
    </xf>
    <xf numFmtId="0" fontId="53" fillId="0" borderId="6" xfId="0" applyFont="1" applyBorder="1" applyAlignment="1">
      <alignment wrapText="1"/>
    </xf>
    <xf numFmtId="0" fontId="53" fillId="0" borderId="8" xfId="0" applyFont="1" applyBorder="1" applyAlignment="1">
      <alignment wrapText="1"/>
    </xf>
    <xf numFmtId="0" fontId="0" fillId="0" borderId="12" xfId="0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31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26" fillId="0" borderId="0" xfId="4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0" fillId="0" borderId="1" xfId="0" applyFill="1" applyBorder="1" applyAlignment="1">
      <alignment horizontal="center"/>
    </xf>
    <xf numFmtId="0" fontId="14" fillId="29" borderId="2" xfId="7" applyFont="1" applyFill="1" applyBorder="1"/>
    <xf numFmtId="0" fontId="14" fillId="9" borderId="1" xfId="4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0" borderId="0" xfId="4" applyFont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6" fillId="0" borderId="1" xfId="0" applyNumberFormat="1" applyFont="1" applyBorder="1"/>
    <xf numFmtId="0" fontId="0" fillId="0" borderId="1" xfId="0" applyFill="1" applyBorder="1" applyAlignment="1">
      <alignment horizontal="center"/>
    </xf>
    <xf numFmtId="0" fontId="14" fillId="0" borderId="0" xfId="4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26" fillId="0" borderId="0" xfId="4" applyNumberFormat="1" applyFont="1" applyAlignment="1">
      <alignment horizontal="center"/>
    </xf>
    <xf numFmtId="0" fontId="14" fillId="0" borderId="1" xfId="7" applyFont="1" applyBorder="1" applyAlignment="1">
      <alignment horizontal="center"/>
    </xf>
    <xf numFmtId="0" fontId="14" fillId="0" borderId="17" xfId="7" applyFont="1" applyBorder="1" applyAlignment="1">
      <alignment horizontal="center"/>
    </xf>
    <xf numFmtId="0" fontId="14" fillId="0" borderId="22" xfId="7" applyFont="1" applyBorder="1" applyAlignment="1">
      <alignment horizontal="center"/>
    </xf>
    <xf numFmtId="0" fontId="14" fillId="0" borderId="0" xfId="7" applyFont="1" applyAlignment="1">
      <alignment horizontal="center"/>
    </xf>
    <xf numFmtId="0" fontId="44" fillId="0" borderId="1" xfId="7" applyFont="1" applyFill="1" applyBorder="1"/>
    <xf numFmtId="0" fontId="11" fillId="0" borderId="1" xfId="7" applyFont="1" applyFill="1" applyBorder="1" applyAlignment="1">
      <alignment horizontal="left"/>
    </xf>
    <xf numFmtId="0" fontId="14" fillId="8" borderId="8" xfId="7" applyFont="1" applyFill="1" applyBorder="1"/>
    <xf numFmtId="0" fontId="14" fillId="8" borderId="2" xfId="7" applyFont="1" applyFill="1" applyBorder="1"/>
    <xf numFmtId="0" fontId="14" fillId="43" borderId="8" xfId="7" applyFont="1" applyFill="1" applyBorder="1"/>
    <xf numFmtId="0" fontId="14" fillId="43" borderId="67" xfId="7" applyFont="1" applyFill="1" applyBorder="1"/>
    <xf numFmtId="0" fontId="14" fillId="0" borderId="0" xfId="7" applyFont="1" applyFill="1" applyBorder="1"/>
    <xf numFmtId="0" fontId="14" fillId="0" borderId="67" xfId="7" applyFont="1" applyBorder="1"/>
    <xf numFmtId="0" fontId="32" fillId="0" borderId="0" xfId="7" applyFont="1"/>
    <xf numFmtId="0" fontId="14" fillId="28" borderId="1" xfId="7" applyFont="1" applyFill="1" applyBorder="1"/>
    <xf numFmtId="0" fontId="14" fillId="0" borderId="6" xfId="7" applyFont="1" applyBorder="1"/>
    <xf numFmtId="0" fontId="14" fillId="0" borderId="9" xfId="7" applyFont="1" applyBorder="1"/>
    <xf numFmtId="0" fontId="14" fillId="0" borderId="10" xfId="7" applyFont="1" applyBorder="1"/>
    <xf numFmtId="0" fontId="14" fillId="0" borderId="49" xfId="7" applyFont="1" applyBorder="1"/>
    <xf numFmtId="0" fontId="14" fillId="43" borderId="4" xfId="7" applyFont="1" applyFill="1" applyBorder="1" applyAlignment="1">
      <alignment horizontal="center"/>
    </xf>
    <xf numFmtId="0" fontId="14" fillId="0" borderId="68" xfId="7" applyFont="1" applyBorder="1"/>
    <xf numFmtId="0" fontId="14" fillId="0" borderId="11" xfId="7" applyFont="1" applyBorder="1"/>
    <xf numFmtId="0" fontId="0" fillId="0" borderId="1" xfId="0" applyFill="1" applyBorder="1" applyAlignment="1">
      <alignment horizontal="center"/>
    </xf>
    <xf numFmtId="0" fontId="6" fillId="0" borderId="44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6" fillId="55" borderId="1" xfId="0" applyNumberFormat="1" applyFont="1" applyFill="1" applyBorder="1" applyAlignment="1">
      <alignment horizontal="center"/>
    </xf>
    <xf numFmtId="0" fontId="6" fillId="7" borderId="1" xfId="7" applyFont="1" applyFill="1" applyBorder="1"/>
    <xf numFmtId="0" fontId="14" fillId="7" borderId="33" xfId="4" applyFill="1" applyBorder="1" applyAlignment="1">
      <alignment horizontal="center"/>
    </xf>
    <xf numFmtId="0" fontId="14" fillId="7" borderId="42" xfId="4" applyFill="1" applyBorder="1" applyAlignment="1">
      <alignment horizontal="center"/>
    </xf>
    <xf numFmtId="0" fontId="0" fillId="7" borderId="33" xfId="0" applyFill="1" applyBorder="1"/>
    <xf numFmtId="0" fontId="14" fillId="7" borderId="42" xfId="4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0" fontId="62" fillId="7" borderId="0" xfId="0" applyFont="1" applyFill="1" applyAlignment="1">
      <alignment horizontal="center"/>
    </xf>
    <xf numFmtId="0" fontId="62" fillId="7" borderId="0" xfId="0" applyFont="1" applyFill="1"/>
    <xf numFmtId="0" fontId="0" fillId="37" borderId="1" xfId="0" applyFill="1" applyBorder="1"/>
    <xf numFmtId="0" fontId="0" fillId="37" borderId="1" xfId="0" applyFill="1" applyBorder="1" applyAlignment="1">
      <alignment horizontal="center"/>
    </xf>
    <xf numFmtId="0" fontId="63" fillId="37" borderId="1" xfId="0" applyFont="1" applyFill="1" applyBorder="1" applyAlignment="1">
      <alignment horizontal="center" vertical="center" wrapText="1"/>
    </xf>
    <xf numFmtId="0" fontId="64" fillId="0" borderId="0" xfId="0" applyFont="1" applyAlignment="1">
      <alignment horizontal="center"/>
    </xf>
    <xf numFmtId="0" fontId="65" fillId="37" borderId="1" xfId="0" applyFont="1" applyFill="1" applyBorder="1"/>
    <xf numFmtId="0" fontId="0" fillId="0" borderId="1" xfId="0" applyFill="1" applyBorder="1" applyAlignment="1">
      <alignment horizontal="center"/>
    </xf>
    <xf numFmtId="0" fontId="46" fillId="0" borderId="1" xfId="0" applyFont="1" applyFill="1" applyBorder="1"/>
    <xf numFmtId="0" fontId="0" fillId="0" borderId="1" xfId="0" applyFill="1" applyBorder="1" applyAlignment="1">
      <alignment vertical="center"/>
    </xf>
    <xf numFmtId="0" fontId="0" fillId="47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47" borderId="0" xfId="0" applyFill="1"/>
    <xf numFmtId="0" fontId="0" fillId="0" borderId="1" xfId="0" applyFill="1" applyBorder="1" applyAlignment="1">
      <alignment horizontal="center"/>
    </xf>
    <xf numFmtId="0" fontId="32" fillId="47" borderId="1" xfId="7" applyFont="1" applyFill="1" applyBorder="1"/>
    <xf numFmtId="0" fontId="6" fillId="47" borderId="1" xfId="0" applyFont="1" applyFill="1" applyBorder="1"/>
    <xf numFmtId="0" fontId="0" fillId="47" borderId="1" xfId="0" applyFill="1" applyBorder="1"/>
    <xf numFmtId="0" fontId="0" fillId="7" borderId="0" xfId="0" applyFill="1"/>
    <xf numFmtId="0" fontId="48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14" fillId="35" borderId="0" xfId="7" applyFont="1" applyFill="1"/>
    <xf numFmtId="0" fontId="14" fillId="0" borderId="12" xfId="7" applyFont="1" applyBorder="1"/>
    <xf numFmtId="0" fontId="42" fillId="36" borderId="2" xfId="7" applyFont="1" applyFill="1" applyBorder="1"/>
    <xf numFmtId="0" fontId="14" fillId="7" borderId="2" xfId="7" applyFont="1" applyFill="1" applyBorder="1"/>
    <xf numFmtId="0" fontId="14" fillId="24" borderId="6" xfId="7" applyFont="1" applyFill="1" applyBorder="1"/>
    <xf numFmtId="0" fontId="42" fillId="56" borderId="1" xfId="7" applyFont="1" applyFill="1" applyBorder="1"/>
    <xf numFmtId="0" fontId="14" fillId="24" borderId="0" xfId="7" applyFont="1" applyFill="1"/>
    <xf numFmtId="0" fontId="0" fillId="0" borderId="4" xfId="0" applyFill="1" applyBorder="1" applyAlignment="1">
      <alignment horizontal="center"/>
    </xf>
    <xf numFmtId="0" fontId="14" fillId="0" borderId="21" xfId="7" applyFont="1" applyBorder="1"/>
    <xf numFmtId="0" fontId="14" fillId="0" borderId="20" xfId="7" applyFont="1" applyBorder="1"/>
    <xf numFmtId="0" fontId="14" fillId="0" borderId="19" xfId="7" applyFont="1" applyBorder="1"/>
    <xf numFmtId="0" fontId="14" fillId="0" borderId="1" xfId="4" applyBorder="1" applyAlignment="1">
      <alignment horizontal="center"/>
    </xf>
    <xf numFmtId="0" fontId="14" fillId="9" borderId="1" xfId="4" applyFill="1" applyBorder="1" applyAlignment="1">
      <alignment horizontal="center"/>
    </xf>
    <xf numFmtId="0" fontId="14" fillId="0" borderId="1" xfId="4" applyFill="1" applyBorder="1" applyAlignment="1">
      <alignment horizontal="center"/>
    </xf>
    <xf numFmtId="0" fontId="0" fillId="7" borderId="1" xfId="0" applyFill="1" applyBorder="1"/>
    <xf numFmtId="0" fontId="31" fillId="7" borderId="1" xfId="0" applyFont="1" applyFill="1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6" fillId="55" borderId="4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17" fontId="6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6" fillId="0" borderId="1" xfId="0" applyFont="1" applyFill="1" applyBorder="1" applyAlignment="1">
      <alignment horizontal="left"/>
    </xf>
    <xf numFmtId="0" fontId="26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61" fillId="0" borderId="0" xfId="4" applyFont="1"/>
    <xf numFmtId="0" fontId="9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6" fillId="0" borderId="0" xfId="4" applyFont="1" applyAlignment="1">
      <alignment horizontal="center"/>
    </xf>
    <xf numFmtId="0" fontId="26" fillId="0" borderId="0" xfId="4" applyFont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6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6" fillId="0" borderId="5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/>
    </xf>
    <xf numFmtId="1" fontId="6" fillId="9" borderId="1" xfId="0" applyNumberFormat="1" applyFont="1" applyFill="1" applyBorder="1" applyAlignment="1">
      <alignment horizontal="center"/>
    </xf>
    <xf numFmtId="1" fontId="7" fillId="3" borderId="2" xfId="2" applyNumberFormat="1" applyFont="1" applyBorder="1" applyAlignment="1">
      <alignment horizontal="center"/>
    </xf>
    <xf numFmtId="1" fontId="46" fillId="0" borderId="1" xfId="0" applyNumberFormat="1" applyFont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55" borderId="1" xfId="0" applyFill="1" applyBorder="1" applyAlignment="1">
      <alignment horizontal="center"/>
    </xf>
    <xf numFmtId="14" fontId="0" fillId="0" borderId="6" xfId="0" applyNumberFormat="1" applyBorder="1"/>
    <xf numFmtId="1" fontId="7" fillId="3" borderId="3" xfId="2" applyNumberFormat="1" applyFont="1" applyBorder="1" applyAlignment="1">
      <alignment horizontal="center"/>
    </xf>
    <xf numFmtId="0" fontId="7" fillId="3" borderId="3" xfId="2" applyFont="1" applyBorder="1" applyAlignment="1">
      <alignment horizontal="left"/>
    </xf>
    <xf numFmtId="0" fontId="46" fillId="7" borderId="1" xfId="0" applyFont="1" applyFill="1" applyBorder="1"/>
    <xf numFmtId="0" fontId="46" fillId="0" borderId="1" xfId="0" applyFont="1" applyBorder="1" applyAlignment="1">
      <alignment horizontal="left"/>
    </xf>
    <xf numFmtId="166" fontId="46" fillId="0" borderId="1" xfId="0" applyNumberFormat="1" applyFont="1" applyBorder="1" applyAlignment="1">
      <alignment horizontal="center"/>
    </xf>
    <xf numFmtId="0" fontId="6" fillId="9" borderId="4" xfId="0" applyFont="1" applyFill="1" applyBorder="1" applyAlignment="1">
      <alignment horizontal="left"/>
    </xf>
    <xf numFmtId="0" fontId="6" fillId="6" borderId="4" xfId="0" applyFont="1" applyFill="1" applyBorder="1"/>
    <xf numFmtId="0" fontId="6" fillId="0" borderId="5" xfId="0" applyFont="1" applyFill="1" applyBorder="1" applyAlignment="1">
      <alignment horizontal="center" vertical="top"/>
    </xf>
    <xf numFmtId="166" fontId="19" fillId="0" borderId="4" xfId="0" applyNumberFormat="1" applyFont="1" applyBorder="1" applyAlignment="1">
      <alignment horizontal="center"/>
    </xf>
    <xf numFmtId="1" fontId="8" fillId="2" borderId="3" xfId="1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0" fontId="8" fillId="2" borderId="3" xfId="1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6" fillId="7" borderId="0" xfId="0" applyFont="1" applyFill="1" applyBorder="1"/>
    <xf numFmtId="0" fontId="31" fillId="47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17" fillId="13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4" fillId="9" borderId="1" xfId="4" applyFill="1" applyBorder="1" applyAlignment="1">
      <alignment horizontal="center"/>
    </xf>
    <xf numFmtId="0" fontId="14" fillId="0" borderId="1" xfId="4" applyBorder="1" applyAlignment="1">
      <alignment horizontal="center"/>
    </xf>
    <xf numFmtId="0" fontId="14" fillId="0" borderId="0" xfId="4" applyAlignment="1">
      <alignment horizontal="center"/>
    </xf>
    <xf numFmtId="0" fontId="14" fillId="47" borderId="1" xfId="4" applyFill="1" applyBorder="1" applyAlignment="1">
      <alignment horizontal="center"/>
    </xf>
    <xf numFmtId="0" fontId="14" fillId="0" borderId="1" xfId="4" applyBorder="1" applyAlignment="1">
      <alignment horizontal="center" vertical="center" wrapText="1"/>
    </xf>
    <xf numFmtId="0" fontId="39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4" fillId="0" borderId="3" xfId="4" applyFill="1" applyBorder="1" applyAlignment="1">
      <alignment horizontal="center"/>
    </xf>
    <xf numFmtId="0" fontId="14" fillId="0" borderId="2" xfId="4" applyFill="1" applyBorder="1" applyAlignment="1">
      <alignment horizontal="center"/>
    </xf>
    <xf numFmtId="0" fontId="14" fillId="7" borderId="42" xfId="4" applyFill="1" applyBorder="1" applyAlignment="1">
      <alignment horizontal="center"/>
    </xf>
    <xf numFmtId="0" fontId="54" fillId="11" borderId="28" xfId="0" applyFont="1" applyFill="1" applyBorder="1" applyAlignment="1">
      <alignment horizontal="center"/>
    </xf>
    <xf numFmtId="0" fontId="54" fillId="11" borderId="0" xfId="0" applyFont="1" applyFill="1" applyBorder="1" applyAlignment="1">
      <alignment horizontal="center"/>
    </xf>
    <xf numFmtId="0" fontId="56" fillId="6" borderId="21" xfId="0" applyFont="1" applyFill="1" applyBorder="1" applyAlignment="1">
      <alignment horizontal="center"/>
    </xf>
    <xf numFmtId="0" fontId="56" fillId="6" borderId="19" xfId="0" applyFont="1" applyFill="1" applyBorder="1" applyAlignment="1">
      <alignment horizontal="center"/>
    </xf>
    <xf numFmtId="0" fontId="56" fillId="31" borderId="21" xfId="0" applyFont="1" applyFill="1" applyBorder="1" applyAlignment="1">
      <alignment horizontal="center"/>
    </xf>
    <xf numFmtId="0" fontId="56" fillId="31" borderId="20" xfId="0" applyFont="1" applyFill="1" applyBorder="1" applyAlignment="1">
      <alignment horizontal="center"/>
    </xf>
    <xf numFmtId="0" fontId="56" fillId="31" borderId="19" xfId="0" applyFont="1" applyFill="1" applyBorder="1" applyAlignment="1">
      <alignment horizontal="center"/>
    </xf>
    <xf numFmtId="0" fontId="14" fillId="0" borderId="1" xfId="4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10" borderId="1" xfId="3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11" borderId="0" xfId="0" applyFont="1" applyFill="1" applyAlignment="1">
      <alignment horizontal="center"/>
    </xf>
    <xf numFmtId="0" fontId="14" fillId="37" borderId="29" xfId="7" applyFont="1" applyFill="1" applyBorder="1" applyAlignment="1">
      <alignment horizontal="center"/>
    </xf>
    <xf numFmtId="0" fontId="14" fillId="0" borderId="6" xfId="7" applyFont="1" applyBorder="1" applyAlignment="1">
      <alignment horizontal="center" vertical="center" textRotation="90" wrapText="1"/>
    </xf>
    <xf numFmtId="0" fontId="14" fillId="0" borderId="1" xfId="7" applyFont="1" applyBorder="1" applyAlignment="1">
      <alignment horizontal="center" vertical="center" textRotation="90" wrapText="1"/>
    </xf>
    <xf numFmtId="0" fontId="14" fillId="0" borderId="1" xfId="7" applyFont="1" applyBorder="1" applyAlignment="1">
      <alignment horizontal="center"/>
    </xf>
    <xf numFmtId="0" fontId="14" fillId="49" borderId="1" xfId="7" applyFont="1" applyFill="1" applyBorder="1" applyAlignment="1">
      <alignment horizontal="center"/>
    </xf>
    <xf numFmtId="0" fontId="51" fillId="0" borderId="1" xfId="7" applyFont="1" applyBorder="1" applyAlignment="1">
      <alignment horizontal="center" textRotation="90"/>
    </xf>
    <xf numFmtId="0" fontId="14" fillId="0" borderId="4" xfId="7" applyFont="1" applyBorder="1" applyAlignment="1">
      <alignment horizontal="center"/>
    </xf>
    <xf numFmtId="0" fontId="14" fillId="0" borderId="6" xfId="7" applyFont="1" applyBorder="1" applyAlignment="1">
      <alignment horizontal="center"/>
    </xf>
    <xf numFmtId="0" fontId="52" fillId="0" borderId="1" xfId="7" applyFont="1" applyFill="1" applyBorder="1" applyAlignment="1">
      <alignment horizontal="center" textRotation="90"/>
    </xf>
    <xf numFmtId="0" fontId="14" fillId="31" borderId="1" xfId="7" applyFont="1" applyFill="1" applyBorder="1" applyAlignment="1">
      <alignment horizontal="center"/>
    </xf>
    <xf numFmtId="0" fontId="14" fillId="4" borderId="12" xfId="7" applyFont="1" applyFill="1" applyBorder="1" applyAlignment="1">
      <alignment horizontal="center"/>
    </xf>
    <xf numFmtId="0" fontId="14" fillId="4" borderId="57" xfId="7" applyFont="1" applyFill="1" applyBorder="1" applyAlignment="1">
      <alignment horizontal="center"/>
    </xf>
    <xf numFmtId="0" fontId="32" fillId="21" borderId="21" xfId="7" applyFont="1" applyFill="1" applyBorder="1" applyAlignment="1">
      <alignment horizontal="center"/>
    </xf>
    <xf numFmtId="0" fontId="32" fillId="21" borderId="20" xfId="7" applyFont="1" applyFill="1" applyBorder="1" applyAlignment="1">
      <alignment horizontal="center"/>
    </xf>
    <xf numFmtId="0" fontId="32" fillId="21" borderId="22" xfId="7" applyFont="1" applyFill="1" applyBorder="1" applyAlignment="1">
      <alignment horizontal="center"/>
    </xf>
    <xf numFmtId="0" fontId="32" fillId="21" borderId="23" xfId="7" applyFont="1" applyFill="1" applyBorder="1" applyAlignment="1">
      <alignment horizontal="center"/>
    </xf>
    <xf numFmtId="0" fontId="14" fillId="23" borderId="17" xfId="7" applyFont="1" applyFill="1" applyBorder="1" applyAlignment="1">
      <alignment horizontal="center"/>
    </xf>
    <xf numFmtId="0" fontId="14" fillId="23" borderId="22" xfId="7" applyFont="1" applyFill="1" applyBorder="1" applyAlignment="1">
      <alignment horizontal="center"/>
    </xf>
    <xf numFmtId="0" fontId="14" fillId="23" borderId="14" xfId="7" applyFont="1" applyFill="1" applyBorder="1" applyAlignment="1">
      <alignment horizontal="center"/>
    </xf>
    <xf numFmtId="0" fontId="14" fillId="23" borderId="29" xfId="7" applyFont="1" applyFill="1" applyBorder="1" applyAlignment="1">
      <alignment horizontal="center"/>
    </xf>
    <xf numFmtId="0" fontId="33" fillId="30" borderId="17" xfId="7" applyFont="1" applyFill="1" applyBorder="1" applyAlignment="1">
      <alignment horizontal="center" vertical="center" wrapText="1"/>
    </xf>
    <xf numFmtId="0" fontId="33" fillId="30" borderId="22" xfId="7" applyFont="1" applyFill="1" applyBorder="1" applyAlignment="1">
      <alignment horizontal="center" vertical="center" wrapText="1"/>
    </xf>
    <xf numFmtId="0" fontId="33" fillId="30" borderId="23" xfId="7" applyFont="1" applyFill="1" applyBorder="1" applyAlignment="1">
      <alignment horizontal="center" vertical="center" wrapText="1"/>
    </xf>
    <xf numFmtId="0" fontId="33" fillId="30" borderId="14" xfId="7" applyFont="1" applyFill="1" applyBorder="1" applyAlignment="1">
      <alignment horizontal="center" vertical="center" wrapText="1"/>
    </xf>
    <xf numFmtId="0" fontId="33" fillId="30" borderId="29" xfId="7" applyFont="1" applyFill="1" applyBorder="1" applyAlignment="1">
      <alignment horizontal="center" vertical="center" wrapText="1"/>
    </xf>
    <xf numFmtId="0" fontId="33" fillId="30" borderId="30" xfId="7" applyFont="1" applyFill="1" applyBorder="1" applyAlignment="1">
      <alignment horizontal="center" vertical="center" wrapText="1"/>
    </xf>
    <xf numFmtId="0" fontId="37" fillId="16" borderId="4" xfId="7" applyFont="1" applyFill="1" applyBorder="1" applyAlignment="1">
      <alignment horizontal="center" vertical="center" wrapText="1"/>
    </xf>
    <xf numFmtId="0" fontId="37" fillId="16" borderId="6" xfId="7" applyFont="1" applyFill="1" applyBorder="1" applyAlignment="1">
      <alignment horizontal="center" vertical="center" wrapText="1"/>
    </xf>
    <xf numFmtId="0" fontId="21" fillId="15" borderId="0" xfId="7" applyFont="1" applyFill="1" applyBorder="1" applyAlignment="1">
      <alignment horizontal="center" wrapText="1" shrinkToFit="1"/>
    </xf>
    <xf numFmtId="0" fontId="21" fillId="17" borderId="21" xfId="7" applyFont="1" applyFill="1" applyBorder="1" applyAlignment="1">
      <alignment horizontal="center" wrapText="1" shrinkToFit="1"/>
    </xf>
    <xf numFmtId="0" fontId="21" fillId="17" borderId="20" xfId="7" applyFont="1" applyFill="1" applyBorder="1" applyAlignment="1">
      <alignment horizontal="center" wrapText="1" shrinkToFit="1"/>
    </xf>
    <xf numFmtId="0" fontId="21" fillId="17" borderId="19" xfId="7" applyFont="1" applyFill="1" applyBorder="1" applyAlignment="1">
      <alignment horizontal="center" wrapText="1" shrinkToFit="1"/>
    </xf>
    <xf numFmtId="0" fontId="14" fillId="23" borderId="23" xfId="7" applyFont="1" applyFill="1" applyBorder="1" applyAlignment="1">
      <alignment horizontal="center"/>
    </xf>
    <xf numFmtId="0" fontId="14" fillId="23" borderId="30" xfId="7" applyFont="1" applyFill="1" applyBorder="1" applyAlignment="1">
      <alignment horizontal="center"/>
    </xf>
    <xf numFmtId="0" fontId="32" fillId="19" borderId="21" xfId="7" applyFont="1" applyFill="1" applyBorder="1" applyAlignment="1">
      <alignment horizontal="center"/>
    </xf>
    <xf numFmtId="0" fontId="32" fillId="19" borderId="20" xfId="7" applyFont="1" applyFill="1" applyBorder="1" applyAlignment="1">
      <alignment horizontal="center"/>
    </xf>
    <xf numFmtId="0" fontId="32" fillId="19" borderId="19" xfId="7" applyFont="1" applyFill="1" applyBorder="1" applyAlignment="1">
      <alignment horizontal="center"/>
    </xf>
    <xf numFmtId="0" fontId="21" fillId="18" borderId="21" xfId="7" applyFont="1" applyFill="1" applyBorder="1" applyAlignment="1">
      <alignment horizontal="center" wrapText="1" shrinkToFit="1"/>
    </xf>
    <xf numFmtId="0" fontId="21" fillId="18" borderId="20" xfId="7" applyFont="1" applyFill="1" applyBorder="1" applyAlignment="1">
      <alignment horizontal="center" wrapText="1" shrinkToFit="1"/>
    </xf>
    <xf numFmtId="0" fontId="14" fillId="4" borderId="17" xfId="7" applyFont="1" applyFill="1" applyBorder="1" applyAlignment="1">
      <alignment horizontal="center" vertical="center" wrapText="1"/>
    </xf>
    <xf numFmtId="0" fontId="14" fillId="4" borderId="22" xfId="7" applyFont="1" applyFill="1" applyBorder="1" applyAlignment="1">
      <alignment horizontal="center" vertical="center" wrapText="1"/>
    </xf>
    <xf numFmtId="0" fontId="14" fillId="4" borderId="23" xfId="7" applyFont="1" applyFill="1" applyBorder="1" applyAlignment="1">
      <alignment horizontal="center" vertical="center" wrapText="1"/>
    </xf>
    <xf numFmtId="0" fontId="14" fillId="4" borderId="14" xfId="7" applyFont="1" applyFill="1" applyBorder="1" applyAlignment="1">
      <alignment horizontal="center" vertical="center" wrapText="1"/>
    </xf>
    <xf numFmtId="0" fontId="14" fillId="4" borderId="29" xfId="7" applyFont="1" applyFill="1" applyBorder="1" applyAlignment="1">
      <alignment horizontal="center" vertical="center" wrapText="1"/>
    </xf>
    <xf numFmtId="0" fontId="14" fillId="4" borderId="30" xfId="7" applyFont="1" applyFill="1" applyBorder="1" applyAlignment="1">
      <alignment horizontal="center" vertical="center" wrapText="1"/>
    </xf>
    <xf numFmtId="0" fontId="14" fillId="12" borderId="21" xfId="7" applyFont="1" applyFill="1" applyBorder="1" applyAlignment="1">
      <alignment horizontal="center"/>
    </xf>
    <xf numFmtId="0" fontId="14" fillId="12" borderId="20" xfId="7" applyFont="1" applyFill="1" applyBorder="1" applyAlignment="1">
      <alignment horizontal="center"/>
    </xf>
    <xf numFmtId="0" fontId="14" fillId="12" borderId="29" xfId="7" applyFont="1" applyFill="1" applyBorder="1" applyAlignment="1">
      <alignment horizontal="center"/>
    </xf>
    <xf numFmtId="0" fontId="14" fillId="0" borderId="4" xfId="7" applyFont="1" applyBorder="1" applyAlignment="1">
      <alignment horizontal="center" vertical="center" textRotation="90" wrapText="1"/>
    </xf>
    <xf numFmtId="0" fontId="14" fillId="0" borderId="5" xfId="7" applyFont="1" applyBorder="1" applyAlignment="1">
      <alignment horizontal="center" vertical="center" textRotation="90" wrapText="1"/>
    </xf>
    <xf numFmtId="0" fontId="22" fillId="0" borderId="0" xfId="7" applyFont="1" applyAlignment="1">
      <alignment horizontal="center"/>
    </xf>
    <xf numFmtId="0" fontId="14" fillId="29" borderId="12" xfId="7" applyFont="1" applyFill="1" applyBorder="1" applyAlignment="1">
      <alignment horizontal="center"/>
    </xf>
    <xf numFmtId="0" fontId="14" fillId="29" borderId="57" xfId="7" applyFont="1" applyFill="1" applyBorder="1" applyAlignment="1">
      <alignment horizontal="center"/>
    </xf>
    <xf numFmtId="0" fontId="23" fillId="16" borderId="4" xfId="7" applyFont="1" applyFill="1" applyBorder="1" applyAlignment="1">
      <alignment horizontal="center" vertical="center" wrapText="1"/>
    </xf>
    <xf numFmtId="0" fontId="23" fillId="16" borderId="6" xfId="7" applyFont="1" applyFill="1" applyBorder="1" applyAlignment="1">
      <alignment horizontal="center" vertical="center" wrapText="1"/>
    </xf>
    <xf numFmtId="0" fontId="14" fillId="22" borderId="22" xfId="7" applyFont="1" applyFill="1" applyBorder="1" applyAlignment="1">
      <alignment horizontal="center" vertical="center" wrapText="1"/>
    </xf>
    <xf numFmtId="0" fontId="14" fillId="22" borderId="23" xfId="7" applyFont="1" applyFill="1" applyBorder="1" applyAlignment="1">
      <alignment horizontal="center" vertical="center" wrapText="1"/>
    </xf>
    <xf numFmtId="0" fontId="14" fillId="22" borderId="29" xfId="7" applyFont="1" applyFill="1" applyBorder="1" applyAlignment="1">
      <alignment horizontal="center" vertical="center" wrapText="1"/>
    </xf>
    <xf numFmtId="0" fontId="14" fillId="22" borderId="30" xfId="7" applyFont="1" applyFill="1" applyBorder="1" applyAlignment="1">
      <alignment horizontal="center" vertical="center" wrapText="1"/>
    </xf>
    <xf numFmtId="0" fontId="14" fillId="22" borderId="17" xfId="7" applyFont="1" applyFill="1" applyBorder="1" applyAlignment="1">
      <alignment horizontal="center" vertical="center" wrapText="1"/>
    </xf>
    <xf numFmtId="0" fontId="14" fillId="22" borderId="14" xfId="7" applyFont="1" applyFill="1" applyBorder="1" applyAlignment="1">
      <alignment horizontal="center" vertical="center" wrapText="1"/>
    </xf>
    <xf numFmtId="0" fontId="42" fillId="36" borderId="1" xfId="7" applyFont="1" applyFill="1" applyBorder="1" applyAlignment="1">
      <alignment horizontal="center"/>
    </xf>
    <xf numFmtId="0" fontId="42" fillId="36" borderId="6" xfId="7" applyFont="1" applyFill="1" applyBorder="1" applyAlignment="1">
      <alignment horizontal="center"/>
    </xf>
    <xf numFmtId="0" fontId="42" fillId="36" borderId="5" xfId="7" applyFont="1" applyFill="1" applyBorder="1" applyAlignment="1">
      <alignment horizontal="center"/>
    </xf>
    <xf numFmtId="0" fontId="42" fillId="36" borderId="4" xfId="7" applyFont="1" applyFill="1" applyBorder="1" applyAlignment="1">
      <alignment horizontal="center"/>
    </xf>
    <xf numFmtId="0" fontId="42" fillId="36" borderId="2" xfId="7" applyFont="1" applyFill="1" applyBorder="1" applyAlignment="1">
      <alignment horizontal="center"/>
    </xf>
    <xf numFmtId="0" fontId="41" fillId="36" borderId="1" xfId="7" applyFont="1" applyFill="1" applyBorder="1" applyAlignment="1">
      <alignment horizontal="center" vertical="center"/>
    </xf>
    <xf numFmtId="0" fontId="14" fillId="20" borderId="21" xfId="7" applyFont="1" applyFill="1" applyBorder="1" applyAlignment="1">
      <alignment horizontal="center"/>
    </xf>
    <xf numFmtId="0" fontId="14" fillId="20" borderId="20" xfId="7" applyFont="1" applyFill="1" applyBorder="1" applyAlignment="1">
      <alignment horizontal="center"/>
    </xf>
    <xf numFmtId="0" fontId="14" fillId="20" borderId="19" xfId="7" applyFont="1" applyFill="1" applyBorder="1" applyAlignment="1">
      <alignment horizontal="center"/>
    </xf>
    <xf numFmtId="0" fontId="23" fillId="16" borderId="1" xfId="7" applyFont="1" applyFill="1" applyBorder="1" applyAlignment="1">
      <alignment horizontal="center" vertical="center"/>
    </xf>
    <xf numFmtId="0" fontId="14" fillId="0" borderId="44" xfId="7" applyFont="1" applyBorder="1" applyAlignment="1">
      <alignment horizontal="center" vertical="center" textRotation="90" wrapText="1"/>
    </xf>
    <xf numFmtId="0" fontId="14" fillId="0" borderId="46" xfId="7" applyFont="1" applyBorder="1" applyAlignment="1">
      <alignment horizontal="center" vertical="center" textRotation="90" wrapText="1"/>
    </xf>
    <xf numFmtId="0" fontId="14" fillId="0" borderId="12" xfId="7" applyFont="1" applyBorder="1" applyAlignment="1">
      <alignment horizontal="center" vertical="center" textRotation="90" wrapText="1"/>
    </xf>
    <xf numFmtId="0" fontId="14" fillId="0" borderId="40" xfId="7" applyFont="1" applyBorder="1" applyAlignment="1">
      <alignment horizontal="center" vertical="center" textRotation="90" wrapText="1"/>
    </xf>
    <xf numFmtId="165" fontId="23" fillId="16" borderId="4" xfId="7" applyNumberFormat="1" applyFont="1" applyFill="1" applyBorder="1" applyAlignment="1">
      <alignment horizontal="center" vertical="center" wrapText="1"/>
    </xf>
    <xf numFmtId="165" fontId="23" fillId="16" borderId="6" xfId="7" applyNumberFormat="1" applyFont="1" applyFill="1" applyBorder="1" applyAlignment="1">
      <alignment horizontal="center" vertical="center" wrapText="1"/>
    </xf>
    <xf numFmtId="0" fontId="14" fillId="0" borderId="23" xfId="7" applyFont="1" applyBorder="1" applyAlignment="1">
      <alignment horizontal="center" vertical="center" textRotation="90" wrapText="1"/>
    </xf>
    <xf numFmtId="0" fontId="14" fillId="0" borderId="30" xfId="7" applyFont="1" applyBorder="1" applyAlignment="1">
      <alignment horizontal="center" vertical="center" textRotation="90" wrapText="1"/>
    </xf>
    <xf numFmtId="0" fontId="14" fillId="0" borderId="63" xfId="7" applyFont="1" applyBorder="1" applyAlignment="1">
      <alignment horizontal="center"/>
    </xf>
    <xf numFmtId="0" fontId="14" fillId="0" borderId="54" xfId="7" applyFont="1" applyBorder="1" applyAlignment="1">
      <alignment horizontal="center"/>
    </xf>
    <xf numFmtId="0" fontId="14" fillId="0" borderId="28" xfId="7" applyFont="1" applyBorder="1" applyAlignment="1">
      <alignment horizontal="center"/>
    </xf>
    <xf numFmtId="0" fontId="14" fillId="0" borderId="0" xfId="7" applyFont="1" applyBorder="1" applyAlignment="1">
      <alignment horizontal="center"/>
    </xf>
    <xf numFmtId="0" fontId="14" fillId="0" borderId="64" xfId="7" applyFont="1" applyBorder="1" applyAlignment="1">
      <alignment horizontal="center"/>
    </xf>
    <xf numFmtId="0" fontId="14" fillId="0" borderId="60" xfId="7" applyFont="1" applyBorder="1" applyAlignment="1">
      <alignment horizontal="center"/>
    </xf>
    <xf numFmtId="0" fontId="14" fillId="0" borderId="57" xfId="7" applyFont="1" applyBorder="1" applyAlignment="1">
      <alignment horizontal="center"/>
    </xf>
    <xf numFmtId="0" fontId="14" fillId="0" borderId="65" xfId="7" applyFont="1" applyBorder="1" applyAlignment="1">
      <alignment horizontal="center"/>
    </xf>
    <xf numFmtId="0" fontId="14" fillId="0" borderId="17" xfId="7" applyFont="1" applyBorder="1" applyAlignment="1">
      <alignment horizontal="center"/>
    </xf>
    <xf numFmtId="0" fontId="14" fillId="0" borderId="22" xfId="7" applyFont="1" applyBorder="1" applyAlignment="1">
      <alignment horizontal="center"/>
    </xf>
    <xf numFmtId="0" fontId="23" fillId="16" borderId="1" xfId="7" applyFont="1" applyFill="1" applyBorder="1" applyAlignment="1">
      <alignment horizontal="center" vertical="center" wrapText="1"/>
    </xf>
    <xf numFmtId="0" fontId="52" fillId="0" borderId="1" xfId="7" applyFont="1" applyBorder="1" applyAlignment="1">
      <alignment horizontal="center" textRotation="90"/>
    </xf>
    <xf numFmtId="0" fontId="14" fillId="55" borderId="0" xfId="7" applyFont="1" applyFill="1" applyBorder="1" applyAlignment="1">
      <alignment horizontal="center"/>
    </xf>
    <xf numFmtId="0" fontId="14" fillId="0" borderId="0" xfId="7" applyFont="1" applyAlignment="1">
      <alignment horizontal="center"/>
    </xf>
    <xf numFmtId="0" fontId="14" fillId="6" borderId="1" xfId="7" applyFont="1" applyFill="1" applyBorder="1" applyAlignment="1">
      <alignment horizontal="center"/>
    </xf>
    <xf numFmtId="0" fontId="14" fillId="26" borderId="0" xfId="7" applyFont="1" applyFill="1" applyBorder="1" applyAlignment="1">
      <alignment horizontal="center"/>
    </xf>
    <xf numFmtId="0" fontId="14" fillId="26" borderId="29" xfId="7" applyFont="1" applyFill="1" applyBorder="1" applyAlignment="1">
      <alignment horizontal="center"/>
    </xf>
    <xf numFmtId="0" fontId="14" fillId="21" borderId="12" xfId="7" applyFont="1" applyFill="1" applyBorder="1" applyAlignment="1">
      <alignment horizontal="center"/>
    </xf>
    <xf numFmtId="0" fontId="14" fillId="21" borderId="57" xfId="7" applyFont="1" applyFill="1" applyBorder="1" applyAlignment="1">
      <alignment horizontal="center"/>
    </xf>
    <xf numFmtId="0" fontId="14" fillId="21" borderId="0" xfId="7" applyFont="1" applyFill="1" applyBorder="1" applyAlignment="1">
      <alignment horizontal="center"/>
    </xf>
    <xf numFmtId="0" fontId="14" fillId="54" borderId="1" xfId="7" applyFont="1" applyFill="1" applyBorder="1" applyAlignment="1">
      <alignment horizontal="center"/>
    </xf>
    <xf numFmtId="0" fontId="14" fillId="0" borderId="1" xfId="7" applyFont="1" applyBorder="1" applyAlignment="1">
      <alignment horizontal="center" textRotation="90"/>
    </xf>
    <xf numFmtId="0" fontId="14" fillId="37" borderId="17" xfId="7" applyFont="1" applyFill="1" applyBorder="1" applyAlignment="1">
      <alignment horizontal="center"/>
    </xf>
    <xf numFmtId="0" fontId="14" fillId="37" borderId="22" xfId="7" applyFont="1" applyFill="1" applyBorder="1" applyAlignment="1">
      <alignment horizontal="center"/>
    </xf>
    <xf numFmtId="0" fontId="14" fillId="37" borderId="23" xfId="7" applyFont="1" applyFill="1" applyBorder="1" applyAlignment="1">
      <alignment horizontal="center"/>
    </xf>
    <xf numFmtId="0" fontId="14" fillId="6" borderId="4" xfId="7" applyFont="1" applyFill="1" applyBorder="1" applyAlignment="1">
      <alignment horizontal="center"/>
    </xf>
    <xf numFmtId="0" fontId="14" fillId="6" borderId="44" xfId="7" applyFont="1" applyFill="1" applyBorder="1" applyAlignment="1">
      <alignment horizontal="center"/>
    </xf>
    <xf numFmtId="0" fontId="14" fillId="0" borderId="4" xfId="7" applyFont="1" applyBorder="1" applyAlignment="1">
      <alignment horizontal="center" textRotation="90"/>
    </xf>
    <xf numFmtId="0" fontId="14" fillId="0" borderId="6" xfId="7" applyFont="1" applyBorder="1" applyAlignment="1">
      <alignment horizontal="center" textRotation="90"/>
    </xf>
    <xf numFmtId="0" fontId="14" fillId="0" borderId="5" xfId="7" applyFont="1" applyBorder="1" applyAlignment="1">
      <alignment horizontal="center" textRotation="90"/>
    </xf>
    <xf numFmtId="0" fontId="14" fillId="43" borderId="1" xfId="7" applyFont="1" applyFill="1" applyBorder="1" applyAlignment="1">
      <alignment horizontal="center"/>
    </xf>
    <xf numFmtId="0" fontId="33" fillId="0" borderId="0" xfId="7" applyFont="1" applyFill="1" applyBorder="1" applyAlignment="1">
      <alignment horizontal="center" vertical="center" wrapText="1"/>
    </xf>
    <xf numFmtId="0" fontId="26" fillId="0" borderId="0" xfId="4" applyFont="1" applyAlignment="1">
      <alignment horizontal="center"/>
    </xf>
    <xf numFmtId="0" fontId="25" fillId="25" borderId="17" xfId="4" applyFont="1" applyFill="1" applyBorder="1" applyAlignment="1">
      <alignment horizontal="center" vertical="center" wrapText="1"/>
    </xf>
    <xf numFmtId="0" fontId="25" fillId="25" borderId="22" xfId="4" applyFont="1" applyFill="1" applyBorder="1" applyAlignment="1">
      <alignment horizontal="center" vertical="center" wrapText="1"/>
    </xf>
    <xf numFmtId="0" fontId="25" fillId="25" borderId="23" xfId="4" applyFont="1" applyFill="1" applyBorder="1" applyAlignment="1">
      <alignment horizontal="center" vertical="center" wrapText="1"/>
    </xf>
    <xf numFmtId="0" fontId="25" fillId="25" borderId="14" xfId="4" applyFont="1" applyFill="1" applyBorder="1" applyAlignment="1">
      <alignment horizontal="center" vertical="center" wrapText="1"/>
    </xf>
    <xf numFmtId="0" fontId="25" fillId="25" borderId="29" xfId="4" applyFont="1" applyFill="1" applyBorder="1" applyAlignment="1">
      <alignment horizontal="center" vertical="center" wrapText="1"/>
    </xf>
    <xf numFmtId="0" fontId="25" fillId="25" borderId="30" xfId="4" applyFont="1" applyFill="1" applyBorder="1" applyAlignment="1">
      <alignment horizontal="center" vertical="center" wrapText="1"/>
    </xf>
    <xf numFmtId="0" fontId="26" fillId="26" borderId="16" xfId="4" applyFont="1" applyFill="1" applyBorder="1" applyAlignment="1">
      <alignment horizontal="center" vertical="center" wrapText="1"/>
    </xf>
    <xf numFmtId="0" fontId="26" fillId="26" borderId="41" xfId="4" applyFont="1" applyFill="1" applyBorder="1" applyAlignment="1">
      <alignment horizontal="center" vertical="center" wrapText="1"/>
    </xf>
    <xf numFmtId="0" fontId="26" fillId="26" borderId="15" xfId="4" applyFont="1" applyFill="1" applyBorder="1" applyAlignment="1">
      <alignment horizontal="center" vertical="center" wrapText="1"/>
    </xf>
    <xf numFmtId="0" fontId="26" fillId="27" borderId="10" xfId="4" applyFont="1" applyFill="1" applyBorder="1" applyAlignment="1">
      <alignment horizontal="center"/>
    </xf>
    <xf numFmtId="0" fontId="26" fillId="27" borderId="11" xfId="4" applyFont="1" applyFill="1" applyBorder="1" applyAlignment="1">
      <alignment horizontal="center"/>
    </xf>
    <xf numFmtId="0" fontId="26" fillId="24" borderId="16" xfId="4" applyFont="1" applyFill="1" applyBorder="1" applyAlignment="1">
      <alignment horizontal="center"/>
    </xf>
    <xf numFmtId="0" fontId="26" fillId="24" borderId="41" xfId="4" applyFont="1" applyFill="1" applyBorder="1" applyAlignment="1">
      <alignment horizontal="center"/>
    </xf>
    <xf numFmtId="0" fontId="26" fillId="24" borderId="66" xfId="4" applyFont="1" applyFill="1" applyBorder="1" applyAlignment="1">
      <alignment horizontal="center"/>
    </xf>
    <xf numFmtId="0" fontId="26" fillId="26" borderId="37" xfId="4" applyFont="1" applyFill="1" applyBorder="1" applyAlignment="1">
      <alignment horizontal="center" vertical="center"/>
    </xf>
    <xf numFmtId="0" fontId="26" fillId="26" borderId="34" xfId="4" applyFont="1" applyFill="1" applyBorder="1" applyAlignment="1">
      <alignment horizontal="center" vertical="center"/>
    </xf>
    <xf numFmtId="0" fontId="26" fillId="26" borderId="38" xfId="4" applyFont="1" applyFill="1" applyBorder="1" applyAlignment="1">
      <alignment horizontal="center" vertical="center"/>
    </xf>
    <xf numFmtId="0" fontId="26" fillId="26" borderId="35" xfId="4" applyFont="1" applyFill="1" applyBorder="1" applyAlignment="1">
      <alignment horizontal="center" vertical="center"/>
    </xf>
    <xf numFmtId="0" fontId="26" fillId="26" borderId="50" xfId="4" applyFont="1" applyFill="1" applyBorder="1" applyAlignment="1">
      <alignment horizontal="center" vertical="center"/>
    </xf>
    <xf numFmtId="0" fontId="26" fillId="26" borderId="47" xfId="4" applyFont="1" applyFill="1" applyBorder="1" applyAlignment="1">
      <alignment horizontal="center" vertical="center"/>
    </xf>
    <xf numFmtId="0" fontId="26" fillId="26" borderId="51" xfId="4" applyFont="1" applyFill="1" applyBorder="1" applyAlignment="1">
      <alignment horizontal="center" vertical="center"/>
    </xf>
    <xf numFmtId="0" fontId="26" fillId="26" borderId="48" xfId="4" applyFont="1" applyFill="1" applyBorder="1" applyAlignment="1">
      <alignment horizontal="center" vertical="center"/>
    </xf>
    <xf numFmtId="0" fontId="26" fillId="0" borderId="18" xfId="4" applyFont="1" applyBorder="1" applyAlignment="1">
      <alignment horizontal="right" vertical="center"/>
    </xf>
    <xf numFmtId="0" fontId="26" fillId="0" borderId="59" xfId="4" applyFont="1" applyBorder="1" applyAlignment="1">
      <alignment horizontal="right" vertical="center"/>
    </xf>
    <xf numFmtId="0" fontId="26" fillId="0" borderId="13" xfId="4" applyFont="1" applyBorder="1" applyAlignment="1">
      <alignment horizontal="right" vertical="center"/>
    </xf>
    <xf numFmtId="0" fontId="26" fillId="25" borderId="9" xfId="4" applyFont="1" applyFill="1" applyBorder="1" applyAlignment="1">
      <alignment horizontal="center"/>
    </xf>
    <xf numFmtId="0" fontId="26" fillId="25" borderId="49" xfId="4" applyFont="1" applyFill="1" applyBorder="1" applyAlignment="1">
      <alignment horizontal="center"/>
    </xf>
    <xf numFmtId="0" fontId="26" fillId="25" borderId="11" xfId="4" applyFont="1" applyFill="1" applyBorder="1" applyAlignment="1">
      <alignment horizontal="center"/>
    </xf>
    <xf numFmtId="0" fontId="26" fillId="0" borderId="31" xfId="4" applyFont="1" applyBorder="1" applyAlignment="1">
      <alignment horizontal="center"/>
    </xf>
    <xf numFmtId="0" fontId="26" fillId="0" borderId="4" xfId="4" applyFont="1" applyBorder="1" applyAlignment="1">
      <alignment horizontal="center"/>
    </xf>
    <xf numFmtId="0" fontId="26" fillId="0" borderId="5" xfId="4" applyFont="1" applyBorder="1" applyAlignment="1">
      <alignment horizontal="center"/>
    </xf>
    <xf numFmtId="0" fontId="26" fillId="0" borderId="6" xfId="4" applyFont="1" applyBorder="1" applyAlignment="1">
      <alignment horizontal="center"/>
    </xf>
    <xf numFmtId="0" fontId="26" fillId="0" borderId="43" xfId="4" applyFont="1" applyBorder="1" applyAlignment="1">
      <alignment horizontal="center"/>
    </xf>
    <xf numFmtId="0" fontId="26" fillId="0" borderId="52" xfId="4" applyFont="1" applyBorder="1" applyAlignment="1">
      <alignment horizontal="center"/>
    </xf>
    <xf numFmtId="0" fontId="26" fillId="0" borderId="39" xfId="4" applyFont="1" applyBorder="1" applyAlignment="1">
      <alignment horizontal="center"/>
    </xf>
    <xf numFmtId="16" fontId="26" fillId="9" borderId="45" xfId="4" applyNumberFormat="1" applyFont="1" applyFill="1" applyBorder="1" applyAlignment="1">
      <alignment horizontal="center" vertical="center" wrapText="1"/>
    </xf>
    <xf numFmtId="0" fontId="26" fillId="9" borderId="53" xfId="4" applyFont="1" applyFill="1" applyBorder="1" applyAlignment="1">
      <alignment horizontal="center" vertical="center" wrapText="1"/>
    </xf>
    <xf numFmtId="0" fontId="26" fillId="9" borderId="32" xfId="4" applyFont="1" applyFill="1" applyBorder="1" applyAlignment="1">
      <alignment horizontal="center" vertical="center" wrapText="1"/>
    </xf>
    <xf numFmtId="0" fontId="26" fillId="0" borderId="54" xfId="4" applyFont="1" applyFill="1" applyBorder="1" applyAlignment="1">
      <alignment horizontal="center"/>
    </xf>
    <xf numFmtId="0" fontId="26" fillId="0" borderId="0" xfId="4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36" fillId="3" borderId="4" xfId="2" applyFont="1" applyBorder="1" applyAlignment="1">
      <alignment horizontal="center"/>
    </xf>
    <xf numFmtId="0" fontId="36" fillId="3" borderId="5" xfId="2" applyFont="1" applyBorder="1" applyAlignment="1">
      <alignment horizontal="center"/>
    </xf>
    <xf numFmtId="0" fontId="36" fillId="3" borderId="6" xfId="2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35" fillId="0" borderId="4" xfId="4" applyFont="1" applyBorder="1" applyAlignment="1">
      <alignment horizontal="center"/>
    </xf>
    <xf numFmtId="0" fontId="35" fillId="0" borderId="5" xfId="4" applyFont="1" applyBorder="1" applyAlignment="1">
      <alignment horizontal="center"/>
    </xf>
    <xf numFmtId="0" fontId="35" fillId="0" borderId="6" xfId="4" applyFont="1" applyBorder="1" applyAlignment="1">
      <alignment horizontal="center"/>
    </xf>
    <xf numFmtId="167" fontId="35" fillId="0" borderId="4" xfId="4" applyNumberFormat="1" applyFont="1" applyBorder="1" applyAlignment="1">
      <alignment horizontal="center"/>
    </xf>
    <xf numFmtId="167" fontId="35" fillId="0" borderId="5" xfId="4" applyNumberFormat="1" applyFont="1" applyBorder="1" applyAlignment="1">
      <alignment horizontal="center"/>
    </xf>
    <xf numFmtId="167" fontId="35" fillId="0" borderId="6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0" fillId="0" borderId="57" xfId="0" applyFont="1" applyBorder="1" applyAlignment="1">
      <alignment horizontal="center"/>
    </xf>
    <xf numFmtId="0" fontId="49" fillId="25" borderId="0" xfId="0" applyFont="1" applyFill="1" applyAlignment="1">
      <alignment horizontal="center"/>
    </xf>
    <xf numFmtId="0" fontId="5" fillId="9" borderId="0" xfId="0" applyFont="1" applyFill="1" applyBorder="1" applyAlignment="1">
      <alignment horizontal="center" wrapText="1"/>
    </xf>
    <xf numFmtId="0" fontId="5" fillId="9" borderId="54" xfId="0" applyFont="1" applyFill="1" applyBorder="1" applyAlignment="1">
      <alignment horizontal="center" wrapText="1"/>
    </xf>
    <xf numFmtId="1" fontId="39" fillId="9" borderId="54" xfId="0" applyNumberFormat="1" applyFont="1" applyFill="1" applyBorder="1" applyAlignment="1">
      <alignment horizontal="center" wrapText="1"/>
    </xf>
    <xf numFmtId="1" fontId="39" fillId="9" borderId="0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0" fillId="9" borderId="56" xfId="0" applyFont="1" applyFill="1" applyBorder="1" applyAlignment="1">
      <alignment horizontal="center" vertical="center" wrapText="1"/>
    </xf>
    <xf numFmtId="0" fontId="54" fillId="11" borderId="1" xfId="0" applyFont="1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8">
    <cellStyle name="Buena" xfId="1" builtinId="26"/>
    <cellStyle name="Euro" xfId="5"/>
    <cellStyle name="Incorrecto" xfId="2" builtinId="27"/>
    <cellStyle name="Neutral" xfId="3" builtinId="28"/>
    <cellStyle name="Normal" xfId="0" builtinId="0"/>
    <cellStyle name="Normal 2" xfId="4"/>
    <cellStyle name="Normal 3" xfId="6"/>
    <cellStyle name="Normal 4" xfId="7"/>
  </cellStyles>
  <dxfs count="9"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FF00"/>
      <color rgb="FFFF99CC"/>
      <color rgb="FFFF0000"/>
      <color rgb="FFCC0099"/>
      <color rgb="FFFF0066"/>
      <color rgb="FF66FF66"/>
      <color rgb="FF6666FF"/>
      <color rgb="FF0099CC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F548"/>
  <sheetViews>
    <sheetView tabSelected="1" workbookViewId="0">
      <pane ySplit="6" topLeftCell="A7" activePane="bottomLeft" state="frozen"/>
      <selection pane="bottomLeft" activeCell="L474" sqref="L474"/>
    </sheetView>
  </sheetViews>
  <sheetFormatPr baseColWidth="10" defaultRowHeight="15"/>
  <cols>
    <col min="1" max="1" width="11.140625" style="1" bestFit="1" customWidth="1"/>
    <col min="2" max="2" width="8" style="16" bestFit="1" customWidth="1"/>
    <col min="3" max="3" width="11.42578125" style="276" bestFit="1" customWidth="1"/>
    <col min="4" max="4" width="16.140625" style="1" customWidth="1"/>
    <col min="5" max="5" width="51.7109375" style="1" customWidth="1"/>
    <col min="6" max="6" width="8.7109375" style="16" hidden="1" customWidth="1"/>
    <col min="7" max="7" width="7.5703125" style="18" customWidth="1"/>
    <col min="8" max="8" width="9.28515625" style="349" customWidth="1"/>
    <col min="9" max="9" width="10.7109375" style="249" customWidth="1"/>
    <col min="10" max="11" width="10.85546875" style="29" hidden="1" customWidth="1"/>
    <col min="12" max="12" width="12.28515625" style="1" customWidth="1"/>
    <col min="13" max="13" width="9.42578125" style="1" customWidth="1"/>
    <col min="14" max="14" width="8.5703125" style="1" customWidth="1"/>
    <col min="15" max="15" width="9" style="1" customWidth="1"/>
    <col min="16" max="17" width="3.85546875" style="1" hidden="1" customWidth="1"/>
    <col min="18" max="18" width="4.140625" style="1" hidden="1" customWidth="1"/>
    <col min="19" max="19" width="4" style="1" hidden="1" customWidth="1"/>
    <col min="20" max="20" width="8.28515625" style="16" customWidth="1"/>
    <col min="21" max="21" width="6.7109375" style="16" customWidth="1"/>
    <col min="22" max="22" width="10.140625" style="44" customWidth="1"/>
    <col min="23" max="23" width="15" style="1" customWidth="1"/>
    <col min="24" max="24" width="6.7109375" style="1" bestFit="1" customWidth="1"/>
    <col min="25" max="25" width="39.5703125" style="1" bestFit="1" customWidth="1"/>
    <col min="26" max="26" width="11.42578125" style="1"/>
    <col min="27" max="32" width="5.7109375" style="1" customWidth="1"/>
    <col min="33" max="16384" width="11.42578125" style="1"/>
  </cols>
  <sheetData>
    <row r="1" spans="1:25" ht="19.5">
      <c r="B1" s="954" t="s">
        <v>124</v>
      </c>
      <c r="C1" s="953"/>
      <c r="D1" s="954"/>
      <c r="E1" s="954"/>
      <c r="W1" s="44" t="s">
        <v>65</v>
      </c>
      <c r="X1" s="30"/>
      <c r="Y1" s="1" t="s">
        <v>67</v>
      </c>
    </row>
    <row r="2" spans="1:25">
      <c r="W2" s="44"/>
      <c r="X2" s="37"/>
      <c r="Y2" s="1" t="s">
        <v>66</v>
      </c>
    </row>
    <row r="3" spans="1:25">
      <c r="W3" s="44"/>
      <c r="X3" s="39"/>
      <c r="Y3" s="1" t="s">
        <v>48</v>
      </c>
    </row>
    <row r="4" spans="1:25">
      <c r="W4" s="44"/>
      <c r="X4" s="38"/>
      <c r="Y4" s="1" t="s">
        <v>68</v>
      </c>
    </row>
    <row r="5" spans="1:25" ht="15.75" thickBot="1"/>
    <row r="6" spans="1:25" ht="39" customHeight="1" thickBot="1">
      <c r="A6" s="45" t="s">
        <v>123</v>
      </c>
      <c r="B6" s="19" t="s">
        <v>2</v>
      </c>
      <c r="C6" s="277" t="s">
        <v>0</v>
      </c>
      <c r="D6" s="19" t="s">
        <v>1</v>
      </c>
      <c r="E6" s="19" t="s">
        <v>51</v>
      </c>
      <c r="F6" s="680" t="s">
        <v>52</v>
      </c>
      <c r="G6" s="20" t="s">
        <v>44</v>
      </c>
      <c r="H6" s="20" t="s">
        <v>46</v>
      </c>
      <c r="I6" s="700" t="s">
        <v>194</v>
      </c>
      <c r="J6" s="223" t="s">
        <v>451</v>
      </c>
      <c r="K6" s="677" t="s">
        <v>450</v>
      </c>
      <c r="L6" s="19" t="s">
        <v>49</v>
      </c>
      <c r="M6" s="20" t="s">
        <v>394</v>
      </c>
      <c r="N6" s="21" t="s">
        <v>78</v>
      </c>
      <c r="O6" s="21" t="s">
        <v>77</v>
      </c>
      <c r="P6" s="681" t="s">
        <v>61</v>
      </c>
      <c r="Q6" s="323" t="s">
        <v>62</v>
      </c>
      <c r="R6" s="323" t="s">
        <v>53</v>
      </c>
      <c r="S6" s="323" t="s">
        <v>63</v>
      </c>
      <c r="T6" s="19" t="s">
        <v>43</v>
      </c>
      <c r="U6" s="21" t="s">
        <v>54</v>
      </c>
      <c r="V6" s="398" t="s">
        <v>527</v>
      </c>
      <c r="W6" s="32"/>
    </row>
    <row r="7" spans="1:25" ht="15" hidden="1" customHeight="1">
      <c r="A7" s="194" t="s">
        <v>636</v>
      </c>
      <c r="B7" s="206">
        <v>5295</v>
      </c>
      <c r="C7" s="469">
        <v>42341</v>
      </c>
      <c r="D7" s="194" t="s">
        <v>24</v>
      </c>
      <c r="E7" s="344" t="s">
        <v>14</v>
      </c>
      <c r="F7" s="59"/>
      <c r="G7" s="789">
        <v>168</v>
      </c>
      <c r="H7" s="782">
        <f t="shared" ref="H7:H8" si="0">G7-T7</f>
        <v>4</v>
      </c>
      <c r="I7" s="625"/>
      <c r="J7" s="621"/>
      <c r="K7" s="621"/>
      <c r="L7" s="321" t="s">
        <v>47</v>
      </c>
      <c r="M7" s="321"/>
      <c r="N7" s="321" t="s">
        <v>1</v>
      </c>
      <c r="O7" s="321" t="s">
        <v>1</v>
      </c>
      <c r="P7" s="4"/>
      <c r="Q7" s="4"/>
      <c r="R7" s="4"/>
      <c r="S7" s="211"/>
      <c r="T7" s="210">
        <v>164</v>
      </c>
      <c r="U7" s="210" t="s">
        <v>55</v>
      </c>
      <c r="V7" s="291" t="s">
        <v>959</v>
      </c>
    </row>
    <row r="8" spans="1:25" ht="15" hidden="1" customHeight="1">
      <c r="A8" s="4" t="s">
        <v>49</v>
      </c>
      <c r="B8" s="43">
        <v>5196</v>
      </c>
      <c r="C8" s="278">
        <v>42130</v>
      </c>
      <c r="D8" s="15" t="s">
        <v>42</v>
      </c>
      <c r="E8" s="15" t="s">
        <v>379</v>
      </c>
      <c r="F8" s="5">
        <v>4700</v>
      </c>
      <c r="G8" s="24">
        <v>4200</v>
      </c>
      <c r="H8" s="28">
        <f t="shared" si="0"/>
        <v>1972</v>
      </c>
      <c r="I8" s="250"/>
      <c r="J8" s="247">
        <f t="shared" ref="J8" ca="1" si="1">TODAY()-C8</f>
        <v>415</v>
      </c>
      <c r="K8" s="246" t="str">
        <f t="shared" ref="K8" ca="1" si="2">IF(I8="","Sin fecha",((I8-TODAY())))</f>
        <v>Sin fecha</v>
      </c>
      <c r="L8" s="26" t="s">
        <v>45</v>
      </c>
      <c r="M8" s="633"/>
      <c r="N8" s="26" t="s">
        <v>48</v>
      </c>
      <c r="O8" s="26" t="s">
        <v>48</v>
      </c>
      <c r="P8" s="35" t="s">
        <v>48</v>
      </c>
      <c r="Q8" s="35" t="s">
        <v>48</v>
      </c>
      <c r="R8" s="35" t="s">
        <v>48</v>
      </c>
      <c r="S8" s="35" t="s">
        <v>48</v>
      </c>
      <c r="T8" s="5">
        <v>2228</v>
      </c>
      <c r="U8" s="5" t="s">
        <v>55</v>
      </c>
      <c r="V8" s="4" t="s">
        <v>959</v>
      </c>
    </row>
    <row r="9" spans="1:25" ht="15" hidden="1" customHeight="1">
      <c r="A9" s="4" t="s">
        <v>636</v>
      </c>
      <c r="B9" s="7">
        <v>5061</v>
      </c>
      <c r="C9" s="278">
        <v>41840</v>
      </c>
      <c r="D9" s="7" t="s">
        <v>21</v>
      </c>
      <c r="E9" s="7" t="s">
        <v>22</v>
      </c>
      <c r="F9" s="8"/>
      <c r="G9" s="931">
        <v>49</v>
      </c>
      <c r="H9" s="9">
        <f t="shared" ref="H9:H72" si="3">G9-T9</f>
        <v>49</v>
      </c>
      <c r="I9" s="936"/>
      <c r="J9" s="247">
        <f t="shared" ref="J9:J30" ca="1" si="4">TODAY()-C9</f>
        <v>705</v>
      </c>
      <c r="K9" s="246" t="str">
        <f t="shared" ref="K9:K30" ca="1" si="5">IF(I9="","Sin fecha",((I9-TODAY())))</f>
        <v>Sin fecha</v>
      </c>
      <c r="L9" s="937" t="s">
        <v>48</v>
      </c>
      <c r="M9" s="937"/>
      <c r="N9" s="937"/>
      <c r="O9" s="26" t="s">
        <v>48</v>
      </c>
      <c r="P9" s="10"/>
      <c r="Q9" s="10"/>
      <c r="R9" s="10"/>
      <c r="S9" s="10"/>
      <c r="T9" s="8"/>
      <c r="U9" s="5" t="s">
        <v>55</v>
      </c>
      <c r="V9" s="4" t="s">
        <v>959</v>
      </c>
      <c r="W9" s="33"/>
    </row>
    <row r="10" spans="1:25" ht="15" hidden="1" customHeight="1">
      <c r="A10" s="344" t="s">
        <v>193</v>
      </c>
      <c r="B10" s="2">
        <v>5264</v>
      </c>
      <c r="C10" s="550">
        <v>42014</v>
      </c>
      <c r="D10" s="15" t="s">
        <v>21</v>
      </c>
      <c r="E10" s="59" t="s">
        <v>192</v>
      </c>
      <c r="F10" s="59"/>
      <c r="G10" s="46">
        <v>4000</v>
      </c>
      <c r="H10" s="696">
        <f t="shared" si="3"/>
        <v>-178</v>
      </c>
      <c r="I10" s="312"/>
      <c r="J10" s="621">
        <f t="shared" ca="1" si="4"/>
        <v>531</v>
      </c>
      <c r="K10" s="246" t="str">
        <f t="shared" ca="1" si="5"/>
        <v>Sin fecha</v>
      </c>
      <c r="L10" s="4" t="s">
        <v>48</v>
      </c>
      <c r="M10" s="4"/>
      <c r="N10" s="4" t="s">
        <v>48</v>
      </c>
      <c r="O10" s="633" t="s">
        <v>48</v>
      </c>
      <c r="P10" s="35" t="s">
        <v>48</v>
      </c>
      <c r="Q10" s="35" t="s">
        <v>48</v>
      </c>
      <c r="R10" s="4" t="s">
        <v>48</v>
      </c>
      <c r="S10" s="4" t="s">
        <v>48</v>
      </c>
      <c r="T10" s="5">
        <f>2000+2178</f>
        <v>4178</v>
      </c>
      <c r="U10" s="5" t="s">
        <v>55</v>
      </c>
      <c r="V10" s="43" t="s">
        <v>711</v>
      </c>
    </row>
    <row r="11" spans="1:25" ht="15" hidden="1" customHeight="1">
      <c r="A11" s="4" t="s">
        <v>49</v>
      </c>
      <c r="B11" s="43">
        <v>5255</v>
      </c>
      <c r="C11" s="338">
        <v>42258</v>
      </c>
      <c r="D11" s="4" t="s">
        <v>111</v>
      </c>
      <c r="E11" s="257" t="s">
        <v>17</v>
      </c>
      <c r="F11" s="5"/>
      <c r="G11" s="24">
        <v>100</v>
      </c>
      <c r="H11" s="784">
        <f t="shared" si="3"/>
        <v>51</v>
      </c>
      <c r="I11" s="254"/>
      <c r="J11" s="247">
        <f t="shared" ca="1" si="4"/>
        <v>287</v>
      </c>
      <c r="K11" s="246" t="str">
        <f t="shared" ca="1" si="5"/>
        <v>Sin fecha</v>
      </c>
      <c r="L11" s="633" t="s">
        <v>64</v>
      </c>
      <c r="M11" s="633"/>
      <c r="N11" s="633" t="s">
        <v>69</v>
      </c>
      <c r="O11" s="633" t="s">
        <v>69</v>
      </c>
      <c r="P11" s="4" t="s">
        <v>55</v>
      </c>
      <c r="Q11" s="35" t="s">
        <v>48</v>
      </c>
      <c r="R11" s="4" t="s">
        <v>55</v>
      </c>
      <c r="S11" s="4" t="s">
        <v>55</v>
      </c>
      <c r="T11" s="5">
        <f>43+6</f>
        <v>49</v>
      </c>
      <c r="U11" s="5" t="s">
        <v>55</v>
      </c>
      <c r="V11" s="43" t="s">
        <v>959</v>
      </c>
    </row>
    <row r="12" spans="1:25" ht="15" hidden="1" customHeight="1">
      <c r="A12" s="15" t="s">
        <v>49</v>
      </c>
      <c r="B12" s="43">
        <v>5201</v>
      </c>
      <c r="C12" s="278">
        <v>42137</v>
      </c>
      <c r="D12" s="221" t="s">
        <v>13</v>
      </c>
      <c r="E12" s="257" t="s">
        <v>22</v>
      </c>
      <c r="F12" s="222"/>
      <c r="G12" s="611">
        <v>182</v>
      </c>
      <c r="H12" s="335">
        <f t="shared" si="3"/>
        <v>0</v>
      </c>
      <c r="I12" s="282"/>
      <c r="J12" s="247">
        <f t="shared" ca="1" si="4"/>
        <v>408</v>
      </c>
      <c r="K12" s="246" t="str">
        <f t="shared" ca="1" si="5"/>
        <v>Sin fecha</v>
      </c>
      <c r="L12" s="26" t="s">
        <v>47</v>
      </c>
      <c r="M12" s="283"/>
      <c r="N12" s="283" t="s">
        <v>1</v>
      </c>
      <c r="O12" s="283" t="s">
        <v>1</v>
      </c>
      <c r="P12" s="4" t="s">
        <v>55</v>
      </c>
      <c r="Q12" s="35" t="s">
        <v>48</v>
      </c>
      <c r="R12" s="35" t="s">
        <v>48</v>
      </c>
      <c r="S12" s="35" t="s">
        <v>48</v>
      </c>
      <c r="T12" s="5">
        <f>83+43+56</f>
        <v>182</v>
      </c>
      <c r="U12" s="5" t="s">
        <v>55</v>
      </c>
      <c r="V12" s="4" t="s">
        <v>711</v>
      </c>
    </row>
    <row r="13" spans="1:25" ht="15" hidden="1" customHeight="1">
      <c r="A13" s="4" t="s">
        <v>49</v>
      </c>
      <c r="B13" s="2">
        <v>5210</v>
      </c>
      <c r="C13" s="318">
        <v>42160</v>
      </c>
      <c r="D13" s="6" t="s">
        <v>25</v>
      </c>
      <c r="E13" s="53" t="s">
        <v>6</v>
      </c>
      <c r="F13" s="3"/>
      <c r="G13" s="25">
        <v>500</v>
      </c>
      <c r="H13" s="28">
        <f t="shared" si="3"/>
        <v>500</v>
      </c>
      <c r="I13" s="619">
        <v>42191</v>
      </c>
      <c r="J13" s="247">
        <f t="shared" ca="1" si="4"/>
        <v>385</v>
      </c>
      <c r="K13" s="246">
        <f t="shared" ca="1" si="5"/>
        <v>-354</v>
      </c>
      <c r="L13" s="26" t="s">
        <v>45</v>
      </c>
      <c r="M13" s="633"/>
      <c r="N13" s="26" t="s">
        <v>48</v>
      </c>
      <c r="O13" s="26" t="s">
        <v>48</v>
      </c>
      <c r="P13" s="35" t="s">
        <v>48</v>
      </c>
      <c r="Q13" s="35" t="s">
        <v>48</v>
      </c>
      <c r="R13" s="35" t="s">
        <v>48</v>
      </c>
      <c r="S13" s="35" t="s">
        <v>48</v>
      </c>
      <c r="T13" s="5"/>
      <c r="U13" s="5" t="s">
        <v>55</v>
      </c>
      <c r="V13" s="4" t="s">
        <v>679</v>
      </c>
    </row>
    <row r="14" spans="1:25" ht="15" hidden="1" customHeight="1">
      <c r="A14" s="4" t="s">
        <v>49</v>
      </c>
      <c r="B14" s="2">
        <v>5210</v>
      </c>
      <c r="C14" s="318">
        <v>42160</v>
      </c>
      <c r="D14" s="6" t="s">
        <v>25</v>
      </c>
      <c r="E14" s="53" t="s">
        <v>8</v>
      </c>
      <c r="F14" s="3"/>
      <c r="G14" s="25">
        <v>500</v>
      </c>
      <c r="H14" s="28">
        <f t="shared" si="3"/>
        <v>500</v>
      </c>
      <c r="I14" s="619">
        <v>42191</v>
      </c>
      <c r="J14" s="247">
        <f t="shared" ca="1" si="4"/>
        <v>385</v>
      </c>
      <c r="K14" s="246">
        <f t="shared" ca="1" si="5"/>
        <v>-354</v>
      </c>
      <c r="L14" s="26" t="s">
        <v>45</v>
      </c>
      <c r="M14" s="633"/>
      <c r="N14" s="26" t="s">
        <v>48</v>
      </c>
      <c r="O14" s="26" t="s">
        <v>48</v>
      </c>
      <c r="P14" s="35" t="s">
        <v>48</v>
      </c>
      <c r="Q14" s="35" t="s">
        <v>48</v>
      </c>
      <c r="R14" s="35" t="s">
        <v>48</v>
      </c>
      <c r="S14" s="35" t="s">
        <v>48</v>
      </c>
      <c r="T14" s="5"/>
      <c r="U14" s="5" t="s">
        <v>55</v>
      </c>
      <c r="V14" s="4" t="s">
        <v>679</v>
      </c>
    </row>
    <row r="15" spans="1:25" ht="15" hidden="1" customHeight="1">
      <c r="A15" s="4" t="s">
        <v>49</v>
      </c>
      <c r="B15" s="2">
        <v>5210</v>
      </c>
      <c r="C15" s="318">
        <v>42160</v>
      </c>
      <c r="D15" s="2" t="s">
        <v>25</v>
      </c>
      <c r="E15" s="53" t="s">
        <v>9</v>
      </c>
      <c r="F15" s="3"/>
      <c r="G15" s="25">
        <v>500</v>
      </c>
      <c r="H15" s="28">
        <f t="shared" si="3"/>
        <v>500</v>
      </c>
      <c r="I15" s="318">
        <v>42191</v>
      </c>
      <c r="J15" s="247">
        <f t="shared" ca="1" si="4"/>
        <v>385</v>
      </c>
      <c r="K15" s="246">
        <f t="shared" ca="1" si="5"/>
        <v>-354</v>
      </c>
      <c r="L15" s="26" t="s">
        <v>45</v>
      </c>
      <c r="M15" s="635"/>
      <c r="N15" s="26" t="s">
        <v>48</v>
      </c>
      <c r="O15" s="26" t="s">
        <v>48</v>
      </c>
      <c r="P15" s="35" t="s">
        <v>48</v>
      </c>
      <c r="Q15" s="35" t="s">
        <v>48</v>
      </c>
      <c r="R15" s="35" t="s">
        <v>48</v>
      </c>
      <c r="S15" s="35" t="s">
        <v>48</v>
      </c>
      <c r="T15" s="5"/>
      <c r="U15" s="5" t="s">
        <v>55</v>
      </c>
      <c r="V15" s="4" t="s">
        <v>679</v>
      </c>
    </row>
    <row r="16" spans="1:25" ht="15" hidden="1" customHeight="1">
      <c r="A16" s="4" t="s">
        <v>49</v>
      </c>
      <c r="B16" s="2">
        <v>5210</v>
      </c>
      <c r="C16" s="318">
        <v>42160</v>
      </c>
      <c r="D16" s="2" t="s">
        <v>25</v>
      </c>
      <c r="E16" s="53" t="s">
        <v>7</v>
      </c>
      <c r="F16" s="3"/>
      <c r="G16" s="25">
        <v>500</v>
      </c>
      <c r="H16" s="28">
        <f t="shared" si="3"/>
        <v>500</v>
      </c>
      <c r="I16" s="318">
        <v>42191</v>
      </c>
      <c r="J16" s="247">
        <f t="shared" ca="1" si="4"/>
        <v>385</v>
      </c>
      <c r="K16" s="246">
        <f t="shared" ca="1" si="5"/>
        <v>-354</v>
      </c>
      <c r="L16" s="26" t="s">
        <v>45</v>
      </c>
      <c r="M16" s="633"/>
      <c r="N16" s="26" t="s">
        <v>48</v>
      </c>
      <c r="O16" s="26" t="s">
        <v>48</v>
      </c>
      <c r="P16" s="35" t="s">
        <v>48</v>
      </c>
      <c r="Q16" s="35" t="s">
        <v>48</v>
      </c>
      <c r="R16" s="35" t="s">
        <v>48</v>
      </c>
      <c r="S16" s="35" t="s">
        <v>48</v>
      </c>
      <c r="T16" s="5"/>
      <c r="U16" s="5" t="s">
        <v>55</v>
      </c>
      <c r="V16" s="4" t="s">
        <v>679</v>
      </c>
    </row>
    <row r="17" spans="1:23" ht="15" hidden="1" customHeight="1">
      <c r="A17" s="4" t="s">
        <v>49</v>
      </c>
      <c r="B17" s="2">
        <v>5210</v>
      </c>
      <c r="C17" s="318">
        <v>42160</v>
      </c>
      <c r="D17" s="6" t="s">
        <v>25</v>
      </c>
      <c r="E17" s="53" t="s">
        <v>6</v>
      </c>
      <c r="F17" s="3"/>
      <c r="G17" s="25">
        <v>500</v>
      </c>
      <c r="H17" s="28">
        <f t="shared" si="3"/>
        <v>500</v>
      </c>
      <c r="I17" s="254" t="s">
        <v>528</v>
      </c>
      <c r="J17" s="247">
        <f t="shared" ca="1" si="4"/>
        <v>385</v>
      </c>
      <c r="K17" s="246">
        <f t="shared" ca="1" si="5"/>
        <v>-340</v>
      </c>
      <c r="L17" s="26" t="s">
        <v>45</v>
      </c>
      <c r="M17" s="633"/>
      <c r="N17" s="26" t="s">
        <v>48</v>
      </c>
      <c r="O17" s="26" t="s">
        <v>48</v>
      </c>
      <c r="P17" s="35" t="s">
        <v>48</v>
      </c>
      <c r="Q17" s="35" t="s">
        <v>48</v>
      </c>
      <c r="R17" s="35" t="s">
        <v>48</v>
      </c>
      <c r="S17" s="35" t="s">
        <v>48</v>
      </c>
      <c r="T17" s="5"/>
      <c r="U17" s="5" t="s">
        <v>55</v>
      </c>
      <c r="V17" s="4" t="s">
        <v>679</v>
      </c>
    </row>
    <row r="18" spans="1:23" ht="15" hidden="1" customHeight="1">
      <c r="A18" s="1" t="s">
        <v>49</v>
      </c>
      <c r="B18" s="2">
        <v>5210</v>
      </c>
      <c r="C18" s="318">
        <v>42160</v>
      </c>
      <c r="D18" s="6" t="s">
        <v>25</v>
      </c>
      <c r="E18" s="53" t="s">
        <v>8</v>
      </c>
      <c r="F18" s="3"/>
      <c r="G18" s="25">
        <v>500</v>
      </c>
      <c r="H18" s="28">
        <f t="shared" si="3"/>
        <v>500</v>
      </c>
      <c r="I18" s="254" t="s">
        <v>528</v>
      </c>
      <c r="J18" s="247">
        <f t="shared" ca="1" si="4"/>
        <v>385</v>
      </c>
      <c r="K18" s="246">
        <f t="shared" ca="1" si="5"/>
        <v>-340</v>
      </c>
      <c r="L18" s="26" t="s">
        <v>45</v>
      </c>
      <c r="M18" s="633"/>
      <c r="N18" s="26" t="s">
        <v>48</v>
      </c>
      <c r="O18" s="26" t="s">
        <v>48</v>
      </c>
      <c r="P18" s="35" t="s">
        <v>48</v>
      </c>
      <c r="Q18" s="35" t="s">
        <v>48</v>
      </c>
      <c r="R18" s="35" t="s">
        <v>48</v>
      </c>
      <c r="S18" s="35" t="s">
        <v>48</v>
      </c>
      <c r="T18" s="5"/>
      <c r="U18" s="5" t="s">
        <v>55</v>
      </c>
      <c r="V18" s="4" t="s">
        <v>679</v>
      </c>
    </row>
    <row r="19" spans="1:23" ht="15" hidden="1" customHeight="1">
      <c r="A19" s="4" t="s">
        <v>49</v>
      </c>
      <c r="B19" s="2">
        <v>5210</v>
      </c>
      <c r="C19" s="318">
        <v>42160</v>
      </c>
      <c r="D19" s="2" t="s">
        <v>25</v>
      </c>
      <c r="E19" s="53" t="s">
        <v>9</v>
      </c>
      <c r="F19" s="3"/>
      <c r="G19" s="25">
        <v>500</v>
      </c>
      <c r="H19" s="28">
        <f t="shared" si="3"/>
        <v>500</v>
      </c>
      <c r="I19" s="254" t="s">
        <v>528</v>
      </c>
      <c r="J19" s="247">
        <f t="shared" ca="1" si="4"/>
        <v>385</v>
      </c>
      <c r="K19" s="246">
        <f t="shared" ca="1" si="5"/>
        <v>-340</v>
      </c>
      <c r="L19" s="26" t="s">
        <v>45</v>
      </c>
      <c r="M19" s="633"/>
      <c r="N19" s="26" t="s">
        <v>48</v>
      </c>
      <c r="O19" s="26" t="s">
        <v>48</v>
      </c>
      <c r="P19" s="35" t="s">
        <v>48</v>
      </c>
      <c r="Q19" s="35" t="s">
        <v>48</v>
      </c>
      <c r="R19" s="35" t="s">
        <v>48</v>
      </c>
      <c r="S19" s="35" t="s">
        <v>48</v>
      </c>
      <c r="T19" s="5"/>
      <c r="U19" s="5" t="s">
        <v>55</v>
      </c>
      <c r="V19" s="4" t="s">
        <v>679</v>
      </c>
    </row>
    <row r="20" spans="1:23" ht="15" hidden="1" customHeight="1">
      <c r="A20" s="4" t="s">
        <v>49</v>
      </c>
      <c r="B20" s="2">
        <v>5210</v>
      </c>
      <c r="C20" s="318">
        <v>42160</v>
      </c>
      <c r="D20" s="2" t="s">
        <v>25</v>
      </c>
      <c r="E20" s="53" t="s">
        <v>7</v>
      </c>
      <c r="F20" s="3"/>
      <c r="G20" s="25">
        <v>500</v>
      </c>
      <c r="H20" s="28">
        <f t="shared" si="3"/>
        <v>500</v>
      </c>
      <c r="I20" s="253" t="s">
        <v>528</v>
      </c>
      <c r="J20" s="247">
        <f t="shared" ca="1" si="4"/>
        <v>385</v>
      </c>
      <c r="K20" s="246">
        <f t="shared" ca="1" si="5"/>
        <v>-340</v>
      </c>
      <c r="L20" s="26" t="s">
        <v>45</v>
      </c>
      <c r="M20" s="633"/>
      <c r="N20" s="26" t="s">
        <v>48</v>
      </c>
      <c r="O20" s="26" t="s">
        <v>48</v>
      </c>
      <c r="P20" s="35" t="s">
        <v>48</v>
      </c>
      <c r="Q20" s="35" t="s">
        <v>48</v>
      </c>
      <c r="R20" s="35" t="s">
        <v>48</v>
      </c>
      <c r="S20" s="35" t="s">
        <v>48</v>
      </c>
      <c r="T20" s="5"/>
      <c r="U20" s="5" t="s">
        <v>55</v>
      </c>
      <c r="V20" s="4" t="s">
        <v>679</v>
      </c>
    </row>
    <row r="21" spans="1:23" ht="15" hidden="1" customHeight="1">
      <c r="A21" s="284" t="s">
        <v>49</v>
      </c>
      <c r="B21" s="285">
        <v>5213</v>
      </c>
      <c r="C21" s="446">
        <v>42165</v>
      </c>
      <c r="D21" s="284" t="s">
        <v>13</v>
      </c>
      <c r="E21" s="596" t="s">
        <v>14</v>
      </c>
      <c r="F21" s="5"/>
      <c r="G21" s="687">
        <v>368</v>
      </c>
      <c r="H21" s="674">
        <f t="shared" si="3"/>
        <v>0</v>
      </c>
      <c r="I21" s="688"/>
      <c r="J21" s="621">
        <f t="shared" ca="1" si="4"/>
        <v>380</v>
      </c>
      <c r="K21" s="246" t="str">
        <f t="shared" ca="1" si="5"/>
        <v>Sin fecha</v>
      </c>
      <c r="L21" s="326" t="s">
        <v>47</v>
      </c>
      <c r="M21" s="689"/>
      <c r="N21" s="637" t="s">
        <v>1</v>
      </c>
      <c r="O21" s="690" t="s">
        <v>1</v>
      </c>
      <c r="P21" s="4"/>
      <c r="Q21" s="35" t="s">
        <v>48</v>
      </c>
      <c r="R21" s="35" t="s">
        <v>48</v>
      </c>
      <c r="S21" s="35" t="s">
        <v>48</v>
      </c>
      <c r="T21" s="290">
        <f>110+200+58</f>
        <v>368</v>
      </c>
      <c r="U21" s="290" t="s">
        <v>55</v>
      </c>
      <c r="V21" s="284" t="s">
        <v>711</v>
      </c>
      <c r="W21" s="1">
        <v>110</v>
      </c>
    </row>
    <row r="22" spans="1:23" ht="15" hidden="1" customHeight="1">
      <c r="A22" s="4" t="s">
        <v>49</v>
      </c>
      <c r="B22" s="43">
        <v>5215</v>
      </c>
      <c r="C22" s="338">
        <v>42167</v>
      </c>
      <c r="D22" s="2" t="s">
        <v>111</v>
      </c>
      <c r="E22" s="15" t="s">
        <v>29</v>
      </c>
      <c r="F22" s="682"/>
      <c r="G22" s="40">
        <v>200</v>
      </c>
      <c r="H22" s="675">
        <f t="shared" si="3"/>
        <v>1</v>
      </c>
      <c r="I22" s="278">
        <v>42215</v>
      </c>
      <c r="J22" s="247">
        <f t="shared" ca="1" si="4"/>
        <v>378</v>
      </c>
      <c r="K22" s="678">
        <f t="shared" ca="1" si="5"/>
        <v>-330</v>
      </c>
      <c r="L22" s="4" t="s">
        <v>47</v>
      </c>
      <c r="M22" s="4"/>
      <c r="N22" s="4" t="s">
        <v>48</v>
      </c>
      <c r="O22" s="4" t="s">
        <v>48</v>
      </c>
      <c r="P22" s="633"/>
      <c r="Q22" s="4"/>
      <c r="R22" s="4"/>
      <c r="S22" s="660"/>
      <c r="T22" s="5">
        <f>6+18+9+18+18+30+9+30+9+52</f>
        <v>199</v>
      </c>
      <c r="U22" s="5" t="s">
        <v>55</v>
      </c>
      <c r="V22" s="4" t="s">
        <v>775</v>
      </c>
    </row>
    <row r="23" spans="1:23" ht="15" hidden="1" customHeight="1">
      <c r="A23" s="211" t="s">
        <v>49</v>
      </c>
      <c r="B23" s="291">
        <v>5219</v>
      </c>
      <c r="C23" s="469" t="s">
        <v>590</v>
      </c>
      <c r="D23" s="211" t="s">
        <v>11</v>
      </c>
      <c r="E23" s="211" t="s">
        <v>10</v>
      </c>
      <c r="F23" s="5"/>
      <c r="G23" s="693">
        <v>340</v>
      </c>
      <c r="H23" s="49">
        <f t="shared" si="3"/>
        <v>240</v>
      </c>
      <c r="I23" s="625"/>
      <c r="J23" s="247">
        <f t="shared" ca="1" si="4"/>
        <v>372</v>
      </c>
      <c r="K23" s="246" t="str">
        <f t="shared" ca="1" si="5"/>
        <v>Sin fecha</v>
      </c>
      <c r="L23" s="321" t="s">
        <v>45</v>
      </c>
      <c r="M23" s="321"/>
      <c r="N23" s="321" t="s">
        <v>48</v>
      </c>
      <c r="O23" s="321" t="s">
        <v>48</v>
      </c>
      <c r="P23" s="35" t="s">
        <v>48</v>
      </c>
      <c r="Q23" s="35" t="s">
        <v>48</v>
      </c>
      <c r="R23" s="35" t="s">
        <v>48</v>
      </c>
      <c r="S23" s="35" t="s">
        <v>48</v>
      </c>
      <c r="T23" s="210">
        <v>100</v>
      </c>
      <c r="U23" s="210" t="s">
        <v>55</v>
      </c>
      <c r="V23" s="211" t="s">
        <v>427</v>
      </c>
    </row>
    <row r="24" spans="1:23" ht="15" hidden="1" customHeight="1">
      <c r="A24" s="4" t="s">
        <v>49</v>
      </c>
      <c r="B24" s="43">
        <v>5219</v>
      </c>
      <c r="C24" s="338" t="s">
        <v>590</v>
      </c>
      <c r="D24" s="4" t="s">
        <v>11</v>
      </c>
      <c r="E24" s="4" t="s">
        <v>598</v>
      </c>
      <c r="F24" s="5"/>
      <c r="G24" s="40">
        <v>340</v>
      </c>
      <c r="H24" s="50">
        <f t="shared" si="3"/>
        <v>240</v>
      </c>
      <c r="I24" s="253"/>
      <c r="J24" s="247">
        <f t="shared" ca="1" si="4"/>
        <v>372</v>
      </c>
      <c r="K24" s="246" t="str">
        <f t="shared" ca="1" si="5"/>
        <v>Sin fecha</v>
      </c>
      <c r="L24" s="4" t="s">
        <v>45</v>
      </c>
      <c r="M24" s="4"/>
      <c r="N24" s="4" t="s">
        <v>48</v>
      </c>
      <c r="O24" s="4" t="s">
        <v>48</v>
      </c>
      <c r="P24" s="35" t="s">
        <v>48</v>
      </c>
      <c r="Q24" s="35" t="s">
        <v>48</v>
      </c>
      <c r="R24" s="35" t="s">
        <v>48</v>
      </c>
      <c r="S24" s="35" t="s">
        <v>48</v>
      </c>
      <c r="T24" s="5">
        <v>100</v>
      </c>
      <c r="U24" s="5" t="s">
        <v>55</v>
      </c>
      <c r="V24" s="4" t="s">
        <v>427</v>
      </c>
    </row>
    <row r="25" spans="1:23" ht="15" hidden="1" customHeight="1">
      <c r="A25" s="1" t="s">
        <v>49</v>
      </c>
      <c r="B25" s="43">
        <v>5219</v>
      </c>
      <c r="C25" s="338" t="s">
        <v>590</v>
      </c>
      <c r="D25" s="4" t="s">
        <v>11</v>
      </c>
      <c r="E25" s="4" t="s">
        <v>598</v>
      </c>
      <c r="F25" s="5"/>
      <c r="G25" s="24">
        <v>70</v>
      </c>
      <c r="H25" s="28">
        <f t="shared" si="3"/>
        <v>70</v>
      </c>
      <c r="I25" s="254"/>
      <c r="J25" s="247">
        <f t="shared" ca="1" si="4"/>
        <v>372</v>
      </c>
      <c r="K25" s="246" t="str">
        <f t="shared" ca="1" si="5"/>
        <v>Sin fecha</v>
      </c>
      <c r="L25" s="633" t="s">
        <v>45</v>
      </c>
      <c r="M25" s="633"/>
      <c r="N25" s="633" t="s">
        <v>48</v>
      </c>
      <c r="O25" s="4" t="s">
        <v>48</v>
      </c>
      <c r="P25" s="35" t="s">
        <v>48</v>
      </c>
      <c r="Q25" s="35" t="s">
        <v>48</v>
      </c>
      <c r="R25" s="35" t="s">
        <v>48</v>
      </c>
      <c r="S25" s="35" t="s">
        <v>48</v>
      </c>
      <c r="T25" s="5"/>
      <c r="U25" s="5" t="s">
        <v>55</v>
      </c>
      <c r="V25" s="4" t="s">
        <v>427</v>
      </c>
    </row>
    <row r="26" spans="1:23" ht="15" hidden="1" customHeight="1">
      <c r="A26" s="1" t="s">
        <v>49</v>
      </c>
      <c r="B26" s="43">
        <v>5220</v>
      </c>
      <c r="C26" s="338" t="s">
        <v>587</v>
      </c>
      <c r="D26" s="4" t="s">
        <v>111</v>
      </c>
      <c r="E26" s="15" t="s">
        <v>22</v>
      </c>
      <c r="F26" s="348"/>
      <c r="G26" s="25">
        <v>200</v>
      </c>
      <c r="H26" s="577">
        <f t="shared" si="3"/>
        <v>-35</v>
      </c>
      <c r="I26" s="254" t="s">
        <v>588</v>
      </c>
      <c r="J26" s="247">
        <f t="shared" ca="1" si="4"/>
        <v>367</v>
      </c>
      <c r="K26" s="246">
        <f t="shared" ca="1" si="5"/>
        <v>-330</v>
      </c>
      <c r="L26" s="633" t="s">
        <v>47</v>
      </c>
      <c r="M26" s="636"/>
      <c r="N26" s="633" t="s">
        <v>69</v>
      </c>
      <c r="O26" s="4" t="s">
        <v>69</v>
      </c>
      <c r="P26" s="4"/>
      <c r="Q26" s="4"/>
      <c r="R26" s="4"/>
      <c r="S26" s="4"/>
      <c r="T26" s="5">
        <f>6+48+18+51+9+54+6+43</f>
        <v>235</v>
      </c>
      <c r="U26" s="5" t="s">
        <v>55</v>
      </c>
      <c r="V26" s="4" t="s">
        <v>711</v>
      </c>
      <c r="W26" s="1">
        <v>123</v>
      </c>
    </row>
    <row r="27" spans="1:23" ht="15" hidden="1" customHeight="1">
      <c r="A27" s="1" t="s">
        <v>49</v>
      </c>
      <c r="B27" s="43">
        <v>5220</v>
      </c>
      <c r="C27" s="338" t="s">
        <v>587</v>
      </c>
      <c r="D27" s="4" t="s">
        <v>111</v>
      </c>
      <c r="E27" s="15" t="s">
        <v>31</v>
      </c>
      <c r="F27" s="348"/>
      <c r="G27" s="25">
        <v>100</v>
      </c>
      <c r="H27" s="577">
        <f t="shared" si="3"/>
        <v>-40</v>
      </c>
      <c r="I27" s="254" t="s">
        <v>588</v>
      </c>
      <c r="J27" s="247">
        <f t="shared" ca="1" si="4"/>
        <v>367</v>
      </c>
      <c r="K27" s="246">
        <f t="shared" ca="1" si="5"/>
        <v>-330</v>
      </c>
      <c r="L27" s="633" t="s">
        <v>47</v>
      </c>
      <c r="M27" s="633"/>
      <c r="N27" s="633" t="s">
        <v>69</v>
      </c>
      <c r="O27" s="4" t="s">
        <v>69</v>
      </c>
      <c r="P27" s="4"/>
      <c r="Q27" s="4"/>
      <c r="R27" s="4"/>
      <c r="S27" s="4"/>
      <c r="T27" s="5">
        <f>50+6+84</f>
        <v>140</v>
      </c>
      <c r="U27" s="5" t="s">
        <v>55</v>
      </c>
      <c r="V27" s="4" t="s">
        <v>775</v>
      </c>
      <c r="W27" s="1">
        <v>50</v>
      </c>
    </row>
    <row r="28" spans="1:23" ht="15" hidden="1" customHeight="1">
      <c r="A28" s="4" t="s">
        <v>49</v>
      </c>
      <c r="B28" s="43">
        <v>5220</v>
      </c>
      <c r="C28" s="338" t="s">
        <v>587</v>
      </c>
      <c r="D28" s="4" t="s">
        <v>111</v>
      </c>
      <c r="E28" s="15" t="s">
        <v>87</v>
      </c>
      <c r="F28" s="348"/>
      <c r="G28" s="46">
        <v>100</v>
      </c>
      <c r="H28" s="580">
        <f t="shared" si="3"/>
        <v>-45</v>
      </c>
      <c r="I28" s="292" t="s">
        <v>588</v>
      </c>
      <c r="J28" s="247">
        <f t="shared" ca="1" si="4"/>
        <v>367</v>
      </c>
      <c r="K28" s="246">
        <f t="shared" ca="1" si="5"/>
        <v>-330</v>
      </c>
      <c r="L28" s="4" t="s">
        <v>47</v>
      </c>
      <c r="M28" s="4"/>
      <c r="N28" s="4" t="s">
        <v>69</v>
      </c>
      <c r="O28" s="4" t="s">
        <v>69</v>
      </c>
      <c r="P28" s="4"/>
      <c r="Q28" s="4"/>
      <c r="R28" s="4"/>
      <c r="S28" s="4"/>
      <c r="T28" s="5">
        <f>50+83+12</f>
        <v>145</v>
      </c>
      <c r="U28" s="5" t="s">
        <v>55</v>
      </c>
      <c r="V28" s="4" t="s">
        <v>775</v>
      </c>
      <c r="W28" s="1">
        <v>50</v>
      </c>
    </row>
    <row r="29" spans="1:23" ht="15" hidden="1" customHeight="1">
      <c r="A29" s="4" t="s">
        <v>49</v>
      </c>
      <c r="B29" s="43">
        <v>5220</v>
      </c>
      <c r="C29" s="338" t="s">
        <v>587</v>
      </c>
      <c r="D29" s="4" t="s">
        <v>111</v>
      </c>
      <c r="E29" s="15" t="s">
        <v>264</v>
      </c>
      <c r="F29" s="348"/>
      <c r="G29" s="46">
        <v>200</v>
      </c>
      <c r="H29" s="579">
        <f t="shared" si="3"/>
        <v>-24</v>
      </c>
      <c r="I29" s="297" t="s">
        <v>588</v>
      </c>
      <c r="J29" s="247">
        <f t="shared" ca="1" si="4"/>
        <v>367</v>
      </c>
      <c r="K29" s="246">
        <f t="shared" ca="1" si="5"/>
        <v>-330</v>
      </c>
      <c r="L29" s="4" t="s">
        <v>47</v>
      </c>
      <c r="M29" s="633"/>
      <c r="N29" s="633" t="s">
        <v>69</v>
      </c>
      <c r="O29" s="4" t="s">
        <v>48</v>
      </c>
      <c r="P29" s="4"/>
      <c r="Q29" s="4"/>
      <c r="R29" s="4"/>
      <c r="S29" s="4"/>
      <c r="T29" s="5">
        <f>21+29+30+70+12+62</f>
        <v>224</v>
      </c>
      <c r="U29" s="5" t="s">
        <v>55</v>
      </c>
      <c r="V29" s="4" t="s">
        <v>711</v>
      </c>
      <c r="W29" s="1">
        <v>150</v>
      </c>
    </row>
    <row r="30" spans="1:23" ht="15" hidden="1" customHeight="1">
      <c r="A30" s="1" t="s">
        <v>49</v>
      </c>
      <c r="B30" s="43">
        <v>5222</v>
      </c>
      <c r="C30" s="338" t="s">
        <v>583</v>
      </c>
      <c r="D30" s="369" t="s">
        <v>13</v>
      </c>
      <c r="E30" s="257" t="s">
        <v>41</v>
      </c>
      <c r="F30" s="5"/>
      <c r="G30" s="24">
        <f>316+11</f>
        <v>327</v>
      </c>
      <c r="H30" s="577">
        <f t="shared" si="3"/>
        <v>0</v>
      </c>
      <c r="I30" s="254"/>
      <c r="J30" s="247">
        <f t="shared" ca="1" si="4"/>
        <v>366</v>
      </c>
      <c r="K30" s="246" t="str">
        <f t="shared" ca="1" si="5"/>
        <v>Sin fecha</v>
      </c>
      <c r="L30" s="633" t="s">
        <v>47</v>
      </c>
      <c r="M30" s="633"/>
      <c r="N30" s="633" t="s">
        <v>1</v>
      </c>
      <c r="O30" s="638" t="s">
        <v>69</v>
      </c>
      <c r="P30" s="4"/>
      <c r="Q30" s="4"/>
      <c r="R30" s="4"/>
      <c r="S30" s="4"/>
      <c r="T30" s="5">
        <f>170+157</f>
        <v>327</v>
      </c>
      <c r="U30" s="5" t="s">
        <v>55</v>
      </c>
      <c r="V30" s="4" t="s">
        <v>775</v>
      </c>
    </row>
    <row r="31" spans="1:23" ht="15" hidden="1" customHeight="1">
      <c r="A31" s="1" t="s">
        <v>49</v>
      </c>
      <c r="B31" s="43">
        <v>5284</v>
      </c>
      <c r="C31" s="338">
        <v>42321</v>
      </c>
      <c r="D31" s="4" t="s">
        <v>111</v>
      </c>
      <c r="E31" s="15" t="s">
        <v>75</v>
      </c>
      <c r="F31" s="786">
        <v>300</v>
      </c>
      <c r="G31" s="40">
        <v>300</v>
      </c>
      <c r="H31" s="614">
        <f t="shared" si="3"/>
        <v>100</v>
      </c>
      <c r="I31" s="292"/>
      <c r="J31" s="621"/>
      <c r="K31" s="621"/>
      <c r="L31" s="4" t="s">
        <v>47</v>
      </c>
      <c r="M31" s="4"/>
      <c r="N31" s="4" t="s">
        <v>69</v>
      </c>
      <c r="O31" s="4" t="s">
        <v>48</v>
      </c>
      <c r="P31" s="4"/>
      <c r="Q31" s="4"/>
      <c r="R31" s="4"/>
      <c r="S31" s="4"/>
      <c r="T31" s="5">
        <f>24+176</f>
        <v>200</v>
      </c>
      <c r="U31" s="5" t="s">
        <v>55</v>
      </c>
      <c r="V31" s="43" t="s">
        <v>959</v>
      </c>
    </row>
    <row r="32" spans="1:23" ht="15" hidden="1" customHeight="1">
      <c r="A32" s="4" t="s">
        <v>49</v>
      </c>
      <c r="B32" s="43">
        <v>5284</v>
      </c>
      <c r="C32" s="338">
        <v>42321</v>
      </c>
      <c r="D32" s="4" t="s">
        <v>111</v>
      </c>
      <c r="E32" s="15" t="s">
        <v>41</v>
      </c>
      <c r="F32" s="786">
        <v>250</v>
      </c>
      <c r="G32" s="40">
        <v>250</v>
      </c>
      <c r="H32" s="790">
        <f t="shared" si="3"/>
        <v>244</v>
      </c>
      <c r="I32" s="297"/>
      <c r="J32" s="621"/>
      <c r="K32" s="621"/>
      <c r="L32" s="4" t="s">
        <v>47</v>
      </c>
      <c r="M32" s="4"/>
      <c r="N32" s="4" t="s">
        <v>69</v>
      </c>
      <c r="O32" s="4" t="s">
        <v>69</v>
      </c>
      <c r="P32" s="4"/>
      <c r="Q32" s="4"/>
      <c r="R32" s="4"/>
      <c r="S32" s="4"/>
      <c r="T32" s="5">
        <v>6</v>
      </c>
      <c r="U32" s="5" t="s">
        <v>55</v>
      </c>
      <c r="V32" s="43" t="s">
        <v>959</v>
      </c>
    </row>
    <row r="33" spans="1:23" ht="15" hidden="1" customHeight="1">
      <c r="A33" s="1" t="s">
        <v>636</v>
      </c>
      <c r="B33" s="11">
        <v>5160</v>
      </c>
      <c r="C33" s="278">
        <v>42046</v>
      </c>
      <c r="D33" s="11" t="s">
        <v>21</v>
      </c>
      <c r="E33" s="11" t="s">
        <v>22</v>
      </c>
      <c r="F33" s="12"/>
      <c r="G33" s="48">
        <v>220</v>
      </c>
      <c r="H33" s="13">
        <f t="shared" si="3"/>
        <v>0</v>
      </c>
      <c r="I33" s="945"/>
      <c r="J33" s="247">
        <f ca="1">TODAY()-C33</f>
        <v>499</v>
      </c>
      <c r="K33" s="246" t="str">
        <f ca="1">IF(I33="","Sin fecha",((I33-TODAY())))</f>
        <v>Sin fecha</v>
      </c>
      <c r="L33" s="948" t="s">
        <v>47</v>
      </c>
      <c r="M33" s="948"/>
      <c r="N33" s="948"/>
      <c r="O33" s="26" t="s">
        <v>48</v>
      </c>
      <c r="P33" s="14"/>
      <c r="Q33" s="14"/>
      <c r="R33" s="14"/>
      <c r="S33" s="14"/>
      <c r="T33" s="12">
        <v>220</v>
      </c>
      <c r="U33" s="5" t="s">
        <v>55</v>
      </c>
      <c r="V33" s="4" t="s">
        <v>60</v>
      </c>
      <c r="W33" s="33"/>
    </row>
    <row r="34" spans="1:23" ht="15" hidden="1" customHeight="1">
      <c r="A34" s="344" t="s">
        <v>636</v>
      </c>
      <c r="B34" s="2">
        <v>5239</v>
      </c>
      <c r="C34" s="338" t="s">
        <v>647</v>
      </c>
      <c r="D34" s="15" t="s">
        <v>13</v>
      </c>
      <c r="E34" s="63" t="s">
        <v>41</v>
      </c>
      <c r="F34" s="59"/>
      <c r="G34" s="578">
        <v>310</v>
      </c>
      <c r="H34" s="582">
        <f t="shared" si="3"/>
        <v>0</v>
      </c>
      <c r="I34" s="292"/>
      <c r="J34" s="621">
        <f ca="1">TODAY()-C34</f>
        <v>338</v>
      </c>
      <c r="K34" s="246" t="str">
        <f ca="1">IF(I34="","Sin fecha",((I34-TODAY())))</f>
        <v>Sin fecha</v>
      </c>
      <c r="L34" s="4" t="s">
        <v>47</v>
      </c>
      <c r="M34" s="4"/>
      <c r="N34" s="4" t="s">
        <v>1</v>
      </c>
      <c r="O34" s="4" t="s">
        <v>69</v>
      </c>
      <c r="P34" s="35" t="s">
        <v>48</v>
      </c>
      <c r="Q34" s="35" t="s">
        <v>48</v>
      </c>
      <c r="R34" s="35" t="s">
        <v>48</v>
      </c>
      <c r="S34" s="35" t="s">
        <v>48</v>
      </c>
      <c r="T34" s="5">
        <f>122+43+7+138</f>
        <v>310</v>
      </c>
      <c r="U34" s="5" t="s">
        <v>55</v>
      </c>
      <c r="V34" s="43" t="s">
        <v>776</v>
      </c>
    </row>
    <row r="35" spans="1:23" ht="15" hidden="1" customHeight="1">
      <c r="A35" s="4" t="s">
        <v>636</v>
      </c>
      <c r="B35" s="2">
        <v>5160</v>
      </c>
      <c r="C35" s="278">
        <v>42046</v>
      </c>
      <c r="D35" s="2" t="s">
        <v>21</v>
      </c>
      <c r="E35" s="2" t="s">
        <v>20</v>
      </c>
      <c r="F35" s="3"/>
      <c r="G35" s="46">
        <v>300</v>
      </c>
      <c r="H35" s="51">
        <f t="shared" si="3"/>
        <v>0</v>
      </c>
      <c r="I35" s="51"/>
      <c r="J35" s="247">
        <f ca="1">TODAY()-C35</f>
        <v>499</v>
      </c>
      <c r="K35" s="246" t="str">
        <f ca="1">IF(I35="","Sin fecha",((I35-TODAY())))</f>
        <v>Sin fecha</v>
      </c>
      <c r="L35" s="2" t="s">
        <v>47</v>
      </c>
      <c r="M35" s="2"/>
      <c r="N35" s="2"/>
      <c r="O35" s="2" t="s">
        <v>48</v>
      </c>
      <c r="P35" s="4"/>
      <c r="Q35" s="4"/>
      <c r="R35" s="4"/>
      <c r="S35" s="4"/>
      <c r="T35" s="5">
        <v>300</v>
      </c>
      <c r="U35" s="5" t="s">
        <v>55</v>
      </c>
      <c r="V35" s="4" t="s">
        <v>60</v>
      </c>
      <c r="W35" s="33"/>
    </row>
    <row r="36" spans="1:23" ht="15" hidden="1" customHeight="1">
      <c r="A36" s="4" t="s">
        <v>49</v>
      </c>
      <c r="B36" s="43">
        <v>5284</v>
      </c>
      <c r="C36" s="338">
        <v>42321</v>
      </c>
      <c r="D36" s="4" t="s">
        <v>111</v>
      </c>
      <c r="E36" s="15" t="s">
        <v>264</v>
      </c>
      <c r="F36" s="786">
        <v>150</v>
      </c>
      <c r="G36" s="24">
        <v>150</v>
      </c>
      <c r="H36" s="350">
        <f t="shared" si="3"/>
        <v>-51</v>
      </c>
      <c r="I36" s="254"/>
      <c r="J36" s="621"/>
      <c r="K36" s="621"/>
      <c r="L36" s="633" t="s">
        <v>47</v>
      </c>
      <c r="M36" s="633"/>
      <c r="N36" s="633" t="s">
        <v>69</v>
      </c>
      <c r="O36" s="633" t="s">
        <v>48</v>
      </c>
      <c r="P36" s="4"/>
      <c r="Q36" s="4"/>
      <c r="R36" s="4"/>
      <c r="S36" s="4"/>
      <c r="T36" s="5">
        <f>5+190+6</f>
        <v>201</v>
      </c>
      <c r="U36" s="5" t="s">
        <v>55</v>
      </c>
      <c r="V36" s="43" t="s">
        <v>926</v>
      </c>
    </row>
    <row r="37" spans="1:23" ht="15" hidden="1" customHeight="1">
      <c r="A37" s="15" t="s">
        <v>636</v>
      </c>
      <c r="B37" s="2">
        <v>5242</v>
      </c>
      <c r="C37" s="440">
        <v>42229</v>
      </c>
      <c r="D37" s="15" t="s">
        <v>24</v>
      </c>
      <c r="E37" s="63" t="s">
        <v>35</v>
      </c>
      <c r="F37" s="59"/>
      <c r="G37" s="608">
        <v>700</v>
      </c>
      <c r="H37" s="578">
        <f t="shared" si="3"/>
        <v>500</v>
      </c>
      <c r="I37" s="254"/>
      <c r="J37" s="621">
        <f ca="1">TODAY()-C37</f>
        <v>316</v>
      </c>
      <c r="K37" s="246" t="e">
        <f ca="1">IF(#REF!="","Sin fecha",((#REF!-TODAY())))</f>
        <v>#REF!</v>
      </c>
      <c r="L37" s="633" t="s">
        <v>47</v>
      </c>
      <c r="M37" s="633"/>
      <c r="N37" s="633" t="s">
        <v>48</v>
      </c>
      <c r="O37" s="633" t="s">
        <v>48</v>
      </c>
      <c r="P37" s="4"/>
      <c r="Q37" s="4"/>
      <c r="R37" s="4"/>
      <c r="S37" s="4"/>
      <c r="T37" s="5">
        <v>200</v>
      </c>
      <c r="U37" s="5" t="s">
        <v>55</v>
      </c>
      <c r="V37" s="43" t="s">
        <v>679</v>
      </c>
      <c r="W37" s="1">
        <v>200</v>
      </c>
    </row>
    <row r="38" spans="1:23" ht="15" hidden="1" customHeight="1">
      <c r="A38" s="304" t="s">
        <v>636</v>
      </c>
      <c r="B38" s="301">
        <v>5244</v>
      </c>
      <c r="C38" s="591">
        <v>42228</v>
      </c>
      <c r="D38" s="304" t="s">
        <v>13</v>
      </c>
      <c r="E38" s="456" t="s">
        <v>22</v>
      </c>
      <c r="F38" s="59"/>
      <c r="G38" s="691">
        <v>300</v>
      </c>
      <c r="H38" s="674">
        <f t="shared" si="3"/>
        <v>13</v>
      </c>
      <c r="I38" s="458">
        <v>42240</v>
      </c>
      <c r="J38" s="621">
        <f ca="1">TODAY()-C38</f>
        <v>317</v>
      </c>
      <c r="K38" s="246" t="e">
        <f ca="1">IF(#REF!="","Sin fecha",((#REF!-TODAY())))</f>
        <v>#REF!</v>
      </c>
      <c r="L38" s="637" t="s">
        <v>47</v>
      </c>
      <c r="M38" s="637"/>
      <c r="N38" s="637" t="s">
        <v>1</v>
      </c>
      <c r="O38" s="284" t="s">
        <v>69</v>
      </c>
      <c r="P38" s="4" t="s">
        <v>55</v>
      </c>
      <c r="Q38" s="35" t="s">
        <v>48</v>
      </c>
      <c r="R38" s="35" t="s">
        <v>48</v>
      </c>
      <c r="S38" s="35" t="s">
        <v>48</v>
      </c>
      <c r="T38" s="290">
        <f>267+20</f>
        <v>287</v>
      </c>
      <c r="U38" s="290" t="s">
        <v>55</v>
      </c>
      <c r="V38" s="285" t="s">
        <v>711</v>
      </c>
    </row>
    <row r="39" spans="1:23" ht="15" hidden="1" customHeight="1">
      <c r="A39" s="4" t="s">
        <v>453</v>
      </c>
      <c r="B39" s="43" t="s">
        <v>420</v>
      </c>
      <c r="C39" s="278">
        <v>42122</v>
      </c>
      <c r="D39" s="2" t="s">
        <v>111</v>
      </c>
      <c r="E39" s="15" t="s">
        <v>440</v>
      </c>
      <c r="F39" s="682"/>
      <c r="G39" s="40">
        <v>1</v>
      </c>
      <c r="H39" s="675">
        <f t="shared" si="3"/>
        <v>1</v>
      </c>
      <c r="I39" s="253"/>
      <c r="J39" s="247">
        <f ca="1">TODAY()-C39</f>
        <v>423</v>
      </c>
      <c r="K39" s="657" t="str">
        <f ca="1">IF(I39="","Sin fecha",((I39-TODAY())))</f>
        <v>Sin fecha</v>
      </c>
      <c r="L39" s="2" t="s">
        <v>47</v>
      </c>
      <c r="M39" s="4"/>
      <c r="N39" s="4" t="s">
        <v>69</v>
      </c>
      <c r="O39" s="4" t="s">
        <v>69</v>
      </c>
      <c r="P39" s="633"/>
      <c r="Q39" s="35" t="s">
        <v>48</v>
      </c>
      <c r="R39" s="4"/>
      <c r="S39" s="660"/>
      <c r="T39" s="5"/>
      <c r="U39" s="5" t="s">
        <v>55</v>
      </c>
      <c r="V39" s="43" t="s">
        <v>959</v>
      </c>
    </row>
    <row r="40" spans="1:23" ht="15" hidden="1" customHeight="1">
      <c r="A40" s="4" t="s">
        <v>453</v>
      </c>
      <c r="B40" s="43" t="s">
        <v>420</v>
      </c>
      <c r="C40" s="278">
        <v>42122</v>
      </c>
      <c r="D40" s="2" t="s">
        <v>111</v>
      </c>
      <c r="E40" s="15" t="s">
        <v>31</v>
      </c>
      <c r="F40" s="682"/>
      <c r="G40" s="40">
        <v>1</v>
      </c>
      <c r="H40" s="350">
        <f t="shared" si="3"/>
        <v>1</v>
      </c>
      <c r="I40" s="252"/>
      <c r="J40" s="247">
        <f ca="1">TODAY()-C40</f>
        <v>423</v>
      </c>
      <c r="K40" s="657" t="str">
        <f ca="1">IF(I40="","Sin fecha",((I40-TODAY())))</f>
        <v>Sin fecha</v>
      </c>
      <c r="L40" s="2" t="s">
        <v>47</v>
      </c>
      <c r="M40" s="4"/>
      <c r="N40" s="2" t="s">
        <v>69</v>
      </c>
      <c r="O40" s="2" t="s">
        <v>69</v>
      </c>
      <c r="P40" s="684"/>
      <c r="Q40" s="35" t="s">
        <v>48</v>
      </c>
      <c r="R40" s="15"/>
      <c r="S40" s="676"/>
      <c r="T40" s="5"/>
      <c r="U40" s="5" t="s">
        <v>55</v>
      </c>
      <c r="V40" s="43" t="s">
        <v>959</v>
      </c>
    </row>
    <row r="41" spans="1:23" ht="15" hidden="1" customHeight="1">
      <c r="A41" s="4" t="s">
        <v>453</v>
      </c>
      <c r="B41" s="2" t="s">
        <v>420</v>
      </c>
      <c r="C41" s="278">
        <v>42122</v>
      </c>
      <c r="D41" s="2" t="s">
        <v>111</v>
      </c>
      <c r="E41" s="15" t="s">
        <v>29</v>
      </c>
      <c r="F41" s="683"/>
      <c r="G41" s="40">
        <v>1</v>
      </c>
      <c r="H41" s="350">
        <f t="shared" si="3"/>
        <v>1</v>
      </c>
      <c r="I41" s="252"/>
      <c r="J41" s="247">
        <f ca="1">TODAY()-C41</f>
        <v>423</v>
      </c>
      <c r="K41" s="657" t="str">
        <f ca="1">IF(I41="","Sin fecha",((I41-TODAY())))</f>
        <v>Sin fecha</v>
      </c>
      <c r="L41" s="2" t="s">
        <v>47</v>
      </c>
      <c r="M41" s="4"/>
      <c r="N41" s="2" t="s">
        <v>48</v>
      </c>
      <c r="O41" s="2" t="s">
        <v>48</v>
      </c>
      <c r="P41" s="685" t="s">
        <v>48</v>
      </c>
      <c r="Q41" s="289" t="s">
        <v>48</v>
      </c>
      <c r="R41" s="289" t="s">
        <v>48</v>
      </c>
      <c r="S41" s="679" t="s">
        <v>48</v>
      </c>
      <c r="T41" s="5"/>
      <c r="U41" s="5" t="s">
        <v>55</v>
      </c>
      <c r="V41" s="43" t="s">
        <v>959</v>
      </c>
    </row>
    <row r="42" spans="1:23" ht="15" hidden="1" customHeight="1">
      <c r="A42" s="211" t="s">
        <v>49</v>
      </c>
      <c r="B42" s="291">
        <v>5284</v>
      </c>
      <c r="C42" s="469">
        <v>42321</v>
      </c>
      <c r="D42" s="211" t="s">
        <v>111</v>
      </c>
      <c r="E42" s="194" t="s">
        <v>899</v>
      </c>
      <c r="F42" s="786">
        <v>100</v>
      </c>
      <c r="G42" s="208">
        <v>100</v>
      </c>
      <c r="H42" s="614">
        <f t="shared" si="3"/>
        <v>97</v>
      </c>
      <c r="I42" s="292"/>
      <c r="J42" s="783"/>
      <c r="K42" s="783"/>
      <c r="L42" s="211" t="s">
        <v>47</v>
      </c>
      <c r="M42" s="211"/>
      <c r="N42" s="211" t="s">
        <v>69</v>
      </c>
      <c r="O42" s="211" t="s">
        <v>69</v>
      </c>
      <c r="P42" s="4"/>
      <c r="Q42" s="4"/>
      <c r="R42" s="4"/>
      <c r="S42" s="4"/>
      <c r="T42" s="210">
        <v>3</v>
      </c>
      <c r="U42" s="210" t="s">
        <v>55</v>
      </c>
      <c r="V42" s="43" t="s">
        <v>959</v>
      </c>
    </row>
    <row r="43" spans="1:23" ht="15" hidden="1" customHeight="1">
      <c r="A43" s="1" t="s">
        <v>49</v>
      </c>
      <c r="B43" s="291">
        <v>5284</v>
      </c>
      <c r="C43" s="469">
        <v>42321</v>
      </c>
      <c r="D43" s="211" t="s">
        <v>111</v>
      </c>
      <c r="E43" s="194" t="s">
        <v>40</v>
      </c>
      <c r="F43" s="787">
        <v>100</v>
      </c>
      <c r="G43" s="693">
        <v>100</v>
      </c>
      <c r="H43" s="580">
        <f t="shared" si="3"/>
        <v>100</v>
      </c>
      <c r="I43" s="625"/>
      <c r="J43" s="631"/>
      <c r="K43" s="631"/>
      <c r="L43" s="321" t="s">
        <v>45</v>
      </c>
      <c r="M43" s="321"/>
      <c r="N43" s="321" t="s">
        <v>69</v>
      </c>
      <c r="O43" s="321" t="s">
        <v>69</v>
      </c>
      <c r="P43" s="211"/>
      <c r="Q43" s="211"/>
      <c r="R43" s="211"/>
      <c r="S43" s="211"/>
      <c r="T43" s="210"/>
      <c r="U43" s="210" t="s">
        <v>55</v>
      </c>
      <c r="V43" s="43" t="s">
        <v>959</v>
      </c>
    </row>
    <row r="44" spans="1:23" ht="15" hidden="1" customHeight="1">
      <c r="A44" s="15" t="s">
        <v>636</v>
      </c>
      <c r="B44" s="43">
        <v>5254</v>
      </c>
      <c r="C44" s="338">
        <v>42250</v>
      </c>
      <c r="D44" s="211" t="s">
        <v>3</v>
      </c>
      <c r="E44" s="4" t="s">
        <v>699</v>
      </c>
      <c r="F44" s="5"/>
      <c r="G44" s="24">
        <v>400</v>
      </c>
      <c r="H44" s="577">
        <f t="shared" si="3"/>
        <v>400</v>
      </c>
      <c r="I44" s="254">
        <v>42280</v>
      </c>
      <c r="J44" s="621">
        <f t="shared" ref="J44:J55" ca="1" si="6">TODAY()-C44</f>
        <v>295</v>
      </c>
      <c r="K44" s="246" t="e">
        <f ca="1">IF(#REF!="","Sin fecha",((#REF!-TODAY())))</f>
        <v>#REF!</v>
      </c>
      <c r="L44" s="633" t="s">
        <v>45</v>
      </c>
      <c r="M44" s="633"/>
      <c r="N44" s="633" t="s">
        <v>48</v>
      </c>
      <c r="O44" s="633" t="s">
        <v>48</v>
      </c>
      <c r="P44" s="35" t="s">
        <v>48</v>
      </c>
      <c r="Q44" s="35" t="s">
        <v>48</v>
      </c>
      <c r="R44" s="35" t="s">
        <v>48</v>
      </c>
      <c r="S44" s="35" t="s">
        <v>48</v>
      </c>
      <c r="T44" s="5"/>
      <c r="U44" s="5" t="s">
        <v>55</v>
      </c>
      <c r="V44" s="43" t="s">
        <v>679</v>
      </c>
    </row>
    <row r="45" spans="1:23" ht="15" hidden="1" customHeight="1">
      <c r="A45" s="15" t="s">
        <v>636</v>
      </c>
      <c r="B45" s="43">
        <v>5254</v>
      </c>
      <c r="C45" s="338">
        <v>42250</v>
      </c>
      <c r="D45" s="211" t="s">
        <v>3</v>
      </c>
      <c r="E45" s="4" t="s">
        <v>716</v>
      </c>
      <c r="F45" s="5"/>
      <c r="G45" s="24">
        <v>800</v>
      </c>
      <c r="H45" s="577">
        <f t="shared" si="3"/>
        <v>800</v>
      </c>
      <c r="I45" s="254">
        <v>42280</v>
      </c>
      <c r="J45" s="621">
        <f t="shared" ca="1" si="6"/>
        <v>295</v>
      </c>
      <c r="K45" s="246" t="e">
        <f ca="1">IF(#REF!="","Sin fecha",((#REF!-TODAY())))</f>
        <v>#REF!</v>
      </c>
      <c r="L45" s="633" t="s">
        <v>45</v>
      </c>
      <c r="M45" s="633"/>
      <c r="N45" s="633" t="s">
        <v>48</v>
      </c>
      <c r="O45" s="633" t="s">
        <v>48</v>
      </c>
      <c r="P45" s="35" t="s">
        <v>48</v>
      </c>
      <c r="Q45" s="35" t="s">
        <v>48</v>
      </c>
      <c r="R45" s="35" t="s">
        <v>48</v>
      </c>
      <c r="S45" s="35" t="s">
        <v>48</v>
      </c>
      <c r="T45" s="5"/>
      <c r="U45" s="5" t="s">
        <v>55</v>
      </c>
      <c r="V45" s="43" t="s">
        <v>679</v>
      </c>
    </row>
    <row r="46" spans="1:23" ht="15" hidden="1" customHeight="1">
      <c r="A46" s="15" t="s">
        <v>636</v>
      </c>
      <c r="B46" s="2">
        <v>5251</v>
      </c>
      <c r="C46" s="338">
        <v>42256</v>
      </c>
      <c r="D46" s="194" t="s">
        <v>13</v>
      </c>
      <c r="E46" s="63" t="s">
        <v>36</v>
      </c>
      <c r="F46" s="59"/>
      <c r="G46" s="605">
        <v>298</v>
      </c>
      <c r="H46" s="577">
        <f t="shared" si="3"/>
        <v>0</v>
      </c>
      <c r="I46" s="254"/>
      <c r="J46" s="621">
        <f t="shared" ca="1" si="6"/>
        <v>289</v>
      </c>
      <c r="K46" s="246" t="e">
        <f ca="1">IF(#REF!="","Sin fecha",((#REF!-TODAY())))</f>
        <v>#REF!</v>
      </c>
      <c r="L46" s="633" t="s">
        <v>47</v>
      </c>
      <c r="M46" s="633"/>
      <c r="N46" s="633" t="s">
        <v>1</v>
      </c>
      <c r="O46" s="633" t="s">
        <v>48</v>
      </c>
      <c r="P46" s="35" t="s">
        <v>48</v>
      </c>
      <c r="Q46" s="35" t="s">
        <v>48</v>
      </c>
      <c r="R46" s="35" t="s">
        <v>48</v>
      </c>
      <c r="S46" s="35" t="s">
        <v>48</v>
      </c>
      <c r="T46" s="5">
        <f>277+21</f>
        <v>298</v>
      </c>
      <c r="U46" s="5" t="s">
        <v>55</v>
      </c>
      <c r="V46" s="43" t="s">
        <v>711</v>
      </c>
    </row>
    <row r="47" spans="1:23" ht="15" hidden="1" customHeight="1">
      <c r="A47" s="15" t="s">
        <v>636</v>
      </c>
      <c r="B47" s="2">
        <v>5251</v>
      </c>
      <c r="C47" s="338">
        <v>42256</v>
      </c>
      <c r="D47" s="194" t="s">
        <v>13</v>
      </c>
      <c r="E47" s="63" t="s">
        <v>59</v>
      </c>
      <c r="F47" s="59"/>
      <c r="G47" s="199">
        <v>300</v>
      </c>
      <c r="H47" s="577">
        <f t="shared" si="3"/>
        <v>8</v>
      </c>
      <c r="I47" s="254"/>
      <c r="J47" s="621">
        <f t="shared" ca="1" si="6"/>
        <v>289</v>
      </c>
      <c r="K47" s="246" t="e">
        <f ca="1">IF(#REF!="","Sin fecha",((#REF!-TODAY())))</f>
        <v>#REF!</v>
      </c>
      <c r="L47" s="633" t="s">
        <v>47</v>
      </c>
      <c r="M47" s="633"/>
      <c r="N47" s="633" t="s">
        <v>1</v>
      </c>
      <c r="O47" s="633" t="s">
        <v>1</v>
      </c>
      <c r="P47" s="35" t="s">
        <v>48</v>
      </c>
      <c r="Q47" s="35" t="s">
        <v>48</v>
      </c>
      <c r="R47" s="35" t="s">
        <v>48</v>
      </c>
      <c r="S47" s="35" t="s">
        <v>48</v>
      </c>
      <c r="T47" s="5">
        <v>292</v>
      </c>
      <c r="U47" s="5" t="s">
        <v>55</v>
      </c>
      <c r="V47" s="43" t="s">
        <v>775</v>
      </c>
    </row>
    <row r="48" spans="1:23" ht="15" hidden="1" customHeight="1">
      <c r="A48" s="15" t="s">
        <v>636</v>
      </c>
      <c r="B48" s="2">
        <v>5252</v>
      </c>
      <c r="C48" s="338">
        <v>42257</v>
      </c>
      <c r="D48" s="15" t="s">
        <v>13</v>
      </c>
      <c r="E48" s="63" t="s">
        <v>264</v>
      </c>
      <c r="F48" s="59"/>
      <c r="G48" s="199">
        <v>300</v>
      </c>
      <c r="H48" s="577">
        <f t="shared" si="3"/>
        <v>13</v>
      </c>
      <c r="I48" s="254"/>
      <c r="J48" s="621">
        <f t="shared" ca="1" si="6"/>
        <v>288</v>
      </c>
      <c r="K48" s="246" t="e">
        <f ca="1">IF(#REF!="","Sin fecha",((#REF!-TODAY())))</f>
        <v>#REF!</v>
      </c>
      <c r="L48" s="633" t="s">
        <v>47</v>
      </c>
      <c r="M48" s="633"/>
      <c r="N48" s="633" t="s">
        <v>1</v>
      </c>
      <c r="O48" s="633" t="s">
        <v>48</v>
      </c>
      <c r="P48" s="35" t="s">
        <v>48</v>
      </c>
      <c r="Q48" s="35" t="s">
        <v>48</v>
      </c>
      <c r="R48" s="35" t="s">
        <v>48</v>
      </c>
      <c r="S48" s="35" t="s">
        <v>48</v>
      </c>
      <c r="T48" s="5">
        <f>256+31</f>
        <v>287</v>
      </c>
      <c r="U48" s="5" t="s">
        <v>55</v>
      </c>
      <c r="V48" s="43" t="s">
        <v>711</v>
      </c>
    </row>
    <row r="49" spans="1:22" ht="15" hidden="1" customHeight="1">
      <c r="A49" s="4" t="s">
        <v>636</v>
      </c>
      <c r="B49" s="43">
        <v>5255</v>
      </c>
      <c r="C49" s="338">
        <v>42258</v>
      </c>
      <c r="D49" s="4" t="s">
        <v>111</v>
      </c>
      <c r="E49" s="15" t="s">
        <v>102</v>
      </c>
      <c r="F49" s="5"/>
      <c r="G49" s="24">
        <v>150</v>
      </c>
      <c r="H49" s="577">
        <f t="shared" si="3"/>
        <v>5</v>
      </c>
      <c r="I49" s="253"/>
      <c r="J49" s="247">
        <f t="shared" ca="1" si="6"/>
        <v>287</v>
      </c>
      <c r="K49" s="246" t="str">
        <f t="shared" ref="K49:K55" ca="1" si="7">IF(I49="","Sin fecha",((I49-TODAY())))</f>
        <v>Sin fecha</v>
      </c>
      <c r="L49" s="633" t="s">
        <v>47</v>
      </c>
      <c r="M49" s="633"/>
      <c r="N49" s="633" t="s">
        <v>69</v>
      </c>
      <c r="O49" s="633" t="s">
        <v>69</v>
      </c>
      <c r="P49" s="4" t="s">
        <v>55</v>
      </c>
      <c r="Q49" s="35" t="s">
        <v>48</v>
      </c>
      <c r="R49" s="4" t="s">
        <v>55</v>
      </c>
      <c r="S49" s="4" t="s">
        <v>55</v>
      </c>
      <c r="T49" s="5">
        <v>145</v>
      </c>
      <c r="U49" s="5" t="s">
        <v>55</v>
      </c>
      <c r="V49" s="43" t="s">
        <v>775</v>
      </c>
    </row>
    <row r="50" spans="1:22" ht="15" hidden="1" customHeight="1">
      <c r="A50" s="284" t="s">
        <v>636</v>
      </c>
      <c r="B50" s="285">
        <v>5255</v>
      </c>
      <c r="C50" s="458">
        <v>42258</v>
      </c>
      <c r="D50" s="284" t="s">
        <v>111</v>
      </c>
      <c r="E50" s="304" t="s">
        <v>36</v>
      </c>
      <c r="F50" s="5"/>
      <c r="G50" s="346">
        <v>250</v>
      </c>
      <c r="H50" s="672">
        <f t="shared" si="3"/>
        <v>-126</v>
      </c>
      <c r="I50" s="692"/>
      <c r="J50" s="247">
        <f t="shared" ca="1" si="6"/>
        <v>287</v>
      </c>
      <c r="K50" s="246" t="str">
        <f t="shared" ca="1" si="7"/>
        <v>Sin fecha</v>
      </c>
      <c r="L50" s="637" t="s">
        <v>47</v>
      </c>
      <c r="M50" s="637"/>
      <c r="N50" s="637" t="s">
        <v>69</v>
      </c>
      <c r="O50" s="284" t="s">
        <v>48</v>
      </c>
      <c r="P50" s="4" t="s">
        <v>48</v>
      </c>
      <c r="Q50" s="35" t="s">
        <v>48</v>
      </c>
      <c r="R50" s="4" t="s">
        <v>55</v>
      </c>
      <c r="S50" s="4" t="s">
        <v>55</v>
      </c>
      <c r="T50" s="290">
        <f>+(102-55)+30+9+60+207+23</f>
        <v>376</v>
      </c>
      <c r="U50" s="290" t="s">
        <v>55</v>
      </c>
      <c r="V50" s="285" t="s">
        <v>775</v>
      </c>
    </row>
    <row r="51" spans="1:22" ht="15" hidden="1" customHeight="1">
      <c r="A51" s="4" t="s">
        <v>49</v>
      </c>
      <c r="B51" s="43">
        <v>5255</v>
      </c>
      <c r="C51" s="338">
        <v>42258</v>
      </c>
      <c r="D51" s="4" t="s">
        <v>111</v>
      </c>
      <c r="E51" s="15" t="s">
        <v>76</v>
      </c>
      <c r="F51" s="682"/>
      <c r="G51" s="40">
        <v>100</v>
      </c>
      <c r="H51" s="675">
        <f t="shared" si="3"/>
        <v>-40</v>
      </c>
      <c r="I51" s="253"/>
      <c r="J51" s="247">
        <f t="shared" ca="1" si="6"/>
        <v>287</v>
      </c>
      <c r="K51" s="678" t="str">
        <f t="shared" ca="1" si="7"/>
        <v>Sin fecha</v>
      </c>
      <c r="L51" s="4" t="s">
        <v>47</v>
      </c>
      <c r="M51" s="4"/>
      <c r="N51" s="4" t="s">
        <v>69</v>
      </c>
      <c r="O51" s="4" t="s">
        <v>48</v>
      </c>
      <c r="P51" s="633" t="s">
        <v>48</v>
      </c>
      <c r="Q51" s="35" t="s">
        <v>48</v>
      </c>
      <c r="R51" s="4" t="s">
        <v>55</v>
      </c>
      <c r="S51" s="660" t="s">
        <v>55</v>
      </c>
      <c r="T51" s="5">
        <f>6+9+125</f>
        <v>140</v>
      </c>
      <c r="U51" s="5" t="s">
        <v>55</v>
      </c>
      <c r="V51" s="43" t="s">
        <v>776</v>
      </c>
    </row>
    <row r="52" spans="1:22" ht="15" hidden="1" customHeight="1">
      <c r="A52" s="1" t="s">
        <v>49</v>
      </c>
      <c r="B52" s="308">
        <v>5255</v>
      </c>
      <c r="C52" s="694">
        <v>42258</v>
      </c>
      <c r="D52" s="307" t="s">
        <v>111</v>
      </c>
      <c r="E52" s="445" t="s">
        <v>41</v>
      </c>
      <c r="F52" s="5"/>
      <c r="G52" s="695">
        <v>200</v>
      </c>
      <c r="H52" s="696">
        <f t="shared" si="3"/>
        <v>-45</v>
      </c>
      <c r="I52" s="697"/>
      <c r="J52" s="247">
        <f t="shared" ca="1" si="6"/>
        <v>287</v>
      </c>
      <c r="K52" s="246" t="str">
        <f t="shared" ca="1" si="7"/>
        <v>Sin fecha</v>
      </c>
      <c r="L52" s="698" t="s">
        <v>47</v>
      </c>
      <c r="M52" s="698"/>
      <c r="N52" s="698" t="s">
        <v>69</v>
      </c>
      <c r="O52" s="698" t="s">
        <v>69</v>
      </c>
      <c r="P52" s="4" t="s">
        <v>55</v>
      </c>
      <c r="Q52" s="35" t="s">
        <v>48</v>
      </c>
      <c r="R52" s="4" t="s">
        <v>55</v>
      </c>
      <c r="S52" s="4" t="s">
        <v>55</v>
      </c>
      <c r="T52" s="309">
        <f>3+45+80+6+111</f>
        <v>245</v>
      </c>
      <c r="U52" s="309" t="s">
        <v>55</v>
      </c>
      <c r="V52" s="308" t="s">
        <v>775</v>
      </c>
    </row>
    <row r="53" spans="1:22" ht="15" hidden="1" customHeight="1">
      <c r="A53" s="4" t="s">
        <v>49</v>
      </c>
      <c r="B53" s="43">
        <v>5255</v>
      </c>
      <c r="C53" s="338">
        <v>42258</v>
      </c>
      <c r="D53" s="4" t="s">
        <v>111</v>
      </c>
      <c r="E53" s="15" t="s">
        <v>31</v>
      </c>
      <c r="F53" s="682"/>
      <c r="G53" s="40">
        <v>100</v>
      </c>
      <c r="H53" s="675">
        <f t="shared" si="3"/>
        <v>-53</v>
      </c>
      <c r="I53" s="253"/>
      <c r="J53" s="247">
        <f t="shared" ca="1" si="6"/>
        <v>287</v>
      </c>
      <c r="K53" s="678" t="str">
        <f t="shared" ca="1" si="7"/>
        <v>Sin fecha</v>
      </c>
      <c r="L53" s="4" t="s">
        <v>47</v>
      </c>
      <c r="M53" s="4"/>
      <c r="N53" s="4" t="s">
        <v>69</v>
      </c>
      <c r="O53" s="4" t="s">
        <v>69</v>
      </c>
      <c r="P53" s="633" t="s">
        <v>55</v>
      </c>
      <c r="Q53" s="35" t="s">
        <v>48</v>
      </c>
      <c r="R53" s="4" t="s">
        <v>55</v>
      </c>
      <c r="S53" s="660" t="s">
        <v>55</v>
      </c>
      <c r="T53" s="5">
        <f>3+6+69+75</f>
        <v>153</v>
      </c>
      <c r="U53" s="5" t="s">
        <v>55</v>
      </c>
      <c r="V53" s="43" t="s">
        <v>776</v>
      </c>
    </row>
    <row r="54" spans="1:22" ht="15" hidden="1" customHeight="1">
      <c r="A54" s="4" t="s">
        <v>49</v>
      </c>
      <c r="B54" s="43">
        <v>5255</v>
      </c>
      <c r="C54" s="338">
        <v>42258</v>
      </c>
      <c r="D54" s="4" t="s">
        <v>111</v>
      </c>
      <c r="E54" s="257" t="s">
        <v>264</v>
      </c>
      <c r="F54" s="682"/>
      <c r="G54" s="40">
        <v>150</v>
      </c>
      <c r="H54" s="675">
        <f t="shared" si="3"/>
        <v>-36</v>
      </c>
      <c r="I54" s="253"/>
      <c r="J54" s="247">
        <f t="shared" ca="1" si="6"/>
        <v>287</v>
      </c>
      <c r="K54" s="678" t="str">
        <f t="shared" ca="1" si="7"/>
        <v>Sin fecha</v>
      </c>
      <c r="L54" s="4" t="s">
        <v>47</v>
      </c>
      <c r="M54" s="4"/>
      <c r="N54" s="4" t="s">
        <v>69</v>
      </c>
      <c r="O54" s="4" t="s">
        <v>48</v>
      </c>
      <c r="P54" s="633" t="s">
        <v>55</v>
      </c>
      <c r="Q54" s="35" t="s">
        <v>48</v>
      </c>
      <c r="R54" s="4" t="s">
        <v>55</v>
      </c>
      <c r="S54" s="660" t="s">
        <v>55</v>
      </c>
      <c r="T54" s="5">
        <f>9+105+72</f>
        <v>186</v>
      </c>
      <c r="U54" s="5" t="s">
        <v>55</v>
      </c>
      <c r="V54" s="43" t="s">
        <v>776</v>
      </c>
    </row>
    <row r="55" spans="1:22" ht="15" hidden="1" customHeight="1">
      <c r="A55" s="307" t="s">
        <v>636</v>
      </c>
      <c r="B55" s="308">
        <v>5255</v>
      </c>
      <c r="C55" s="694">
        <v>42258</v>
      </c>
      <c r="D55" s="307" t="s">
        <v>111</v>
      </c>
      <c r="E55" s="699" t="s">
        <v>14</v>
      </c>
      <c r="F55" s="5"/>
      <c r="G55" s="695">
        <v>200</v>
      </c>
      <c r="H55" s="696">
        <f t="shared" si="3"/>
        <v>-41</v>
      </c>
      <c r="I55" s="697"/>
      <c r="J55" s="247">
        <f t="shared" ca="1" si="6"/>
        <v>287</v>
      </c>
      <c r="K55" s="246" t="str">
        <f t="shared" ca="1" si="7"/>
        <v>Sin fecha</v>
      </c>
      <c r="L55" s="698" t="s">
        <v>47</v>
      </c>
      <c r="M55" s="698"/>
      <c r="N55" s="698" t="s">
        <v>69</v>
      </c>
      <c r="O55" s="698" t="s">
        <v>69</v>
      </c>
      <c r="P55" s="4" t="s">
        <v>55</v>
      </c>
      <c r="Q55" s="35" t="s">
        <v>48</v>
      </c>
      <c r="R55" s="4" t="s">
        <v>55</v>
      </c>
      <c r="S55" s="4" t="s">
        <v>55</v>
      </c>
      <c r="T55" s="309">
        <f>8+65+168</f>
        <v>241</v>
      </c>
      <c r="U55" s="309" t="s">
        <v>55</v>
      </c>
      <c r="V55" s="308" t="s">
        <v>775</v>
      </c>
    </row>
    <row r="56" spans="1:22" ht="15" hidden="1" customHeight="1">
      <c r="A56" s="4" t="s">
        <v>49</v>
      </c>
      <c r="B56" s="43">
        <v>5284</v>
      </c>
      <c r="C56" s="338">
        <v>42321</v>
      </c>
      <c r="D56" s="4" t="s">
        <v>111</v>
      </c>
      <c r="E56" s="15" t="s">
        <v>22</v>
      </c>
      <c r="F56" s="788">
        <v>200</v>
      </c>
      <c r="G56" s="40">
        <v>200</v>
      </c>
      <c r="H56" s="675">
        <f t="shared" si="3"/>
        <v>200</v>
      </c>
      <c r="I56" s="253"/>
      <c r="J56" s="621"/>
      <c r="K56" s="792"/>
      <c r="L56" s="4" t="s">
        <v>47</v>
      </c>
      <c r="M56" s="4"/>
      <c r="N56" s="4" t="s">
        <v>69</v>
      </c>
      <c r="O56" s="4" t="s">
        <v>69</v>
      </c>
      <c r="P56" s="633"/>
      <c r="Q56" s="4"/>
      <c r="R56" s="4"/>
      <c r="S56" s="660"/>
      <c r="T56" s="5"/>
      <c r="U56" s="5" t="s">
        <v>55</v>
      </c>
      <c r="V56" s="43" t="s">
        <v>959</v>
      </c>
    </row>
    <row r="57" spans="1:22" ht="15" hidden="1" customHeight="1">
      <c r="A57" s="4" t="s">
        <v>49</v>
      </c>
      <c r="B57" s="43">
        <v>5255</v>
      </c>
      <c r="C57" s="338">
        <v>42258</v>
      </c>
      <c r="D57" s="4" t="s">
        <v>111</v>
      </c>
      <c r="E57" s="4" t="s">
        <v>22</v>
      </c>
      <c r="F57" s="682"/>
      <c r="G57" s="40">
        <v>200</v>
      </c>
      <c r="H57" s="675">
        <f t="shared" si="3"/>
        <v>-33</v>
      </c>
      <c r="I57" s="253"/>
      <c r="J57" s="247">
        <f ca="1">TODAY()-C57</f>
        <v>287</v>
      </c>
      <c r="K57" s="678" t="str">
        <f ca="1">IF(I57="","Sin fecha",((I57-TODAY())))</f>
        <v>Sin fecha</v>
      </c>
      <c r="L57" s="4" t="s">
        <v>47</v>
      </c>
      <c r="M57" s="4"/>
      <c r="N57" s="4" t="s">
        <v>69</v>
      </c>
      <c r="O57" s="4" t="s">
        <v>69</v>
      </c>
      <c r="P57" s="633" t="s">
        <v>55</v>
      </c>
      <c r="Q57" s="35" t="s">
        <v>48</v>
      </c>
      <c r="R57" s="4" t="s">
        <v>55</v>
      </c>
      <c r="S57" s="660" t="s">
        <v>55</v>
      </c>
      <c r="T57" s="5">
        <f>9+128+96</f>
        <v>233</v>
      </c>
      <c r="U57" s="5" t="s">
        <v>55</v>
      </c>
      <c r="V57" s="43" t="s">
        <v>776</v>
      </c>
    </row>
    <row r="58" spans="1:22" ht="15" hidden="1" customHeight="1">
      <c r="A58" s="211" t="s">
        <v>636</v>
      </c>
      <c r="B58" s="291">
        <v>5255</v>
      </c>
      <c r="C58" s="469">
        <v>42258</v>
      </c>
      <c r="D58" s="211" t="s">
        <v>111</v>
      </c>
      <c r="E58" s="211" t="s">
        <v>664</v>
      </c>
      <c r="F58" s="5"/>
      <c r="G58" s="693">
        <v>100</v>
      </c>
      <c r="H58" s="673">
        <f t="shared" si="3"/>
        <v>-115</v>
      </c>
      <c r="I58" s="625"/>
      <c r="J58" s="247">
        <f ca="1">TODAY()-C58</f>
        <v>287</v>
      </c>
      <c r="K58" s="246" t="str">
        <f ca="1">IF(I58="","Sin fecha",((I58-TODAY())))</f>
        <v>Sin fecha</v>
      </c>
      <c r="L58" s="321" t="s">
        <v>47</v>
      </c>
      <c r="M58" s="321"/>
      <c r="N58" s="321" t="s">
        <v>48</v>
      </c>
      <c r="O58" s="321" t="s">
        <v>48</v>
      </c>
      <c r="P58" s="35" t="s">
        <v>48</v>
      </c>
      <c r="Q58" s="35" t="s">
        <v>48</v>
      </c>
      <c r="R58" s="4" t="s">
        <v>48</v>
      </c>
      <c r="S58" s="4" t="s">
        <v>48</v>
      </c>
      <c r="T58" s="210">
        <f>119+96</f>
        <v>215</v>
      </c>
      <c r="U58" s="210" t="s">
        <v>55</v>
      </c>
      <c r="V58" s="291" t="s">
        <v>711</v>
      </c>
    </row>
    <row r="59" spans="1:22" ht="15" hidden="1" customHeight="1">
      <c r="A59" s="4" t="s">
        <v>636</v>
      </c>
      <c r="B59" s="43">
        <v>5255</v>
      </c>
      <c r="C59" s="338">
        <v>42258</v>
      </c>
      <c r="D59" s="4" t="s">
        <v>111</v>
      </c>
      <c r="E59" s="33" t="s">
        <v>714</v>
      </c>
      <c r="F59" s="5"/>
      <c r="G59" s="24">
        <v>100</v>
      </c>
      <c r="H59" s="577">
        <f t="shared" si="3"/>
        <v>-36</v>
      </c>
      <c r="I59" s="254"/>
      <c r="J59" s="247">
        <f ca="1">TODAY()-C59</f>
        <v>287</v>
      </c>
      <c r="K59" s="246" t="str">
        <f ca="1">IF(I59="","Sin fecha",((I59-TODAY())))</f>
        <v>Sin fecha</v>
      </c>
      <c r="L59" s="633" t="s">
        <v>47</v>
      </c>
      <c r="M59" s="633"/>
      <c r="N59" s="633" t="s">
        <v>48</v>
      </c>
      <c r="O59" s="4" t="s">
        <v>48</v>
      </c>
      <c r="P59" s="35" t="s">
        <v>48</v>
      </c>
      <c r="Q59" s="35" t="s">
        <v>48</v>
      </c>
      <c r="R59" s="4" t="s">
        <v>48</v>
      </c>
      <c r="S59" s="4" t="s">
        <v>48</v>
      </c>
      <c r="T59" s="5">
        <v>136</v>
      </c>
      <c r="U59" s="5" t="s">
        <v>55</v>
      </c>
      <c r="V59" s="43" t="s">
        <v>775</v>
      </c>
    </row>
    <row r="60" spans="1:22" ht="15" hidden="1" customHeight="1">
      <c r="A60" s="4" t="s">
        <v>636</v>
      </c>
      <c r="B60" s="43">
        <v>5255</v>
      </c>
      <c r="C60" s="338">
        <v>42258</v>
      </c>
      <c r="D60" s="4" t="s">
        <v>111</v>
      </c>
      <c r="E60" s="4" t="s">
        <v>35</v>
      </c>
      <c r="F60" s="5"/>
      <c r="G60" s="24">
        <v>1600</v>
      </c>
      <c r="H60" s="577">
        <f t="shared" si="3"/>
        <v>-704</v>
      </c>
      <c r="I60" s="254"/>
      <c r="J60" s="247">
        <f ca="1">TODAY()-C60</f>
        <v>287</v>
      </c>
      <c r="K60" s="246" t="str">
        <f ca="1">IF(I60="","Sin fecha",((I60-TODAY())))</f>
        <v>Sin fecha</v>
      </c>
      <c r="L60" s="633" t="s">
        <v>47</v>
      </c>
      <c r="M60" s="633"/>
      <c r="N60" s="633" t="s">
        <v>48</v>
      </c>
      <c r="O60" s="633" t="s">
        <v>48</v>
      </c>
      <c r="P60" s="35" t="s">
        <v>48</v>
      </c>
      <c r="Q60" s="35" t="s">
        <v>48</v>
      </c>
      <c r="R60" s="4" t="s">
        <v>48</v>
      </c>
      <c r="S60" s="4" t="s">
        <v>48</v>
      </c>
      <c r="T60" s="5">
        <f>378+357+564+705+300</f>
        <v>2304</v>
      </c>
      <c r="U60" s="5" t="s">
        <v>55</v>
      </c>
      <c r="V60" s="43" t="s">
        <v>711</v>
      </c>
    </row>
    <row r="61" spans="1:22" ht="15" hidden="1" customHeight="1">
      <c r="A61" s="15" t="s">
        <v>636</v>
      </c>
      <c r="B61" s="2">
        <v>5257</v>
      </c>
      <c r="C61" s="578" t="s">
        <v>725</v>
      </c>
      <c r="D61" s="15" t="s">
        <v>13</v>
      </c>
      <c r="E61" s="15" t="s">
        <v>36</v>
      </c>
      <c r="F61" s="59"/>
      <c r="G61" s="25">
        <v>175</v>
      </c>
      <c r="H61" s="577">
        <f t="shared" si="3"/>
        <v>0</v>
      </c>
      <c r="I61" s="616" t="s">
        <v>726</v>
      </c>
      <c r="J61" s="247">
        <f ca="1">TODAY()-C61</f>
        <v>281</v>
      </c>
      <c r="K61" s="246">
        <f ca="1">IF(I61="","Sin fecha",((I61-TODAY())))</f>
        <v>-273</v>
      </c>
      <c r="L61" s="4" t="s">
        <v>47</v>
      </c>
      <c r="M61" s="633"/>
      <c r="N61" s="633" t="s">
        <v>1</v>
      </c>
      <c r="O61" s="633" t="s">
        <v>48</v>
      </c>
      <c r="P61" s="35" t="s">
        <v>48</v>
      </c>
      <c r="Q61" s="35" t="s">
        <v>48</v>
      </c>
      <c r="R61" s="4" t="s">
        <v>48</v>
      </c>
      <c r="S61" s="4" t="s">
        <v>48</v>
      </c>
      <c r="T61" s="5">
        <f>110+65</f>
        <v>175</v>
      </c>
      <c r="U61" s="5" t="s">
        <v>55</v>
      </c>
      <c r="V61" s="43" t="s">
        <v>711</v>
      </c>
    </row>
    <row r="62" spans="1:22" ht="15" hidden="1" customHeight="1">
      <c r="A62" s="15" t="s">
        <v>636</v>
      </c>
      <c r="B62" s="2">
        <v>5283</v>
      </c>
      <c r="C62" s="338">
        <v>42319</v>
      </c>
      <c r="D62" s="15" t="s">
        <v>867</v>
      </c>
      <c r="E62" s="15" t="s">
        <v>687</v>
      </c>
      <c r="F62" s="59"/>
      <c r="G62" s="25">
        <v>900</v>
      </c>
      <c r="H62" s="28">
        <f t="shared" si="3"/>
        <v>12</v>
      </c>
      <c r="I62" s="254"/>
      <c r="J62" s="621"/>
      <c r="K62" s="621"/>
      <c r="L62" s="633" t="s">
        <v>45</v>
      </c>
      <c r="M62" s="633"/>
      <c r="N62" s="633" t="s">
        <v>48</v>
      </c>
      <c r="O62" s="633" t="s">
        <v>48</v>
      </c>
      <c r="P62" s="4"/>
      <c r="Q62" s="4"/>
      <c r="R62" s="4"/>
      <c r="S62" s="4"/>
      <c r="T62" s="5">
        <f>264-125+400+203+146</f>
        <v>888</v>
      </c>
      <c r="U62" s="5" t="s">
        <v>55</v>
      </c>
      <c r="V62" s="43" t="s">
        <v>959</v>
      </c>
    </row>
    <row r="63" spans="1:22" ht="15" hidden="1" customHeight="1">
      <c r="A63" s="15" t="s">
        <v>636</v>
      </c>
      <c r="B63" s="2">
        <v>5259</v>
      </c>
      <c r="C63" s="578" t="s">
        <v>729</v>
      </c>
      <c r="D63" s="15" t="s">
        <v>3</v>
      </c>
      <c r="E63" s="1" t="s">
        <v>456</v>
      </c>
      <c r="F63" s="59"/>
      <c r="G63" s="25">
        <v>1600</v>
      </c>
      <c r="H63" s="577">
        <f t="shared" si="3"/>
        <v>-19</v>
      </c>
      <c r="I63" s="525" t="s">
        <v>730</v>
      </c>
      <c r="J63" s="247">
        <f t="shared" ref="J63:J126" ca="1" si="8">TODAY()-C63</f>
        <v>279</v>
      </c>
      <c r="K63" s="246">
        <f t="shared" ref="K63:K73" ca="1" si="9">IF(I63="","Sin fecha",((I63-TODAY())))</f>
        <v>-249</v>
      </c>
      <c r="L63" s="633" t="s">
        <v>47</v>
      </c>
      <c r="M63" s="633"/>
      <c r="N63" s="4" t="s">
        <v>48</v>
      </c>
      <c r="O63" s="4" t="s">
        <v>48</v>
      </c>
      <c r="P63" s="35" t="s">
        <v>48</v>
      </c>
      <c r="Q63" s="35" t="s">
        <v>48</v>
      </c>
      <c r="R63" s="4" t="s">
        <v>48</v>
      </c>
      <c r="S63" s="4" t="s">
        <v>48</v>
      </c>
      <c r="T63" s="5">
        <f>550+669+400</f>
        <v>1619</v>
      </c>
      <c r="U63" s="5" t="s">
        <v>55</v>
      </c>
      <c r="V63" s="43" t="s">
        <v>775</v>
      </c>
    </row>
    <row r="64" spans="1:22" ht="15" hidden="1" customHeight="1">
      <c r="A64" s="15" t="s">
        <v>636</v>
      </c>
      <c r="B64" s="43">
        <v>5261</v>
      </c>
      <c r="C64" s="338" t="s">
        <v>727</v>
      </c>
      <c r="D64" s="4" t="s">
        <v>13</v>
      </c>
      <c r="E64" s="4" t="s">
        <v>17</v>
      </c>
      <c r="F64" s="5">
        <v>203</v>
      </c>
      <c r="G64" s="40">
        <v>202</v>
      </c>
      <c r="H64" s="577">
        <f t="shared" si="3"/>
        <v>0</v>
      </c>
      <c r="I64" s="525" t="s">
        <v>730</v>
      </c>
      <c r="J64" s="621">
        <f t="shared" ca="1" si="8"/>
        <v>277</v>
      </c>
      <c r="K64" s="246">
        <f t="shared" ca="1" si="9"/>
        <v>-249</v>
      </c>
      <c r="L64" s="4" t="s">
        <v>45</v>
      </c>
      <c r="M64" s="4"/>
      <c r="N64" s="4" t="s">
        <v>1</v>
      </c>
      <c r="O64" s="4" t="s">
        <v>1</v>
      </c>
      <c r="P64" s="35" t="s">
        <v>55</v>
      </c>
      <c r="Q64" s="35" t="s">
        <v>48</v>
      </c>
      <c r="R64" s="4" t="s">
        <v>48</v>
      </c>
      <c r="S64" s="4" t="s">
        <v>48</v>
      </c>
      <c r="T64" s="5">
        <v>202</v>
      </c>
      <c r="U64" s="5" t="s">
        <v>55</v>
      </c>
      <c r="V64" s="43" t="s">
        <v>711</v>
      </c>
    </row>
    <row r="65" spans="1:23" ht="15" hidden="1" customHeight="1">
      <c r="A65" s="15" t="s">
        <v>636</v>
      </c>
      <c r="B65" s="2">
        <v>5262</v>
      </c>
      <c r="C65" s="578" t="s">
        <v>735</v>
      </c>
      <c r="D65" s="15" t="s">
        <v>34</v>
      </c>
      <c r="E65" s="212">
        <v>1860</v>
      </c>
      <c r="F65" s="59"/>
      <c r="G65" s="46">
        <v>400</v>
      </c>
      <c r="H65" s="577">
        <f t="shared" si="3"/>
        <v>31</v>
      </c>
      <c r="I65" s="525" t="s">
        <v>736</v>
      </c>
      <c r="J65" s="621">
        <f t="shared" ca="1" si="8"/>
        <v>275</v>
      </c>
      <c r="K65" s="246">
        <f t="shared" ca="1" si="9"/>
        <v>-253</v>
      </c>
      <c r="L65" s="4" t="s">
        <v>47</v>
      </c>
      <c r="M65" s="4"/>
      <c r="N65" s="4" t="s">
        <v>48</v>
      </c>
      <c r="O65" s="4" t="s">
        <v>48</v>
      </c>
      <c r="P65" s="35" t="s">
        <v>48</v>
      </c>
      <c r="Q65" s="35" t="s">
        <v>48</v>
      </c>
      <c r="R65" s="4" t="s">
        <v>48</v>
      </c>
      <c r="S65" s="4" t="s">
        <v>48</v>
      </c>
      <c r="T65" s="5">
        <v>369</v>
      </c>
      <c r="U65" s="5" t="s">
        <v>55</v>
      </c>
      <c r="V65" s="43" t="s">
        <v>711</v>
      </c>
    </row>
    <row r="66" spans="1:23" ht="15" hidden="1" customHeight="1">
      <c r="A66" s="15" t="s">
        <v>636</v>
      </c>
      <c r="B66" s="2">
        <v>5262</v>
      </c>
      <c r="C66" s="578" t="s">
        <v>735</v>
      </c>
      <c r="D66" s="194" t="s">
        <v>34</v>
      </c>
      <c r="E66" s="212">
        <v>1860</v>
      </c>
      <c r="F66" s="59"/>
      <c r="G66" s="46">
        <v>400</v>
      </c>
      <c r="H66" s="577">
        <f t="shared" si="3"/>
        <v>0</v>
      </c>
      <c r="I66" s="525" t="s">
        <v>737</v>
      </c>
      <c r="J66" s="621">
        <f t="shared" ca="1" si="8"/>
        <v>275</v>
      </c>
      <c r="K66" s="246">
        <f t="shared" ca="1" si="9"/>
        <v>-222</v>
      </c>
      <c r="L66" s="4" t="s">
        <v>47</v>
      </c>
      <c r="M66" s="4"/>
      <c r="N66" s="4" t="s">
        <v>48</v>
      </c>
      <c r="O66" s="4" t="s">
        <v>48</v>
      </c>
      <c r="P66" s="35" t="s">
        <v>48</v>
      </c>
      <c r="Q66" s="35" t="s">
        <v>48</v>
      </c>
      <c r="R66" s="4" t="s">
        <v>48</v>
      </c>
      <c r="S66" s="4" t="s">
        <v>48</v>
      </c>
      <c r="T66" s="5">
        <v>400</v>
      </c>
      <c r="U66" s="5" t="s">
        <v>55</v>
      </c>
      <c r="V66" s="43" t="s">
        <v>775</v>
      </c>
    </row>
    <row r="67" spans="1:23" ht="15" hidden="1" customHeight="1">
      <c r="A67" s="15" t="s">
        <v>636</v>
      </c>
      <c r="B67" s="2">
        <v>5262</v>
      </c>
      <c r="C67" s="578" t="s">
        <v>735</v>
      </c>
      <c r="D67" s="15" t="s">
        <v>34</v>
      </c>
      <c r="E67" s="212">
        <v>1860</v>
      </c>
      <c r="F67" s="59"/>
      <c r="G67" s="46">
        <v>600</v>
      </c>
      <c r="H67" s="577">
        <f t="shared" si="3"/>
        <v>-72</v>
      </c>
      <c r="I67" s="525" t="s">
        <v>738</v>
      </c>
      <c r="J67" s="621">
        <f t="shared" ca="1" si="8"/>
        <v>275</v>
      </c>
      <c r="K67" s="246">
        <f t="shared" ca="1" si="9"/>
        <v>-192</v>
      </c>
      <c r="L67" s="4" t="s">
        <v>47</v>
      </c>
      <c r="M67" s="4"/>
      <c r="N67" s="4" t="s">
        <v>48</v>
      </c>
      <c r="O67" s="4" t="s">
        <v>48</v>
      </c>
      <c r="P67" s="35" t="s">
        <v>48</v>
      </c>
      <c r="Q67" s="35" t="s">
        <v>48</v>
      </c>
      <c r="R67" s="4" t="s">
        <v>48</v>
      </c>
      <c r="S67" s="4" t="s">
        <v>48</v>
      </c>
      <c r="T67" s="5">
        <f>100+572</f>
        <v>672</v>
      </c>
      <c r="U67" s="5" t="s">
        <v>55</v>
      </c>
      <c r="V67" s="43" t="s">
        <v>776</v>
      </c>
    </row>
    <row r="68" spans="1:23" ht="15" hidden="1" customHeight="1">
      <c r="A68" s="15" t="s">
        <v>636</v>
      </c>
      <c r="B68" s="2">
        <v>5262</v>
      </c>
      <c r="C68" s="578" t="s">
        <v>735</v>
      </c>
      <c r="D68" s="15" t="s">
        <v>34</v>
      </c>
      <c r="E68" s="212">
        <v>1870</v>
      </c>
      <c r="F68" s="59"/>
      <c r="G68" s="46">
        <f>400+30</f>
        <v>430</v>
      </c>
      <c r="H68" s="577">
        <f t="shared" si="3"/>
        <v>430</v>
      </c>
      <c r="I68" s="525"/>
      <c r="J68" s="621">
        <f t="shared" ca="1" si="8"/>
        <v>275</v>
      </c>
      <c r="K68" s="246" t="str">
        <f t="shared" ca="1" si="9"/>
        <v>Sin fecha</v>
      </c>
      <c r="L68" s="4" t="s">
        <v>45</v>
      </c>
      <c r="M68" s="4"/>
      <c r="N68" s="4" t="s">
        <v>48</v>
      </c>
      <c r="O68" s="4" t="s">
        <v>48</v>
      </c>
      <c r="P68" s="35" t="s">
        <v>48</v>
      </c>
      <c r="Q68" s="35" t="s">
        <v>48</v>
      </c>
      <c r="R68" s="4" t="s">
        <v>48</v>
      </c>
      <c r="S68" s="4" t="s">
        <v>48</v>
      </c>
      <c r="T68" s="5"/>
      <c r="U68" s="5" t="s">
        <v>55</v>
      </c>
      <c r="V68" s="43" t="s">
        <v>679</v>
      </c>
    </row>
    <row r="69" spans="1:23" ht="15" hidden="1" customHeight="1">
      <c r="A69" s="15" t="s">
        <v>94</v>
      </c>
      <c r="B69" s="2">
        <v>5263</v>
      </c>
      <c r="C69" s="578" t="s">
        <v>689</v>
      </c>
      <c r="D69" s="15" t="s">
        <v>488</v>
      </c>
      <c r="E69" s="59" t="s">
        <v>760</v>
      </c>
      <c r="F69" s="59"/>
      <c r="G69" s="46">
        <v>300</v>
      </c>
      <c r="H69" s="197">
        <f t="shared" si="3"/>
        <v>2</v>
      </c>
      <c r="I69" s="253"/>
      <c r="J69" s="621">
        <f t="shared" ca="1" si="8"/>
        <v>270</v>
      </c>
      <c r="K69" s="246" t="str">
        <f t="shared" ca="1" si="9"/>
        <v>Sin fecha</v>
      </c>
      <c r="L69" s="4" t="s">
        <v>48</v>
      </c>
      <c r="M69" s="4"/>
      <c r="N69" s="4" t="s">
        <v>48</v>
      </c>
      <c r="O69" s="4" t="s">
        <v>48</v>
      </c>
      <c r="P69" s="35" t="s">
        <v>48</v>
      </c>
      <c r="Q69" s="35" t="s">
        <v>48</v>
      </c>
      <c r="R69" s="4" t="s">
        <v>48</v>
      </c>
      <c r="S69" s="4" t="s">
        <v>48</v>
      </c>
      <c r="T69" s="5">
        <v>298</v>
      </c>
      <c r="U69" s="5" t="s">
        <v>55</v>
      </c>
      <c r="V69" s="43" t="s">
        <v>711</v>
      </c>
    </row>
    <row r="70" spans="1:23" ht="15" hidden="1" customHeight="1">
      <c r="A70" s="304" t="s">
        <v>94</v>
      </c>
      <c r="B70" s="301">
        <v>5263</v>
      </c>
      <c r="C70" s="581" t="s">
        <v>689</v>
      </c>
      <c r="D70" s="304" t="s">
        <v>488</v>
      </c>
      <c r="E70" s="459" t="s">
        <v>761</v>
      </c>
      <c r="F70" s="459"/>
      <c r="G70" s="454">
        <v>60</v>
      </c>
      <c r="H70" s="579">
        <f t="shared" si="3"/>
        <v>2</v>
      </c>
      <c r="I70" s="297"/>
      <c r="J70" s="630">
        <f t="shared" ca="1" si="8"/>
        <v>270</v>
      </c>
      <c r="K70" s="287" t="str">
        <f t="shared" ca="1" si="9"/>
        <v>Sin fecha</v>
      </c>
      <c r="L70" s="284" t="s">
        <v>48</v>
      </c>
      <c r="M70" s="284"/>
      <c r="N70" s="284" t="s">
        <v>48</v>
      </c>
      <c r="O70" s="284" t="s">
        <v>48</v>
      </c>
      <c r="P70" s="289" t="s">
        <v>48</v>
      </c>
      <c r="Q70" s="289" t="s">
        <v>48</v>
      </c>
      <c r="R70" s="284" t="s">
        <v>48</v>
      </c>
      <c r="S70" s="284" t="s">
        <v>48</v>
      </c>
      <c r="T70" s="290">
        <v>58</v>
      </c>
      <c r="U70" s="290" t="s">
        <v>55</v>
      </c>
      <c r="V70" s="285" t="s">
        <v>711</v>
      </c>
    </row>
    <row r="71" spans="1:23" ht="15" hidden="1" customHeight="1">
      <c r="A71" s="15" t="s">
        <v>636</v>
      </c>
      <c r="B71" s="2">
        <v>5265</v>
      </c>
      <c r="C71" s="550">
        <v>42014</v>
      </c>
      <c r="D71" s="15" t="s">
        <v>177</v>
      </c>
      <c r="E71" s="59" t="s">
        <v>584</v>
      </c>
      <c r="F71" s="59"/>
      <c r="G71" s="46">
        <v>700</v>
      </c>
      <c r="H71" s="577">
        <f t="shared" si="3"/>
        <v>-159</v>
      </c>
      <c r="I71" s="253"/>
      <c r="J71" s="578">
        <f t="shared" ca="1" si="8"/>
        <v>531</v>
      </c>
      <c r="K71" s="260" t="str">
        <f t="shared" ca="1" si="9"/>
        <v>Sin fecha</v>
      </c>
      <c r="L71" s="4" t="s">
        <v>47</v>
      </c>
      <c r="M71" s="4"/>
      <c r="N71" s="4" t="s">
        <v>48</v>
      </c>
      <c r="O71" s="4" t="s">
        <v>48</v>
      </c>
      <c r="P71" s="35" t="s">
        <v>48</v>
      </c>
      <c r="Q71" s="35" t="s">
        <v>48</v>
      </c>
      <c r="R71" s="4" t="s">
        <v>48</v>
      </c>
      <c r="S71" s="4" t="s">
        <v>48</v>
      </c>
      <c r="T71" s="5">
        <v>859</v>
      </c>
      <c r="U71" s="5" t="s">
        <v>55</v>
      </c>
      <c r="V71" s="43" t="s">
        <v>711</v>
      </c>
    </row>
    <row r="72" spans="1:23" ht="15" hidden="1" customHeight="1">
      <c r="A72" s="194" t="s">
        <v>636</v>
      </c>
      <c r="B72" s="291">
        <v>5267</v>
      </c>
      <c r="C72" s="469">
        <v>42282</v>
      </c>
      <c r="D72" s="304" t="s">
        <v>867</v>
      </c>
      <c r="E72" s="211" t="s">
        <v>687</v>
      </c>
      <c r="F72" s="210"/>
      <c r="G72" s="208">
        <v>900</v>
      </c>
      <c r="H72" s="580">
        <f t="shared" si="3"/>
        <v>-39</v>
      </c>
      <c r="I72" s="292"/>
      <c r="J72" s="631">
        <f t="shared" ca="1" si="8"/>
        <v>263</v>
      </c>
      <c r="K72" s="320" t="str">
        <f t="shared" ca="1" si="9"/>
        <v>Sin fecha</v>
      </c>
      <c r="L72" s="211" t="s">
        <v>47</v>
      </c>
      <c r="M72" s="211"/>
      <c r="N72" s="211" t="s">
        <v>48</v>
      </c>
      <c r="O72" s="211" t="s">
        <v>48</v>
      </c>
      <c r="P72" s="209" t="s">
        <v>48</v>
      </c>
      <c r="Q72" s="209" t="s">
        <v>48</v>
      </c>
      <c r="R72" s="211" t="s">
        <v>48</v>
      </c>
      <c r="S72" s="211" t="s">
        <v>48</v>
      </c>
      <c r="T72" s="210">
        <f>227+209+300+203</f>
        <v>939</v>
      </c>
      <c r="U72" s="210" t="s">
        <v>55</v>
      </c>
      <c r="V72" s="291" t="s">
        <v>775</v>
      </c>
    </row>
    <row r="73" spans="1:23" ht="15" hidden="1" customHeight="1">
      <c r="A73" s="456" t="s">
        <v>94</v>
      </c>
      <c r="B73" s="456">
        <v>5184</v>
      </c>
      <c r="C73" s="446">
        <v>42107</v>
      </c>
      <c r="D73" s="456" t="s">
        <v>21</v>
      </c>
      <c r="E73" s="456" t="s">
        <v>122</v>
      </c>
      <c r="F73" s="456">
        <v>1500</v>
      </c>
      <c r="G73" s="457">
        <v>1391</v>
      </c>
      <c r="H73" s="51">
        <f t="shared" ref="H73:H136" si="10">G73-T73</f>
        <v>0</v>
      </c>
      <c r="I73" s="944"/>
      <c r="J73" s="286">
        <f t="shared" ca="1" si="8"/>
        <v>438</v>
      </c>
      <c r="K73" s="287" t="str">
        <f t="shared" ca="1" si="9"/>
        <v>Sin fecha</v>
      </c>
      <c r="L73" s="634" t="s">
        <v>48</v>
      </c>
      <c r="M73" s="288"/>
      <c r="N73" s="288" t="s">
        <v>48</v>
      </c>
      <c r="O73" s="288" t="s">
        <v>48</v>
      </c>
      <c r="P73" s="284"/>
      <c r="Q73" s="284"/>
      <c r="R73" s="284"/>
      <c r="S73" s="284"/>
      <c r="T73" s="290">
        <v>1391</v>
      </c>
      <c r="U73" s="290" t="s">
        <v>55</v>
      </c>
      <c r="V73" s="284" t="s">
        <v>60</v>
      </c>
    </row>
    <row r="74" spans="1:23" ht="15" hidden="1" customHeight="1">
      <c r="A74" s="15" t="s">
        <v>636</v>
      </c>
      <c r="B74" s="2">
        <v>5268</v>
      </c>
      <c r="C74" s="338">
        <v>42283</v>
      </c>
      <c r="D74" s="15" t="s">
        <v>27</v>
      </c>
      <c r="E74" s="67" t="s">
        <v>72</v>
      </c>
      <c r="F74" s="59"/>
      <c r="G74" s="46">
        <v>120</v>
      </c>
      <c r="H74" s="646">
        <f t="shared" si="10"/>
        <v>-24</v>
      </c>
      <c r="I74" s="59" t="s">
        <v>769</v>
      </c>
      <c r="J74" s="645">
        <f t="shared" ca="1" si="8"/>
        <v>262</v>
      </c>
      <c r="K74" s="260" t="e">
        <f ca="1">IF(#REF!="","Sin fecha",((#REF!-TODAY())))</f>
        <v>#REF!</v>
      </c>
      <c r="L74" s="4" t="s">
        <v>47</v>
      </c>
      <c r="M74" s="4"/>
      <c r="N74" s="4" t="s">
        <v>48</v>
      </c>
      <c r="O74" s="4" t="s">
        <v>48</v>
      </c>
      <c r="P74" s="35" t="s">
        <v>48</v>
      </c>
      <c r="Q74" s="35" t="s">
        <v>48</v>
      </c>
      <c r="R74" s="4" t="s">
        <v>48</v>
      </c>
      <c r="S74" s="4" t="s">
        <v>48</v>
      </c>
      <c r="T74" s="5">
        <f>68+76</f>
        <v>144</v>
      </c>
      <c r="U74" s="5" t="s">
        <v>55</v>
      </c>
      <c r="V74" s="43" t="s">
        <v>711</v>
      </c>
    </row>
    <row r="75" spans="1:23" ht="15" hidden="1" customHeight="1">
      <c r="A75" s="15" t="s">
        <v>636</v>
      </c>
      <c r="B75" s="2">
        <v>5268</v>
      </c>
      <c r="C75" s="338">
        <v>42283</v>
      </c>
      <c r="D75" s="15" t="s">
        <v>27</v>
      </c>
      <c r="E75" s="67" t="s">
        <v>170</v>
      </c>
      <c r="F75" s="59"/>
      <c r="G75" s="46">
        <v>120</v>
      </c>
      <c r="H75" s="646">
        <f t="shared" si="10"/>
        <v>-33</v>
      </c>
      <c r="I75" s="59" t="s">
        <v>769</v>
      </c>
      <c r="J75" s="645">
        <f t="shared" ca="1" si="8"/>
        <v>262</v>
      </c>
      <c r="K75" s="260" t="e">
        <f ca="1">IF(#REF!="","Sin fecha",((#REF!-TODAY())))</f>
        <v>#REF!</v>
      </c>
      <c r="L75" s="4" t="s">
        <v>47</v>
      </c>
      <c r="M75" s="4"/>
      <c r="N75" s="4" t="s">
        <v>48</v>
      </c>
      <c r="O75" s="4" t="s">
        <v>48</v>
      </c>
      <c r="P75" s="35" t="s">
        <v>48</v>
      </c>
      <c r="Q75" s="35" t="s">
        <v>48</v>
      </c>
      <c r="R75" s="4" t="s">
        <v>48</v>
      </c>
      <c r="S75" s="4" t="s">
        <v>48</v>
      </c>
      <c r="T75" s="5">
        <v>153</v>
      </c>
      <c r="U75" s="5" t="s">
        <v>55</v>
      </c>
      <c r="V75" s="43" t="s">
        <v>711</v>
      </c>
    </row>
    <row r="76" spans="1:23" ht="15" hidden="1" customHeight="1">
      <c r="A76" s="15" t="s">
        <v>636</v>
      </c>
      <c r="B76" s="2">
        <v>5268</v>
      </c>
      <c r="C76" s="338">
        <v>42283</v>
      </c>
      <c r="D76" s="15" t="s">
        <v>27</v>
      </c>
      <c r="E76" s="67" t="s">
        <v>770</v>
      </c>
      <c r="F76" s="59"/>
      <c r="G76" s="46">
        <v>200</v>
      </c>
      <c r="H76" s="646">
        <f t="shared" si="10"/>
        <v>-92</v>
      </c>
      <c r="I76" s="59" t="s">
        <v>771</v>
      </c>
      <c r="J76" s="645">
        <f t="shared" ca="1" si="8"/>
        <v>262</v>
      </c>
      <c r="K76" s="260" t="e">
        <f ca="1">IF(#REF!="","Sin fecha",((#REF!-TODAY())))</f>
        <v>#REF!</v>
      </c>
      <c r="L76" s="4" t="s">
        <v>45</v>
      </c>
      <c r="M76" s="4"/>
      <c r="N76" s="4" t="s">
        <v>48</v>
      </c>
      <c r="O76" s="4" t="s">
        <v>48</v>
      </c>
      <c r="P76" s="35" t="s">
        <v>48</v>
      </c>
      <c r="Q76" s="35" t="s">
        <v>48</v>
      </c>
      <c r="R76" s="4" t="s">
        <v>48</v>
      </c>
      <c r="S76" s="4" t="s">
        <v>48</v>
      </c>
      <c r="T76" s="5">
        <v>292</v>
      </c>
      <c r="U76" s="5" t="s">
        <v>55</v>
      </c>
      <c r="V76" s="43" t="s">
        <v>775</v>
      </c>
    </row>
    <row r="77" spans="1:23" ht="15" hidden="1" customHeight="1">
      <c r="A77" s="15" t="s">
        <v>636</v>
      </c>
      <c r="B77" s="2">
        <v>5268</v>
      </c>
      <c r="C77" s="338">
        <v>42283</v>
      </c>
      <c r="D77" s="15" t="s">
        <v>27</v>
      </c>
      <c r="E77" s="67" t="s">
        <v>384</v>
      </c>
      <c r="F77" s="59"/>
      <c r="G77" s="46">
        <v>300</v>
      </c>
      <c r="H77" s="646">
        <f t="shared" si="10"/>
        <v>20</v>
      </c>
      <c r="I77" s="59" t="s">
        <v>771</v>
      </c>
      <c r="J77" s="645">
        <f t="shared" ca="1" si="8"/>
        <v>262</v>
      </c>
      <c r="K77" s="260" t="e">
        <f ca="1">IF(#REF!="","Sin fecha",((#REF!-TODAY())))</f>
        <v>#REF!</v>
      </c>
      <c r="L77" s="4" t="s">
        <v>45</v>
      </c>
      <c r="M77" s="4"/>
      <c r="N77" s="4" t="s">
        <v>48</v>
      </c>
      <c r="O77" s="4" t="s">
        <v>48</v>
      </c>
      <c r="P77" s="35" t="s">
        <v>48</v>
      </c>
      <c r="Q77" s="35" t="s">
        <v>48</v>
      </c>
      <c r="R77" s="4" t="s">
        <v>48</v>
      </c>
      <c r="S77" s="4" t="s">
        <v>48</v>
      </c>
      <c r="T77" s="5">
        <v>280</v>
      </c>
      <c r="U77" s="5" t="s">
        <v>55</v>
      </c>
      <c r="V77" s="43" t="s">
        <v>775</v>
      </c>
    </row>
    <row r="78" spans="1:23" ht="15" hidden="1" customHeight="1">
      <c r="A78" s="15" t="s">
        <v>636</v>
      </c>
      <c r="B78" s="2">
        <v>5268</v>
      </c>
      <c r="C78" s="338">
        <v>42283</v>
      </c>
      <c r="D78" s="15" t="s">
        <v>27</v>
      </c>
      <c r="E78" s="67" t="s">
        <v>381</v>
      </c>
      <c r="F78" s="59"/>
      <c r="G78" s="46">
        <v>300</v>
      </c>
      <c r="H78" s="646">
        <f t="shared" si="10"/>
        <v>0</v>
      </c>
      <c r="I78" s="59" t="s">
        <v>771</v>
      </c>
      <c r="J78" s="645">
        <f t="shared" ca="1" si="8"/>
        <v>262</v>
      </c>
      <c r="K78" s="260" t="e">
        <f ca="1">IF(#REF!="","Sin fecha",((#REF!-TODAY())))</f>
        <v>#REF!</v>
      </c>
      <c r="L78" s="4" t="s">
        <v>47</v>
      </c>
      <c r="M78" s="4"/>
      <c r="N78" s="4" t="s">
        <v>48</v>
      </c>
      <c r="O78" s="4" t="s">
        <v>48</v>
      </c>
      <c r="P78" s="35" t="s">
        <v>48</v>
      </c>
      <c r="Q78" s="35" t="s">
        <v>48</v>
      </c>
      <c r="R78" s="4" t="s">
        <v>48</v>
      </c>
      <c r="S78" s="4" t="s">
        <v>48</v>
      </c>
      <c r="T78" s="5">
        <v>300</v>
      </c>
      <c r="U78" s="5" t="s">
        <v>55</v>
      </c>
      <c r="V78" s="43" t="s">
        <v>775</v>
      </c>
    </row>
    <row r="79" spans="1:23" ht="15" hidden="1" customHeight="1">
      <c r="A79" s="211" t="s">
        <v>49</v>
      </c>
      <c r="B79" s="206">
        <v>4975</v>
      </c>
      <c r="C79" s="327">
        <v>41670</v>
      </c>
      <c r="D79" s="206" t="s">
        <v>11</v>
      </c>
      <c r="E79" s="206" t="s">
        <v>4</v>
      </c>
      <c r="F79" s="207"/>
      <c r="G79" s="460">
        <v>254</v>
      </c>
      <c r="H79" s="49">
        <f t="shared" si="10"/>
        <v>254</v>
      </c>
      <c r="I79" s="251"/>
      <c r="J79" s="319">
        <f t="shared" ca="1" si="8"/>
        <v>875</v>
      </c>
      <c r="K79" s="320" t="str">
        <f t="shared" ref="K79:K110" ca="1" si="11">IF(I79="","Sin fecha",((I79-TODAY())))</f>
        <v>Sin fecha</v>
      </c>
      <c r="L79" s="328" t="s">
        <v>30</v>
      </c>
      <c r="M79" s="206"/>
      <c r="N79" s="206" t="s">
        <v>48</v>
      </c>
      <c r="O79" s="206" t="s">
        <v>48</v>
      </c>
      <c r="P79" s="209" t="s">
        <v>48</v>
      </c>
      <c r="Q79" s="209" t="s">
        <v>48</v>
      </c>
      <c r="R79" s="209" t="s">
        <v>48</v>
      </c>
      <c r="S79" s="209" t="s">
        <v>48</v>
      </c>
      <c r="T79" s="210"/>
      <c r="U79" s="210" t="s">
        <v>55</v>
      </c>
      <c r="V79" s="211"/>
      <c r="W79" s="33"/>
    </row>
    <row r="80" spans="1:23" ht="15" hidden="1" customHeight="1">
      <c r="A80" s="4" t="s">
        <v>49</v>
      </c>
      <c r="B80" s="2">
        <v>4997</v>
      </c>
      <c r="C80" s="278">
        <v>41726</v>
      </c>
      <c r="D80" s="2" t="s">
        <v>596</v>
      </c>
      <c r="E80" s="2" t="s">
        <v>521</v>
      </c>
      <c r="F80" s="3"/>
      <c r="G80" s="46">
        <v>74</v>
      </c>
      <c r="H80" s="28">
        <f t="shared" si="10"/>
        <v>0</v>
      </c>
      <c r="I80" s="250"/>
      <c r="J80" s="247">
        <f t="shared" ca="1" si="8"/>
        <v>819</v>
      </c>
      <c r="K80" s="246" t="str">
        <f t="shared" ca="1" si="11"/>
        <v>Sin fecha</v>
      </c>
      <c r="L80" s="26" t="s">
        <v>45</v>
      </c>
      <c r="M80" s="26"/>
      <c r="N80" s="2" t="s">
        <v>48</v>
      </c>
      <c r="O80" s="2" t="s">
        <v>48</v>
      </c>
      <c r="P80" s="35" t="s">
        <v>48</v>
      </c>
      <c r="Q80" s="35" t="s">
        <v>48</v>
      </c>
      <c r="R80" s="35" t="s">
        <v>48</v>
      </c>
      <c r="S80" s="35" t="s">
        <v>48</v>
      </c>
      <c r="T80" s="5">
        <v>74</v>
      </c>
      <c r="U80" s="5" t="s">
        <v>55</v>
      </c>
      <c r="V80" s="43" t="s">
        <v>433</v>
      </c>
      <c r="W80" s="33"/>
    </row>
    <row r="81" spans="1:31" ht="15" hidden="1" customHeight="1">
      <c r="A81" s="4" t="s">
        <v>49</v>
      </c>
      <c r="B81" s="53">
        <v>5192</v>
      </c>
      <c r="C81" s="278">
        <v>42130</v>
      </c>
      <c r="D81" s="15" t="s">
        <v>21</v>
      </c>
      <c r="E81" s="15" t="s">
        <v>443</v>
      </c>
      <c r="F81" s="4"/>
      <c r="G81" s="40">
        <v>400</v>
      </c>
      <c r="H81" s="921">
        <f t="shared" si="10"/>
        <v>-1</v>
      </c>
      <c r="I81" s="253">
        <v>42154</v>
      </c>
      <c r="J81" s="247">
        <f t="shared" ca="1" si="8"/>
        <v>415</v>
      </c>
      <c r="K81" s="246">
        <f t="shared" ca="1" si="11"/>
        <v>-391</v>
      </c>
      <c r="L81" s="2" t="s">
        <v>47</v>
      </c>
      <c r="M81" s="2"/>
      <c r="N81" s="4" t="s">
        <v>48</v>
      </c>
      <c r="O81" s="4" t="s">
        <v>48</v>
      </c>
      <c r="P81" s="35" t="s">
        <v>48</v>
      </c>
      <c r="Q81" s="35" t="s">
        <v>48</v>
      </c>
      <c r="R81" s="35" t="s">
        <v>48</v>
      </c>
      <c r="S81" s="4"/>
      <c r="T81" s="5">
        <f>100+67+160+74</f>
        <v>401</v>
      </c>
      <c r="U81" s="5" t="s">
        <v>55</v>
      </c>
      <c r="V81" s="4" t="s">
        <v>775</v>
      </c>
    </row>
    <row r="82" spans="1:31" ht="15" hidden="1" customHeight="1">
      <c r="A82" s="4" t="s">
        <v>452</v>
      </c>
      <c r="B82" s="2">
        <v>5095</v>
      </c>
      <c r="C82" s="278">
        <v>41908</v>
      </c>
      <c r="D82" s="6" t="s">
        <v>25</v>
      </c>
      <c r="E82" s="2" t="s">
        <v>6</v>
      </c>
      <c r="F82" s="3"/>
      <c r="G82" s="46">
        <v>380</v>
      </c>
      <c r="H82" s="28">
        <f t="shared" si="10"/>
        <v>0</v>
      </c>
      <c r="I82" s="252"/>
      <c r="J82" s="247">
        <f t="shared" ca="1" si="8"/>
        <v>637</v>
      </c>
      <c r="K82" s="246" t="str">
        <f t="shared" ca="1" si="11"/>
        <v>Sin fecha</v>
      </c>
      <c r="L82" s="26" t="s">
        <v>47</v>
      </c>
      <c r="M82" s="2"/>
      <c r="N82" s="2" t="s">
        <v>48</v>
      </c>
      <c r="O82" s="2" t="s">
        <v>48</v>
      </c>
      <c r="P82" s="35" t="s">
        <v>48</v>
      </c>
      <c r="Q82" s="35" t="s">
        <v>48</v>
      </c>
      <c r="R82" s="35" t="s">
        <v>48</v>
      </c>
      <c r="S82" s="35" t="s">
        <v>48</v>
      </c>
      <c r="T82" s="5">
        <v>380</v>
      </c>
      <c r="U82" s="5" t="s">
        <v>55</v>
      </c>
      <c r="V82" s="4" t="s">
        <v>151</v>
      </c>
      <c r="W82" s="33"/>
    </row>
    <row r="83" spans="1:31" ht="15" hidden="1" customHeight="1">
      <c r="A83" s="4" t="s">
        <v>452</v>
      </c>
      <c r="B83" s="2">
        <v>5095</v>
      </c>
      <c r="C83" s="278">
        <v>41908</v>
      </c>
      <c r="D83" s="6" t="s">
        <v>25</v>
      </c>
      <c r="E83" s="2" t="s">
        <v>8</v>
      </c>
      <c r="F83" s="3"/>
      <c r="G83" s="46">
        <v>410</v>
      </c>
      <c r="H83" s="28">
        <f t="shared" si="10"/>
        <v>0</v>
      </c>
      <c r="I83" s="252"/>
      <c r="J83" s="247">
        <f t="shared" ca="1" si="8"/>
        <v>637</v>
      </c>
      <c r="K83" s="246" t="str">
        <f t="shared" ca="1" si="11"/>
        <v>Sin fecha</v>
      </c>
      <c r="L83" s="2" t="s">
        <v>47</v>
      </c>
      <c r="M83" s="2"/>
      <c r="N83" s="2" t="s">
        <v>48</v>
      </c>
      <c r="O83" s="2" t="s">
        <v>48</v>
      </c>
      <c r="P83" s="35" t="s">
        <v>48</v>
      </c>
      <c r="Q83" s="35" t="s">
        <v>48</v>
      </c>
      <c r="R83" s="35" t="s">
        <v>48</v>
      </c>
      <c r="S83" s="35" t="s">
        <v>48</v>
      </c>
      <c r="T83" s="5">
        <v>410</v>
      </c>
      <c r="U83" s="5" t="s">
        <v>55</v>
      </c>
      <c r="V83" s="4" t="s">
        <v>151</v>
      </c>
      <c r="W83" s="33"/>
    </row>
    <row r="84" spans="1:31" ht="15" hidden="1" customHeight="1">
      <c r="A84" s="4" t="s">
        <v>452</v>
      </c>
      <c r="B84" s="2">
        <v>5095</v>
      </c>
      <c r="C84" s="278">
        <v>41908</v>
      </c>
      <c r="D84" s="6" t="s">
        <v>25</v>
      </c>
      <c r="E84" s="2" t="s">
        <v>9</v>
      </c>
      <c r="F84" s="3"/>
      <c r="G84" s="46">
        <v>50</v>
      </c>
      <c r="H84" s="28">
        <f t="shared" si="10"/>
        <v>0</v>
      </c>
      <c r="I84" s="250"/>
      <c r="J84" s="247">
        <f t="shared" ca="1" si="8"/>
        <v>637</v>
      </c>
      <c r="K84" s="246" t="str">
        <f t="shared" ca="1" si="11"/>
        <v>Sin fecha</v>
      </c>
      <c r="L84" s="26" t="s">
        <v>47</v>
      </c>
      <c r="M84" s="26"/>
      <c r="N84" s="2" t="s">
        <v>48</v>
      </c>
      <c r="O84" s="2" t="s">
        <v>48</v>
      </c>
      <c r="P84" s="35" t="s">
        <v>48</v>
      </c>
      <c r="Q84" s="35" t="s">
        <v>48</v>
      </c>
      <c r="R84" s="35" t="s">
        <v>48</v>
      </c>
      <c r="S84" s="35" t="s">
        <v>48</v>
      </c>
      <c r="T84" s="5">
        <v>50</v>
      </c>
      <c r="U84" s="5" t="s">
        <v>55</v>
      </c>
      <c r="V84" s="4" t="s">
        <v>151</v>
      </c>
      <c r="W84" s="33"/>
    </row>
    <row r="85" spans="1:31" ht="15" hidden="1" customHeight="1">
      <c r="A85" s="4" t="s">
        <v>452</v>
      </c>
      <c r="B85" s="2">
        <v>5095</v>
      </c>
      <c r="C85" s="278">
        <v>41908</v>
      </c>
      <c r="D85" s="2" t="s">
        <v>25</v>
      </c>
      <c r="E85" s="53" t="s">
        <v>7</v>
      </c>
      <c r="F85" s="3"/>
      <c r="G85" s="46">
        <v>410</v>
      </c>
      <c r="H85" s="28">
        <f t="shared" si="10"/>
        <v>0</v>
      </c>
      <c r="I85" s="252"/>
      <c r="J85" s="247">
        <f t="shared" ca="1" si="8"/>
        <v>637</v>
      </c>
      <c r="K85" s="246" t="str">
        <f t="shared" ca="1" si="11"/>
        <v>Sin fecha</v>
      </c>
      <c r="L85" s="2" t="s">
        <v>47</v>
      </c>
      <c r="M85" s="46"/>
      <c r="N85" s="2" t="s">
        <v>48</v>
      </c>
      <c r="O85" s="2" t="s">
        <v>48</v>
      </c>
      <c r="P85" s="35" t="s">
        <v>48</v>
      </c>
      <c r="Q85" s="35" t="s">
        <v>48</v>
      </c>
      <c r="R85" s="35" t="s">
        <v>48</v>
      </c>
      <c r="S85" s="35" t="s">
        <v>48</v>
      </c>
      <c r="T85" s="5">
        <v>410</v>
      </c>
      <c r="U85" s="5" t="s">
        <v>55</v>
      </c>
      <c r="V85" s="4" t="s">
        <v>151</v>
      </c>
      <c r="W85" s="33"/>
    </row>
    <row r="86" spans="1:31" ht="15" hidden="1" customHeight="1">
      <c r="A86" s="1" t="s">
        <v>49</v>
      </c>
      <c r="B86" s="2">
        <v>5104</v>
      </c>
      <c r="C86" s="278">
        <v>41915</v>
      </c>
      <c r="D86" s="2" t="s">
        <v>11</v>
      </c>
      <c r="E86" s="2" t="s">
        <v>10</v>
      </c>
      <c r="F86" s="3"/>
      <c r="G86" s="46">
        <v>310</v>
      </c>
      <c r="H86" s="28">
        <f t="shared" si="10"/>
        <v>310</v>
      </c>
      <c r="I86" s="252"/>
      <c r="J86" s="247">
        <f t="shared" ca="1" si="8"/>
        <v>630</v>
      </c>
      <c r="K86" s="246" t="str">
        <f t="shared" ca="1" si="11"/>
        <v>Sin fecha</v>
      </c>
      <c r="L86" s="2" t="s">
        <v>47</v>
      </c>
      <c r="M86" s="2"/>
      <c r="N86" s="2" t="s">
        <v>48</v>
      </c>
      <c r="O86" s="2" t="s">
        <v>48</v>
      </c>
      <c r="P86" s="35" t="s">
        <v>48</v>
      </c>
      <c r="Q86" s="35" t="s">
        <v>48</v>
      </c>
      <c r="R86" s="35" t="s">
        <v>48</v>
      </c>
      <c r="S86" s="35" t="s">
        <v>48</v>
      </c>
      <c r="T86" s="5"/>
      <c r="U86" s="5" t="s">
        <v>55</v>
      </c>
      <c r="V86" s="4"/>
      <c r="W86" s="33"/>
    </row>
    <row r="87" spans="1:31" ht="15" hidden="1" customHeight="1">
      <c r="A87" s="4" t="s">
        <v>49</v>
      </c>
      <c r="B87" s="2">
        <v>5116</v>
      </c>
      <c r="C87" s="278">
        <v>41943</v>
      </c>
      <c r="D87" s="2" t="s">
        <v>11</v>
      </c>
      <c r="E87" s="2" t="s">
        <v>12</v>
      </c>
      <c r="F87" s="3"/>
      <c r="G87" s="46">
        <v>377</v>
      </c>
      <c r="H87" s="28">
        <f t="shared" si="10"/>
        <v>377</v>
      </c>
      <c r="I87" s="252"/>
      <c r="J87" s="247">
        <f t="shared" ca="1" si="8"/>
        <v>602</v>
      </c>
      <c r="K87" s="246" t="str">
        <f t="shared" ca="1" si="11"/>
        <v>Sin fecha</v>
      </c>
      <c r="L87" s="2" t="s">
        <v>30</v>
      </c>
      <c r="M87" s="2"/>
      <c r="N87" s="2" t="s">
        <v>48</v>
      </c>
      <c r="O87" s="2" t="s">
        <v>48</v>
      </c>
      <c r="P87" s="35" t="s">
        <v>48</v>
      </c>
      <c r="Q87" s="35" t="s">
        <v>48</v>
      </c>
      <c r="R87" s="35" t="s">
        <v>48</v>
      </c>
      <c r="S87" s="35" t="s">
        <v>48</v>
      </c>
      <c r="T87" s="5"/>
      <c r="U87" s="5" t="s">
        <v>55</v>
      </c>
      <c r="V87" s="4"/>
      <c r="W87" s="33"/>
    </row>
    <row r="88" spans="1:31" ht="15" hidden="1" customHeight="1">
      <c r="A88" s="4" t="s">
        <v>49</v>
      </c>
      <c r="B88" s="2">
        <v>5146</v>
      </c>
      <c r="C88" s="278">
        <v>42023</v>
      </c>
      <c r="D88" s="2" t="s">
        <v>5</v>
      </c>
      <c r="E88" s="2" t="s">
        <v>15</v>
      </c>
      <c r="F88" s="3"/>
      <c r="G88" s="46">
        <v>612</v>
      </c>
      <c r="H88" s="28">
        <f t="shared" si="10"/>
        <v>0</v>
      </c>
      <c r="I88" s="252"/>
      <c r="J88" s="247">
        <f t="shared" ca="1" si="8"/>
        <v>522</v>
      </c>
      <c r="K88" s="246" t="str">
        <f t="shared" ca="1" si="11"/>
        <v>Sin fecha</v>
      </c>
      <c r="L88" s="2" t="s">
        <v>45</v>
      </c>
      <c r="M88" s="46">
        <f>G88-T88</f>
        <v>0</v>
      </c>
      <c r="N88" s="2" t="s">
        <v>48</v>
      </c>
      <c r="O88" s="2" t="s">
        <v>48</v>
      </c>
      <c r="P88" s="35" t="s">
        <v>48</v>
      </c>
      <c r="Q88" s="35" t="s">
        <v>48</v>
      </c>
      <c r="R88" s="35" t="s">
        <v>48</v>
      </c>
      <c r="S88" s="35" t="s">
        <v>48</v>
      </c>
      <c r="T88" s="5">
        <f>112+400+100</f>
        <v>612</v>
      </c>
      <c r="U88" s="5" t="s">
        <v>55</v>
      </c>
      <c r="V88" s="4" t="s">
        <v>434</v>
      </c>
      <c r="W88" s="33"/>
    </row>
    <row r="89" spans="1:31" ht="15" hidden="1" customHeight="1">
      <c r="A89" s="30" t="s">
        <v>452</v>
      </c>
      <c r="B89" s="301">
        <v>5138</v>
      </c>
      <c r="C89" s="446">
        <v>41970</v>
      </c>
      <c r="D89" s="301" t="s">
        <v>13</v>
      </c>
      <c r="E89" s="301" t="s">
        <v>14</v>
      </c>
      <c r="F89" s="298"/>
      <c r="G89" s="454">
        <v>79</v>
      </c>
      <c r="H89" s="51">
        <f t="shared" si="10"/>
        <v>0</v>
      </c>
      <c r="I89" s="51"/>
      <c r="J89" s="286">
        <f t="shared" ca="1" si="8"/>
        <v>575</v>
      </c>
      <c r="K89" s="287" t="str">
        <f t="shared" ca="1" si="11"/>
        <v>Sin fecha</v>
      </c>
      <c r="L89" s="301" t="s">
        <v>47</v>
      </c>
      <c r="M89" s="301"/>
      <c r="N89" s="301" t="s">
        <v>1</v>
      </c>
      <c r="O89" s="301" t="s">
        <v>1</v>
      </c>
      <c r="P89" s="304"/>
      <c r="Q89" s="304"/>
      <c r="R89" s="304"/>
      <c r="S89" s="304"/>
      <c r="T89" s="290">
        <v>79</v>
      </c>
      <c r="U89" s="290" t="s">
        <v>55</v>
      </c>
      <c r="V89" s="284" t="s">
        <v>151</v>
      </c>
      <c r="W89" s="33"/>
    </row>
    <row r="90" spans="1:31" ht="15" hidden="1" customHeight="1">
      <c r="A90" s="4"/>
      <c r="B90" s="2">
        <v>5142</v>
      </c>
      <c r="C90" s="278">
        <v>41985</v>
      </c>
      <c r="D90" s="2" t="s">
        <v>5</v>
      </c>
      <c r="E90" s="2" t="s">
        <v>40</v>
      </c>
      <c r="F90" s="3">
        <v>60</v>
      </c>
      <c r="G90" s="46">
        <v>70</v>
      </c>
      <c r="H90" s="28">
        <f t="shared" si="10"/>
        <v>0</v>
      </c>
      <c r="I90" s="28"/>
      <c r="J90" s="248">
        <f t="shared" ca="1" si="8"/>
        <v>560</v>
      </c>
      <c r="K90" s="260" t="str">
        <f t="shared" ca="1" si="11"/>
        <v>Sin fecha</v>
      </c>
      <c r="L90" s="2" t="s">
        <v>47</v>
      </c>
      <c r="M90" s="2"/>
      <c r="N90" s="2"/>
      <c r="O90" s="2" t="s">
        <v>48</v>
      </c>
      <c r="P90" s="2"/>
      <c r="Q90" s="2"/>
      <c r="R90" s="41"/>
      <c r="S90" s="2"/>
      <c r="T90" s="5">
        <v>70</v>
      </c>
      <c r="U90" s="5" t="s">
        <v>55</v>
      </c>
      <c r="V90" s="4" t="s">
        <v>60</v>
      </c>
      <c r="W90" s="33"/>
    </row>
    <row r="91" spans="1:31" ht="15" hidden="1" customHeight="1">
      <c r="A91" s="4" t="s">
        <v>49</v>
      </c>
      <c r="B91" s="2">
        <v>5150</v>
      </c>
      <c r="C91" s="278">
        <v>42023</v>
      </c>
      <c r="D91" s="2" t="s">
        <v>111</v>
      </c>
      <c r="E91" s="2" t="s">
        <v>14</v>
      </c>
      <c r="F91" s="3"/>
      <c r="G91" s="46">
        <v>100</v>
      </c>
      <c r="H91" s="583">
        <f t="shared" si="10"/>
        <v>0</v>
      </c>
      <c r="I91" s="255">
        <v>42209</v>
      </c>
      <c r="J91" s="248">
        <f t="shared" ca="1" si="8"/>
        <v>522</v>
      </c>
      <c r="K91" s="260">
        <f t="shared" ca="1" si="11"/>
        <v>-336</v>
      </c>
      <c r="L91" s="2" t="s">
        <v>47</v>
      </c>
      <c r="M91" s="2"/>
      <c r="N91" s="2" t="s">
        <v>69</v>
      </c>
      <c r="O91" s="2" t="s">
        <v>69</v>
      </c>
      <c r="P91" s="15"/>
      <c r="Q91" s="35" t="s">
        <v>48</v>
      </c>
      <c r="R91" s="15"/>
      <c r="S91" s="15"/>
      <c r="T91" s="5">
        <f>50+10+30+10</f>
        <v>100</v>
      </c>
      <c r="U91" s="5" t="s">
        <v>55</v>
      </c>
      <c r="V91" s="4" t="s">
        <v>436</v>
      </c>
      <c r="W91" s="33">
        <v>100</v>
      </c>
    </row>
    <row r="92" spans="1:31" ht="15" hidden="1" customHeight="1">
      <c r="A92" s="31" t="s">
        <v>49</v>
      </c>
      <c r="B92" s="2">
        <v>5147</v>
      </c>
      <c r="C92" s="278">
        <v>42012</v>
      </c>
      <c r="D92" s="2" t="s">
        <v>13</v>
      </c>
      <c r="E92" s="2" t="s">
        <v>14</v>
      </c>
      <c r="F92" s="3"/>
      <c r="G92" s="46">
        <v>330</v>
      </c>
      <c r="H92" s="28">
        <f t="shared" si="10"/>
        <v>17</v>
      </c>
      <c r="I92" s="252"/>
      <c r="J92" s="248">
        <f t="shared" ca="1" si="8"/>
        <v>533</v>
      </c>
      <c r="K92" s="260" t="str">
        <f t="shared" ca="1" si="11"/>
        <v>Sin fecha</v>
      </c>
      <c r="L92" s="2" t="s">
        <v>47</v>
      </c>
      <c r="M92" s="2"/>
      <c r="N92" s="2" t="s">
        <v>1</v>
      </c>
      <c r="O92" s="2" t="s">
        <v>1</v>
      </c>
      <c r="P92" s="15"/>
      <c r="Q92" s="35" t="s">
        <v>48</v>
      </c>
      <c r="R92" s="35" t="s">
        <v>48</v>
      </c>
      <c r="S92" s="35" t="s">
        <v>48</v>
      </c>
      <c r="T92" s="5">
        <f>159+154</f>
        <v>313</v>
      </c>
      <c r="U92" s="5" t="s">
        <v>55</v>
      </c>
      <c r="V92" s="4" t="s">
        <v>151</v>
      </c>
      <c r="W92" s="33"/>
    </row>
    <row r="93" spans="1:31" ht="15" hidden="1" customHeight="1">
      <c r="A93" s="211"/>
      <c r="B93" s="585">
        <v>5150</v>
      </c>
      <c r="C93" s="327">
        <v>42023</v>
      </c>
      <c r="D93" s="585" t="s">
        <v>111</v>
      </c>
      <c r="E93" s="585" t="s">
        <v>15</v>
      </c>
      <c r="F93" s="600"/>
      <c r="G93" s="606">
        <v>288</v>
      </c>
      <c r="H93" s="606">
        <f t="shared" si="10"/>
        <v>0</v>
      </c>
      <c r="I93" s="606"/>
      <c r="J93" s="319">
        <f t="shared" ca="1" si="8"/>
        <v>522</v>
      </c>
      <c r="K93" s="320" t="str">
        <f t="shared" ca="1" si="11"/>
        <v>Sin fecha</v>
      </c>
      <c r="L93" s="585" t="s">
        <v>47</v>
      </c>
      <c r="M93" s="585"/>
      <c r="N93" s="585"/>
      <c r="O93" s="206" t="s">
        <v>48</v>
      </c>
      <c r="P93" s="640"/>
      <c r="Q93" s="640"/>
      <c r="R93" s="640"/>
      <c r="S93" s="640"/>
      <c r="T93" s="600">
        <v>288</v>
      </c>
      <c r="U93" s="210" t="s">
        <v>55</v>
      </c>
      <c r="V93" s="211" t="s">
        <v>60</v>
      </c>
      <c r="W93" s="33"/>
    </row>
    <row r="94" spans="1:31" ht="15" hidden="1" customHeight="1">
      <c r="A94" s="284"/>
      <c r="B94" s="301">
        <v>5150</v>
      </c>
      <c r="C94" s="446">
        <v>42023</v>
      </c>
      <c r="D94" s="301" t="s">
        <v>111</v>
      </c>
      <c r="E94" s="301" t="s">
        <v>31</v>
      </c>
      <c r="F94" s="298">
        <v>100</v>
      </c>
      <c r="G94" s="454">
        <v>102</v>
      </c>
      <c r="H94" s="51">
        <f t="shared" si="10"/>
        <v>0</v>
      </c>
      <c r="I94" s="51"/>
      <c r="J94" s="286">
        <f t="shared" ca="1" si="8"/>
        <v>522</v>
      </c>
      <c r="K94" s="287" t="str">
        <f t="shared" ca="1" si="11"/>
        <v>Sin fecha</v>
      </c>
      <c r="L94" s="301" t="s">
        <v>47</v>
      </c>
      <c r="M94" s="301"/>
      <c r="N94" s="301" t="s">
        <v>69</v>
      </c>
      <c r="O94" s="301" t="s">
        <v>69</v>
      </c>
      <c r="P94" s="301"/>
      <c r="Q94" s="301"/>
      <c r="R94" s="641"/>
      <c r="S94" s="643">
        <v>136</v>
      </c>
      <c r="T94" s="290">
        <f>12+90</f>
        <v>102</v>
      </c>
      <c r="U94" s="290" t="s">
        <v>55</v>
      </c>
      <c r="V94" s="284" t="s">
        <v>60</v>
      </c>
      <c r="W94" s="33"/>
      <c r="Z94" s="16"/>
      <c r="AE94" s="16"/>
    </row>
    <row r="95" spans="1:31" ht="15" hidden="1" customHeight="1">
      <c r="A95" s="4" t="s">
        <v>49</v>
      </c>
      <c r="B95" s="2">
        <v>5159</v>
      </c>
      <c r="C95" s="278">
        <v>42046</v>
      </c>
      <c r="D95" s="2" t="s">
        <v>5</v>
      </c>
      <c r="E95" s="2" t="s">
        <v>19</v>
      </c>
      <c r="F95" s="3">
        <v>70</v>
      </c>
      <c r="G95" s="46">
        <v>60</v>
      </c>
      <c r="H95" s="28">
        <f t="shared" si="10"/>
        <v>0</v>
      </c>
      <c r="I95" s="252"/>
      <c r="J95" s="248">
        <f t="shared" ca="1" si="8"/>
        <v>499</v>
      </c>
      <c r="K95" s="260" t="str">
        <f t="shared" ca="1" si="11"/>
        <v>Sin fecha</v>
      </c>
      <c r="L95" s="2" t="s">
        <v>45</v>
      </c>
      <c r="M95" s="2"/>
      <c r="N95" s="2" t="s">
        <v>48</v>
      </c>
      <c r="O95" s="2" t="s">
        <v>48</v>
      </c>
      <c r="P95" s="35" t="s">
        <v>48</v>
      </c>
      <c r="Q95" s="35" t="s">
        <v>48</v>
      </c>
      <c r="R95" s="35" t="s">
        <v>48</v>
      </c>
      <c r="S95" s="35" t="s">
        <v>48</v>
      </c>
      <c r="T95" s="5">
        <v>60</v>
      </c>
      <c r="U95" s="5" t="s">
        <v>55</v>
      </c>
      <c r="V95" s="4" t="s">
        <v>435</v>
      </c>
      <c r="W95" s="33"/>
      <c r="Z95" s="16"/>
      <c r="AE95" s="16"/>
    </row>
    <row r="96" spans="1:31" ht="15" hidden="1" customHeight="1">
      <c r="A96" s="307" t="s">
        <v>452</v>
      </c>
      <c r="B96" s="449">
        <v>5150</v>
      </c>
      <c r="C96" s="461">
        <v>42023</v>
      </c>
      <c r="D96" s="449" t="s">
        <v>111</v>
      </c>
      <c r="E96" s="449" t="s">
        <v>32</v>
      </c>
      <c r="F96" s="450"/>
      <c r="G96" s="607">
        <v>26</v>
      </c>
      <c r="H96" s="50">
        <f t="shared" si="10"/>
        <v>26</v>
      </c>
      <c r="I96" s="628"/>
      <c r="J96" s="462">
        <f t="shared" ca="1" si="8"/>
        <v>522</v>
      </c>
      <c r="K96" s="463" t="str">
        <f t="shared" ca="1" si="11"/>
        <v>Sin fecha</v>
      </c>
      <c r="L96" s="449" t="s">
        <v>45</v>
      </c>
      <c r="M96" s="449"/>
      <c r="N96" s="449" t="s">
        <v>48</v>
      </c>
      <c r="O96" s="449" t="s">
        <v>48</v>
      </c>
      <c r="P96" s="314" t="s">
        <v>48</v>
      </c>
      <c r="Q96" s="314" t="s">
        <v>48</v>
      </c>
      <c r="R96" s="445"/>
      <c r="S96" s="445"/>
      <c r="T96" s="309"/>
      <c r="U96" s="309" t="s">
        <v>55</v>
      </c>
      <c r="V96" s="307" t="s">
        <v>427</v>
      </c>
      <c r="W96" s="33"/>
      <c r="Z96" s="16"/>
      <c r="AE96" s="16"/>
    </row>
    <row r="97" spans="1:31" ht="15" hidden="1" customHeight="1">
      <c r="A97" s="4"/>
      <c r="B97" s="2">
        <v>5152</v>
      </c>
      <c r="C97" s="278">
        <v>42033</v>
      </c>
      <c r="D97" s="2" t="s">
        <v>24</v>
      </c>
      <c r="E97" s="2" t="s">
        <v>20</v>
      </c>
      <c r="F97" s="3"/>
      <c r="G97" s="46">
        <v>100</v>
      </c>
      <c r="H97" s="28">
        <f t="shared" si="10"/>
        <v>0</v>
      </c>
      <c r="I97" s="28"/>
      <c r="J97" s="248">
        <f t="shared" ca="1" si="8"/>
        <v>512</v>
      </c>
      <c r="K97" s="260" t="str">
        <f t="shared" ca="1" si="11"/>
        <v>Sin fecha</v>
      </c>
      <c r="L97" s="2" t="s">
        <v>47</v>
      </c>
      <c r="M97" s="2"/>
      <c r="N97" s="2"/>
      <c r="O97" s="2" t="s">
        <v>48</v>
      </c>
      <c r="P97" s="35" t="s">
        <v>48</v>
      </c>
      <c r="Q97" s="35" t="s">
        <v>48</v>
      </c>
      <c r="R97" s="35" t="s">
        <v>48</v>
      </c>
      <c r="S97" s="35" t="s">
        <v>48</v>
      </c>
      <c r="T97" s="5">
        <f>50+50</f>
        <v>100</v>
      </c>
      <c r="U97" s="5" t="s">
        <v>55</v>
      </c>
      <c r="V97" s="4" t="s">
        <v>60</v>
      </c>
      <c r="W97" s="33"/>
      <c r="Z97" s="16"/>
      <c r="AE97" s="16"/>
    </row>
    <row r="98" spans="1:31" ht="15" hidden="1" customHeight="1">
      <c r="A98" s="307"/>
      <c r="B98" s="449">
        <v>5156</v>
      </c>
      <c r="C98" s="461">
        <v>42046</v>
      </c>
      <c r="D98" s="449" t="s">
        <v>34</v>
      </c>
      <c r="E98" s="449">
        <v>1860</v>
      </c>
      <c r="F98" s="450">
        <v>500</v>
      </c>
      <c r="G98" s="607">
        <v>501</v>
      </c>
      <c r="H98" s="50">
        <f t="shared" si="10"/>
        <v>0</v>
      </c>
      <c r="I98" s="50"/>
      <c r="J98" s="462">
        <f t="shared" ca="1" si="8"/>
        <v>499</v>
      </c>
      <c r="K98" s="463" t="str">
        <f t="shared" ca="1" si="11"/>
        <v>Sin fecha</v>
      </c>
      <c r="L98" s="449" t="s">
        <v>47</v>
      </c>
      <c r="M98" s="449"/>
      <c r="N98" s="449"/>
      <c r="O98" s="449"/>
      <c r="P98" s="314" t="s">
        <v>48</v>
      </c>
      <c r="Q98" s="314" t="s">
        <v>48</v>
      </c>
      <c r="R98" s="314" t="s">
        <v>48</v>
      </c>
      <c r="S98" s="314" t="s">
        <v>48</v>
      </c>
      <c r="T98" s="309">
        <v>501</v>
      </c>
      <c r="U98" s="309" t="s">
        <v>55</v>
      </c>
      <c r="V98" s="307" t="s">
        <v>60</v>
      </c>
      <c r="W98" s="33"/>
      <c r="Z98" s="16"/>
      <c r="AE98" s="16"/>
    </row>
    <row r="99" spans="1:31" ht="15" hidden="1" customHeight="1">
      <c r="A99" s="4" t="s">
        <v>49</v>
      </c>
      <c r="B99" s="2">
        <v>5157</v>
      </c>
      <c r="C99" s="278">
        <v>42046</v>
      </c>
      <c r="D99" s="2" t="s">
        <v>3</v>
      </c>
      <c r="E99" s="1" t="s">
        <v>456</v>
      </c>
      <c r="F99" s="3"/>
      <c r="G99" s="46">
        <v>1334</v>
      </c>
      <c r="H99" s="28">
        <f t="shared" si="10"/>
        <v>0</v>
      </c>
      <c r="I99" s="252"/>
      <c r="J99" s="248">
        <f t="shared" ca="1" si="8"/>
        <v>499</v>
      </c>
      <c r="K99" s="260" t="str">
        <f t="shared" ca="1" si="11"/>
        <v>Sin fecha</v>
      </c>
      <c r="L99" s="2" t="s">
        <v>64</v>
      </c>
      <c r="M99" s="2"/>
      <c r="N99" s="2" t="s">
        <v>48</v>
      </c>
      <c r="O99" s="2" t="s">
        <v>48</v>
      </c>
      <c r="P99" s="35" t="s">
        <v>48</v>
      </c>
      <c r="Q99" s="35" t="s">
        <v>48</v>
      </c>
      <c r="R99" s="35" t="s">
        <v>48</v>
      </c>
      <c r="S99" s="35" t="s">
        <v>48</v>
      </c>
      <c r="T99" s="5">
        <f>200+100+246+100+200+190+140+158</f>
        <v>1334</v>
      </c>
      <c r="U99" s="5" t="s">
        <v>55</v>
      </c>
      <c r="V99" s="43" t="s">
        <v>433</v>
      </c>
      <c r="W99" s="33"/>
      <c r="Z99" s="16"/>
      <c r="AE99" s="16"/>
    </row>
    <row r="100" spans="1:31" ht="15" hidden="1" customHeight="1">
      <c r="A100" s="211"/>
      <c r="B100" s="587">
        <v>5158</v>
      </c>
      <c r="C100" s="327">
        <v>42046</v>
      </c>
      <c r="D100" s="587" t="s">
        <v>111</v>
      </c>
      <c r="E100" s="587" t="s">
        <v>17</v>
      </c>
      <c r="F100" s="604">
        <v>150</v>
      </c>
      <c r="G100" s="52">
        <v>147</v>
      </c>
      <c r="H100" s="52">
        <f t="shared" si="10"/>
        <v>0</v>
      </c>
      <c r="I100" s="52"/>
      <c r="J100" s="319">
        <f t="shared" ca="1" si="8"/>
        <v>499</v>
      </c>
      <c r="K100" s="320" t="str">
        <f t="shared" ca="1" si="11"/>
        <v>Sin fecha</v>
      </c>
      <c r="L100" s="587" t="s">
        <v>47</v>
      </c>
      <c r="M100" s="587"/>
      <c r="N100" s="587"/>
      <c r="O100" s="587"/>
      <c r="P100" s="587"/>
      <c r="Q100" s="587"/>
      <c r="R100" s="587"/>
      <c r="S100" s="587"/>
      <c r="T100" s="604">
        <v>147</v>
      </c>
      <c r="U100" s="210" t="s">
        <v>55</v>
      </c>
      <c r="V100" s="211" t="s">
        <v>60</v>
      </c>
      <c r="W100" s="33"/>
      <c r="Z100" s="16"/>
      <c r="AE100" s="16"/>
    </row>
    <row r="101" spans="1:31" ht="15" hidden="1" customHeight="1">
      <c r="A101" s="4"/>
      <c r="B101" s="11">
        <v>5158</v>
      </c>
      <c r="C101" s="278">
        <v>42046</v>
      </c>
      <c r="D101" s="11" t="s">
        <v>111</v>
      </c>
      <c r="E101" s="11" t="s">
        <v>18</v>
      </c>
      <c r="F101" s="12">
        <v>50</v>
      </c>
      <c r="G101" s="13">
        <v>78</v>
      </c>
      <c r="H101" s="13">
        <f t="shared" si="10"/>
        <v>0</v>
      </c>
      <c r="I101" s="13"/>
      <c r="J101" s="247">
        <f t="shared" ca="1" si="8"/>
        <v>499</v>
      </c>
      <c r="K101" s="246" t="str">
        <f t="shared" ca="1" si="11"/>
        <v>Sin fecha</v>
      </c>
      <c r="L101" s="11" t="s">
        <v>47</v>
      </c>
      <c r="M101" s="11"/>
      <c r="N101" s="11"/>
      <c r="O101" s="11"/>
      <c r="P101" s="14"/>
      <c r="Q101" s="14"/>
      <c r="R101" s="14"/>
      <c r="S101" s="14"/>
      <c r="T101" s="12">
        <v>78</v>
      </c>
      <c r="U101" s="5" t="s">
        <v>55</v>
      </c>
      <c r="V101" s="4" t="s">
        <v>60</v>
      </c>
      <c r="W101" s="33"/>
      <c r="Z101" s="16"/>
      <c r="AE101" s="16"/>
    </row>
    <row r="102" spans="1:31" ht="15" hidden="1" customHeight="1">
      <c r="A102" s="4"/>
      <c r="B102" s="22">
        <v>5159</v>
      </c>
      <c r="C102" s="278">
        <v>42046</v>
      </c>
      <c r="D102" s="22" t="s">
        <v>5</v>
      </c>
      <c r="E102" s="22" t="s">
        <v>20</v>
      </c>
      <c r="F102" s="280"/>
      <c r="G102" s="279">
        <v>70</v>
      </c>
      <c r="H102" s="279">
        <f t="shared" si="10"/>
        <v>0</v>
      </c>
      <c r="I102" s="279"/>
      <c r="J102" s="247">
        <f t="shared" ca="1" si="8"/>
        <v>499</v>
      </c>
      <c r="K102" s="246" t="str">
        <f t="shared" ca="1" si="11"/>
        <v>Sin fecha</v>
      </c>
      <c r="L102" s="22" t="s">
        <v>47</v>
      </c>
      <c r="M102" s="22"/>
      <c r="N102" s="22"/>
      <c r="O102" s="22"/>
      <c r="P102" s="23"/>
      <c r="Q102" s="23"/>
      <c r="R102" s="23"/>
      <c r="S102" s="23"/>
      <c r="T102" s="280">
        <v>70</v>
      </c>
      <c r="U102" s="5" t="s">
        <v>55</v>
      </c>
      <c r="V102" s="4" t="s">
        <v>60</v>
      </c>
      <c r="W102" s="33"/>
      <c r="Z102" s="16"/>
      <c r="AE102" s="16"/>
    </row>
    <row r="103" spans="1:31" ht="15" hidden="1" customHeight="1">
      <c r="A103" s="4" t="s">
        <v>49</v>
      </c>
      <c r="B103" s="2">
        <v>5171</v>
      </c>
      <c r="C103" s="278">
        <v>42076</v>
      </c>
      <c r="D103" s="53" t="s">
        <v>24</v>
      </c>
      <c r="E103" s="2" t="s">
        <v>17</v>
      </c>
      <c r="F103" s="3">
        <v>150</v>
      </c>
      <c r="G103" s="46">
        <v>154</v>
      </c>
      <c r="H103" s="28">
        <f t="shared" si="10"/>
        <v>0</v>
      </c>
      <c r="I103" s="624" t="s">
        <v>549</v>
      </c>
      <c r="J103" s="248">
        <f t="shared" ca="1" si="8"/>
        <v>469</v>
      </c>
      <c r="K103" s="246">
        <f t="shared" ca="1" si="11"/>
        <v>-373</v>
      </c>
      <c r="L103" s="2" t="s">
        <v>47</v>
      </c>
      <c r="M103" s="2"/>
      <c r="N103" s="41" t="s">
        <v>69</v>
      </c>
      <c r="O103" s="41" t="s">
        <v>69</v>
      </c>
      <c r="P103" s="41"/>
      <c r="Q103" s="69"/>
      <c r="R103" s="35" t="s">
        <v>48</v>
      </c>
      <c r="S103" s="35" t="s">
        <v>48</v>
      </c>
      <c r="T103" s="5">
        <f>30+124</f>
        <v>154</v>
      </c>
      <c r="U103" s="5" t="s">
        <v>55</v>
      </c>
      <c r="V103" s="4" t="s">
        <v>434</v>
      </c>
      <c r="W103" s="33"/>
      <c r="Z103" s="16"/>
      <c r="AE103" s="16"/>
    </row>
    <row r="104" spans="1:31" ht="15" hidden="1" customHeight="1">
      <c r="A104" s="4" t="s">
        <v>49</v>
      </c>
      <c r="B104" s="53">
        <v>5192</v>
      </c>
      <c r="C104" s="278">
        <v>42130</v>
      </c>
      <c r="D104" s="15" t="s">
        <v>21</v>
      </c>
      <c r="E104" s="15" t="s">
        <v>448</v>
      </c>
      <c r="F104" s="4"/>
      <c r="G104" s="40">
        <v>300</v>
      </c>
      <c r="H104" s="921">
        <f t="shared" si="10"/>
        <v>-49</v>
      </c>
      <c r="I104" s="946">
        <v>42161</v>
      </c>
      <c r="J104" s="248">
        <f t="shared" ca="1" si="8"/>
        <v>415</v>
      </c>
      <c r="K104" s="246">
        <f t="shared" ca="1" si="11"/>
        <v>-384</v>
      </c>
      <c r="L104" s="2" t="s">
        <v>47</v>
      </c>
      <c r="M104" s="2"/>
      <c r="N104" s="4" t="s">
        <v>69</v>
      </c>
      <c r="O104" s="4" t="s">
        <v>69</v>
      </c>
      <c r="P104" s="4"/>
      <c r="Q104" s="35" t="s">
        <v>48</v>
      </c>
      <c r="R104" s="4"/>
      <c r="S104" s="35" t="s">
        <v>48</v>
      </c>
      <c r="T104" s="5">
        <f>250+99</f>
        <v>349</v>
      </c>
      <c r="U104" s="5" t="s">
        <v>55</v>
      </c>
      <c r="V104" s="4" t="s">
        <v>711</v>
      </c>
      <c r="Z104" s="16"/>
      <c r="AE104" s="16"/>
    </row>
    <row r="105" spans="1:31" ht="15" hidden="1" customHeight="1">
      <c r="A105" s="4" t="s">
        <v>49</v>
      </c>
      <c r="B105" s="53">
        <v>5192</v>
      </c>
      <c r="C105" s="278">
        <v>42130</v>
      </c>
      <c r="D105" s="15" t="s">
        <v>21</v>
      </c>
      <c r="E105" s="15" t="s">
        <v>440</v>
      </c>
      <c r="F105" s="4"/>
      <c r="G105" s="46">
        <v>400</v>
      </c>
      <c r="H105" s="921">
        <f t="shared" si="10"/>
        <v>0</v>
      </c>
      <c r="I105" s="946">
        <v>42161</v>
      </c>
      <c r="J105" s="248">
        <f t="shared" ca="1" si="8"/>
        <v>415</v>
      </c>
      <c r="K105" s="246">
        <f t="shared" ca="1" si="11"/>
        <v>-384</v>
      </c>
      <c r="L105" s="2" t="s">
        <v>47</v>
      </c>
      <c r="M105" s="2"/>
      <c r="N105" s="4" t="s">
        <v>69</v>
      </c>
      <c r="O105" s="4" t="s">
        <v>69</v>
      </c>
      <c r="P105" s="4"/>
      <c r="Q105" s="35" t="s">
        <v>48</v>
      </c>
      <c r="R105" s="4"/>
      <c r="S105" s="35" t="s">
        <v>48</v>
      </c>
      <c r="T105" s="5">
        <f>180+220</f>
        <v>400</v>
      </c>
      <c r="U105" s="5" t="s">
        <v>55</v>
      </c>
      <c r="V105" s="4" t="s">
        <v>711</v>
      </c>
      <c r="Z105" s="16"/>
      <c r="AE105" s="16"/>
    </row>
    <row r="106" spans="1:31" ht="15" hidden="1" customHeight="1">
      <c r="A106" s="4" t="s">
        <v>452</v>
      </c>
      <c r="B106" s="11">
        <v>5161</v>
      </c>
      <c r="C106" s="278">
        <v>42046</v>
      </c>
      <c r="D106" s="11" t="s">
        <v>13</v>
      </c>
      <c r="E106" s="11" t="s">
        <v>39</v>
      </c>
      <c r="F106" s="12">
        <v>100</v>
      </c>
      <c r="G106" s="13">
        <v>99</v>
      </c>
      <c r="H106" s="13">
        <f t="shared" si="10"/>
        <v>0</v>
      </c>
      <c r="I106" s="629"/>
      <c r="J106" s="248">
        <f t="shared" ca="1" si="8"/>
        <v>499</v>
      </c>
      <c r="K106" s="246" t="str">
        <f t="shared" ca="1" si="11"/>
        <v>Sin fecha</v>
      </c>
      <c r="L106" s="11" t="s">
        <v>47</v>
      </c>
      <c r="M106" s="11"/>
      <c r="N106" s="11"/>
      <c r="O106" s="2" t="s">
        <v>48</v>
      </c>
      <c r="P106" s="14"/>
      <c r="Q106" s="14"/>
      <c r="R106" s="14"/>
      <c r="S106" s="14"/>
      <c r="T106" s="12">
        <v>99</v>
      </c>
      <c r="U106" s="5" t="s">
        <v>55</v>
      </c>
      <c r="V106" s="4" t="s">
        <v>60</v>
      </c>
      <c r="W106" s="33"/>
      <c r="Z106" s="16"/>
      <c r="AE106" s="16"/>
    </row>
    <row r="107" spans="1:31" ht="15" hidden="1" customHeight="1">
      <c r="A107" s="284" t="s">
        <v>452</v>
      </c>
      <c r="B107" s="584">
        <v>5166</v>
      </c>
      <c r="C107" s="446">
        <v>42060</v>
      </c>
      <c r="D107" s="584" t="s">
        <v>13</v>
      </c>
      <c r="E107" s="584" t="s">
        <v>23</v>
      </c>
      <c r="F107" s="599">
        <v>145</v>
      </c>
      <c r="G107" s="27">
        <v>147</v>
      </c>
      <c r="H107" s="27">
        <f t="shared" si="10"/>
        <v>0</v>
      </c>
      <c r="I107" s="618"/>
      <c r="J107" s="302">
        <f t="shared" ca="1" si="8"/>
        <v>485</v>
      </c>
      <c r="K107" s="287" t="str">
        <f t="shared" ca="1" si="11"/>
        <v>Sin fecha</v>
      </c>
      <c r="L107" s="584" t="s">
        <v>47</v>
      </c>
      <c r="M107" s="584"/>
      <c r="N107" s="584"/>
      <c r="O107" s="584"/>
      <c r="P107" s="639"/>
      <c r="Q107" s="639"/>
      <c r="R107" s="639"/>
      <c r="S107" s="639"/>
      <c r="T107" s="599">
        <v>147</v>
      </c>
      <c r="U107" s="290" t="s">
        <v>55</v>
      </c>
      <c r="V107" s="284" t="s">
        <v>60</v>
      </c>
      <c r="W107" s="33"/>
      <c r="Z107" s="16"/>
      <c r="AE107" s="16"/>
    </row>
    <row r="108" spans="1:31" ht="15" hidden="1" customHeight="1">
      <c r="A108" s="4" t="s">
        <v>452</v>
      </c>
      <c r="B108" s="2">
        <v>5171</v>
      </c>
      <c r="C108" s="278">
        <v>42076</v>
      </c>
      <c r="D108" s="2" t="s">
        <v>24</v>
      </c>
      <c r="E108" s="2" t="s">
        <v>23</v>
      </c>
      <c r="F108" s="3"/>
      <c r="G108" s="46">
        <v>150</v>
      </c>
      <c r="H108" s="28">
        <f t="shared" si="10"/>
        <v>3</v>
      </c>
      <c r="I108" s="252"/>
      <c r="J108" s="248">
        <f t="shared" ca="1" si="8"/>
        <v>469</v>
      </c>
      <c r="K108" s="260" t="str">
        <f t="shared" ca="1" si="11"/>
        <v>Sin fecha</v>
      </c>
      <c r="L108" s="2" t="s">
        <v>47</v>
      </c>
      <c r="M108" s="2"/>
      <c r="N108" s="2" t="s">
        <v>69</v>
      </c>
      <c r="O108" s="2" t="s">
        <v>48</v>
      </c>
      <c r="P108" s="35" t="s">
        <v>48</v>
      </c>
      <c r="Q108" s="69"/>
      <c r="R108" s="35" t="s">
        <v>48</v>
      </c>
      <c r="S108" s="35" t="s">
        <v>48</v>
      </c>
      <c r="T108" s="5">
        <f>50+97</f>
        <v>147</v>
      </c>
      <c r="U108" s="5" t="s">
        <v>55</v>
      </c>
      <c r="V108" s="4" t="s">
        <v>151</v>
      </c>
      <c r="W108" s="33"/>
      <c r="Z108" s="16"/>
      <c r="AE108" s="16"/>
    </row>
    <row r="109" spans="1:31" ht="15" hidden="1" customHeight="1">
      <c r="A109" s="4" t="s">
        <v>49</v>
      </c>
      <c r="B109" s="2">
        <v>5174</v>
      </c>
      <c r="C109" s="278">
        <v>42082</v>
      </c>
      <c r="D109" s="2" t="s">
        <v>24</v>
      </c>
      <c r="E109" s="2" t="s">
        <v>87</v>
      </c>
      <c r="F109" s="3"/>
      <c r="G109" s="46">
        <v>150</v>
      </c>
      <c r="H109" s="28">
        <f t="shared" si="10"/>
        <v>1</v>
      </c>
      <c r="I109" s="253" t="s">
        <v>549</v>
      </c>
      <c r="J109" s="248">
        <f t="shared" ca="1" si="8"/>
        <v>463</v>
      </c>
      <c r="K109" s="260">
        <f t="shared" ca="1" si="11"/>
        <v>-373</v>
      </c>
      <c r="L109" s="2" t="s">
        <v>47</v>
      </c>
      <c r="M109" s="2"/>
      <c r="N109" s="2" t="s">
        <v>1</v>
      </c>
      <c r="O109" s="2" t="s">
        <v>1</v>
      </c>
      <c r="P109" s="35" t="s">
        <v>48</v>
      </c>
      <c r="Q109" s="35" t="s">
        <v>48</v>
      </c>
      <c r="R109" s="35" t="s">
        <v>48</v>
      </c>
      <c r="S109" s="35" t="s">
        <v>48</v>
      </c>
      <c r="T109" s="5">
        <f>110+39</f>
        <v>149</v>
      </c>
      <c r="U109" s="5" t="s">
        <v>55</v>
      </c>
      <c r="V109" s="4" t="s">
        <v>436</v>
      </c>
      <c r="W109" s="33">
        <v>39</v>
      </c>
      <c r="Z109" s="16"/>
      <c r="AE109" s="16"/>
    </row>
    <row r="110" spans="1:31" ht="15" hidden="1" customHeight="1">
      <c r="A110" s="211" t="s">
        <v>49</v>
      </c>
      <c r="B110" s="206">
        <v>5180</v>
      </c>
      <c r="C110" s="327">
        <v>42102</v>
      </c>
      <c r="D110" s="206" t="s">
        <v>5</v>
      </c>
      <c r="E110" s="206" t="s">
        <v>29</v>
      </c>
      <c r="F110" s="207"/>
      <c r="G110" s="460">
        <v>70</v>
      </c>
      <c r="H110" s="49">
        <f t="shared" si="10"/>
        <v>0</v>
      </c>
      <c r="I110" s="620"/>
      <c r="J110" s="293">
        <f t="shared" ca="1" si="8"/>
        <v>443</v>
      </c>
      <c r="K110" s="320" t="str">
        <f t="shared" ca="1" si="11"/>
        <v>Sin fecha</v>
      </c>
      <c r="L110" s="206" t="s">
        <v>45</v>
      </c>
      <c r="M110" s="206"/>
      <c r="N110" s="206" t="s">
        <v>48</v>
      </c>
      <c r="O110" s="206" t="s">
        <v>48</v>
      </c>
      <c r="P110" s="209" t="s">
        <v>48</v>
      </c>
      <c r="Q110" s="209" t="s">
        <v>48</v>
      </c>
      <c r="R110" s="209" t="s">
        <v>48</v>
      </c>
      <c r="S110" s="209" t="s">
        <v>48</v>
      </c>
      <c r="T110" s="210">
        <f>30+40</f>
        <v>70</v>
      </c>
      <c r="U110" s="210" t="s">
        <v>55</v>
      </c>
      <c r="V110" s="211" t="s">
        <v>436</v>
      </c>
      <c r="W110" s="33">
        <v>40</v>
      </c>
      <c r="Z110" s="16"/>
      <c r="AE110" s="16"/>
    </row>
    <row r="111" spans="1:31" ht="15" hidden="1" customHeight="1">
      <c r="A111" s="4" t="s">
        <v>49</v>
      </c>
      <c r="B111" s="2">
        <v>5104</v>
      </c>
      <c r="C111" s="278">
        <v>42103</v>
      </c>
      <c r="D111" s="2" t="s">
        <v>11</v>
      </c>
      <c r="E111" s="2" t="s">
        <v>10</v>
      </c>
      <c r="F111" s="3"/>
      <c r="G111" s="40">
        <v>150</v>
      </c>
      <c r="H111" s="28">
        <f t="shared" si="10"/>
        <v>150</v>
      </c>
      <c r="I111" s="617"/>
      <c r="J111" s="248">
        <f t="shared" ca="1" si="8"/>
        <v>442</v>
      </c>
      <c r="K111" s="246" t="str">
        <f t="shared" ref="K111:K142" ca="1" si="12">IF(I111="","Sin fecha",((I111-TODAY())))</f>
        <v>Sin fecha</v>
      </c>
      <c r="L111" s="2" t="s">
        <v>45</v>
      </c>
      <c r="M111" s="2"/>
      <c r="N111" s="2" t="s">
        <v>48</v>
      </c>
      <c r="O111" s="2" t="s">
        <v>48</v>
      </c>
      <c r="P111" s="35" t="s">
        <v>48</v>
      </c>
      <c r="Q111" s="35" t="s">
        <v>48</v>
      </c>
      <c r="R111" s="35" t="s">
        <v>48</v>
      </c>
      <c r="S111" s="35" t="s">
        <v>48</v>
      </c>
      <c r="T111" s="5"/>
      <c r="U111" s="5" t="s">
        <v>55</v>
      </c>
      <c r="V111" s="4"/>
      <c r="W111" s="33"/>
      <c r="Z111" s="16"/>
      <c r="AE111" s="16"/>
    </row>
    <row r="112" spans="1:31" ht="15" hidden="1" customHeight="1">
      <c r="A112" s="15" t="s">
        <v>49</v>
      </c>
      <c r="B112" s="2">
        <v>5182</v>
      </c>
      <c r="C112" s="278">
        <v>42103</v>
      </c>
      <c r="D112" s="2" t="s">
        <v>13</v>
      </c>
      <c r="E112" s="53" t="s">
        <v>41</v>
      </c>
      <c r="F112" s="3"/>
      <c r="G112" s="347">
        <v>300</v>
      </c>
      <c r="H112" s="335">
        <f t="shared" si="10"/>
        <v>10</v>
      </c>
      <c r="I112" s="617"/>
      <c r="J112" s="248">
        <f t="shared" ca="1" si="8"/>
        <v>442</v>
      </c>
      <c r="K112" s="246" t="str">
        <f t="shared" ca="1" si="12"/>
        <v>Sin fecha</v>
      </c>
      <c r="L112" s="2" t="s">
        <v>47</v>
      </c>
      <c r="M112" s="2"/>
      <c r="N112" s="2" t="s">
        <v>1</v>
      </c>
      <c r="O112" s="2" t="s">
        <v>1</v>
      </c>
      <c r="P112" s="2"/>
      <c r="Q112" s="35" t="s">
        <v>48</v>
      </c>
      <c r="R112" s="2"/>
      <c r="S112" s="35" t="s">
        <v>48</v>
      </c>
      <c r="T112" s="5">
        <v>290</v>
      </c>
      <c r="U112" s="5" t="s">
        <v>55</v>
      </c>
      <c r="V112" s="4" t="s">
        <v>434</v>
      </c>
      <c r="W112" s="33"/>
      <c r="Z112" s="16"/>
      <c r="AE112" s="16"/>
    </row>
    <row r="113" spans="1:32" ht="15" hidden="1" customHeight="1">
      <c r="A113" s="284"/>
      <c r="B113" s="301">
        <v>5173</v>
      </c>
      <c r="C113" s="446">
        <v>42076</v>
      </c>
      <c r="D113" s="301" t="s">
        <v>111</v>
      </c>
      <c r="E113" s="301" t="s">
        <v>23</v>
      </c>
      <c r="F113" s="298">
        <v>150</v>
      </c>
      <c r="G113" s="454">
        <v>178</v>
      </c>
      <c r="H113" s="51">
        <f t="shared" si="10"/>
        <v>0</v>
      </c>
      <c r="I113" s="626"/>
      <c r="J113" s="302">
        <f t="shared" ca="1" si="8"/>
        <v>469</v>
      </c>
      <c r="K113" s="287" t="str">
        <f t="shared" ca="1" si="12"/>
        <v>Sin fecha</v>
      </c>
      <c r="L113" s="301" t="s">
        <v>47</v>
      </c>
      <c r="M113" s="301"/>
      <c r="N113" s="301" t="s">
        <v>48</v>
      </c>
      <c r="O113" s="301"/>
      <c r="P113" s="455"/>
      <c r="Q113" s="289" t="s">
        <v>48</v>
      </c>
      <c r="R113" s="641"/>
      <c r="S113" s="642">
        <v>179</v>
      </c>
      <c r="T113" s="290">
        <f>9+155+14</f>
        <v>178</v>
      </c>
      <c r="U113" s="290" t="s">
        <v>55</v>
      </c>
      <c r="V113" s="284" t="s">
        <v>60</v>
      </c>
      <c r="W113" s="33"/>
      <c r="Z113" s="16"/>
      <c r="AE113" s="16"/>
    </row>
    <row r="114" spans="1:32" ht="15" hidden="1" customHeight="1">
      <c r="A114" s="4"/>
      <c r="B114" s="2">
        <v>5173</v>
      </c>
      <c r="C114" s="278">
        <v>42076</v>
      </c>
      <c r="D114" s="2" t="s">
        <v>111</v>
      </c>
      <c r="E114" s="2" t="s">
        <v>20</v>
      </c>
      <c r="F114" s="3">
        <v>100</v>
      </c>
      <c r="G114" s="46">
        <v>110</v>
      </c>
      <c r="H114" s="28">
        <f t="shared" si="10"/>
        <v>0</v>
      </c>
      <c r="I114" s="28"/>
      <c r="J114" s="248">
        <f t="shared" ca="1" si="8"/>
        <v>469</v>
      </c>
      <c r="K114" s="260" t="str">
        <f t="shared" ca="1" si="12"/>
        <v>Sin fecha</v>
      </c>
      <c r="L114" s="2" t="s">
        <v>47</v>
      </c>
      <c r="M114" s="2"/>
      <c r="N114" s="2" t="s">
        <v>48</v>
      </c>
      <c r="O114" s="2" t="s">
        <v>48</v>
      </c>
      <c r="P114" s="35" t="s">
        <v>48</v>
      </c>
      <c r="Q114" s="35" t="s">
        <v>48</v>
      </c>
      <c r="R114" s="35" t="s">
        <v>48</v>
      </c>
      <c r="S114" s="35" t="s">
        <v>48</v>
      </c>
      <c r="T114" s="5">
        <f>50+60</f>
        <v>110</v>
      </c>
      <c r="U114" s="5" t="s">
        <v>55</v>
      </c>
      <c r="V114" s="4" t="s">
        <v>60</v>
      </c>
      <c r="W114" s="33"/>
      <c r="Z114" s="16"/>
      <c r="AE114" s="16"/>
    </row>
    <row r="115" spans="1:32" ht="15" hidden="1" customHeight="1">
      <c r="A115" s="4" t="s">
        <v>49</v>
      </c>
      <c r="B115" s="2">
        <v>5173</v>
      </c>
      <c r="C115" s="278">
        <v>42076</v>
      </c>
      <c r="D115" s="2" t="s">
        <v>111</v>
      </c>
      <c r="E115" s="2" t="s">
        <v>38</v>
      </c>
      <c r="F115" s="3">
        <v>100</v>
      </c>
      <c r="G115" s="46">
        <f>130+5</f>
        <v>135</v>
      </c>
      <c r="H115" s="28">
        <f t="shared" si="10"/>
        <v>2</v>
      </c>
      <c r="I115" s="252"/>
      <c r="J115" s="248">
        <f t="shared" ca="1" si="8"/>
        <v>469</v>
      </c>
      <c r="K115" s="260" t="str">
        <f t="shared" ca="1" si="12"/>
        <v>Sin fecha</v>
      </c>
      <c r="L115" s="2" t="s">
        <v>47</v>
      </c>
      <c r="M115" s="2"/>
      <c r="N115" s="2" t="s">
        <v>69</v>
      </c>
      <c r="O115" s="2" t="s">
        <v>69</v>
      </c>
      <c r="P115" s="34"/>
      <c r="Q115" s="35" t="s">
        <v>48</v>
      </c>
      <c r="R115" s="34">
        <v>90</v>
      </c>
      <c r="S115" s="36">
        <f>91-27</f>
        <v>64</v>
      </c>
      <c r="T115" s="5">
        <f>3+12+29+27+62</f>
        <v>133</v>
      </c>
      <c r="U115" s="5" t="s">
        <v>55</v>
      </c>
      <c r="V115" s="4" t="s">
        <v>151</v>
      </c>
      <c r="W115" s="47" t="s">
        <v>386</v>
      </c>
      <c r="Z115" s="16"/>
      <c r="AE115" s="16"/>
    </row>
    <row r="116" spans="1:32" ht="15" hidden="1" customHeight="1">
      <c r="A116" s="4" t="s">
        <v>49</v>
      </c>
      <c r="B116" s="2">
        <v>5173</v>
      </c>
      <c r="C116" s="278">
        <v>42076</v>
      </c>
      <c r="D116" s="2" t="s">
        <v>111</v>
      </c>
      <c r="E116" s="2" t="s">
        <v>22</v>
      </c>
      <c r="F116" s="3">
        <v>200</v>
      </c>
      <c r="G116" s="46">
        <v>198</v>
      </c>
      <c r="H116" s="28">
        <f t="shared" si="10"/>
        <v>0</v>
      </c>
      <c r="I116" s="252"/>
      <c r="J116" s="248">
        <f t="shared" ca="1" si="8"/>
        <v>469</v>
      </c>
      <c r="K116" s="260" t="str">
        <f t="shared" ca="1" si="12"/>
        <v>Sin fecha</v>
      </c>
      <c r="L116" s="2" t="s">
        <v>47</v>
      </c>
      <c r="M116" s="2"/>
      <c r="N116" s="2" t="s">
        <v>69</v>
      </c>
      <c r="O116" s="2" t="s">
        <v>69</v>
      </c>
      <c r="P116" s="4"/>
      <c r="Q116" s="35" t="s">
        <v>48</v>
      </c>
      <c r="R116" s="4" t="s">
        <v>55</v>
      </c>
      <c r="S116" s="4"/>
      <c r="T116" s="5">
        <f>9+41+50+48+50</f>
        <v>198</v>
      </c>
      <c r="U116" s="5" t="s">
        <v>55</v>
      </c>
      <c r="V116" s="43" t="s">
        <v>433</v>
      </c>
      <c r="W116" s="33"/>
      <c r="Z116" s="16"/>
      <c r="AE116" s="16"/>
    </row>
    <row r="117" spans="1:32" ht="15" hidden="1" customHeight="1">
      <c r="A117" s="211" t="s">
        <v>49</v>
      </c>
      <c r="B117" s="206">
        <v>5173</v>
      </c>
      <c r="C117" s="327">
        <v>42076</v>
      </c>
      <c r="D117" s="206" t="s">
        <v>111</v>
      </c>
      <c r="E117" s="206" t="s">
        <v>36</v>
      </c>
      <c r="F117" s="207">
        <v>250</v>
      </c>
      <c r="G117" s="460">
        <f>220+127</f>
        <v>347</v>
      </c>
      <c r="H117" s="49">
        <f t="shared" si="10"/>
        <v>29</v>
      </c>
      <c r="I117" s="251"/>
      <c r="J117" s="293">
        <f t="shared" ca="1" si="8"/>
        <v>469</v>
      </c>
      <c r="K117" s="320" t="str">
        <f t="shared" ca="1" si="12"/>
        <v>Sin fecha</v>
      </c>
      <c r="L117" s="206" t="s">
        <v>47</v>
      </c>
      <c r="M117" s="206"/>
      <c r="N117" s="206" t="s">
        <v>69</v>
      </c>
      <c r="O117" s="206" t="s">
        <v>48</v>
      </c>
      <c r="P117" s="209" t="s">
        <v>48</v>
      </c>
      <c r="Q117" s="209" t="s">
        <v>48</v>
      </c>
      <c r="R117" s="329">
        <v>240</v>
      </c>
      <c r="S117" s="330">
        <v>119</v>
      </c>
      <c r="T117" s="210">
        <f>63+6+30+9+18+102+20+70</f>
        <v>318</v>
      </c>
      <c r="U117" s="210" t="s">
        <v>55</v>
      </c>
      <c r="V117" s="211" t="s">
        <v>151</v>
      </c>
      <c r="W117" s="33" t="s">
        <v>386</v>
      </c>
      <c r="Z117" s="16"/>
      <c r="AE117" s="16"/>
    </row>
    <row r="118" spans="1:32" ht="15" hidden="1" customHeight="1">
      <c r="A118" s="4"/>
      <c r="B118" s="2">
        <v>5174</v>
      </c>
      <c r="C118" s="278">
        <v>42082</v>
      </c>
      <c r="D118" s="2" t="s">
        <v>24</v>
      </c>
      <c r="E118" s="2" t="s">
        <v>14</v>
      </c>
      <c r="F118" s="3">
        <v>153</v>
      </c>
      <c r="G118" s="46">
        <v>156</v>
      </c>
      <c r="H118" s="28">
        <f t="shared" si="10"/>
        <v>0</v>
      </c>
      <c r="I118" s="28"/>
      <c r="J118" s="248">
        <f t="shared" ca="1" si="8"/>
        <v>463</v>
      </c>
      <c r="K118" s="246" t="str">
        <f t="shared" ca="1" si="12"/>
        <v>Sin fecha</v>
      </c>
      <c r="L118" s="2" t="s">
        <v>47</v>
      </c>
      <c r="M118" s="2"/>
      <c r="N118" s="2" t="s">
        <v>1</v>
      </c>
      <c r="O118" s="2" t="s">
        <v>1</v>
      </c>
      <c r="P118" s="35" t="s">
        <v>48</v>
      </c>
      <c r="Q118" s="35" t="s">
        <v>48</v>
      </c>
      <c r="R118" s="35" t="s">
        <v>48</v>
      </c>
      <c r="S118" s="35" t="s">
        <v>48</v>
      </c>
      <c r="T118" s="5">
        <f>50+106</f>
        <v>156</v>
      </c>
      <c r="U118" s="5" t="s">
        <v>55</v>
      </c>
      <c r="V118" s="4" t="s">
        <v>151</v>
      </c>
      <c r="W118" s="33"/>
      <c r="Z118" s="16"/>
      <c r="AE118" s="16"/>
    </row>
    <row r="119" spans="1:32" ht="15" hidden="1" customHeight="1">
      <c r="A119" s="304" t="s">
        <v>49</v>
      </c>
      <c r="B119" s="301">
        <v>5186</v>
      </c>
      <c r="C119" s="446">
        <v>42108</v>
      </c>
      <c r="D119" s="301" t="s">
        <v>13</v>
      </c>
      <c r="E119" s="453" t="s">
        <v>59</v>
      </c>
      <c r="F119" s="298">
        <v>208</v>
      </c>
      <c r="G119" s="296">
        <v>205</v>
      </c>
      <c r="H119" s="452">
        <f t="shared" si="10"/>
        <v>0</v>
      </c>
      <c r="I119" s="627"/>
      <c r="J119" s="302">
        <f t="shared" ca="1" si="8"/>
        <v>437</v>
      </c>
      <c r="K119" s="287" t="str">
        <f t="shared" ca="1" si="12"/>
        <v>Sin fecha</v>
      </c>
      <c r="L119" s="301" t="s">
        <v>47</v>
      </c>
      <c r="M119" s="298"/>
      <c r="N119" s="301" t="s">
        <v>1</v>
      </c>
      <c r="O119" s="301" t="s">
        <v>1</v>
      </c>
      <c r="P119" s="301"/>
      <c r="Q119" s="289" t="s">
        <v>48</v>
      </c>
      <c r="R119" s="289" t="s">
        <v>48</v>
      </c>
      <c r="S119" s="289" t="s">
        <v>48</v>
      </c>
      <c r="T119" s="290">
        <v>205</v>
      </c>
      <c r="U119" s="290" t="s">
        <v>55</v>
      </c>
      <c r="V119" s="284" t="s">
        <v>434</v>
      </c>
      <c r="W119" s="33"/>
      <c r="Z119" s="16"/>
      <c r="AE119" s="16"/>
    </row>
    <row r="120" spans="1:32" ht="15" hidden="1" customHeight="1">
      <c r="A120" s="4" t="s">
        <v>49</v>
      </c>
      <c r="B120" s="2">
        <v>5174</v>
      </c>
      <c r="C120" s="278">
        <v>42082</v>
      </c>
      <c r="D120" s="2" t="s">
        <v>24</v>
      </c>
      <c r="E120" s="2" t="s">
        <v>39</v>
      </c>
      <c r="F120" s="3"/>
      <c r="G120" s="46">
        <v>16</v>
      </c>
      <c r="H120" s="28">
        <f t="shared" si="10"/>
        <v>16</v>
      </c>
      <c r="I120" s="252"/>
      <c r="J120" s="248">
        <f t="shared" ca="1" si="8"/>
        <v>463</v>
      </c>
      <c r="K120" s="260" t="str">
        <f t="shared" ca="1" si="12"/>
        <v>Sin fecha</v>
      </c>
      <c r="L120" s="2" t="s">
        <v>45</v>
      </c>
      <c r="M120" s="3"/>
      <c r="N120" s="2" t="s">
        <v>48</v>
      </c>
      <c r="O120" s="2" t="s">
        <v>48</v>
      </c>
      <c r="P120" s="35" t="s">
        <v>48</v>
      </c>
      <c r="Q120" s="35" t="s">
        <v>48</v>
      </c>
      <c r="R120" s="35" t="s">
        <v>48</v>
      </c>
      <c r="S120" s="35" t="s">
        <v>48</v>
      </c>
      <c r="T120" s="5"/>
      <c r="U120" s="5" t="s">
        <v>55</v>
      </c>
      <c r="V120" s="4"/>
      <c r="W120" s="33"/>
      <c r="Z120" s="16"/>
      <c r="AE120" s="16"/>
    </row>
    <row r="121" spans="1:32" ht="15" hidden="1" customHeight="1">
      <c r="A121" s="4" t="s">
        <v>49</v>
      </c>
      <c r="B121" s="2">
        <v>5185</v>
      </c>
      <c r="C121" s="278">
        <v>42109</v>
      </c>
      <c r="D121" s="2" t="s">
        <v>57</v>
      </c>
      <c r="E121" s="2" t="s">
        <v>58</v>
      </c>
      <c r="F121" s="3">
        <v>1200</v>
      </c>
      <c r="G121" s="40">
        <v>1214</v>
      </c>
      <c r="H121" s="28">
        <f t="shared" si="10"/>
        <v>0</v>
      </c>
      <c r="I121" s="252"/>
      <c r="J121" s="248">
        <f t="shared" ca="1" si="8"/>
        <v>436</v>
      </c>
      <c r="K121" s="260" t="str">
        <f t="shared" ca="1" si="12"/>
        <v>Sin fecha</v>
      </c>
      <c r="L121" s="2" t="s">
        <v>47</v>
      </c>
      <c r="M121" s="46"/>
      <c r="N121" s="2" t="s">
        <v>48</v>
      </c>
      <c r="O121" s="2" t="s">
        <v>48</v>
      </c>
      <c r="P121" s="35" t="s">
        <v>48</v>
      </c>
      <c r="Q121" s="35" t="s">
        <v>48</v>
      </c>
      <c r="R121" s="35" t="s">
        <v>48</v>
      </c>
      <c r="S121" s="35" t="s">
        <v>48</v>
      </c>
      <c r="T121" s="5">
        <f>490+301+423</f>
        <v>1214</v>
      </c>
      <c r="U121" s="5" t="s">
        <v>55</v>
      </c>
      <c r="V121" s="4" t="s">
        <v>434</v>
      </c>
      <c r="W121" s="33"/>
      <c r="Z121" s="16"/>
      <c r="AE121" s="16"/>
    </row>
    <row r="122" spans="1:32" ht="15" hidden="1" customHeight="1">
      <c r="A122" s="4"/>
      <c r="B122" s="2">
        <v>5179</v>
      </c>
      <c r="C122" s="278">
        <v>42102</v>
      </c>
      <c r="D122" s="2" t="s">
        <v>27</v>
      </c>
      <c r="E122" s="2" t="s">
        <v>28</v>
      </c>
      <c r="F122" s="3">
        <v>450</v>
      </c>
      <c r="G122" s="46">
        <v>403</v>
      </c>
      <c r="H122" s="28">
        <f t="shared" si="10"/>
        <v>0</v>
      </c>
      <c r="I122" s="28"/>
      <c r="J122" s="248">
        <f t="shared" ca="1" si="8"/>
        <v>443</v>
      </c>
      <c r="K122" s="260" t="str">
        <f t="shared" ca="1" si="12"/>
        <v>Sin fecha</v>
      </c>
      <c r="L122" s="2" t="s">
        <v>47</v>
      </c>
      <c r="M122" s="2"/>
      <c r="N122" s="2"/>
      <c r="O122" s="2"/>
      <c r="P122" s="35" t="s">
        <v>48</v>
      </c>
      <c r="Q122" s="35" t="s">
        <v>48</v>
      </c>
      <c r="R122" s="35" t="s">
        <v>48</v>
      </c>
      <c r="S122" s="35" t="s">
        <v>48</v>
      </c>
      <c r="T122" s="5">
        <v>403</v>
      </c>
      <c r="U122" s="5" t="s">
        <v>55</v>
      </c>
      <c r="V122" s="4" t="s">
        <v>60</v>
      </c>
      <c r="W122" s="33"/>
      <c r="X122" s="47"/>
      <c r="Y122" s="47"/>
      <c r="Z122" s="186"/>
      <c r="AA122" s="47"/>
      <c r="AB122" s="47"/>
      <c r="AC122" s="47"/>
      <c r="AD122" s="47"/>
      <c r="AE122" s="186"/>
      <c r="AF122" s="47"/>
    </row>
    <row r="123" spans="1:32" ht="15" hidden="1" customHeight="1">
      <c r="A123" s="211" t="s">
        <v>49</v>
      </c>
      <c r="B123" s="206">
        <v>5187</v>
      </c>
      <c r="C123" s="327">
        <v>42115</v>
      </c>
      <c r="D123" s="206" t="s">
        <v>111</v>
      </c>
      <c r="E123" s="206" t="s">
        <v>41</v>
      </c>
      <c r="F123" s="206"/>
      <c r="G123" s="207">
        <v>211</v>
      </c>
      <c r="H123" s="614">
        <f t="shared" si="10"/>
        <v>0</v>
      </c>
      <c r="I123" s="327" t="s">
        <v>563</v>
      </c>
      <c r="J123" s="319">
        <f t="shared" ca="1" si="8"/>
        <v>430</v>
      </c>
      <c r="K123" s="320">
        <f t="shared" ca="1" si="12"/>
        <v>-360</v>
      </c>
      <c r="L123" s="206" t="s">
        <v>47</v>
      </c>
      <c r="M123" s="207"/>
      <c r="N123" s="206" t="s">
        <v>69</v>
      </c>
      <c r="O123" s="206" t="s">
        <v>69</v>
      </c>
      <c r="P123" s="194"/>
      <c r="Q123" s="209" t="s">
        <v>48</v>
      </c>
      <c r="R123" s="194"/>
      <c r="S123" s="194"/>
      <c r="T123" s="208">
        <f>9+14+27+3+30+44+50+34</f>
        <v>211</v>
      </c>
      <c r="U123" s="210" t="s">
        <v>55</v>
      </c>
      <c r="V123" s="211" t="s">
        <v>434</v>
      </c>
      <c r="X123" s="47"/>
      <c r="Y123" s="47"/>
      <c r="Z123" s="186"/>
      <c r="AA123" s="952"/>
      <c r="AB123" s="952"/>
      <c r="AC123" s="952"/>
      <c r="AD123" s="952"/>
      <c r="AE123" s="952"/>
      <c r="AF123" s="952"/>
    </row>
    <row r="124" spans="1:32" ht="15" hidden="1" customHeight="1">
      <c r="A124" s="15" t="s">
        <v>49</v>
      </c>
      <c r="B124" s="2">
        <v>5181</v>
      </c>
      <c r="C124" s="278">
        <v>42103</v>
      </c>
      <c r="D124" s="2" t="s">
        <v>13</v>
      </c>
      <c r="E124" s="2" t="s">
        <v>39</v>
      </c>
      <c r="F124" s="3"/>
      <c r="G124" s="46">
        <v>100</v>
      </c>
      <c r="H124" s="335">
        <f t="shared" si="10"/>
        <v>-38</v>
      </c>
      <c r="I124" s="252"/>
      <c r="J124" s="247">
        <f t="shared" ca="1" si="8"/>
        <v>442</v>
      </c>
      <c r="K124" s="246" t="str">
        <f t="shared" ca="1" si="12"/>
        <v>Sin fecha</v>
      </c>
      <c r="L124" s="2" t="s">
        <v>47</v>
      </c>
      <c r="M124" s="3"/>
      <c r="N124" s="2" t="s">
        <v>48</v>
      </c>
      <c r="O124" s="2" t="s">
        <v>48</v>
      </c>
      <c r="P124" s="35" t="s">
        <v>48</v>
      </c>
      <c r="Q124" s="35" t="s">
        <v>48</v>
      </c>
      <c r="R124" s="35" t="s">
        <v>48</v>
      </c>
      <c r="S124" s="35" t="s">
        <v>48</v>
      </c>
      <c r="T124" s="5">
        <v>138</v>
      </c>
      <c r="U124" s="5" t="s">
        <v>55</v>
      </c>
      <c r="V124" s="4"/>
      <c r="W124" s="33"/>
      <c r="X124" s="47"/>
      <c r="Y124" s="32"/>
      <c r="Z124" s="32"/>
      <c r="AA124" s="47"/>
      <c r="AB124" s="47"/>
      <c r="AC124" s="47"/>
      <c r="AD124" s="47"/>
      <c r="AE124" s="47"/>
      <c r="AF124" s="47"/>
    </row>
    <row r="125" spans="1:32" ht="15" hidden="1" customHeight="1">
      <c r="A125" s="284" t="s">
        <v>452</v>
      </c>
      <c r="B125" s="301">
        <v>5182</v>
      </c>
      <c r="C125" s="446">
        <v>42103</v>
      </c>
      <c r="D125" s="301" t="s">
        <v>13</v>
      </c>
      <c r="E125" s="301" t="s">
        <v>79</v>
      </c>
      <c r="F125" s="298"/>
      <c r="G125" s="613">
        <v>200</v>
      </c>
      <c r="H125" s="51">
        <f t="shared" si="10"/>
        <v>0</v>
      </c>
      <c r="I125" s="51"/>
      <c r="J125" s="286">
        <f t="shared" ca="1" si="8"/>
        <v>442</v>
      </c>
      <c r="K125" s="287" t="str">
        <f t="shared" ca="1" si="12"/>
        <v>Sin fecha</v>
      </c>
      <c r="L125" s="301" t="s">
        <v>47</v>
      </c>
      <c r="M125" s="301"/>
      <c r="N125" s="326" t="s">
        <v>1</v>
      </c>
      <c r="O125" s="301" t="s">
        <v>1</v>
      </c>
      <c r="P125" s="301"/>
      <c r="Q125" s="289" t="s">
        <v>48</v>
      </c>
      <c r="R125" s="301"/>
      <c r="S125" s="289" t="s">
        <v>48</v>
      </c>
      <c r="T125" s="290">
        <v>200</v>
      </c>
      <c r="U125" s="290" t="s">
        <v>55</v>
      </c>
      <c r="V125" s="284" t="s">
        <v>151</v>
      </c>
      <c r="W125" s="33"/>
      <c r="X125" s="47"/>
      <c r="Y125" s="47"/>
      <c r="Z125" s="186"/>
      <c r="AA125" s="47"/>
      <c r="AB125" s="47"/>
      <c r="AC125" s="47"/>
      <c r="AD125" s="47"/>
      <c r="AE125" s="47"/>
      <c r="AF125" s="47"/>
    </row>
    <row r="126" spans="1:32" ht="15" hidden="1" customHeight="1">
      <c r="A126" s="4" t="s">
        <v>452</v>
      </c>
      <c r="B126" s="2">
        <v>5182</v>
      </c>
      <c r="C126" s="278">
        <v>42103</v>
      </c>
      <c r="D126" s="2" t="s">
        <v>13</v>
      </c>
      <c r="E126" s="2" t="s">
        <v>36</v>
      </c>
      <c r="F126" s="3">
        <v>294</v>
      </c>
      <c r="G126" s="347">
        <v>306</v>
      </c>
      <c r="H126" s="28">
        <f t="shared" si="10"/>
        <v>0</v>
      </c>
      <c r="I126" s="28"/>
      <c r="J126" s="248">
        <f t="shared" ca="1" si="8"/>
        <v>442</v>
      </c>
      <c r="K126" s="260" t="str">
        <f t="shared" ca="1" si="12"/>
        <v>Sin fecha</v>
      </c>
      <c r="L126" s="2" t="s">
        <v>47</v>
      </c>
      <c r="M126" s="2"/>
      <c r="N126" s="2" t="s">
        <v>1</v>
      </c>
      <c r="O126" s="2" t="s">
        <v>48</v>
      </c>
      <c r="P126" s="35" t="s">
        <v>48</v>
      </c>
      <c r="Q126" s="35" t="s">
        <v>48</v>
      </c>
      <c r="R126" s="35" t="s">
        <v>48</v>
      </c>
      <c r="S126" s="35" t="s">
        <v>48</v>
      </c>
      <c r="T126" s="5">
        <v>306</v>
      </c>
      <c r="U126" s="5" t="s">
        <v>55</v>
      </c>
      <c r="V126" s="4" t="s">
        <v>151</v>
      </c>
      <c r="W126" s="33"/>
      <c r="X126" s="47"/>
      <c r="Y126" s="47"/>
      <c r="Z126" s="186"/>
      <c r="AA126" s="47"/>
      <c r="AB126" s="47"/>
      <c r="AC126" s="47"/>
      <c r="AD126" s="47"/>
      <c r="AE126" s="47"/>
      <c r="AF126" s="47"/>
    </row>
    <row r="127" spans="1:32" ht="15" hidden="1" customHeight="1">
      <c r="A127" s="211" t="s">
        <v>49</v>
      </c>
      <c r="B127" s="206">
        <v>5187</v>
      </c>
      <c r="C127" s="327">
        <v>42115</v>
      </c>
      <c r="D127" s="206" t="s">
        <v>111</v>
      </c>
      <c r="E127" s="194" t="s">
        <v>440</v>
      </c>
      <c r="F127" s="206">
        <v>100</v>
      </c>
      <c r="G127" s="207">
        <v>159</v>
      </c>
      <c r="H127" s="614">
        <f t="shared" si="10"/>
        <v>3</v>
      </c>
      <c r="I127" s="623">
        <v>42198</v>
      </c>
      <c r="J127" s="319">
        <f t="shared" ref="J127:J190" ca="1" si="13">TODAY()-C127</f>
        <v>430</v>
      </c>
      <c r="K127" s="320">
        <f t="shared" ca="1" si="12"/>
        <v>-347</v>
      </c>
      <c r="L127" s="206" t="s">
        <v>47</v>
      </c>
      <c r="M127" s="206"/>
      <c r="N127" s="328" t="s">
        <v>69</v>
      </c>
      <c r="O127" s="206" t="s">
        <v>69</v>
      </c>
      <c r="P127" s="194"/>
      <c r="Q127" s="209" t="s">
        <v>48</v>
      </c>
      <c r="R127" s="194"/>
      <c r="S127" s="194"/>
      <c r="T127" s="210">
        <f>3+50+26+1+63+13</f>
        <v>156</v>
      </c>
      <c r="U127" s="210" t="s">
        <v>55</v>
      </c>
      <c r="V127" s="211" t="s">
        <v>434</v>
      </c>
      <c r="X127" s="47"/>
      <c r="Y127" s="47"/>
      <c r="Z127" s="186"/>
      <c r="AA127" s="47"/>
      <c r="AB127" s="47"/>
      <c r="AC127" s="47"/>
      <c r="AD127" s="47"/>
      <c r="AE127" s="47"/>
      <c r="AF127" s="47"/>
    </row>
    <row r="128" spans="1:32" ht="15" hidden="1" customHeight="1">
      <c r="A128" s="4" t="s">
        <v>49</v>
      </c>
      <c r="B128" s="2">
        <v>5183</v>
      </c>
      <c r="C128" s="278">
        <v>42105</v>
      </c>
      <c r="D128" s="206" t="s">
        <v>42</v>
      </c>
      <c r="E128" s="257" t="s">
        <v>379</v>
      </c>
      <c r="F128" s="3"/>
      <c r="G128" s="347">
        <v>4200</v>
      </c>
      <c r="H128" s="28">
        <f t="shared" si="10"/>
        <v>0</v>
      </c>
      <c r="I128" s="252"/>
      <c r="J128" s="247">
        <f t="shared" ca="1" si="13"/>
        <v>440</v>
      </c>
      <c r="K128" s="246" t="str">
        <f t="shared" ca="1" si="12"/>
        <v>Sin fecha</v>
      </c>
      <c r="L128" s="2" t="s">
        <v>45</v>
      </c>
      <c r="M128" s="3"/>
      <c r="N128" s="26" t="s">
        <v>48</v>
      </c>
      <c r="O128" s="2" t="s">
        <v>48</v>
      </c>
      <c r="P128" s="35" t="s">
        <v>48</v>
      </c>
      <c r="Q128" s="35" t="s">
        <v>48</v>
      </c>
      <c r="R128" s="35" t="s">
        <v>48</v>
      </c>
      <c r="S128" s="35" t="s">
        <v>48</v>
      </c>
      <c r="T128" s="5">
        <f>1929+1457+814</f>
        <v>4200</v>
      </c>
      <c r="U128" s="5" t="s">
        <v>55</v>
      </c>
      <c r="V128" s="43" t="s">
        <v>433</v>
      </c>
      <c r="W128" s="33"/>
      <c r="X128" s="47"/>
      <c r="Y128" s="47"/>
      <c r="Z128" s="186"/>
      <c r="AA128" s="47"/>
      <c r="AB128" s="47"/>
      <c r="AC128" s="47"/>
      <c r="AD128" s="47"/>
      <c r="AE128" s="47"/>
      <c r="AF128" s="47"/>
    </row>
    <row r="129" spans="1:32" ht="15" hidden="1" customHeight="1">
      <c r="A129" s="4" t="s">
        <v>49</v>
      </c>
      <c r="B129" s="53">
        <v>5192</v>
      </c>
      <c r="C129" s="278">
        <v>42130</v>
      </c>
      <c r="D129" s="194" t="s">
        <v>21</v>
      </c>
      <c r="E129" s="15" t="s">
        <v>439</v>
      </c>
      <c r="F129" s="4"/>
      <c r="G129" s="46">
        <v>400</v>
      </c>
      <c r="H129" s="921">
        <f t="shared" si="10"/>
        <v>0</v>
      </c>
      <c r="I129" s="253">
        <v>42161</v>
      </c>
      <c r="J129" s="247">
        <f t="shared" ca="1" si="13"/>
        <v>415</v>
      </c>
      <c r="K129" s="246">
        <f t="shared" ca="1" si="12"/>
        <v>-384</v>
      </c>
      <c r="L129" s="2" t="s">
        <v>47</v>
      </c>
      <c r="M129" s="2"/>
      <c r="N129" s="4" t="s">
        <v>69</v>
      </c>
      <c r="O129" s="4" t="s">
        <v>69</v>
      </c>
      <c r="P129" s="4"/>
      <c r="Q129" s="35" t="s">
        <v>48</v>
      </c>
      <c r="R129" s="4"/>
      <c r="S129" s="35" t="s">
        <v>48</v>
      </c>
      <c r="T129" s="5">
        <f>300+100</f>
        <v>400</v>
      </c>
      <c r="U129" s="5" t="s">
        <v>55</v>
      </c>
      <c r="V129" s="4" t="s">
        <v>435</v>
      </c>
      <c r="X129" s="47"/>
      <c r="Y129" s="47"/>
      <c r="Z129" s="186"/>
      <c r="AA129" s="47"/>
      <c r="AB129" s="47"/>
      <c r="AC129" s="47"/>
      <c r="AD129" s="47"/>
      <c r="AE129" s="47"/>
      <c r="AF129" s="47"/>
    </row>
    <row r="130" spans="1:32" ht="15" hidden="1" customHeight="1">
      <c r="A130" s="4" t="s">
        <v>49</v>
      </c>
      <c r="B130" s="2">
        <v>5187</v>
      </c>
      <c r="C130" s="278">
        <v>42115</v>
      </c>
      <c r="D130" s="206" t="s">
        <v>111</v>
      </c>
      <c r="E130" s="2" t="s">
        <v>35</v>
      </c>
      <c r="F130" s="2"/>
      <c r="G130" s="3">
        <v>1846</v>
      </c>
      <c r="H130" s="350">
        <f t="shared" si="10"/>
        <v>0</v>
      </c>
      <c r="I130" s="252"/>
      <c r="J130" s="247">
        <f t="shared" ca="1" si="13"/>
        <v>430</v>
      </c>
      <c r="K130" s="246" t="str">
        <f t="shared" ca="1" si="12"/>
        <v>Sin fecha</v>
      </c>
      <c r="L130" s="2" t="s">
        <v>45</v>
      </c>
      <c r="M130" s="2"/>
      <c r="N130" s="2" t="s">
        <v>48</v>
      </c>
      <c r="O130" s="2" t="s">
        <v>48</v>
      </c>
      <c r="P130" s="35" t="s">
        <v>48</v>
      </c>
      <c r="Q130" s="35" t="s">
        <v>48</v>
      </c>
      <c r="R130" s="35" t="s">
        <v>48</v>
      </c>
      <c r="S130" s="15"/>
      <c r="T130" s="5">
        <f>301+600+372+273+300</f>
        <v>1846</v>
      </c>
      <c r="U130" s="5" t="s">
        <v>55</v>
      </c>
      <c r="V130" s="4" t="s">
        <v>434</v>
      </c>
      <c r="X130" s="47"/>
      <c r="Y130" s="47"/>
      <c r="Z130" s="186"/>
      <c r="AA130" s="47"/>
      <c r="AB130" s="47"/>
      <c r="AC130" s="47"/>
      <c r="AD130" s="47"/>
      <c r="AE130" s="47"/>
      <c r="AF130" s="47"/>
    </row>
    <row r="131" spans="1:32" ht="15" hidden="1" customHeight="1">
      <c r="A131" s="304" t="s">
        <v>49</v>
      </c>
      <c r="B131" s="301">
        <v>5186</v>
      </c>
      <c r="C131" s="278">
        <v>42108</v>
      </c>
      <c r="D131" s="301" t="s">
        <v>13</v>
      </c>
      <c r="E131" s="301" t="s">
        <v>80</v>
      </c>
      <c r="F131" s="298"/>
      <c r="G131" s="296">
        <v>308</v>
      </c>
      <c r="H131" s="452">
        <f t="shared" si="10"/>
        <v>0</v>
      </c>
      <c r="I131" s="447"/>
      <c r="J131" s="286">
        <f t="shared" ca="1" si="13"/>
        <v>437</v>
      </c>
      <c r="K131" s="287" t="str">
        <f t="shared" ca="1" si="12"/>
        <v>Sin fecha</v>
      </c>
      <c r="L131" s="2" t="s">
        <v>47</v>
      </c>
      <c r="M131" s="454"/>
      <c r="N131" s="301" t="s">
        <v>1</v>
      </c>
      <c r="O131" s="301" t="s">
        <v>48</v>
      </c>
      <c r="P131" s="289" t="s">
        <v>48</v>
      </c>
      <c r="Q131" s="289" t="s">
        <v>48</v>
      </c>
      <c r="R131" s="289" t="s">
        <v>48</v>
      </c>
      <c r="S131" s="289" t="s">
        <v>48</v>
      </c>
      <c r="T131" s="290">
        <f>100+46+162</f>
        <v>308</v>
      </c>
      <c r="U131" s="290" t="s">
        <v>55</v>
      </c>
      <c r="V131" s="285" t="s">
        <v>433</v>
      </c>
      <c r="W131" s="33"/>
      <c r="X131" s="47"/>
      <c r="Y131" s="17"/>
      <c r="Z131" s="186"/>
      <c r="AA131" s="47"/>
      <c r="AB131" s="47"/>
      <c r="AC131" s="47"/>
      <c r="AD131" s="47"/>
      <c r="AE131" s="47"/>
      <c r="AF131" s="47"/>
    </row>
    <row r="132" spans="1:32" ht="15" hidden="1" customHeight="1">
      <c r="A132" s="284" t="s">
        <v>49</v>
      </c>
      <c r="B132" s="301">
        <v>5186</v>
      </c>
      <c r="C132" s="446">
        <v>42108</v>
      </c>
      <c r="D132" s="301" t="s">
        <v>13</v>
      </c>
      <c r="E132" s="301" t="s">
        <v>485</v>
      </c>
      <c r="F132" s="298">
        <v>300</v>
      </c>
      <c r="G132" s="296">
        <v>299</v>
      </c>
      <c r="H132" s="51">
        <f t="shared" si="10"/>
        <v>0</v>
      </c>
      <c r="I132" s="447"/>
      <c r="J132" s="302">
        <f t="shared" ca="1" si="13"/>
        <v>437</v>
      </c>
      <c r="K132" s="303" t="str">
        <f t="shared" ca="1" si="12"/>
        <v>Sin fecha</v>
      </c>
      <c r="L132" s="301" t="s">
        <v>47</v>
      </c>
      <c r="M132" s="301"/>
      <c r="N132" s="301" t="s">
        <v>1</v>
      </c>
      <c r="O132" s="301" t="s">
        <v>69</v>
      </c>
      <c r="P132" s="301"/>
      <c r="Q132" s="289" t="s">
        <v>48</v>
      </c>
      <c r="R132" s="289" t="s">
        <v>48</v>
      </c>
      <c r="S132" s="289" t="s">
        <v>48</v>
      </c>
      <c r="T132" s="290">
        <f>100+199</f>
        <v>299</v>
      </c>
      <c r="U132" s="290" t="s">
        <v>55</v>
      </c>
      <c r="V132" s="284" t="s">
        <v>151</v>
      </c>
      <c r="W132" s="33"/>
      <c r="X132" s="47"/>
      <c r="Y132" s="47"/>
      <c r="Z132" s="186"/>
      <c r="AA132" s="47"/>
      <c r="AB132" s="47"/>
      <c r="AC132" s="47"/>
      <c r="AD132" s="47"/>
      <c r="AE132" s="47"/>
      <c r="AF132" s="47"/>
    </row>
    <row r="133" spans="1:32" ht="15" hidden="1" customHeight="1">
      <c r="A133" s="4" t="s">
        <v>49</v>
      </c>
      <c r="B133" s="2">
        <v>5187</v>
      </c>
      <c r="C133" s="278">
        <v>42115</v>
      </c>
      <c r="D133" s="2" t="s">
        <v>111</v>
      </c>
      <c r="E133" s="2" t="s">
        <v>39</v>
      </c>
      <c r="F133" s="2">
        <v>100</v>
      </c>
      <c r="G133" s="3">
        <v>120</v>
      </c>
      <c r="H133" s="350">
        <f t="shared" si="10"/>
        <v>0</v>
      </c>
      <c r="I133" s="255">
        <v>42198</v>
      </c>
      <c r="J133" s="248">
        <f t="shared" ca="1" si="13"/>
        <v>430</v>
      </c>
      <c r="K133" s="260">
        <f t="shared" ca="1" si="12"/>
        <v>-347</v>
      </c>
      <c r="L133" s="2" t="s">
        <v>47</v>
      </c>
      <c r="M133" s="2"/>
      <c r="N133" s="2" t="s">
        <v>48</v>
      </c>
      <c r="O133" s="2" t="s">
        <v>48</v>
      </c>
      <c r="P133" s="35" t="s">
        <v>48</v>
      </c>
      <c r="Q133" s="35" t="s">
        <v>48</v>
      </c>
      <c r="R133" s="35" t="s">
        <v>48</v>
      </c>
      <c r="S133" s="35" t="s">
        <v>48</v>
      </c>
      <c r="T133" s="5">
        <v>120</v>
      </c>
      <c r="U133" s="5" t="s">
        <v>55</v>
      </c>
      <c r="V133" s="4" t="s">
        <v>434</v>
      </c>
      <c r="X133" s="47"/>
      <c r="Y133" s="47"/>
      <c r="Z133" s="186"/>
      <c r="AA133" s="47"/>
      <c r="AB133" s="47"/>
      <c r="AC133" s="47"/>
      <c r="AD133" s="47"/>
      <c r="AE133" s="47"/>
      <c r="AF133" s="47"/>
    </row>
    <row r="134" spans="1:32" ht="15" hidden="1" customHeight="1">
      <c r="A134" s="307" t="s">
        <v>49</v>
      </c>
      <c r="B134" s="449">
        <v>5187</v>
      </c>
      <c r="C134" s="461">
        <v>42115</v>
      </c>
      <c r="D134" s="449" t="s">
        <v>111</v>
      </c>
      <c r="E134" s="449" t="s">
        <v>22</v>
      </c>
      <c r="F134" s="450">
        <v>150</v>
      </c>
      <c r="G134" s="450">
        <v>167</v>
      </c>
      <c r="H134" s="50">
        <f t="shared" si="10"/>
        <v>0</v>
      </c>
      <c r="I134" s="628"/>
      <c r="J134" s="465">
        <f t="shared" ca="1" si="13"/>
        <v>430</v>
      </c>
      <c r="K134" s="313" t="str">
        <f t="shared" ca="1" si="12"/>
        <v>Sin fecha</v>
      </c>
      <c r="L134" s="449" t="s">
        <v>47</v>
      </c>
      <c r="M134" s="450"/>
      <c r="N134" s="449" t="s">
        <v>69</v>
      </c>
      <c r="O134" s="449" t="s">
        <v>69</v>
      </c>
      <c r="P134" s="445"/>
      <c r="Q134" s="314" t="s">
        <v>48</v>
      </c>
      <c r="R134" s="445"/>
      <c r="S134" s="445"/>
      <c r="T134" s="309">
        <f>89+78</f>
        <v>167</v>
      </c>
      <c r="U134" s="309" t="s">
        <v>55</v>
      </c>
      <c r="V134" s="308" t="s">
        <v>433</v>
      </c>
      <c r="X134" s="47"/>
      <c r="Y134" s="47"/>
      <c r="Z134" s="186"/>
      <c r="AA134" s="47"/>
      <c r="AB134" s="47"/>
      <c r="AC134" s="47"/>
      <c r="AD134" s="47"/>
      <c r="AE134" s="47"/>
      <c r="AF134" s="47"/>
    </row>
    <row r="135" spans="1:32" ht="15" hidden="1" customHeight="1">
      <c r="A135" s="4" t="s">
        <v>49</v>
      </c>
      <c r="B135" s="2">
        <v>5187</v>
      </c>
      <c r="C135" s="278">
        <v>42115</v>
      </c>
      <c r="D135" s="2" t="s">
        <v>111</v>
      </c>
      <c r="E135" s="2" t="s">
        <v>75</v>
      </c>
      <c r="F135" s="2">
        <v>200</v>
      </c>
      <c r="G135" s="3">
        <v>256</v>
      </c>
      <c r="H135" s="350">
        <f t="shared" si="10"/>
        <v>0</v>
      </c>
      <c r="I135" s="255">
        <v>42198</v>
      </c>
      <c r="J135" s="248">
        <f t="shared" ca="1" si="13"/>
        <v>430</v>
      </c>
      <c r="K135" s="260">
        <f t="shared" ca="1" si="12"/>
        <v>-347</v>
      </c>
      <c r="L135" s="2" t="s">
        <v>47</v>
      </c>
      <c r="M135" s="3"/>
      <c r="N135" s="2" t="s">
        <v>69</v>
      </c>
      <c r="O135" s="2" t="s">
        <v>48</v>
      </c>
      <c r="P135" s="35" t="s">
        <v>48</v>
      </c>
      <c r="Q135" s="35" t="s">
        <v>48</v>
      </c>
      <c r="R135" s="15"/>
      <c r="S135" s="15"/>
      <c r="T135" s="5">
        <f>32+27+45+52+27+15+15+43</f>
        <v>256</v>
      </c>
      <c r="U135" s="5" t="s">
        <v>55</v>
      </c>
      <c r="V135" s="4" t="s">
        <v>434</v>
      </c>
      <c r="X135" s="47"/>
      <c r="Y135" s="47"/>
      <c r="Z135" s="186"/>
      <c r="AA135" s="47"/>
      <c r="AB135" s="47"/>
      <c r="AC135" s="47"/>
      <c r="AD135" s="47"/>
      <c r="AE135" s="47"/>
      <c r="AF135" s="47"/>
    </row>
    <row r="136" spans="1:32" ht="15" hidden="1" customHeight="1">
      <c r="A136" s="211" t="s">
        <v>49</v>
      </c>
      <c r="B136" s="206">
        <v>5187</v>
      </c>
      <c r="C136" s="327">
        <v>42115</v>
      </c>
      <c r="D136" s="206" t="s">
        <v>111</v>
      </c>
      <c r="E136" s="206" t="s">
        <v>99</v>
      </c>
      <c r="F136" s="207">
        <v>100</v>
      </c>
      <c r="G136" s="610">
        <v>116</v>
      </c>
      <c r="H136" s="614">
        <f t="shared" si="10"/>
        <v>0</v>
      </c>
      <c r="I136" s="251"/>
      <c r="J136" s="293">
        <f t="shared" ca="1" si="13"/>
        <v>430</v>
      </c>
      <c r="K136" s="294" t="str">
        <f t="shared" ca="1" si="12"/>
        <v>Sin fecha</v>
      </c>
      <c r="L136" s="206" t="s">
        <v>47</v>
      </c>
      <c r="M136" s="206"/>
      <c r="N136" s="206" t="s">
        <v>48</v>
      </c>
      <c r="O136" s="206" t="s">
        <v>48</v>
      </c>
      <c r="P136" s="209" t="s">
        <v>48</v>
      </c>
      <c r="Q136" s="209" t="s">
        <v>48</v>
      </c>
      <c r="R136" s="209" t="s">
        <v>48</v>
      </c>
      <c r="S136" s="209" t="s">
        <v>48</v>
      </c>
      <c r="T136" s="210">
        <v>116</v>
      </c>
      <c r="U136" s="210" t="s">
        <v>55</v>
      </c>
      <c r="V136" s="291" t="s">
        <v>433</v>
      </c>
      <c r="X136" s="47"/>
      <c r="Y136" s="47"/>
      <c r="Z136" s="186"/>
      <c r="AA136" s="47"/>
      <c r="AB136" s="47"/>
      <c r="AC136" s="47"/>
      <c r="AD136" s="47"/>
      <c r="AE136" s="47"/>
      <c r="AF136" s="47"/>
    </row>
    <row r="137" spans="1:32" ht="15" hidden="1" customHeight="1">
      <c r="A137" s="284" t="s">
        <v>49</v>
      </c>
      <c r="B137" s="301">
        <v>5187</v>
      </c>
      <c r="C137" s="446">
        <v>42115</v>
      </c>
      <c r="D137" s="449" t="s">
        <v>111</v>
      </c>
      <c r="E137" s="301" t="s">
        <v>38</v>
      </c>
      <c r="F137" s="298"/>
      <c r="G137" s="298">
        <v>100</v>
      </c>
      <c r="H137" s="615">
        <f t="shared" ref="H137:H200" si="14">G137-T137</f>
        <v>0</v>
      </c>
      <c r="I137" s="447"/>
      <c r="J137" s="302">
        <f t="shared" ca="1" si="13"/>
        <v>430</v>
      </c>
      <c r="K137" s="303" t="str">
        <f t="shared" ca="1" si="12"/>
        <v>Sin fecha</v>
      </c>
      <c r="L137" s="301" t="s">
        <v>47</v>
      </c>
      <c r="M137" s="298"/>
      <c r="N137" s="453" t="s">
        <v>69</v>
      </c>
      <c r="O137" s="453" t="s">
        <v>69</v>
      </c>
      <c r="P137" s="304"/>
      <c r="Q137" s="289" t="s">
        <v>48</v>
      </c>
      <c r="R137" s="304"/>
      <c r="S137" s="304"/>
      <c r="T137" s="290">
        <f>8+35+30+27</f>
        <v>100</v>
      </c>
      <c r="U137" s="290" t="s">
        <v>55</v>
      </c>
      <c r="V137" s="285" t="s">
        <v>433</v>
      </c>
      <c r="X137" s="47"/>
      <c r="Y137" s="47"/>
      <c r="Z137" s="186"/>
      <c r="AA137" s="47"/>
      <c r="AB137" s="47"/>
      <c r="AC137" s="47"/>
      <c r="AD137" s="47"/>
      <c r="AE137" s="47"/>
      <c r="AF137" s="47"/>
    </row>
    <row r="138" spans="1:32" ht="15" hidden="1" customHeight="1">
      <c r="A138" s="4" t="s">
        <v>49</v>
      </c>
      <c r="B138" s="2">
        <v>5187</v>
      </c>
      <c r="C138" s="278">
        <v>42115</v>
      </c>
      <c r="D138" s="2" t="s">
        <v>111</v>
      </c>
      <c r="E138" s="2" t="s">
        <v>59</v>
      </c>
      <c r="F138" s="2"/>
      <c r="G138" s="3">
        <v>100</v>
      </c>
      <c r="H138" s="583">
        <f t="shared" si="14"/>
        <v>-29</v>
      </c>
      <c r="I138" s="255">
        <v>42198</v>
      </c>
      <c r="J138" s="248">
        <f t="shared" ca="1" si="13"/>
        <v>430</v>
      </c>
      <c r="K138" s="260">
        <f t="shared" ca="1" si="12"/>
        <v>-347</v>
      </c>
      <c r="L138" s="2" t="s">
        <v>47</v>
      </c>
      <c r="M138" s="2"/>
      <c r="N138" s="2" t="s">
        <v>69</v>
      </c>
      <c r="O138" s="2" t="s">
        <v>69</v>
      </c>
      <c r="P138" s="15"/>
      <c r="Q138" s="35" t="s">
        <v>48</v>
      </c>
      <c r="R138" s="34"/>
      <c r="S138" s="15"/>
      <c r="T138" s="5">
        <f>9+33+15+17+55</f>
        <v>129</v>
      </c>
      <c r="U138" s="5" t="s">
        <v>55</v>
      </c>
      <c r="V138" s="4" t="s">
        <v>711</v>
      </c>
      <c r="X138" s="47"/>
      <c r="Y138" s="47"/>
      <c r="Z138" s="186"/>
      <c r="AA138" s="47"/>
      <c r="AB138" s="47"/>
      <c r="AC138" s="47"/>
      <c r="AD138" s="47"/>
      <c r="AE138" s="47"/>
      <c r="AF138" s="47"/>
    </row>
    <row r="139" spans="1:32" ht="15" hidden="1" customHeight="1">
      <c r="A139" s="4" t="s">
        <v>49</v>
      </c>
      <c r="B139" s="2">
        <v>5187</v>
      </c>
      <c r="C139" s="278">
        <v>42115</v>
      </c>
      <c r="D139" s="2" t="s">
        <v>111</v>
      </c>
      <c r="E139" s="15" t="s">
        <v>76</v>
      </c>
      <c r="F139" s="5">
        <v>100</v>
      </c>
      <c r="G139" s="46">
        <v>166</v>
      </c>
      <c r="H139" s="577">
        <f t="shared" si="14"/>
        <v>0</v>
      </c>
      <c r="I139" s="278">
        <v>42209</v>
      </c>
      <c r="J139" s="248">
        <f t="shared" ca="1" si="13"/>
        <v>430</v>
      </c>
      <c r="K139" s="260">
        <f t="shared" ca="1" si="12"/>
        <v>-336</v>
      </c>
      <c r="L139" s="2" t="s">
        <v>47</v>
      </c>
      <c r="M139" s="2"/>
      <c r="N139" s="15" t="s">
        <v>69</v>
      </c>
      <c r="O139" s="15" t="s">
        <v>48</v>
      </c>
      <c r="P139" s="35" t="s">
        <v>48</v>
      </c>
      <c r="Q139" s="35" t="s">
        <v>48</v>
      </c>
      <c r="R139" s="4"/>
      <c r="S139" s="4"/>
      <c r="T139" s="5">
        <f>6+24+12+50+60+14</f>
        <v>166</v>
      </c>
      <c r="U139" s="5" t="s">
        <v>55</v>
      </c>
      <c r="V139" s="4" t="s">
        <v>435</v>
      </c>
      <c r="X139" s="47"/>
      <c r="Y139" s="47"/>
      <c r="Z139" s="186"/>
      <c r="AA139" s="47"/>
      <c r="AB139" s="47"/>
      <c r="AC139" s="47"/>
      <c r="AD139" s="47"/>
      <c r="AE139" s="47"/>
      <c r="AF139" s="47"/>
    </row>
    <row r="140" spans="1:32" ht="15" hidden="1" customHeight="1">
      <c r="A140" s="211" t="s">
        <v>453</v>
      </c>
      <c r="B140" s="206" t="s">
        <v>525</v>
      </c>
      <c r="C140" s="327">
        <v>42115</v>
      </c>
      <c r="D140" s="206" t="s">
        <v>27</v>
      </c>
      <c r="E140" s="206" t="s">
        <v>70</v>
      </c>
      <c r="F140" s="207"/>
      <c r="G140" s="208">
        <v>1</v>
      </c>
      <c r="H140" s="49">
        <f t="shared" si="14"/>
        <v>0</v>
      </c>
      <c r="I140" s="251"/>
      <c r="J140" s="293">
        <f t="shared" ca="1" si="13"/>
        <v>430</v>
      </c>
      <c r="K140" s="294" t="str">
        <f t="shared" ca="1" si="12"/>
        <v>Sin fecha</v>
      </c>
      <c r="L140" s="206" t="s">
        <v>45</v>
      </c>
      <c r="M140" s="206"/>
      <c r="N140" s="206" t="s">
        <v>48</v>
      </c>
      <c r="O140" s="206" t="s">
        <v>48</v>
      </c>
      <c r="P140" s="209" t="s">
        <v>48</v>
      </c>
      <c r="Q140" s="209" t="s">
        <v>48</v>
      </c>
      <c r="R140" s="209" t="s">
        <v>48</v>
      </c>
      <c r="S140" s="209" t="s">
        <v>48</v>
      </c>
      <c r="T140" s="210">
        <v>1</v>
      </c>
      <c r="U140" s="210" t="s">
        <v>55</v>
      </c>
      <c r="V140" s="211" t="s">
        <v>434</v>
      </c>
      <c r="X140" s="47"/>
      <c r="Y140" s="47"/>
      <c r="Z140" s="186"/>
      <c r="AA140" s="47"/>
      <c r="AB140" s="47"/>
      <c r="AC140" s="47"/>
      <c r="AD140" s="47"/>
      <c r="AE140" s="186"/>
      <c r="AF140" s="47"/>
    </row>
    <row r="141" spans="1:32" ht="15" hidden="1" customHeight="1">
      <c r="A141" s="15" t="s">
        <v>49</v>
      </c>
      <c r="B141" s="43">
        <v>5189</v>
      </c>
      <c r="C141" s="278">
        <v>42123</v>
      </c>
      <c r="D141" s="15" t="s">
        <v>13</v>
      </c>
      <c r="E141" s="451" t="s">
        <v>14</v>
      </c>
      <c r="F141" s="290"/>
      <c r="G141" s="296">
        <v>200</v>
      </c>
      <c r="H141" s="452">
        <f t="shared" si="14"/>
        <v>0</v>
      </c>
      <c r="I141" s="297"/>
      <c r="J141" s="302">
        <f t="shared" ca="1" si="13"/>
        <v>422</v>
      </c>
      <c r="K141" s="303" t="str">
        <f t="shared" ca="1" si="12"/>
        <v>Sin fecha</v>
      </c>
      <c r="L141" s="2" t="s">
        <v>47</v>
      </c>
      <c r="M141" s="301"/>
      <c r="N141" s="284" t="s">
        <v>1</v>
      </c>
      <c r="O141" s="284" t="s">
        <v>1</v>
      </c>
      <c r="P141" s="284"/>
      <c r="Q141" s="289" t="s">
        <v>48</v>
      </c>
      <c r="R141" s="289" t="s">
        <v>48</v>
      </c>
      <c r="S141" s="289" t="s">
        <v>48</v>
      </c>
      <c r="T141" s="290">
        <f>100+100</f>
        <v>200</v>
      </c>
      <c r="U141" s="290" t="s">
        <v>55</v>
      </c>
      <c r="V141" s="284" t="s">
        <v>436</v>
      </c>
      <c r="W141" s="1">
        <v>100</v>
      </c>
      <c r="X141" s="47"/>
      <c r="Y141" s="47"/>
      <c r="Z141" s="186"/>
      <c r="AA141" s="47"/>
      <c r="AB141" s="47"/>
      <c r="AC141" s="47"/>
      <c r="AD141" s="47"/>
      <c r="AE141" s="186"/>
      <c r="AF141" s="47"/>
    </row>
    <row r="142" spans="1:32" ht="15" hidden="1" customHeight="1">
      <c r="A142" s="4" t="s">
        <v>453</v>
      </c>
      <c r="B142" s="2" t="s">
        <v>525</v>
      </c>
      <c r="C142" s="278">
        <v>42115</v>
      </c>
      <c r="D142" s="2" t="s">
        <v>27</v>
      </c>
      <c r="E142" s="2" t="s">
        <v>383</v>
      </c>
      <c r="F142" s="3"/>
      <c r="G142" s="40">
        <v>8</v>
      </c>
      <c r="H142" s="28">
        <f t="shared" si="14"/>
        <v>0</v>
      </c>
      <c r="I142" s="252"/>
      <c r="J142" s="248">
        <f t="shared" ca="1" si="13"/>
        <v>430</v>
      </c>
      <c r="K142" s="260" t="str">
        <f t="shared" ca="1" si="12"/>
        <v>Sin fecha</v>
      </c>
      <c r="L142" s="2" t="s">
        <v>45</v>
      </c>
      <c r="M142" s="2"/>
      <c r="N142" s="2" t="s">
        <v>48</v>
      </c>
      <c r="O142" s="2" t="s">
        <v>48</v>
      </c>
      <c r="P142" s="35" t="s">
        <v>48</v>
      </c>
      <c r="Q142" s="35" t="s">
        <v>48</v>
      </c>
      <c r="R142" s="35" t="s">
        <v>48</v>
      </c>
      <c r="S142" s="35" t="s">
        <v>48</v>
      </c>
      <c r="T142" s="5">
        <v>8</v>
      </c>
      <c r="U142" s="5" t="s">
        <v>55</v>
      </c>
      <c r="V142" s="4" t="s">
        <v>434</v>
      </c>
      <c r="X142" s="47"/>
      <c r="Y142" s="47"/>
      <c r="Z142" s="186"/>
      <c r="AA142" s="47"/>
      <c r="AB142" s="47"/>
      <c r="AC142" s="47"/>
      <c r="AD142" s="47"/>
      <c r="AE142" s="186"/>
      <c r="AF142" s="47"/>
    </row>
    <row r="143" spans="1:32" ht="15" hidden="1" customHeight="1">
      <c r="A143" s="211" t="s">
        <v>49</v>
      </c>
      <c r="B143" s="206">
        <v>5188</v>
      </c>
      <c r="C143" s="278">
        <v>42117</v>
      </c>
      <c r="D143" s="206" t="s">
        <v>24</v>
      </c>
      <c r="E143" s="206" t="s">
        <v>31</v>
      </c>
      <c r="F143" s="207"/>
      <c r="G143" s="208">
        <v>146</v>
      </c>
      <c r="H143" s="49">
        <f t="shared" si="14"/>
        <v>0</v>
      </c>
      <c r="I143" s="292"/>
      <c r="J143" s="293">
        <f t="shared" ca="1" si="13"/>
        <v>428</v>
      </c>
      <c r="K143" s="294" t="str">
        <f t="shared" ref="K143:K174" ca="1" si="15">IF(I143="","Sin fecha",((I143-TODAY())))</f>
        <v>Sin fecha</v>
      </c>
      <c r="L143" s="2" t="s">
        <v>47</v>
      </c>
      <c r="M143" s="206"/>
      <c r="N143" s="206" t="s">
        <v>1</v>
      </c>
      <c r="O143" s="206" t="s">
        <v>1</v>
      </c>
      <c r="P143" s="209" t="s">
        <v>48</v>
      </c>
      <c r="Q143" s="209" t="s">
        <v>48</v>
      </c>
      <c r="R143" s="209" t="s">
        <v>48</v>
      </c>
      <c r="S143" s="209" t="s">
        <v>48</v>
      </c>
      <c r="T143" s="210">
        <f>20+40+86</f>
        <v>146</v>
      </c>
      <c r="U143" s="210" t="s">
        <v>55</v>
      </c>
      <c r="V143" s="291" t="s">
        <v>433</v>
      </c>
      <c r="X143" s="47"/>
      <c r="Y143" s="47"/>
      <c r="Z143" s="186"/>
      <c r="AA143" s="47"/>
      <c r="AB143" s="47"/>
      <c r="AC143" s="47"/>
      <c r="AD143" s="47"/>
      <c r="AE143" s="186"/>
      <c r="AF143" s="47"/>
    </row>
    <row r="144" spans="1:32" ht="15" hidden="1" customHeight="1">
      <c r="A144" s="4" t="s">
        <v>49</v>
      </c>
      <c r="B144" s="53">
        <v>5190</v>
      </c>
      <c r="C144" s="278">
        <v>42117</v>
      </c>
      <c r="D144" s="2" t="s">
        <v>5</v>
      </c>
      <c r="E144" s="2" t="s">
        <v>35</v>
      </c>
      <c r="F144" s="3"/>
      <c r="G144" s="40">
        <v>200</v>
      </c>
      <c r="H144" s="578">
        <f t="shared" si="14"/>
        <v>0</v>
      </c>
      <c r="I144" s="253"/>
      <c r="J144" s="248">
        <f t="shared" ca="1" si="13"/>
        <v>428</v>
      </c>
      <c r="K144" s="260" t="str">
        <f t="shared" ca="1" si="15"/>
        <v>Sin fecha</v>
      </c>
      <c r="L144" s="2" t="s">
        <v>45</v>
      </c>
      <c r="M144" s="2"/>
      <c r="N144" s="2" t="s">
        <v>48</v>
      </c>
      <c r="O144" s="2" t="s">
        <v>48</v>
      </c>
      <c r="P144" s="35" t="s">
        <v>48</v>
      </c>
      <c r="Q144" s="35" t="s">
        <v>48</v>
      </c>
      <c r="R144" s="35" t="s">
        <v>48</v>
      </c>
      <c r="S144" s="35" t="s">
        <v>48</v>
      </c>
      <c r="T144" s="5">
        <v>200</v>
      </c>
      <c r="U144" s="5" t="s">
        <v>55</v>
      </c>
      <c r="V144" s="4" t="s">
        <v>434</v>
      </c>
      <c r="X144" s="47"/>
      <c r="Y144" s="47"/>
      <c r="Z144" s="186"/>
      <c r="AA144" s="47"/>
      <c r="AB144" s="47"/>
      <c r="AC144" s="47"/>
      <c r="AD144" s="47"/>
      <c r="AE144" s="186"/>
      <c r="AF144" s="47"/>
    </row>
    <row r="145" spans="1:32" ht="15" hidden="1" customHeight="1">
      <c r="A145" s="4" t="s">
        <v>49</v>
      </c>
      <c r="B145" s="53">
        <v>5192</v>
      </c>
      <c r="C145" s="278">
        <v>42130</v>
      </c>
      <c r="D145" s="194" t="s">
        <v>21</v>
      </c>
      <c r="E145" s="15" t="s">
        <v>75</v>
      </c>
      <c r="F145" s="5"/>
      <c r="G145" s="46">
        <v>400</v>
      </c>
      <c r="H145" s="295">
        <f t="shared" si="14"/>
        <v>0</v>
      </c>
      <c r="I145" s="253">
        <v>42154</v>
      </c>
      <c r="J145" s="248">
        <f t="shared" ca="1" si="13"/>
        <v>415</v>
      </c>
      <c r="K145" s="260">
        <f t="shared" ca="1" si="15"/>
        <v>-391</v>
      </c>
      <c r="L145" s="2" t="s">
        <v>47</v>
      </c>
      <c r="M145" s="2"/>
      <c r="N145" s="4" t="s">
        <v>69</v>
      </c>
      <c r="O145" s="4" t="s">
        <v>48</v>
      </c>
      <c r="P145" s="35" t="s">
        <v>48</v>
      </c>
      <c r="Q145" s="35" t="s">
        <v>48</v>
      </c>
      <c r="R145" s="15"/>
      <c r="S145" s="35" t="s">
        <v>48</v>
      </c>
      <c r="T145" s="5">
        <v>400</v>
      </c>
      <c r="U145" s="5" t="s">
        <v>55</v>
      </c>
      <c r="V145" s="43" t="s">
        <v>433</v>
      </c>
      <c r="X145" s="47"/>
      <c r="Y145" s="47"/>
      <c r="Z145" s="186"/>
      <c r="AA145" s="47"/>
      <c r="AB145" s="47"/>
      <c r="AC145" s="47"/>
      <c r="AD145" s="47"/>
      <c r="AE145" s="186"/>
      <c r="AF145" s="47"/>
    </row>
    <row r="146" spans="1:32" ht="15" hidden="1" customHeight="1">
      <c r="A146" s="15" t="s">
        <v>49</v>
      </c>
      <c r="B146" s="43">
        <v>5189</v>
      </c>
      <c r="C146" s="278">
        <v>42123</v>
      </c>
      <c r="D146" s="15" t="s">
        <v>13</v>
      </c>
      <c r="E146" s="15" t="s">
        <v>36</v>
      </c>
      <c r="F146" s="5">
        <v>340</v>
      </c>
      <c r="G146" s="40">
        <v>359</v>
      </c>
      <c r="H146" s="335">
        <f t="shared" si="14"/>
        <v>0</v>
      </c>
      <c r="I146" s="253"/>
      <c r="J146" s="248">
        <f t="shared" ca="1" si="13"/>
        <v>422</v>
      </c>
      <c r="K146" s="260" t="str">
        <f t="shared" ca="1" si="15"/>
        <v>Sin fecha</v>
      </c>
      <c r="L146" s="2" t="s">
        <v>47</v>
      </c>
      <c r="M146" s="2"/>
      <c r="N146" s="4" t="s">
        <v>1</v>
      </c>
      <c r="O146" s="4" t="s">
        <v>48</v>
      </c>
      <c r="P146" s="35" t="s">
        <v>48</v>
      </c>
      <c r="Q146" s="35" t="s">
        <v>48</v>
      </c>
      <c r="R146" s="35" t="s">
        <v>48</v>
      </c>
      <c r="S146" s="35" t="s">
        <v>48</v>
      </c>
      <c r="T146" s="5">
        <f>100+259</f>
        <v>359</v>
      </c>
      <c r="U146" s="5" t="s">
        <v>55</v>
      </c>
      <c r="V146" s="43" t="s">
        <v>433</v>
      </c>
      <c r="X146" s="47"/>
      <c r="Y146" s="47"/>
      <c r="Z146" s="186"/>
      <c r="AA146" s="47"/>
      <c r="AB146" s="47"/>
      <c r="AC146" s="47"/>
      <c r="AD146" s="47"/>
      <c r="AE146" s="186"/>
      <c r="AF146" s="47"/>
    </row>
    <row r="147" spans="1:32" ht="15" hidden="1" customHeight="1">
      <c r="A147" s="4" t="s">
        <v>49</v>
      </c>
      <c r="B147" s="53">
        <v>5190</v>
      </c>
      <c r="C147" s="278">
        <v>42117</v>
      </c>
      <c r="D147" s="2" t="s">
        <v>5</v>
      </c>
      <c r="E147" s="2" t="s">
        <v>22</v>
      </c>
      <c r="F147" s="3"/>
      <c r="G147" s="40">
        <v>60</v>
      </c>
      <c r="H147" s="578">
        <f t="shared" si="14"/>
        <v>0</v>
      </c>
      <c r="I147" s="253"/>
      <c r="J147" s="248">
        <f t="shared" ca="1" si="13"/>
        <v>428</v>
      </c>
      <c r="K147" s="260" t="str">
        <f t="shared" ca="1" si="15"/>
        <v>Sin fecha</v>
      </c>
      <c r="L147" s="2" t="s">
        <v>47</v>
      </c>
      <c r="M147" s="2"/>
      <c r="N147" s="2" t="s">
        <v>69</v>
      </c>
      <c r="O147" s="2" t="s">
        <v>69</v>
      </c>
      <c r="P147" s="2"/>
      <c r="Q147" s="35" t="s">
        <v>48</v>
      </c>
      <c r="R147" s="2"/>
      <c r="S147" s="35" t="s">
        <v>48</v>
      </c>
      <c r="T147" s="5">
        <v>60</v>
      </c>
      <c r="U147" s="5" t="s">
        <v>55</v>
      </c>
      <c r="V147" s="43" t="s">
        <v>433</v>
      </c>
      <c r="X147" s="47"/>
      <c r="Y147" s="47"/>
      <c r="Z147" s="186"/>
      <c r="AA147" s="47"/>
      <c r="AB147" s="47"/>
      <c r="AC147" s="47"/>
      <c r="AD147" s="47"/>
      <c r="AE147" s="186"/>
      <c r="AF147" s="47"/>
    </row>
    <row r="148" spans="1:32" ht="15" hidden="1" customHeight="1">
      <c r="A148" s="284" t="s">
        <v>49</v>
      </c>
      <c r="B148" s="453">
        <v>5190</v>
      </c>
      <c r="C148" s="446">
        <v>42117</v>
      </c>
      <c r="D148" s="301" t="s">
        <v>5</v>
      </c>
      <c r="E148" s="301" t="s">
        <v>14</v>
      </c>
      <c r="F148" s="298"/>
      <c r="G148" s="296">
        <v>70</v>
      </c>
      <c r="H148" s="581">
        <f t="shared" si="14"/>
        <v>0</v>
      </c>
      <c r="I148" s="297"/>
      <c r="J148" s="302">
        <f t="shared" ca="1" si="13"/>
        <v>428</v>
      </c>
      <c r="K148" s="303" t="str">
        <f t="shared" ca="1" si="15"/>
        <v>Sin fecha</v>
      </c>
      <c r="L148" s="301" t="s">
        <v>47</v>
      </c>
      <c r="M148" s="301"/>
      <c r="N148" s="301" t="s">
        <v>69</v>
      </c>
      <c r="O148" s="301" t="s">
        <v>69</v>
      </c>
      <c r="P148" s="301"/>
      <c r="Q148" s="289" t="s">
        <v>48</v>
      </c>
      <c r="R148" s="301" t="s">
        <v>55</v>
      </c>
      <c r="S148" s="289" t="s">
        <v>48</v>
      </c>
      <c r="T148" s="290">
        <v>70</v>
      </c>
      <c r="U148" s="290" t="s">
        <v>55</v>
      </c>
      <c r="V148" s="284" t="s">
        <v>151</v>
      </c>
      <c r="X148" s="47"/>
      <c r="Y148" s="47"/>
      <c r="Z148" s="186"/>
      <c r="AA148" s="47"/>
      <c r="AB148" s="47"/>
      <c r="AC148" s="47"/>
      <c r="AD148" s="47"/>
      <c r="AE148" s="186"/>
      <c r="AF148" s="47"/>
    </row>
    <row r="149" spans="1:32" ht="15" hidden="1" customHeight="1">
      <c r="A149" s="15" t="s">
        <v>49</v>
      </c>
      <c r="B149" s="43">
        <v>5189</v>
      </c>
      <c r="C149" s="278">
        <v>42123</v>
      </c>
      <c r="D149" s="15" t="s">
        <v>13</v>
      </c>
      <c r="E149" s="53" t="s">
        <v>38</v>
      </c>
      <c r="F149" s="5">
        <v>168</v>
      </c>
      <c r="G149" s="40">
        <v>165</v>
      </c>
      <c r="H149" s="335">
        <f t="shared" si="14"/>
        <v>0</v>
      </c>
      <c r="I149" s="253"/>
      <c r="J149" s="248">
        <f t="shared" ca="1" si="13"/>
        <v>422</v>
      </c>
      <c r="K149" s="260" t="str">
        <f t="shared" ca="1" si="15"/>
        <v>Sin fecha</v>
      </c>
      <c r="L149" s="2" t="s">
        <v>47</v>
      </c>
      <c r="M149" s="2"/>
      <c r="N149" s="4" t="s">
        <v>1</v>
      </c>
      <c r="O149" s="4" t="s">
        <v>1</v>
      </c>
      <c r="P149" s="4"/>
      <c r="Q149" s="35" t="s">
        <v>48</v>
      </c>
      <c r="R149" s="35" t="s">
        <v>48</v>
      </c>
      <c r="S149" s="35" t="s">
        <v>48</v>
      </c>
      <c r="T149" s="5">
        <v>165</v>
      </c>
      <c r="U149" s="5" t="s">
        <v>55</v>
      </c>
      <c r="V149" s="43" t="s">
        <v>433</v>
      </c>
    </row>
    <row r="150" spans="1:32" ht="15" hidden="1" customHeight="1">
      <c r="A150" s="307"/>
      <c r="B150" s="586">
        <v>5190</v>
      </c>
      <c r="C150" s="327">
        <v>42117</v>
      </c>
      <c r="D150" s="592" t="s">
        <v>5</v>
      </c>
      <c r="E150" s="586" t="s">
        <v>483</v>
      </c>
      <c r="F150" s="603"/>
      <c r="G150" s="609"/>
      <c r="H150" s="603">
        <f t="shared" si="14"/>
        <v>0</v>
      </c>
      <c r="I150" s="603"/>
      <c r="J150" s="465">
        <f t="shared" ca="1" si="13"/>
        <v>428</v>
      </c>
      <c r="K150" s="313" t="str">
        <f t="shared" ca="1" si="15"/>
        <v>Sin fecha</v>
      </c>
      <c r="L150" s="586"/>
      <c r="M150" s="586"/>
      <c r="N150" s="586" t="s">
        <v>48</v>
      </c>
      <c r="O150" s="586" t="s">
        <v>48</v>
      </c>
      <c r="P150" s="586"/>
      <c r="Q150" s="586"/>
      <c r="R150" s="586"/>
      <c r="S150" s="586"/>
      <c r="T150" s="603"/>
      <c r="U150" s="603" t="s">
        <v>55</v>
      </c>
      <c r="V150" s="644" t="s">
        <v>427</v>
      </c>
    </row>
    <row r="151" spans="1:32" ht="15" hidden="1" customHeight="1">
      <c r="A151" s="4" t="s">
        <v>49</v>
      </c>
      <c r="B151" s="53">
        <v>5190</v>
      </c>
      <c r="C151" s="278">
        <v>42117</v>
      </c>
      <c r="D151" s="2" t="s">
        <v>5</v>
      </c>
      <c r="E151" s="2" t="s">
        <v>23</v>
      </c>
      <c r="F151" s="3"/>
      <c r="G151" s="40">
        <v>70</v>
      </c>
      <c r="H151" s="342">
        <f t="shared" si="14"/>
        <v>0</v>
      </c>
      <c r="I151" s="253"/>
      <c r="J151" s="248">
        <f t="shared" ca="1" si="13"/>
        <v>428</v>
      </c>
      <c r="K151" s="260" t="str">
        <f t="shared" ca="1" si="15"/>
        <v>Sin fecha</v>
      </c>
      <c r="L151" s="2" t="s">
        <v>47</v>
      </c>
      <c r="M151" s="2"/>
      <c r="N151" s="2" t="s">
        <v>69</v>
      </c>
      <c r="O151" s="2" t="s">
        <v>48</v>
      </c>
      <c r="P151" s="35" t="s">
        <v>48</v>
      </c>
      <c r="Q151" s="35" t="s">
        <v>48</v>
      </c>
      <c r="R151" s="2"/>
      <c r="S151" s="35" t="s">
        <v>48</v>
      </c>
      <c r="T151" s="5">
        <v>70</v>
      </c>
      <c r="U151" s="5" t="s">
        <v>55</v>
      </c>
      <c r="V151" s="4" t="s">
        <v>151</v>
      </c>
    </row>
    <row r="152" spans="1:32" ht="15" hidden="1" customHeight="1">
      <c r="A152" s="4" t="s">
        <v>49</v>
      </c>
      <c r="B152" s="53">
        <v>5190</v>
      </c>
      <c r="C152" s="278">
        <v>42117</v>
      </c>
      <c r="D152" s="2" t="s">
        <v>5</v>
      </c>
      <c r="E152" s="2" t="s">
        <v>59</v>
      </c>
      <c r="F152" s="3"/>
      <c r="G152" s="46">
        <v>70</v>
      </c>
      <c r="H152" s="300">
        <f t="shared" si="14"/>
        <v>0</v>
      </c>
      <c r="I152" s="253"/>
      <c r="J152" s="248">
        <f t="shared" ca="1" si="13"/>
        <v>428</v>
      </c>
      <c r="K152" s="260" t="str">
        <f t="shared" ca="1" si="15"/>
        <v>Sin fecha</v>
      </c>
      <c r="L152" s="2" t="s">
        <v>47</v>
      </c>
      <c r="M152" s="2"/>
      <c r="N152" s="2" t="s">
        <v>69</v>
      </c>
      <c r="O152" s="2" t="s">
        <v>69</v>
      </c>
      <c r="P152" s="2"/>
      <c r="Q152" s="35" t="s">
        <v>48</v>
      </c>
      <c r="R152" s="41"/>
      <c r="S152" s="35" t="s">
        <v>48</v>
      </c>
      <c r="T152" s="5">
        <v>70</v>
      </c>
      <c r="U152" s="5" t="s">
        <v>55</v>
      </c>
      <c r="V152" s="43" t="s">
        <v>433</v>
      </c>
    </row>
    <row r="153" spans="1:32" ht="15" hidden="1" customHeight="1">
      <c r="A153" s="456" t="s">
        <v>94</v>
      </c>
      <c r="B153" s="456">
        <v>5191</v>
      </c>
      <c r="C153" s="446">
        <v>42121</v>
      </c>
      <c r="D153" s="456" t="s">
        <v>117</v>
      </c>
      <c r="E153" s="456" t="s">
        <v>118</v>
      </c>
      <c r="F153" s="456"/>
      <c r="G153" s="457">
        <v>200</v>
      </c>
      <c r="H153" s="51">
        <f t="shared" si="14"/>
        <v>0</v>
      </c>
      <c r="I153" s="622"/>
      <c r="J153" s="302">
        <f t="shared" ca="1" si="13"/>
        <v>424</v>
      </c>
      <c r="K153" s="303" t="str">
        <f t="shared" ca="1" si="15"/>
        <v>Sin fecha</v>
      </c>
      <c r="L153" s="634" t="s">
        <v>48</v>
      </c>
      <c r="M153" s="288"/>
      <c r="N153" s="288" t="s">
        <v>48</v>
      </c>
      <c r="O153" s="288" t="s">
        <v>48</v>
      </c>
      <c r="P153" s="289" t="s">
        <v>48</v>
      </c>
      <c r="Q153" s="289" t="s">
        <v>48</v>
      </c>
      <c r="R153" s="289" t="s">
        <v>48</v>
      </c>
      <c r="S153" s="289" t="s">
        <v>48</v>
      </c>
      <c r="T153" s="290">
        <v>200</v>
      </c>
      <c r="U153" s="290" t="s">
        <v>55</v>
      </c>
      <c r="V153" s="284" t="s">
        <v>151</v>
      </c>
    </row>
    <row r="154" spans="1:32" ht="15" hidden="1" customHeight="1">
      <c r="A154" s="63" t="s">
        <v>94</v>
      </c>
      <c r="B154" s="63">
        <v>5191</v>
      </c>
      <c r="C154" s="278">
        <v>42121</v>
      </c>
      <c r="D154" s="63" t="s">
        <v>117</v>
      </c>
      <c r="E154" s="63" t="s">
        <v>119</v>
      </c>
      <c r="F154" s="63"/>
      <c r="G154" s="258">
        <v>200</v>
      </c>
      <c r="H154" s="28">
        <f t="shared" si="14"/>
        <v>0</v>
      </c>
      <c r="I154" s="256"/>
      <c r="J154" s="248">
        <f t="shared" ca="1" si="13"/>
        <v>424</v>
      </c>
      <c r="K154" s="260" t="str">
        <f t="shared" ca="1" si="15"/>
        <v>Sin fecha</v>
      </c>
      <c r="L154" s="259" t="s">
        <v>48</v>
      </c>
      <c r="M154" s="221"/>
      <c r="N154" s="221" t="s">
        <v>48</v>
      </c>
      <c r="O154" s="221" t="s">
        <v>48</v>
      </c>
      <c r="P154" s="35" t="s">
        <v>48</v>
      </c>
      <c r="Q154" s="35" t="s">
        <v>48</v>
      </c>
      <c r="R154" s="35" t="s">
        <v>48</v>
      </c>
      <c r="S154" s="35" t="s">
        <v>48</v>
      </c>
      <c r="T154" s="5">
        <v>200</v>
      </c>
      <c r="U154" s="5" t="s">
        <v>55</v>
      </c>
      <c r="V154" s="4" t="s">
        <v>151</v>
      </c>
    </row>
    <row r="155" spans="1:32" ht="15" hidden="1" customHeight="1">
      <c r="A155" s="63" t="s">
        <v>94</v>
      </c>
      <c r="B155" s="63">
        <v>5191</v>
      </c>
      <c r="C155" s="278">
        <v>42121</v>
      </c>
      <c r="D155" s="63" t="s">
        <v>117</v>
      </c>
      <c r="E155" s="63" t="s">
        <v>120</v>
      </c>
      <c r="F155" s="63"/>
      <c r="G155" s="258">
        <v>308</v>
      </c>
      <c r="H155" s="28">
        <f t="shared" si="14"/>
        <v>0</v>
      </c>
      <c r="I155" s="256"/>
      <c r="J155" s="248">
        <f t="shared" ca="1" si="13"/>
        <v>424</v>
      </c>
      <c r="K155" s="260" t="str">
        <f t="shared" ca="1" si="15"/>
        <v>Sin fecha</v>
      </c>
      <c r="L155" s="259" t="s">
        <v>48</v>
      </c>
      <c r="M155" s="221"/>
      <c r="N155" s="221" t="s">
        <v>48</v>
      </c>
      <c r="O155" s="221" t="s">
        <v>48</v>
      </c>
      <c r="P155" s="35" t="s">
        <v>48</v>
      </c>
      <c r="Q155" s="35" t="s">
        <v>48</v>
      </c>
      <c r="R155" s="35" t="s">
        <v>48</v>
      </c>
      <c r="S155" s="35" t="s">
        <v>48</v>
      </c>
      <c r="T155" s="5">
        <v>308</v>
      </c>
      <c r="U155" s="5" t="s">
        <v>55</v>
      </c>
      <c r="V155" s="4" t="s">
        <v>151</v>
      </c>
    </row>
    <row r="156" spans="1:32" ht="15" hidden="1" customHeight="1">
      <c r="A156" s="63" t="s">
        <v>94</v>
      </c>
      <c r="B156" s="63">
        <v>5191</v>
      </c>
      <c r="C156" s="278">
        <v>42121</v>
      </c>
      <c r="D156" s="63" t="s">
        <v>117</v>
      </c>
      <c r="E156" s="63" t="s">
        <v>121</v>
      </c>
      <c r="F156" s="63"/>
      <c r="G156" s="258">
        <v>340</v>
      </c>
      <c r="H156" s="28">
        <f t="shared" si="14"/>
        <v>0</v>
      </c>
      <c r="I156" s="256"/>
      <c r="J156" s="248">
        <f t="shared" ca="1" si="13"/>
        <v>424</v>
      </c>
      <c r="K156" s="260" t="str">
        <f t="shared" ca="1" si="15"/>
        <v>Sin fecha</v>
      </c>
      <c r="L156" s="259" t="s">
        <v>48</v>
      </c>
      <c r="M156" s="221"/>
      <c r="N156" s="221" t="s">
        <v>48</v>
      </c>
      <c r="O156" s="221" t="s">
        <v>48</v>
      </c>
      <c r="P156" s="35" t="s">
        <v>48</v>
      </c>
      <c r="Q156" s="35" t="s">
        <v>48</v>
      </c>
      <c r="R156" s="35" t="s">
        <v>48</v>
      </c>
      <c r="S156" s="35" t="s">
        <v>48</v>
      </c>
      <c r="T156" s="5">
        <v>340</v>
      </c>
      <c r="U156" s="5" t="s">
        <v>55</v>
      </c>
      <c r="V156" s="4" t="s">
        <v>151</v>
      </c>
    </row>
    <row r="157" spans="1:32" ht="15" hidden="1" customHeight="1">
      <c r="A157" s="15" t="s">
        <v>49</v>
      </c>
      <c r="B157" s="43">
        <v>5189</v>
      </c>
      <c r="C157" s="278">
        <v>42123</v>
      </c>
      <c r="D157" s="15" t="s">
        <v>13</v>
      </c>
      <c r="E157" s="257" t="s">
        <v>23</v>
      </c>
      <c r="F157" s="5">
        <v>304</v>
      </c>
      <c r="G157" s="40">
        <v>303</v>
      </c>
      <c r="H157" s="335">
        <f t="shared" si="14"/>
        <v>0</v>
      </c>
      <c r="I157" s="253"/>
      <c r="J157" s="248">
        <f t="shared" ca="1" si="13"/>
        <v>422</v>
      </c>
      <c r="K157" s="260" t="str">
        <f t="shared" ca="1" si="15"/>
        <v>Sin fecha</v>
      </c>
      <c r="L157" s="2" t="s">
        <v>47</v>
      </c>
      <c r="M157" s="2"/>
      <c r="N157" s="4" t="s">
        <v>1</v>
      </c>
      <c r="O157" s="4" t="s">
        <v>48</v>
      </c>
      <c r="P157" s="35" t="s">
        <v>48</v>
      </c>
      <c r="Q157" s="35" t="s">
        <v>48</v>
      </c>
      <c r="R157" s="35" t="s">
        <v>48</v>
      </c>
      <c r="S157" s="35" t="s">
        <v>48</v>
      </c>
      <c r="T157" s="5">
        <f>170+95+38</f>
        <v>303</v>
      </c>
      <c r="U157" s="5" t="s">
        <v>55</v>
      </c>
      <c r="V157" s="4" t="s">
        <v>433</v>
      </c>
    </row>
    <row r="158" spans="1:32" ht="15" hidden="1" customHeight="1">
      <c r="A158" s="4" t="s">
        <v>49</v>
      </c>
      <c r="B158" s="53">
        <v>5192</v>
      </c>
      <c r="C158" s="278">
        <v>42130</v>
      </c>
      <c r="D158" s="15" t="s">
        <v>21</v>
      </c>
      <c r="E158" s="573" t="s">
        <v>441</v>
      </c>
      <c r="F158" s="5"/>
      <c r="G158" s="46">
        <v>400</v>
      </c>
      <c r="H158" s="444">
        <f t="shared" si="14"/>
        <v>0</v>
      </c>
      <c r="I158" s="253">
        <v>42154</v>
      </c>
      <c r="J158" s="248">
        <f t="shared" ca="1" si="13"/>
        <v>415</v>
      </c>
      <c r="K158" s="260">
        <f t="shared" ca="1" si="15"/>
        <v>-391</v>
      </c>
      <c r="L158" s="2" t="s">
        <v>47</v>
      </c>
      <c r="M158" s="2"/>
      <c r="N158" s="4" t="s">
        <v>69</v>
      </c>
      <c r="O158" s="4" t="s">
        <v>69</v>
      </c>
      <c r="P158" s="4"/>
      <c r="Q158" s="35" t="s">
        <v>48</v>
      </c>
      <c r="R158" s="34">
        <v>201</v>
      </c>
      <c r="S158" s="35" t="s">
        <v>48</v>
      </c>
      <c r="T158" s="5">
        <v>400</v>
      </c>
      <c r="U158" s="5" t="s">
        <v>55</v>
      </c>
      <c r="V158" s="43" t="s">
        <v>433</v>
      </c>
    </row>
    <row r="159" spans="1:32" ht="15" hidden="1" customHeight="1">
      <c r="A159" s="211" t="s">
        <v>49</v>
      </c>
      <c r="B159" s="291">
        <v>5197</v>
      </c>
      <c r="C159" s="327">
        <v>42131</v>
      </c>
      <c r="D159" s="194" t="s">
        <v>27</v>
      </c>
      <c r="E159" s="305" t="s">
        <v>380</v>
      </c>
      <c r="F159" s="210">
        <v>300</v>
      </c>
      <c r="G159" s="582">
        <v>380</v>
      </c>
      <c r="H159" s="49">
        <f t="shared" si="14"/>
        <v>0</v>
      </c>
      <c r="I159" s="292">
        <v>42219</v>
      </c>
      <c r="J159" s="293">
        <f t="shared" ca="1" si="13"/>
        <v>414</v>
      </c>
      <c r="K159" s="294">
        <f t="shared" ca="1" si="15"/>
        <v>-326</v>
      </c>
      <c r="L159" s="206" t="s">
        <v>45</v>
      </c>
      <c r="M159" s="211"/>
      <c r="N159" s="206" t="s">
        <v>48</v>
      </c>
      <c r="O159" s="206" t="s">
        <v>48</v>
      </c>
      <c r="P159" s="209" t="s">
        <v>48</v>
      </c>
      <c r="Q159" s="209" t="s">
        <v>48</v>
      </c>
      <c r="R159" s="209" t="s">
        <v>48</v>
      </c>
      <c r="S159" s="209" t="s">
        <v>48</v>
      </c>
      <c r="T159" s="210">
        <v>380</v>
      </c>
      <c r="U159" s="210" t="s">
        <v>55</v>
      </c>
      <c r="V159" s="211" t="s">
        <v>436</v>
      </c>
      <c r="W159" s="1">
        <v>380</v>
      </c>
    </row>
    <row r="160" spans="1:32" ht="15" hidden="1" customHeight="1">
      <c r="A160" s="4" t="s">
        <v>49</v>
      </c>
      <c r="B160" s="53">
        <v>5192</v>
      </c>
      <c r="C160" s="278">
        <v>42130</v>
      </c>
      <c r="D160" s="15" t="s">
        <v>21</v>
      </c>
      <c r="E160" s="15" t="s">
        <v>445</v>
      </c>
      <c r="F160" s="4"/>
      <c r="G160" s="40">
        <v>300</v>
      </c>
      <c r="H160" s="921">
        <f t="shared" si="14"/>
        <v>0</v>
      </c>
      <c r="I160" s="253">
        <v>42160</v>
      </c>
      <c r="J160" s="248">
        <f t="shared" ca="1" si="13"/>
        <v>415</v>
      </c>
      <c r="K160" s="260">
        <f t="shared" ca="1" si="15"/>
        <v>-385</v>
      </c>
      <c r="L160" s="2" t="s">
        <v>47</v>
      </c>
      <c r="M160" s="2"/>
      <c r="N160" s="4" t="s">
        <v>48</v>
      </c>
      <c r="O160" s="4" t="s">
        <v>48</v>
      </c>
      <c r="P160" s="35" t="s">
        <v>48</v>
      </c>
      <c r="Q160" s="35" t="s">
        <v>48</v>
      </c>
      <c r="R160" s="35" t="s">
        <v>48</v>
      </c>
      <c r="S160" s="35" t="s">
        <v>48</v>
      </c>
      <c r="T160" s="5">
        <v>300</v>
      </c>
      <c r="U160" s="5" t="s">
        <v>55</v>
      </c>
      <c r="V160" s="4" t="s">
        <v>151</v>
      </c>
    </row>
    <row r="161" spans="1:23" ht="15" hidden="1" customHeight="1">
      <c r="A161" s="4" t="s">
        <v>49</v>
      </c>
      <c r="B161" s="53">
        <v>5192</v>
      </c>
      <c r="C161" s="278">
        <v>42130</v>
      </c>
      <c r="D161" s="15" t="s">
        <v>21</v>
      </c>
      <c r="E161" s="15" t="s">
        <v>444</v>
      </c>
      <c r="F161" s="601"/>
      <c r="G161" s="40">
        <v>300</v>
      </c>
      <c r="H161" s="921">
        <f t="shared" si="14"/>
        <v>0</v>
      </c>
      <c r="I161" s="253">
        <v>42171</v>
      </c>
      <c r="J161" s="248">
        <f t="shared" ca="1" si="13"/>
        <v>415</v>
      </c>
      <c r="K161" s="260">
        <f t="shared" ca="1" si="15"/>
        <v>-374</v>
      </c>
      <c r="L161" s="2" t="s">
        <v>47</v>
      </c>
      <c r="M161" s="2"/>
      <c r="N161" s="4" t="s">
        <v>48</v>
      </c>
      <c r="O161" s="4" t="s">
        <v>48</v>
      </c>
      <c r="P161" s="35" t="s">
        <v>48</v>
      </c>
      <c r="Q161" s="35" t="s">
        <v>48</v>
      </c>
      <c r="R161" s="35" t="s">
        <v>48</v>
      </c>
      <c r="S161" s="35" t="s">
        <v>48</v>
      </c>
      <c r="T161" s="5">
        <v>300</v>
      </c>
      <c r="U161" s="5" t="s">
        <v>55</v>
      </c>
      <c r="V161" s="4" t="s">
        <v>434</v>
      </c>
    </row>
    <row r="162" spans="1:23" ht="15" hidden="1" customHeight="1">
      <c r="A162" s="284" t="s">
        <v>49</v>
      </c>
      <c r="B162" s="285">
        <v>5197</v>
      </c>
      <c r="C162" s="446">
        <v>42131</v>
      </c>
      <c r="D162" s="304" t="s">
        <v>27</v>
      </c>
      <c r="E162" s="593" t="s">
        <v>384</v>
      </c>
      <c r="F162" s="290"/>
      <c r="G162" s="581">
        <v>300</v>
      </c>
      <c r="H162" s="51">
        <f t="shared" si="14"/>
        <v>3</v>
      </c>
      <c r="I162" s="297">
        <v>42219</v>
      </c>
      <c r="J162" s="302">
        <f t="shared" ca="1" si="13"/>
        <v>414</v>
      </c>
      <c r="K162" s="303">
        <f t="shared" ca="1" si="15"/>
        <v>-326</v>
      </c>
      <c r="L162" s="301" t="s">
        <v>47</v>
      </c>
      <c r="M162" s="284"/>
      <c r="N162" s="301" t="s">
        <v>48</v>
      </c>
      <c r="O162" s="301" t="s">
        <v>48</v>
      </c>
      <c r="P162" s="289" t="s">
        <v>48</v>
      </c>
      <c r="Q162" s="289" t="s">
        <v>48</v>
      </c>
      <c r="R162" s="289" t="s">
        <v>48</v>
      </c>
      <c r="S162" s="289" t="s">
        <v>48</v>
      </c>
      <c r="T162" s="290">
        <v>297</v>
      </c>
      <c r="U162" s="290" t="s">
        <v>55</v>
      </c>
      <c r="V162" s="284" t="s">
        <v>435</v>
      </c>
    </row>
    <row r="163" spans="1:23" ht="15" hidden="1" customHeight="1">
      <c r="A163" s="4" t="s">
        <v>49</v>
      </c>
      <c r="B163" s="53">
        <v>5192</v>
      </c>
      <c r="C163" s="278">
        <v>42130</v>
      </c>
      <c r="D163" s="15" t="s">
        <v>21</v>
      </c>
      <c r="E163" s="15" t="s">
        <v>446</v>
      </c>
      <c r="F163" s="4"/>
      <c r="G163" s="40">
        <v>300</v>
      </c>
      <c r="H163" s="921">
        <f t="shared" si="14"/>
        <v>0</v>
      </c>
      <c r="I163" s="253">
        <v>42171</v>
      </c>
      <c r="J163" s="248">
        <f t="shared" ca="1" si="13"/>
        <v>415</v>
      </c>
      <c r="K163" s="260">
        <f t="shared" ca="1" si="15"/>
        <v>-374</v>
      </c>
      <c r="L163" s="2" t="s">
        <v>47</v>
      </c>
      <c r="M163" s="2"/>
      <c r="N163" s="4" t="s">
        <v>48</v>
      </c>
      <c r="O163" s="4" t="s">
        <v>48</v>
      </c>
      <c r="P163" s="35" t="s">
        <v>48</v>
      </c>
      <c r="Q163" s="35" t="s">
        <v>48</v>
      </c>
      <c r="R163" s="35" t="s">
        <v>48</v>
      </c>
      <c r="S163" s="35" t="s">
        <v>48</v>
      </c>
      <c r="T163" s="5">
        <v>300</v>
      </c>
      <c r="U163" s="5" t="s">
        <v>55</v>
      </c>
      <c r="V163" s="4" t="s">
        <v>435</v>
      </c>
    </row>
    <row r="164" spans="1:23" ht="15" hidden="1" customHeight="1">
      <c r="A164" s="4" t="s">
        <v>49</v>
      </c>
      <c r="B164" s="43">
        <v>5197</v>
      </c>
      <c r="C164" s="278">
        <v>42131</v>
      </c>
      <c r="D164" s="15" t="s">
        <v>27</v>
      </c>
      <c r="E164" s="218" t="s">
        <v>381</v>
      </c>
      <c r="F164" s="5"/>
      <c r="G164" s="578">
        <v>600</v>
      </c>
      <c r="H164" s="28">
        <f t="shared" si="14"/>
        <v>-298</v>
      </c>
      <c r="I164" s="253">
        <v>42219</v>
      </c>
      <c r="J164" s="248">
        <f t="shared" ca="1" si="13"/>
        <v>414</v>
      </c>
      <c r="K164" s="260">
        <f t="shared" ca="1" si="15"/>
        <v>-326</v>
      </c>
      <c r="L164" s="2" t="s">
        <v>45</v>
      </c>
      <c r="M164" s="4"/>
      <c r="N164" s="2" t="s">
        <v>48</v>
      </c>
      <c r="O164" s="2" t="s">
        <v>48</v>
      </c>
      <c r="P164" s="35" t="s">
        <v>48</v>
      </c>
      <c r="Q164" s="35" t="s">
        <v>48</v>
      </c>
      <c r="R164" s="35" t="s">
        <v>48</v>
      </c>
      <c r="S164" s="35" t="s">
        <v>48</v>
      </c>
      <c r="T164" s="5">
        <f>255+303+340</f>
        <v>898</v>
      </c>
      <c r="U164" s="5" t="s">
        <v>55</v>
      </c>
      <c r="V164" s="4" t="s">
        <v>436</v>
      </c>
      <c r="W164" s="1">
        <v>303</v>
      </c>
    </row>
    <row r="165" spans="1:23" ht="15" hidden="1" customHeight="1">
      <c r="A165" s="4" t="s">
        <v>49</v>
      </c>
      <c r="B165" s="53">
        <v>5192</v>
      </c>
      <c r="C165" s="278">
        <v>42130</v>
      </c>
      <c r="D165" s="15" t="s">
        <v>21</v>
      </c>
      <c r="E165" s="15" t="s">
        <v>447</v>
      </c>
      <c r="F165" s="4"/>
      <c r="G165" s="46">
        <v>400</v>
      </c>
      <c r="H165" s="921">
        <f t="shared" si="14"/>
        <v>0</v>
      </c>
      <c r="I165" s="253">
        <v>42161</v>
      </c>
      <c r="J165" s="248">
        <f t="shared" ca="1" si="13"/>
        <v>415</v>
      </c>
      <c r="K165" s="260">
        <f t="shared" ca="1" si="15"/>
        <v>-384</v>
      </c>
      <c r="L165" s="2" t="s">
        <v>47</v>
      </c>
      <c r="M165" s="2"/>
      <c r="N165" s="4" t="s">
        <v>69</v>
      </c>
      <c r="O165" s="4"/>
      <c r="P165" s="35" t="s">
        <v>48</v>
      </c>
      <c r="Q165" s="35" t="s">
        <v>48</v>
      </c>
      <c r="R165" s="4"/>
      <c r="S165" s="35" t="s">
        <v>48</v>
      </c>
      <c r="T165" s="5">
        <v>400</v>
      </c>
      <c r="U165" s="5" t="s">
        <v>55</v>
      </c>
      <c r="V165" s="4" t="s">
        <v>434</v>
      </c>
    </row>
    <row r="166" spans="1:23" ht="15" hidden="1" customHeight="1">
      <c r="A166" s="498" t="s">
        <v>195</v>
      </c>
      <c r="B166" s="498">
        <v>5194</v>
      </c>
      <c r="C166" s="461">
        <v>42130</v>
      </c>
      <c r="D166" s="498" t="s">
        <v>21</v>
      </c>
      <c r="E166" s="498" t="s">
        <v>196</v>
      </c>
      <c r="F166" s="498"/>
      <c r="G166" s="943">
        <v>384</v>
      </c>
      <c r="H166" s="50">
        <f t="shared" si="14"/>
        <v>3</v>
      </c>
      <c r="I166" s="312"/>
      <c r="J166" s="465">
        <f t="shared" ca="1" si="13"/>
        <v>415</v>
      </c>
      <c r="K166" s="313" t="str">
        <f t="shared" ca="1" si="15"/>
        <v>Sin fecha</v>
      </c>
      <c r="L166" s="949" t="s">
        <v>48</v>
      </c>
      <c r="M166" s="445"/>
      <c r="N166" s="464" t="s">
        <v>48</v>
      </c>
      <c r="O166" s="464" t="s">
        <v>48</v>
      </c>
      <c r="P166" s="314" t="s">
        <v>48</v>
      </c>
      <c r="Q166" s="314" t="s">
        <v>48</v>
      </c>
      <c r="R166" s="314" t="s">
        <v>48</v>
      </c>
      <c r="S166" s="314" t="s">
        <v>48</v>
      </c>
      <c r="T166" s="309">
        <v>381</v>
      </c>
      <c r="U166" s="309" t="s">
        <v>55</v>
      </c>
      <c r="V166" s="307" t="s">
        <v>959</v>
      </c>
    </row>
    <row r="167" spans="1:23" ht="15" hidden="1" customHeight="1">
      <c r="A167" s="63" t="s">
        <v>195</v>
      </c>
      <c r="B167" s="63">
        <v>5194</v>
      </c>
      <c r="C167" s="278">
        <v>42130</v>
      </c>
      <c r="D167" s="63" t="s">
        <v>21</v>
      </c>
      <c r="E167" s="63" t="s">
        <v>197</v>
      </c>
      <c r="F167" s="63"/>
      <c r="G167" s="258">
        <v>450</v>
      </c>
      <c r="H167" s="28">
        <f t="shared" si="14"/>
        <v>10</v>
      </c>
      <c r="I167" s="253"/>
      <c r="J167" s="248">
        <f t="shared" ca="1" si="13"/>
        <v>415</v>
      </c>
      <c r="K167" s="260" t="str">
        <f t="shared" ca="1" si="15"/>
        <v>Sin fecha</v>
      </c>
      <c r="L167" s="259" t="s">
        <v>48</v>
      </c>
      <c r="M167" s="15"/>
      <c r="N167" s="221" t="s">
        <v>48</v>
      </c>
      <c r="O167" s="221" t="s">
        <v>48</v>
      </c>
      <c r="P167" s="35" t="s">
        <v>48</v>
      </c>
      <c r="Q167" s="35" t="s">
        <v>48</v>
      </c>
      <c r="R167" s="35" t="s">
        <v>48</v>
      </c>
      <c r="S167" s="35" t="s">
        <v>48</v>
      </c>
      <c r="T167" s="5">
        <v>440</v>
      </c>
      <c r="U167" s="5" t="s">
        <v>55</v>
      </c>
      <c r="V167" s="4" t="s">
        <v>959</v>
      </c>
    </row>
    <row r="168" spans="1:23" ht="15" hidden="1" customHeight="1">
      <c r="A168" s="4" t="s">
        <v>49</v>
      </c>
      <c r="B168" s="53">
        <v>5192</v>
      </c>
      <c r="C168" s="278">
        <v>42130</v>
      </c>
      <c r="D168" s="15" t="s">
        <v>21</v>
      </c>
      <c r="E168" s="15" t="s">
        <v>442</v>
      </c>
      <c r="F168" s="4"/>
      <c r="G168" s="46">
        <v>400</v>
      </c>
      <c r="H168" s="921">
        <f t="shared" si="14"/>
        <v>0</v>
      </c>
      <c r="I168" s="253">
        <v>42171</v>
      </c>
      <c r="J168" s="248">
        <f t="shared" ca="1" si="13"/>
        <v>415</v>
      </c>
      <c r="K168" s="260">
        <f t="shared" ca="1" si="15"/>
        <v>-374</v>
      </c>
      <c r="L168" s="2" t="s">
        <v>47</v>
      </c>
      <c r="M168" s="2"/>
      <c r="N168" s="4" t="s">
        <v>69</v>
      </c>
      <c r="O168" s="4" t="s">
        <v>69</v>
      </c>
      <c r="P168" s="4"/>
      <c r="Q168" s="35" t="s">
        <v>48</v>
      </c>
      <c r="R168" s="4"/>
      <c r="S168" s="35" t="s">
        <v>48</v>
      </c>
      <c r="T168" s="5">
        <v>400</v>
      </c>
      <c r="U168" s="5" t="s">
        <v>55</v>
      </c>
      <c r="V168" s="4" t="s">
        <v>435</v>
      </c>
    </row>
    <row r="169" spans="1:23" ht="15" hidden="1" customHeight="1">
      <c r="A169" s="63" t="s">
        <v>193</v>
      </c>
      <c r="B169" s="63">
        <v>5195</v>
      </c>
      <c r="C169" s="278">
        <v>42131</v>
      </c>
      <c r="D169" s="63" t="s">
        <v>21</v>
      </c>
      <c r="E169" s="63" t="s">
        <v>191</v>
      </c>
      <c r="F169" s="63">
        <v>5000</v>
      </c>
      <c r="G169" s="258">
        <v>5437</v>
      </c>
      <c r="H169" s="28">
        <f t="shared" si="14"/>
        <v>0</v>
      </c>
      <c r="I169" s="255">
        <v>42162</v>
      </c>
      <c r="J169" s="248">
        <f t="shared" ca="1" si="13"/>
        <v>414</v>
      </c>
      <c r="K169" s="260">
        <f t="shared" ca="1" si="15"/>
        <v>-383</v>
      </c>
      <c r="L169" s="259" t="s">
        <v>48</v>
      </c>
      <c r="M169" s="4"/>
      <c r="N169" s="221" t="s">
        <v>48</v>
      </c>
      <c r="O169" s="221" t="s">
        <v>48</v>
      </c>
      <c r="P169" s="35" t="s">
        <v>48</v>
      </c>
      <c r="Q169" s="35" t="s">
        <v>48</v>
      </c>
      <c r="R169" s="35" t="s">
        <v>48</v>
      </c>
      <c r="S169" s="35" t="s">
        <v>48</v>
      </c>
      <c r="T169" s="5">
        <f>3000+2437</f>
        <v>5437</v>
      </c>
      <c r="U169" s="5" t="s">
        <v>55</v>
      </c>
      <c r="V169" s="4" t="s">
        <v>151</v>
      </c>
    </row>
    <row r="170" spans="1:23" ht="15" hidden="1" customHeight="1">
      <c r="A170" s="63" t="s">
        <v>193</v>
      </c>
      <c r="B170" s="63">
        <v>5195</v>
      </c>
      <c r="C170" s="278">
        <v>42131</v>
      </c>
      <c r="D170" s="63" t="s">
        <v>21</v>
      </c>
      <c r="E170" s="63" t="s">
        <v>192</v>
      </c>
      <c r="F170" s="63">
        <v>5000</v>
      </c>
      <c r="G170" s="258">
        <v>5269</v>
      </c>
      <c r="H170" s="28">
        <f t="shared" si="14"/>
        <v>0</v>
      </c>
      <c r="I170" s="255">
        <v>42162</v>
      </c>
      <c r="J170" s="248">
        <f t="shared" ca="1" si="13"/>
        <v>414</v>
      </c>
      <c r="K170" s="260">
        <f t="shared" ca="1" si="15"/>
        <v>-383</v>
      </c>
      <c r="L170" s="259" t="s">
        <v>48</v>
      </c>
      <c r="M170" s="4" t="s">
        <v>48</v>
      </c>
      <c r="N170" s="221" t="s">
        <v>48</v>
      </c>
      <c r="O170" s="221" t="s">
        <v>48</v>
      </c>
      <c r="P170" s="35" t="s">
        <v>48</v>
      </c>
      <c r="Q170" s="35" t="s">
        <v>48</v>
      </c>
      <c r="R170" s="35" t="s">
        <v>48</v>
      </c>
      <c r="S170" s="35" t="s">
        <v>48</v>
      </c>
      <c r="T170" s="3">
        <f>2500+2769</f>
        <v>5269</v>
      </c>
      <c r="U170" s="5" t="s">
        <v>55</v>
      </c>
      <c r="V170" s="4" t="s">
        <v>151</v>
      </c>
    </row>
    <row r="171" spans="1:23" ht="15" hidden="1" customHeight="1">
      <c r="A171" s="15" t="s">
        <v>94</v>
      </c>
      <c r="B171" s="2">
        <v>5266</v>
      </c>
      <c r="C171" s="550">
        <v>42134</v>
      </c>
      <c r="D171" s="15" t="s">
        <v>21</v>
      </c>
      <c r="E171" s="67" t="s">
        <v>768</v>
      </c>
      <c r="F171" s="59"/>
      <c r="G171" s="46">
        <v>1500</v>
      </c>
      <c r="H171" s="917">
        <f t="shared" si="14"/>
        <v>248</v>
      </c>
      <c r="I171" s="253"/>
      <c r="J171" s="921">
        <f t="shared" ca="1" si="13"/>
        <v>411</v>
      </c>
      <c r="K171" s="260" t="str">
        <f t="shared" ca="1" si="15"/>
        <v>Sin fecha</v>
      </c>
      <c r="L171" s="4" t="s">
        <v>48</v>
      </c>
      <c r="M171" s="4"/>
      <c r="N171" s="4" t="s">
        <v>48</v>
      </c>
      <c r="O171" s="4" t="s">
        <v>48</v>
      </c>
      <c r="P171" s="35" t="s">
        <v>48</v>
      </c>
      <c r="Q171" s="35" t="s">
        <v>48</v>
      </c>
      <c r="R171" s="4" t="s">
        <v>48</v>
      </c>
      <c r="S171" s="4" t="s">
        <v>48</v>
      </c>
      <c r="T171" s="5">
        <f>400+400+452</f>
        <v>1252</v>
      </c>
      <c r="U171" s="5" t="s">
        <v>55</v>
      </c>
      <c r="V171" s="43" t="s">
        <v>711</v>
      </c>
      <c r="W171" s="1" t="s">
        <v>773</v>
      </c>
    </row>
    <row r="172" spans="1:23" ht="15" hidden="1" customHeight="1">
      <c r="A172" s="307" t="s">
        <v>49</v>
      </c>
      <c r="B172" s="448">
        <v>5193</v>
      </c>
      <c r="C172" s="461">
        <v>42130</v>
      </c>
      <c r="D172" s="449" t="s">
        <v>24</v>
      </c>
      <c r="E172" s="449" t="s">
        <v>41</v>
      </c>
      <c r="F172" s="450">
        <v>178</v>
      </c>
      <c r="G172" s="310">
        <v>177</v>
      </c>
      <c r="H172" s="311">
        <f t="shared" si="14"/>
        <v>0</v>
      </c>
      <c r="I172" s="312"/>
      <c r="J172" s="465">
        <f t="shared" ca="1" si="13"/>
        <v>415</v>
      </c>
      <c r="K172" s="313" t="str">
        <f t="shared" ca="1" si="15"/>
        <v>Sin fecha</v>
      </c>
      <c r="L172" s="449" t="s">
        <v>47</v>
      </c>
      <c r="M172" s="449"/>
      <c r="N172" s="449" t="s">
        <v>1</v>
      </c>
      <c r="O172" s="449" t="s">
        <v>1</v>
      </c>
      <c r="P172" s="314" t="s">
        <v>48</v>
      </c>
      <c r="Q172" s="314" t="s">
        <v>48</v>
      </c>
      <c r="R172" s="314" t="s">
        <v>48</v>
      </c>
      <c r="S172" s="314" t="s">
        <v>48</v>
      </c>
      <c r="T172" s="309">
        <f>30+100+47</f>
        <v>177</v>
      </c>
      <c r="U172" s="309" t="s">
        <v>55</v>
      </c>
      <c r="V172" s="308" t="s">
        <v>433</v>
      </c>
    </row>
    <row r="173" spans="1:23" ht="15" hidden="1" customHeight="1">
      <c r="A173" s="4" t="s">
        <v>452</v>
      </c>
      <c r="B173" s="43">
        <v>5197</v>
      </c>
      <c r="C173" s="278">
        <v>42131</v>
      </c>
      <c r="D173" s="15" t="s">
        <v>27</v>
      </c>
      <c r="E173" s="218" t="s">
        <v>72</v>
      </c>
      <c r="F173" s="5">
        <v>100</v>
      </c>
      <c r="G173" s="578">
        <v>80</v>
      </c>
      <c r="H173" s="28">
        <f t="shared" si="14"/>
        <v>0</v>
      </c>
      <c r="I173" s="253">
        <v>42142</v>
      </c>
      <c r="J173" s="248">
        <f t="shared" ca="1" si="13"/>
        <v>414</v>
      </c>
      <c r="K173" s="260">
        <f t="shared" ca="1" si="15"/>
        <v>-403</v>
      </c>
      <c r="L173" s="2" t="s">
        <v>45</v>
      </c>
      <c r="M173" s="2"/>
      <c r="N173" s="2" t="s">
        <v>48</v>
      </c>
      <c r="O173" s="2" t="s">
        <v>48</v>
      </c>
      <c r="P173" s="35" t="s">
        <v>48</v>
      </c>
      <c r="Q173" s="35" t="s">
        <v>48</v>
      </c>
      <c r="R173" s="35" t="s">
        <v>48</v>
      </c>
      <c r="S173" s="35" t="s">
        <v>48</v>
      </c>
      <c r="T173" s="5">
        <v>80</v>
      </c>
      <c r="U173" s="5" t="s">
        <v>55</v>
      </c>
      <c r="V173" s="4" t="s">
        <v>151</v>
      </c>
    </row>
    <row r="174" spans="1:23" ht="15" hidden="1" customHeight="1">
      <c r="A174" s="4" t="s">
        <v>452</v>
      </c>
      <c r="B174" s="43">
        <v>5197</v>
      </c>
      <c r="C174" s="278">
        <v>42131</v>
      </c>
      <c r="D174" s="15" t="s">
        <v>27</v>
      </c>
      <c r="E174" s="218" t="s">
        <v>170</v>
      </c>
      <c r="F174" s="5">
        <v>50</v>
      </c>
      <c r="G174" s="578">
        <v>97</v>
      </c>
      <c r="H174" s="28">
        <f t="shared" si="14"/>
        <v>0</v>
      </c>
      <c r="I174" s="253">
        <v>42142</v>
      </c>
      <c r="J174" s="248">
        <f t="shared" ca="1" si="13"/>
        <v>414</v>
      </c>
      <c r="K174" s="260">
        <f t="shared" ca="1" si="15"/>
        <v>-403</v>
      </c>
      <c r="L174" s="2" t="s">
        <v>45</v>
      </c>
      <c r="M174" s="2"/>
      <c r="N174" s="2" t="s">
        <v>48</v>
      </c>
      <c r="O174" s="2" t="s">
        <v>48</v>
      </c>
      <c r="P174" s="35" t="s">
        <v>48</v>
      </c>
      <c r="Q174" s="35" t="s">
        <v>48</v>
      </c>
      <c r="R174" s="35" t="s">
        <v>48</v>
      </c>
      <c r="S174" s="35" t="s">
        <v>48</v>
      </c>
      <c r="T174" s="5">
        <v>97</v>
      </c>
      <c r="U174" s="5" t="s">
        <v>55</v>
      </c>
      <c r="V174" s="4" t="s">
        <v>151</v>
      </c>
    </row>
    <row r="175" spans="1:23" ht="15" hidden="1" customHeight="1">
      <c r="A175" s="4" t="s">
        <v>49</v>
      </c>
      <c r="B175" s="43">
        <v>5197</v>
      </c>
      <c r="C175" s="278">
        <v>42131</v>
      </c>
      <c r="D175" s="15" t="s">
        <v>27</v>
      </c>
      <c r="E175" s="218" t="s">
        <v>382</v>
      </c>
      <c r="F175" s="5"/>
      <c r="G175" s="578">
        <v>100</v>
      </c>
      <c r="H175" s="28">
        <f t="shared" si="14"/>
        <v>-31</v>
      </c>
      <c r="I175" s="253">
        <v>42234</v>
      </c>
      <c r="J175" s="248">
        <f t="shared" ca="1" si="13"/>
        <v>414</v>
      </c>
      <c r="K175" s="260">
        <f t="shared" ref="K175:K206" ca="1" si="16">IF(I175="","Sin fecha",((I175-TODAY())))</f>
        <v>-311</v>
      </c>
      <c r="L175" s="2" t="s">
        <v>47</v>
      </c>
      <c r="M175" s="4"/>
      <c r="N175" s="2" t="s">
        <v>48</v>
      </c>
      <c r="O175" s="2" t="s">
        <v>48</v>
      </c>
      <c r="P175" s="35" t="s">
        <v>48</v>
      </c>
      <c r="Q175" s="35" t="s">
        <v>48</v>
      </c>
      <c r="R175" s="35" t="s">
        <v>48</v>
      </c>
      <c r="S175" s="35" t="s">
        <v>48</v>
      </c>
      <c r="T175" s="5">
        <v>131</v>
      </c>
      <c r="U175" s="5" t="s">
        <v>55</v>
      </c>
      <c r="V175" s="4" t="s">
        <v>436</v>
      </c>
    </row>
    <row r="176" spans="1:23" ht="15" hidden="1" customHeight="1">
      <c r="A176" s="4" t="s">
        <v>49</v>
      </c>
      <c r="B176" s="43">
        <v>5197</v>
      </c>
      <c r="C176" s="278">
        <v>42131</v>
      </c>
      <c r="D176" s="15" t="s">
        <v>27</v>
      </c>
      <c r="E176" s="218" t="s">
        <v>383</v>
      </c>
      <c r="F176" s="5"/>
      <c r="G176" s="578">
        <v>100</v>
      </c>
      <c r="H176" s="28">
        <f t="shared" si="14"/>
        <v>-112</v>
      </c>
      <c r="I176" s="253">
        <v>42234</v>
      </c>
      <c r="J176" s="248">
        <f t="shared" ca="1" si="13"/>
        <v>414</v>
      </c>
      <c r="K176" s="260">
        <f t="shared" ca="1" si="16"/>
        <v>-311</v>
      </c>
      <c r="L176" s="2" t="s">
        <v>47</v>
      </c>
      <c r="M176" s="4"/>
      <c r="N176" s="2" t="s">
        <v>48</v>
      </c>
      <c r="O176" s="2" t="s">
        <v>48</v>
      </c>
      <c r="P176" s="35" t="s">
        <v>48</v>
      </c>
      <c r="Q176" s="35" t="s">
        <v>48</v>
      </c>
      <c r="R176" s="35" t="s">
        <v>48</v>
      </c>
      <c r="S176" s="35" t="s">
        <v>48</v>
      </c>
      <c r="T176" s="5">
        <v>212</v>
      </c>
      <c r="U176" s="5" t="s">
        <v>55</v>
      </c>
      <c r="V176" s="4" t="s">
        <v>436</v>
      </c>
    </row>
    <row r="177" spans="1:23" ht="15" hidden="1" customHeight="1">
      <c r="A177" s="211" t="s">
        <v>49</v>
      </c>
      <c r="B177" s="291">
        <v>5197</v>
      </c>
      <c r="C177" s="327">
        <v>42131</v>
      </c>
      <c r="D177" s="194" t="s">
        <v>27</v>
      </c>
      <c r="E177" s="305" t="s">
        <v>380</v>
      </c>
      <c r="F177" s="210"/>
      <c r="G177" s="582">
        <v>400</v>
      </c>
      <c r="H177" s="49">
        <f t="shared" si="14"/>
        <v>0</v>
      </c>
      <c r="I177" s="292">
        <v>42163</v>
      </c>
      <c r="J177" s="293">
        <f t="shared" ca="1" si="13"/>
        <v>414</v>
      </c>
      <c r="K177" s="294">
        <f t="shared" ca="1" si="16"/>
        <v>-382</v>
      </c>
      <c r="L177" s="206" t="s">
        <v>47</v>
      </c>
      <c r="M177" s="211"/>
      <c r="N177" s="206" t="s">
        <v>48</v>
      </c>
      <c r="O177" s="206" t="s">
        <v>48</v>
      </c>
      <c r="P177" s="209" t="s">
        <v>48</v>
      </c>
      <c r="Q177" s="209" t="s">
        <v>48</v>
      </c>
      <c r="R177" s="209" t="s">
        <v>48</v>
      </c>
      <c r="S177" s="209" t="s">
        <v>48</v>
      </c>
      <c r="T177" s="210">
        <v>400</v>
      </c>
      <c r="U177" s="210" t="s">
        <v>55</v>
      </c>
      <c r="V177" s="291" t="s">
        <v>433</v>
      </c>
    </row>
    <row r="178" spans="1:23" ht="15" hidden="1" customHeight="1">
      <c r="A178" s="4" t="s">
        <v>49</v>
      </c>
      <c r="B178" s="43">
        <v>5197</v>
      </c>
      <c r="C178" s="278">
        <v>42131</v>
      </c>
      <c r="D178" s="15" t="s">
        <v>27</v>
      </c>
      <c r="E178" s="218" t="s">
        <v>381</v>
      </c>
      <c r="F178" s="5"/>
      <c r="G178" s="578">
        <v>400</v>
      </c>
      <c r="H178" s="28">
        <f t="shared" si="14"/>
        <v>0</v>
      </c>
      <c r="I178" s="253">
        <v>42163</v>
      </c>
      <c r="J178" s="248">
        <f t="shared" ca="1" si="13"/>
        <v>414</v>
      </c>
      <c r="K178" s="260">
        <f t="shared" ca="1" si="16"/>
        <v>-382</v>
      </c>
      <c r="L178" s="2" t="s">
        <v>47</v>
      </c>
      <c r="M178" s="4"/>
      <c r="N178" s="2" t="s">
        <v>48</v>
      </c>
      <c r="O178" s="2" t="s">
        <v>48</v>
      </c>
      <c r="P178" s="35" t="s">
        <v>48</v>
      </c>
      <c r="Q178" s="35" t="s">
        <v>48</v>
      </c>
      <c r="R178" s="35" t="s">
        <v>48</v>
      </c>
      <c r="S178" s="35" t="s">
        <v>48</v>
      </c>
      <c r="T178" s="5">
        <v>400</v>
      </c>
      <c r="U178" s="5" t="s">
        <v>55</v>
      </c>
      <c r="V178" s="43" t="s">
        <v>433</v>
      </c>
    </row>
    <row r="179" spans="1:23" ht="15" hidden="1" customHeight="1">
      <c r="A179" s="4" t="s">
        <v>49</v>
      </c>
      <c r="B179" s="43">
        <v>5197</v>
      </c>
      <c r="C179" s="278">
        <v>42131</v>
      </c>
      <c r="D179" s="15" t="s">
        <v>27</v>
      </c>
      <c r="E179" s="218" t="s">
        <v>382</v>
      </c>
      <c r="F179" s="5">
        <v>200</v>
      </c>
      <c r="G179" s="578">
        <v>229</v>
      </c>
      <c r="H179" s="28">
        <f t="shared" si="14"/>
        <v>0</v>
      </c>
      <c r="I179" s="253">
        <v>42177</v>
      </c>
      <c r="J179" s="248">
        <f t="shared" ca="1" si="13"/>
        <v>414</v>
      </c>
      <c r="K179" s="260">
        <f t="shared" ca="1" si="16"/>
        <v>-368</v>
      </c>
      <c r="L179" s="2" t="s">
        <v>45</v>
      </c>
      <c r="M179" s="4"/>
      <c r="N179" s="2" t="s">
        <v>48</v>
      </c>
      <c r="O179" s="2" t="s">
        <v>48</v>
      </c>
      <c r="P179" s="35" t="s">
        <v>48</v>
      </c>
      <c r="Q179" s="35" t="s">
        <v>48</v>
      </c>
      <c r="R179" s="35" t="s">
        <v>48</v>
      </c>
      <c r="S179" s="35" t="s">
        <v>48</v>
      </c>
      <c r="T179" s="5">
        <v>229</v>
      </c>
      <c r="U179" s="5" t="s">
        <v>55</v>
      </c>
      <c r="V179" s="4" t="s">
        <v>434</v>
      </c>
    </row>
    <row r="180" spans="1:23" ht="15" hidden="1" customHeight="1">
      <c r="A180" s="4" t="s">
        <v>49</v>
      </c>
      <c r="B180" s="43">
        <v>5197</v>
      </c>
      <c r="C180" s="278">
        <v>42131</v>
      </c>
      <c r="D180" s="15" t="s">
        <v>27</v>
      </c>
      <c r="E180" s="218" t="s">
        <v>383</v>
      </c>
      <c r="F180" s="5">
        <v>100</v>
      </c>
      <c r="G180" s="578">
        <v>257</v>
      </c>
      <c r="H180" s="28">
        <f t="shared" si="14"/>
        <v>0</v>
      </c>
      <c r="I180" s="253">
        <v>42177</v>
      </c>
      <c r="J180" s="248">
        <f t="shared" ca="1" si="13"/>
        <v>414</v>
      </c>
      <c r="K180" s="260">
        <f t="shared" ca="1" si="16"/>
        <v>-368</v>
      </c>
      <c r="L180" s="2" t="s">
        <v>45</v>
      </c>
      <c r="M180" s="4"/>
      <c r="N180" s="2" t="s">
        <v>48</v>
      </c>
      <c r="O180" s="2" t="s">
        <v>48</v>
      </c>
      <c r="P180" s="35" t="s">
        <v>48</v>
      </c>
      <c r="Q180" s="35" t="s">
        <v>48</v>
      </c>
      <c r="R180" s="35" t="s">
        <v>48</v>
      </c>
      <c r="S180" s="35" t="s">
        <v>48</v>
      </c>
      <c r="T180" s="5">
        <f>265-8</f>
        <v>257</v>
      </c>
      <c r="U180" s="5" t="s">
        <v>55</v>
      </c>
      <c r="V180" s="4" t="s">
        <v>434</v>
      </c>
    </row>
    <row r="181" spans="1:23" ht="15" hidden="1" customHeight="1">
      <c r="A181" s="4" t="s">
        <v>49</v>
      </c>
      <c r="B181" s="43">
        <v>5200</v>
      </c>
      <c r="C181" s="278">
        <v>42137</v>
      </c>
      <c r="D181" s="4" t="s">
        <v>34</v>
      </c>
      <c r="E181" s="15" t="s">
        <v>431</v>
      </c>
      <c r="F181" s="222"/>
      <c r="G181" s="46">
        <v>600</v>
      </c>
      <c r="H181" s="28">
        <f t="shared" si="14"/>
        <v>0</v>
      </c>
      <c r="I181" s="255">
        <v>42209</v>
      </c>
      <c r="J181" s="248">
        <f t="shared" ca="1" si="13"/>
        <v>408</v>
      </c>
      <c r="K181" s="260">
        <f t="shared" ca="1" si="16"/>
        <v>-336</v>
      </c>
      <c r="L181" s="2" t="s">
        <v>47</v>
      </c>
      <c r="M181" s="221"/>
      <c r="N181" s="2" t="s">
        <v>48</v>
      </c>
      <c r="O181" s="2" t="s">
        <v>48</v>
      </c>
      <c r="P181" s="35" t="s">
        <v>48</v>
      </c>
      <c r="Q181" s="35" t="s">
        <v>48</v>
      </c>
      <c r="R181" s="35" t="s">
        <v>48</v>
      </c>
      <c r="S181" s="35" t="s">
        <v>48</v>
      </c>
      <c r="T181" s="5">
        <f>347+253</f>
        <v>600</v>
      </c>
      <c r="U181" s="5" t="s">
        <v>55</v>
      </c>
      <c r="V181" s="4" t="s">
        <v>436</v>
      </c>
      <c r="W181" s="1">
        <v>253</v>
      </c>
    </row>
    <row r="182" spans="1:23" ht="15" hidden="1" customHeight="1">
      <c r="A182" s="4" t="s">
        <v>49</v>
      </c>
      <c r="B182" s="43">
        <v>5200</v>
      </c>
      <c r="C182" s="278">
        <v>42137</v>
      </c>
      <c r="D182" s="4" t="s">
        <v>34</v>
      </c>
      <c r="E182" s="15" t="s">
        <v>431</v>
      </c>
      <c r="F182" s="222"/>
      <c r="G182" s="46">
        <v>600</v>
      </c>
      <c r="H182" s="28">
        <f t="shared" si="14"/>
        <v>-16</v>
      </c>
      <c r="I182" s="255">
        <v>42243</v>
      </c>
      <c r="J182" s="248">
        <f t="shared" ca="1" si="13"/>
        <v>408</v>
      </c>
      <c r="K182" s="260">
        <f t="shared" ca="1" si="16"/>
        <v>-302</v>
      </c>
      <c r="L182" s="2" t="s">
        <v>47</v>
      </c>
      <c r="M182" s="221"/>
      <c r="N182" s="2" t="s">
        <v>48</v>
      </c>
      <c r="O182" s="2" t="s">
        <v>48</v>
      </c>
      <c r="P182" s="35" t="s">
        <v>48</v>
      </c>
      <c r="Q182" s="35" t="s">
        <v>48</v>
      </c>
      <c r="R182" s="35" t="s">
        <v>48</v>
      </c>
      <c r="S182" s="35" t="s">
        <v>48</v>
      </c>
      <c r="T182" s="5">
        <f>197+419</f>
        <v>616</v>
      </c>
      <c r="U182" s="5" t="s">
        <v>55</v>
      </c>
      <c r="V182" s="4" t="s">
        <v>436</v>
      </c>
      <c r="W182" s="1">
        <v>616</v>
      </c>
    </row>
    <row r="183" spans="1:23" ht="15" hidden="1" customHeight="1">
      <c r="A183" s="4" t="s">
        <v>49</v>
      </c>
      <c r="B183" s="43">
        <v>5197</v>
      </c>
      <c r="C183" s="278">
        <v>42131</v>
      </c>
      <c r="D183" s="15" t="s">
        <v>27</v>
      </c>
      <c r="E183" s="218" t="s">
        <v>72</v>
      </c>
      <c r="F183" s="5">
        <v>100</v>
      </c>
      <c r="G183" s="578">
        <v>129</v>
      </c>
      <c r="H183" s="28">
        <f t="shared" si="14"/>
        <v>0</v>
      </c>
      <c r="I183" s="253">
        <v>42205</v>
      </c>
      <c r="J183" s="248">
        <f t="shared" ca="1" si="13"/>
        <v>414</v>
      </c>
      <c r="K183" s="260">
        <f t="shared" ca="1" si="16"/>
        <v>-340</v>
      </c>
      <c r="L183" s="2" t="s">
        <v>47</v>
      </c>
      <c r="M183" s="4"/>
      <c r="N183" s="2" t="s">
        <v>48</v>
      </c>
      <c r="O183" s="2" t="s">
        <v>48</v>
      </c>
      <c r="P183" s="35" t="s">
        <v>48</v>
      </c>
      <c r="Q183" s="35" t="s">
        <v>48</v>
      </c>
      <c r="R183" s="35" t="s">
        <v>48</v>
      </c>
      <c r="S183" s="35" t="s">
        <v>48</v>
      </c>
      <c r="T183" s="5">
        <f>54+75</f>
        <v>129</v>
      </c>
      <c r="U183" s="5" t="s">
        <v>55</v>
      </c>
      <c r="V183" s="4" t="s">
        <v>435</v>
      </c>
    </row>
    <row r="184" spans="1:23" ht="15" hidden="1" customHeight="1">
      <c r="A184" s="4" t="s">
        <v>49</v>
      </c>
      <c r="B184" s="43">
        <v>5197</v>
      </c>
      <c r="C184" s="278">
        <v>42131</v>
      </c>
      <c r="D184" s="15" t="s">
        <v>27</v>
      </c>
      <c r="E184" s="218" t="s">
        <v>170</v>
      </c>
      <c r="F184" s="5">
        <v>100</v>
      </c>
      <c r="G184" s="578">
        <v>129</v>
      </c>
      <c r="H184" s="28">
        <f t="shared" si="14"/>
        <v>0</v>
      </c>
      <c r="I184" s="253">
        <v>42205</v>
      </c>
      <c r="J184" s="248">
        <f t="shared" ca="1" si="13"/>
        <v>414</v>
      </c>
      <c r="K184" s="260">
        <f t="shared" ca="1" si="16"/>
        <v>-340</v>
      </c>
      <c r="L184" s="2" t="s">
        <v>47</v>
      </c>
      <c r="M184" s="4"/>
      <c r="N184" s="2" t="s">
        <v>48</v>
      </c>
      <c r="O184" s="2" t="s">
        <v>48</v>
      </c>
      <c r="P184" s="35" t="s">
        <v>48</v>
      </c>
      <c r="Q184" s="35" t="s">
        <v>48</v>
      </c>
      <c r="R184" s="35" t="s">
        <v>48</v>
      </c>
      <c r="S184" s="35" t="s">
        <v>48</v>
      </c>
      <c r="T184" s="5">
        <v>129</v>
      </c>
      <c r="U184" s="5" t="s">
        <v>55</v>
      </c>
      <c r="V184" s="4" t="s">
        <v>435</v>
      </c>
    </row>
    <row r="185" spans="1:23" ht="15" hidden="1" customHeight="1">
      <c r="A185" s="63" t="s">
        <v>94</v>
      </c>
      <c r="B185" s="63">
        <v>5198</v>
      </c>
      <c r="C185" s="278">
        <v>42137</v>
      </c>
      <c r="D185" s="63" t="s">
        <v>21</v>
      </c>
      <c r="E185" s="63" t="s">
        <v>423</v>
      </c>
      <c r="F185" s="63">
        <v>2100</v>
      </c>
      <c r="G185" s="258">
        <v>2293</v>
      </c>
      <c r="H185" s="28">
        <f t="shared" si="14"/>
        <v>0</v>
      </c>
      <c r="I185" s="255">
        <v>42168</v>
      </c>
      <c r="J185" s="248">
        <f t="shared" ca="1" si="13"/>
        <v>408</v>
      </c>
      <c r="K185" s="260">
        <f t="shared" ca="1" si="16"/>
        <v>-377</v>
      </c>
      <c r="L185" s="2" t="s">
        <v>48</v>
      </c>
      <c r="M185" s="4"/>
      <c r="N185" s="221" t="s">
        <v>48</v>
      </c>
      <c r="O185" s="221" t="s">
        <v>48</v>
      </c>
      <c r="P185" s="35" t="s">
        <v>48</v>
      </c>
      <c r="Q185" s="35" t="s">
        <v>48</v>
      </c>
      <c r="R185" s="35" t="s">
        <v>48</v>
      </c>
      <c r="S185" s="35" t="s">
        <v>48</v>
      </c>
      <c r="T185" s="3">
        <v>2293</v>
      </c>
      <c r="U185" s="5" t="s">
        <v>55</v>
      </c>
      <c r="V185" s="4" t="s">
        <v>151</v>
      </c>
    </row>
    <row r="186" spans="1:23" ht="15" hidden="1" customHeight="1">
      <c r="A186" s="284" t="s">
        <v>49</v>
      </c>
      <c r="B186" s="285">
        <v>5205</v>
      </c>
      <c r="C186" s="446">
        <v>42151</v>
      </c>
      <c r="D186" s="284" t="s">
        <v>24</v>
      </c>
      <c r="E186" s="284" t="s">
        <v>22</v>
      </c>
      <c r="F186" s="290"/>
      <c r="G186" s="296">
        <v>169</v>
      </c>
      <c r="H186" s="51">
        <f t="shared" si="14"/>
        <v>7</v>
      </c>
      <c r="I186" s="297"/>
      <c r="J186" s="302">
        <f t="shared" ca="1" si="13"/>
        <v>394</v>
      </c>
      <c r="K186" s="303" t="str">
        <f t="shared" ca="1" si="16"/>
        <v>Sin fecha</v>
      </c>
      <c r="L186" s="301" t="s">
        <v>47</v>
      </c>
      <c r="M186" s="284"/>
      <c r="N186" s="284" t="s">
        <v>1</v>
      </c>
      <c r="O186" s="284" t="s">
        <v>1</v>
      </c>
      <c r="P186" s="289" t="s">
        <v>48</v>
      </c>
      <c r="Q186" s="289" t="s">
        <v>48</v>
      </c>
      <c r="R186" s="289" t="s">
        <v>48</v>
      </c>
      <c r="S186" s="289" t="s">
        <v>48</v>
      </c>
      <c r="T186" s="290">
        <f>30+73+30+29</f>
        <v>162</v>
      </c>
      <c r="U186" s="290" t="s">
        <v>55</v>
      </c>
      <c r="V186" s="284" t="s">
        <v>436</v>
      </c>
      <c r="W186" s="1">
        <v>29</v>
      </c>
    </row>
    <row r="187" spans="1:23" ht="15" hidden="1" customHeight="1">
      <c r="A187" s="4" t="s">
        <v>49</v>
      </c>
      <c r="B187" s="43">
        <v>5205</v>
      </c>
      <c r="C187" s="278">
        <v>42151</v>
      </c>
      <c r="D187" s="4" t="s">
        <v>24</v>
      </c>
      <c r="E187" s="4" t="s">
        <v>29</v>
      </c>
      <c r="F187" s="5"/>
      <c r="G187" s="40">
        <v>100</v>
      </c>
      <c r="H187" s="578">
        <f t="shared" si="14"/>
        <v>0</v>
      </c>
      <c r="I187" s="253"/>
      <c r="J187" s="578">
        <f t="shared" ca="1" si="13"/>
        <v>394</v>
      </c>
      <c r="K187" s="260" t="str">
        <f t="shared" ca="1" si="16"/>
        <v>Sin fecha</v>
      </c>
      <c r="L187" s="2" t="s">
        <v>47</v>
      </c>
      <c r="M187" s="4"/>
      <c r="N187" s="4" t="s">
        <v>48</v>
      </c>
      <c r="O187" s="4" t="s">
        <v>48</v>
      </c>
      <c r="P187" s="35" t="s">
        <v>48</v>
      </c>
      <c r="Q187" s="35" t="s">
        <v>48</v>
      </c>
      <c r="R187" s="35" t="s">
        <v>48</v>
      </c>
      <c r="S187" s="35" t="s">
        <v>48</v>
      </c>
      <c r="T187" s="5">
        <f>10+50+40</f>
        <v>100</v>
      </c>
      <c r="U187" s="5" t="s">
        <v>55</v>
      </c>
      <c r="V187" s="4" t="s">
        <v>436</v>
      </c>
      <c r="W187" s="1">
        <v>50</v>
      </c>
    </row>
    <row r="188" spans="1:23" ht="15" hidden="1" customHeight="1">
      <c r="A188" s="4" t="s">
        <v>49</v>
      </c>
      <c r="B188" s="2">
        <v>5199</v>
      </c>
      <c r="C188" s="278">
        <v>42136</v>
      </c>
      <c r="D188" s="2" t="s">
        <v>111</v>
      </c>
      <c r="E188" s="15" t="s">
        <v>602</v>
      </c>
      <c r="F188" s="5">
        <v>150</v>
      </c>
      <c r="G188" s="40">
        <f>150+27</f>
        <v>177</v>
      </c>
      <c r="H188" s="350">
        <f t="shared" si="14"/>
        <v>3</v>
      </c>
      <c r="I188" s="278">
        <v>42209</v>
      </c>
      <c r="J188" s="248">
        <f t="shared" ca="1" si="13"/>
        <v>409</v>
      </c>
      <c r="K188" s="260">
        <f t="shared" ca="1" si="16"/>
        <v>-336</v>
      </c>
      <c r="L188" s="2" t="s">
        <v>47</v>
      </c>
      <c r="M188" s="4"/>
      <c r="N188" s="2" t="s">
        <v>69</v>
      </c>
      <c r="O188" s="2" t="s">
        <v>48</v>
      </c>
      <c r="P188" s="35" t="s">
        <v>48</v>
      </c>
      <c r="Q188" s="35" t="s">
        <v>48</v>
      </c>
      <c r="R188" s="15"/>
      <c r="S188" s="15"/>
      <c r="T188" s="5">
        <f>6+18+15+45+90</f>
        <v>174</v>
      </c>
      <c r="U188" s="5" t="s">
        <v>55</v>
      </c>
      <c r="V188" s="4" t="s">
        <v>434</v>
      </c>
    </row>
    <row r="189" spans="1:23" ht="15" hidden="1" customHeight="1">
      <c r="A189" s="4" t="s">
        <v>453</v>
      </c>
      <c r="B189" s="43" t="s">
        <v>422</v>
      </c>
      <c r="C189" s="278">
        <v>42136</v>
      </c>
      <c r="D189" s="2" t="s">
        <v>596</v>
      </c>
      <c r="E189" s="2" t="s">
        <v>521</v>
      </c>
      <c r="F189" s="5"/>
      <c r="G189" s="40">
        <v>20</v>
      </c>
      <c r="H189" s="578">
        <f t="shared" si="14"/>
        <v>0</v>
      </c>
      <c r="I189" s="253"/>
      <c r="J189" s="248">
        <f t="shared" ca="1" si="13"/>
        <v>409</v>
      </c>
      <c r="K189" s="260" t="str">
        <f t="shared" ca="1" si="16"/>
        <v>Sin fecha</v>
      </c>
      <c r="L189" s="2" t="s">
        <v>45</v>
      </c>
      <c r="M189" s="4"/>
      <c r="N189" s="4" t="s">
        <v>48</v>
      </c>
      <c r="O189" s="4" t="s">
        <v>48</v>
      </c>
      <c r="P189" s="35" t="s">
        <v>48</v>
      </c>
      <c r="Q189" s="35" t="s">
        <v>48</v>
      </c>
      <c r="R189" s="35" t="s">
        <v>48</v>
      </c>
      <c r="S189" s="35" t="s">
        <v>48</v>
      </c>
      <c r="T189" s="5">
        <v>20</v>
      </c>
      <c r="U189" s="5" t="s">
        <v>55</v>
      </c>
      <c r="V189" s="43" t="s">
        <v>433</v>
      </c>
    </row>
    <row r="190" spans="1:23" ht="15" hidden="1" customHeight="1">
      <c r="A190" s="4" t="s">
        <v>49</v>
      </c>
      <c r="B190" s="43">
        <v>5200</v>
      </c>
      <c r="C190" s="278">
        <v>42137</v>
      </c>
      <c r="D190" s="4" t="s">
        <v>34</v>
      </c>
      <c r="E190" s="15" t="s">
        <v>431</v>
      </c>
      <c r="F190" s="5"/>
      <c r="G190" s="46">
        <v>300</v>
      </c>
      <c r="H190" s="28">
        <f t="shared" si="14"/>
        <v>0</v>
      </c>
      <c r="I190" s="255">
        <v>42151</v>
      </c>
      <c r="J190" s="248">
        <f t="shared" ca="1" si="13"/>
        <v>408</v>
      </c>
      <c r="K190" s="260">
        <f t="shared" ca="1" si="16"/>
        <v>-394</v>
      </c>
      <c r="L190" s="2" t="s">
        <v>45</v>
      </c>
      <c r="M190" s="4"/>
      <c r="N190" s="2" t="s">
        <v>48</v>
      </c>
      <c r="O190" s="2" t="s">
        <v>48</v>
      </c>
      <c r="P190" s="35" t="s">
        <v>48</v>
      </c>
      <c r="Q190" s="35" t="s">
        <v>48</v>
      </c>
      <c r="R190" s="35" t="s">
        <v>48</v>
      </c>
      <c r="S190" s="35" t="s">
        <v>48</v>
      </c>
      <c r="T190" s="5">
        <v>300</v>
      </c>
      <c r="U190" s="5" t="s">
        <v>55</v>
      </c>
      <c r="V190" s="4" t="s">
        <v>151</v>
      </c>
    </row>
    <row r="191" spans="1:23" ht="15" hidden="1" customHeight="1">
      <c r="A191" s="4" t="s">
        <v>49</v>
      </c>
      <c r="B191" s="43">
        <v>5200</v>
      </c>
      <c r="C191" s="278">
        <v>42137</v>
      </c>
      <c r="D191" s="4" t="s">
        <v>34</v>
      </c>
      <c r="E191" s="15" t="s">
        <v>431</v>
      </c>
      <c r="F191" s="5">
        <v>600</v>
      </c>
      <c r="G191" s="46">
        <v>650</v>
      </c>
      <c r="H191" s="28">
        <f t="shared" si="14"/>
        <v>0</v>
      </c>
      <c r="I191" s="255">
        <v>42180</v>
      </c>
      <c r="J191" s="248">
        <f t="shared" ref="J191:J254" ca="1" si="17">TODAY()-C191</f>
        <v>408</v>
      </c>
      <c r="K191" s="260">
        <f t="shared" ca="1" si="16"/>
        <v>-365</v>
      </c>
      <c r="L191" s="2" t="s">
        <v>47</v>
      </c>
      <c r="M191" s="4"/>
      <c r="N191" s="2" t="s">
        <v>48</v>
      </c>
      <c r="O191" s="2" t="s">
        <v>48</v>
      </c>
      <c r="P191" s="35" t="s">
        <v>48</v>
      </c>
      <c r="Q191" s="35" t="s">
        <v>48</v>
      </c>
      <c r="R191" s="35" t="s">
        <v>48</v>
      </c>
      <c r="S191" s="35" t="s">
        <v>48</v>
      </c>
      <c r="T191" s="5">
        <f>300+350</f>
        <v>650</v>
      </c>
      <c r="U191" s="5" t="s">
        <v>55</v>
      </c>
      <c r="V191" s="4" t="s">
        <v>435</v>
      </c>
    </row>
    <row r="192" spans="1:23" ht="15" hidden="1" customHeight="1">
      <c r="A192" s="15" t="s">
        <v>49</v>
      </c>
      <c r="B192" s="43">
        <v>5207</v>
      </c>
      <c r="C192" s="278">
        <v>42156</v>
      </c>
      <c r="D192" s="4" t="s">
        <v>13</v>
      </c>
      <c r="E192" s="257" t="s">
        <v>41</v>
      </c>
      <c r="F192" s="5">
        <v>311</v>
      </c>
      <c r="G192" s="40">
        <v>300</v>
      </c>
      <c r="H192" s="578">
        <f t="shared" si="14"/>
        <v>0</v>
      </c>
      <c r="I192" s="253"/>
      <c r="J192" s="578">
        <f t="shared" ca="1" si="17"/>
        <v>389</v>
      </c>
      <c r="K192" s="260" t="str">
        <f t="shared" ca="1" si="16"/>
        <v>Sin fecha</v>
      </c>
      <c r="L192" s="2" t="s">
        <v>47</v>
      </c>
      <c r="M192" s="4"/>
      <c r="N192" s="221" t="s">
        <v>1</v>
      </c>
      <c r="O192" s="4" t="s">
        <v>69</v>
      </c>
      <c r="P192" s="35" t="s">
        <v>48</v>
      </c>
      <c r="Q192" s="35" t="s">
        <v>48</v>
      </c>
      <c r="R192" s="35" t="s">
        <v>48</v>
      </c>
      <c r="S192" s="35" t="s">
        <v>48</v>
      </c>
      <c r="T192" s="5">
        <v>300</v>
      </c>
      <c r="U192" s="5" t="s">
        <v>55</v>
      </c>
      <c r="V192" s="4" t="s">
        <v>436</v>
      </c>
    </row>
    <row r="193" spans="1:23" ht="15" hidden="1" customHeight="1">
      <c r="A193" s="4" t="s">
        <v>49</v>
      </c>
      <c r="B193" s="43">
        <v>5202</v>
      </c>
      <c r="C193" s="278">
        <v>42137</v>
      </c>
      <c r="D193" s="15" t="s">
        <v>5</v>
      </c>
      <c r="E193" s="15" t="s">
        <v>155</v>
      </c>
      <c r="F193" s="5"/>
      <c r="G193" s="40">
        <v>70</v>
      </c>
      <c r="H193" s="578">
        <f t="shared" si="14"/>
        <v>0</v>
      </c>
      <c r="I193" s="253"/>
      <c r="J193" s="248">
        <f t="shared" ca="1" si="17"/>
        <v>408</v>
      </c>
      <c r="K193" s="260" t="str">
        <f t="shared" ca="1" si="16"/>
        <v>Sin fecha</v>
      </c>
      <c r="L193" s="2" t="s">
        <v>47</v>
      </c>
      <c r="M193" s="4"/>
      <c r="N193" s="4" t="s">
        <v>48</v>
      </c>
      <c r="O193" s="4" t="s">
        <v>48</v>
      </c>
      <c r="P193" s="35" t="s">
        <v>48</v>
      </c>
      <c r="Q193" s="35" t="s">
        <v>48</v>
      </c>
      <c r="R193" s="35" t="s">
        <v>48</v>
      </c>
      <c r="S193" s="35" t="s">
        <v>48</v>
      </c>
      <c r="T193" s="5">
        <v>70</v>
      </c>
      <c r="U193" s="5" t="s">
        <v>55</v>
      </c>
      <c r="V193" s="4" t="s">
        <v>151</v>
      </c>
    </row>
    <row r="194" spans="1:23" ht="15" hidden="1" customHeight="1">
      <c r="A194" s="4" t="s">
        <v>94</v>
      </c>
      <c r="B194" s="43">
        <v>5203</v>
      </c>
      <c r="C194" s="278" t="s">
        <v>480</v>
      </c>
      <c r="D194" s="2" t="s">
        <v>111</v>
      </c>
      <c r="E194" s="4" t="s">
        <v>477</v>
      </c>
      <c r="F194" s="5"/>
      <c r="G194" s="40">
        <v>100</v>
      </c>
      <c r="H194" s="28">
        <f t="shared" si="14"/>
        <v>0</v>
      </c>
      <c r="I194" s="253"/>
      <c r="J194" s="248">
        <f t="shared" ca="1" si="17"/>
        <v>399</v>
      </c>
      <c r="K194" s="260" t="str">
        <f t="shared" ca="1" si="16"/>
        <v>Sin fecha</v>
      </c>
      <c r="L194" s="2" t="s">
        <v>48</v>
      </c>
      <c r="M194" s="4" t="s">
        <v>48</v>
      </c>
      <c r="N194" s="221" t="s">
        <v>48</v>
      </c>
      <c r="O194" s="221" t="s">
        <v>48</v>
      </c>
      <c r="P194" s="35" t="s">
        <v>48</v>
      </c>
      <c r="Q194" s="35" t="s">
        <v>48</v>
      </c>
      <c r="R194" s="35" t="s">
        <v>48</v>
      </c>
      <c r="S194" s="35" t="s">
        <v>48</v>
      </c>
      <c r="T194" s="3">
        <v>100</v>
      </c>
      <c r="U194" s="3" t="s">
        <v>55</v>
      </c>
      <c r="V194" s="4" t="s">
        <v>151</v>
      </c>
    </row>
    <row r="195" spans="1:23" ht="15" hidden="1" customHeight="1">
      <c r="A195" s="4" t="s">
        <v>94</v>
      </c>
      <c r="B195" s="43">
        <v>5203</v>
      </c>
      <c r="C195" s="278" t="s">
        <v>480</v>
      </c>
      <c r="D195" s="2" t="s">
        <v>111</v>
      </c>
      <c r="E195" s="4" t="s">
        <v>478</v>
      </c>
      <c r="F195" s="5"/>
      <c r="G195" s="40">
        <v>100</v>
      </c>
      <c r="H195" s="28">
        <f t="shared" si="14"/>
        <v>0</v>
      </c>
      <c r="I195" s="253"/>
      <c r="J195" s="248">
        <f t="shared" ca="1" si="17"/>
        <v>399</v>
      </c>
      <c r="K195" s="260" t="str">
        <f t="shared" ca="1" si="16"/>
        <v>Sin fecha</v>
      </c>
      <c r="L195" s="2" t="s">
        <v>48</v>
      </c>
      <c r="M195" s="4" t="s">
        <v>48</v>
      </c>
      <c r="N195" s="221" t="s">
        <v>48</v>
      </c>
      <c r="O195" s="221" t="s">
        <v>48</v>
      </c>
      <c r="P195" s="35" t="s">
        <v>48</v>
      </c>
      <c r="Q195" s="35" t="s">
        <v>48</v>
      </c>
      <c r="R195" s="35" t="s">
        <v>48</v>
      </c>
      <c r="S195" s="35" t="s">
        <v>48</v>
      </c>
      <c r="T195" s="3">
        <v>100</v>
      </c>
      <c r="U195" s="3" t="s">
        <v>55</v>
      </c>
      <c r="V195" s="4" t="s">
        <v>151</v>
      </c>
    </row>
    <row r="196" spans="1:23" ht="15" hidden="1" customHeight="1">
      <c r="A196" s="4" t="s">
        <v>94</v>
      </c>
      <c r="B196" s="43">
        <v>5203</v>
      </c>
      <c r="C196" s="278" t="s">
        <v>480</v>
      </c>
      <c r="D196" s="2" t="s">
        <v>111</v>
      </c>
      <c r="E196" s="4" t="s">
        <v>479</v>
      </c>
      <c r="F196" s="5"/>
      <c r="G196" s="40">
        <v>72</v>
      </c>
      <c r="H196" s="28">
        <f t="shared" si="14"/>
        <v>0</v>
      </c>
      <c r="I196" s="253"/>
      <c r="J196" s="248">
        <f t="shared" ca="1" si="17"/>
        <v>399</v>
      </c>
      <c r="K196" s="260" t="str">
        <f t="shared" ca="1" si="16"/>
        <v>Sin fecha</v>
      </c>
      <c r="L196" s="2" t="s">
        <v>48</v>
      </c>
      <c r="M196" s="4" t="s">
        <v>48</v>
      </c>
      <c r="N196" s="221" t="s">
        <v>48</v>
      </c>
      <c r="O196" s="221" t="s">
        <v>48</v>
      </c>
      <c r="P196" s="35" t="s">
        <v>48</v>
      </c>
      <c r="Q196" s="35" t="s">
        <v>48</v>
      </c>
      <c r="R196" s="35" t="s">
        <v>48</v>
      </c>
      <c r="S196" s="35" t="s">
        <v>48</v>
      </c>
      <c r="T196" s="3">
        <v>72</v>
      </c>
      <c r="U196" s="3" t="s">
        <v>55</v>
      </c>
      <c r="V196" s="4" t="s">
        <v>151</v>
      </c>
    </row>
    <row r="197" spans="1:23" ht="15" hidden="1" customHeight="1">
      <c r="A197" s="4" t="s">
        <v>94</v>
      </c>
      <c r="B197" s="43">
        <v>5211</v>
      </c>
      <c r="C197" s="318">
        <v>42158</v>
      </c>
      <c r="D197" s="4" t="s">
        <v>21</v>
      </c>
      <c r="E197" s="4" t="s">
        <v>552</v>
      </c>
      <c r="F197" s="5"/>
      <c r="G197" s="40">
        <v>100</v>
      </c>
      <c r="H197" s="921">
        <f t="shared" si="14"/>
        <v>0</v>
      </c>
      <c r="I197" s="253"/>
      <c r="J197" s="921">
        <f t="shared" ca="1" si="17"/>
        <v>387</v>
      </c>
      <c r="K197" s="260" t="str">
        <f t="shared" ca="1" si="16"/>
        <v>Sin fecha</v>
      </c>
      <c r="L197" s="2" t="s">
        <v>48</v>
      </c>
      <c r="M197" s="4"/>
      <c r="N197" s="4" t="s">
        <v>48</v>
      </c>
      <c r="O197" s="4" t="s">
        <v>48</v>
      </c>
      <c r="P197" s="35" t="s">
        <v>48</v>
      </c>
      <c r="Q197" s="35" t="s">
        <v>48</v>
      </c>
      <c r="R197" s="35" t="s">
        <v>48</v>
      </c>
      <c r="S197" s="35" t="s">
        <v>48</v>
      </c>
      <c r="T197" s="5">
        <v>100</v>
      </c>
      <c r="U197" s="5" t="s">
        <v>55</v>
      </c>
      <c r="V197" s="43" t="s">
        <v>433</v>
      </c>
    </row>
    <row r="198" spans="1:23" ht="15" hidden="1" customHeight="1">
      <c r="A198" s="4" t="s">
        <v>193</v>
      </c>
      <c r="B198" s="43">
        <v>5216</v>
      </c>
      <c r="C198" s="338">
        <v>42173</v>
      </c>
      <c r="D198" s="4" t="s">
        <v>21</v>
      </c>
      <c r="E198" s="4" t="s">
        <v>562</v>
      </c>
      <c r="F198" s="5">
        <v>6000</v>
      </c>
      <c r="G198" s="40">
        <v>6101</v>
      </c>
      <c r="H198" s="921">
        <f t="shared" si="14"/>
        <v>0</v>
      </c>
      <c r="I198" s="253">
        <v>42203</v>
      </c>
      <c r="J198" s="921">
        <f t="shared" ca="1" si="17"/>
        <v>372</v>
      </c>
      <c r="K198" s="260">
        <f t="shared" ca="1" si="16"/>
        <v>-342</v>
      </c>
      <c r="L198" s="4" t="s">
        <v>48</v>
      </c>
      <c r="M198" s="4"/>
      <c r="N198" s="4" t="s">
        <v>48</v>
      </c>
      <c r="O198" s="4" t="s">
        <v>48</v>
      </c>
      <c r="P198" s="35" t="s">
        <v>48</v>
      </c>
      <c r="Q198" s="35" t="s">
        <v>48</v>
      </c>
      <c r="R198" s="35" t="s">
        <v>48</v>
      </c>
      <c r="S198" s="35" t="s">
        <v>48</v>
      </c>
      <c r="T198" s="5">
        <f>2500+3601</f>
        <v>6101</v>
      </c>
      <c r="U198" s="5" t="s">
        <v>55</v>
      </c>
      <c r="V198" s="43" t="s">
        <v>433</v>
      </c>
    </row>
    <row r="199" spans="1:23" ht="15" hidden="1" customHeight="1">
      <c r="A199" s="15" t="s">
        <v>49</v>
      </c>
      <c r="B199" s="43">
        <v>5201</v>
      </c>
      <c r="C199" s="278">
        <v>42137</v>
      </c>
      <c r="D199" s="221" t="s">
        <v>13</v>
      </c>
      <c r="E199" s="598" t="s">
        <v>22</v>
      </c>
      <c r="F199" s="222"/>
      <c r="G199" s="224">
        <f>299-182</f>
        <v>117</v>
      </c>
      <c r="H199" s="335">
        <f t="shared" si="14"/>
        <v>0</v>
      </c>
      <c r="I199" s="256"/>
      <c r="J199" s="248">
        <f t="shared" ca="1" si="17"/>
        <v>408</v>
      </c>
      <c r="K199" s="260" t="str">
        <f t="shared" ca="1" si="16"/>
        <v>Sin fecha</v>
      </c>
      <c r="L199" s="2" t="s">
        <v>47</v>
      </c>
      <c r="M199" s="221"/>
      <c r="N199" s="221" t="s">
        <v>1</v>
      </c>
      <c r="O199" s="221" t="s">
        <v>69</v>
      </c>
      <c r="P199" s="4"/>
      <c r="Q199" s="35" t="s">
        <v>48</v>
      </c>
      <c r="R199" s="35" t="s">
        <v>48</v>
      </c>
      <c r="S199" s="35" t="s">
        <v>48</v>
      </c>
      <c r="T199" s="5">
        <v>117</v>
      </c>
      <c r="U199" s="5" t="s">
        <v>55</v>
      </c>
      <c r="V199" s="4" t="s">
        <v>434</v>
      </c>
    </row>
    <row r="200" spans="1:23" ht="15" hidden="1" customHeight="1">
      <c r="A200" s="4" t="s">
        <v>49</v>
      </c>
      <c r="B200" s="43">
        <v>5206</v>
      </c>
      <c r="C200" s="278">
        <v>42138</v>
      </c>
      <c r="D200" s="221" t="s">
        <v>24</v>
      </c>
      <c r="E200" s="595" t="s">
        <v>35</v>
      </c>
      <c r="F200" s="222">
        <v>600</v>
      </c>
      <c r="G200" s="224">
        <v>700</v>
      </c>
      <c r="H200" s="28">
        <f t="shared" si="14"/>
        <v>0</v>
      </c>
      <c r="I200" s="256"/>
      <c r="J200" s="248">
        <f t="shared" ca="1" si="17"/>
        <v>407</v>
      </c>
      <c r="K200" s="260" t="str">
        <f t="shared" ca="1" si="16"/>
        <v>Sin fecha</v>
      </c>
      <c r="L200" s="2" t="s">
        <v>45</v>
      </c>
      <c r="M200" s="221"/>
      <c r="N200" s="221" t="s">
        <v>48</v>
      </c>
      <c r="O200" s="221" t="s">
        <v>48</v>
      </c>
      <c r="P200" s="35" t="s">
        <v>48</v>
      </c>
      <c r="Q200" s="35" t="s">
        <v>48</v>
      </c>
      <c r="R200" s="35" t="s">
        <v>48</v>
      </c>
      <c r="S200" s="35" t="s">
        <v>48</v>
      </c>
      <c r="T200" s="5">
        <f>100+400+200</f>
        <v>700</v>
      </c>
      <c r="U200" s="5" t="s">
        <v>55</v>
      </c>
      <c r="V200" s="4" t="s">
        <v>434</v>
      </c>
    </row>
    <row r="201" spans="1:23" ht="15" hidden="1" customHeight="1">
      <c r="A201" s="4"/>
      <c r="B201" s="43" t="s">
        <v>37</v>
      </c>
      <c r="C201" s="278">
        <v>42103</v>
      </c>
      <c r="D201" s="2" t="s">
        <v>111</v>
      </c>
      <c r="E201" s="597" t="s">
        <v>35</v>
      </c>
      <c r="F201" s="3">
        <v>1200</v>
      </c>
      <c r="G201" s="40">
        <v>1210</v>
      </c>
      <c r="H201" s="28">
        <f t="shared" ref="H201:H264" si="18">G201-T201</f>
        <v>0</v>
      </c>
      <c r="I201" s="28"/>
      <c r="J201" s="248">
        <f t="shared" ca="1" si="17"/>
        <v>442</v>
      </c>
      <c r="K201" s="260" t="str">
        <f t="shared" ca="1" si="16"/>
        <v>Sin fecha</v>
      </c>
      <c r="L201" s="2" t="s">
        <v>47</v>
      </c>
      <c r="M201" s="2"/>
      <c r="N201" s="2" t="s">
        <v>48</v>
      </c>
      <c r="O201" s="2" t="s">
        <v>48</v>
      </c>
      <c r="P201" s="35" t="s">
        <v>48</v>
      </c>
      <c r="Q201" s="35" t="s">
        <v>48</v>
      </c>
      <c r="R201" s="35" t="s">
        <v>48</v>
      </c>
      <c r="S201" s="35" t="s">
        <v>48</v>
      </c>
      <c r="T201" s="5">
        <f>400+810</f>
        <v>1210</v>
      </c>
      <c r="U201" s="5" t="s">
        <v>55</v>
      </c>
      <c r="V201" s="4" t="s">
        <v>151</v>
      </c>
      <c r="W201" s="33"/>
    </row>
    <row r="202" spans="1:23" ht="15" hidden="1" customHeight="1">
      <c r="A202" s="307" t="s">
        <v>193</v>
      </c>
      <c r="B202" s="308">
        <v>5226</v>
      </c>
      <c r="C202" s="694">
        <v>42186</v>
      </c>
      <c r="D202" s="307" t="s">
        <v>21</v>
      </c>
      <c r="E202" s="307" t="s">
        <v>599</v>
      </c>
      <c r="F202" s="309"/>
      <c r="G202" s="310">
        <v>6000</v>
      </c>
      <c r="H202" s="696">
        <f t="shared" si="18"/>
        <v>0</v>
      </c>
      <c r="I202" s="312">
        <v>42217</v>
      </c>
      <c r="J202" s="465">
        <f t="shared" ca="1" si="17"/>
        <v>359</v>
      </c>
      <c r="K202" s="313">
        <f t="shared" ca="1" si="16"/>
        <v>-328</v>
      </c>
      <c r="L202" s="307" t="s">
        <v>48</v>
      </c>
      <c r="M202" s="307"/>
      <c r="N202" s="307" t="s">
        <v>48</v>
      </c>
      <c r="O202" s="307" t="s">
        <v>48</v>
      </c>
      <c r="P202" s="307"/>
      <c r="Q202" s="307"/>
      <c r="R202" s="307"/>
      <c r="S202" s="307"/>
      <c r="T202" s="309">
        <f>3000+3000</f>
        <v>6000</v>
      </c>
      <c r="U202" s="309" t="s">
        <v>55</v>
      </c>
      <c r="V202" s="308" t="s">
        <v>434</v>
      </c>
    </row>
    <row r="203" spans="1:23" ht="15.75" hidden="1" customHeight="1">
      <c r="A203" s="4" t="s">
        <v>452</v>
      </c>
      <c r="B203" s="2" t="s">
        <v>48</v>
      </c>
      <c r="C203" s="278">
        <v>42115</v>
      </c>
      <c r="D203" s="2" t="s">
        <v>27</v>
      </c>
      <c r="E203" s="2" t="s">
        <v>72</v>
      </c>
      <c r="F203" s="3"/>
      <c r="G203" s="40">
        <v>17</v>
      </c>
      <c r="H203" s="28">
        <f t="shared" si="18"/>
        <v>0</v>
      </c>
      <c r="I203" s="252"/>
      <c r="J203" s="248">
        <f t="shared" ca="1" si="17"/>
        <v>430</v>
      </c>
      <c r="K203" s="260" t="str">
        <f t="shared" ca="1" si="16"/>
        <v>Sin fecha</v>
      </c>
      <c r="L203" s="2" t="s">
        <v>45</v>
      </c>
      <c r="M203" s="2"/>
      <c r="N203" s="2" t="s">
        <v>48</v>
      </c>
      <c r="O203" s="2" t="s">
        <v>48</v>
      </c>
      <c r="P203" s="35" t="s">
        <v>48</v>
      </c>
      <c r="Q203" s="35" t="s">
        <v>48</v>
      </c>
      <c r="R203" s="35" t="s">
        <v>48</v>
      </c>
      <c r="S203" s="35" t="s">
        <v>48</v>
      </c>
      <c r="T203" s="5">
        <v>17</v>
      </c>
      <c r="U203" s="5" t="s">
        <v>55</v>
      </c>
      <c r="V203" s="4" t="s">
        <v>151</v>
      </c>
    </row>
    <row r="204" spans="1:23" ht="15.75" hidden="1" customHeight="1">
      <c r="A204" s="4" t="s">
        <v>49</v>
      </c>
      <c r="B204" s="43">
        <v>5221</v>
      </c>
      <c r="C204" s="278">
        <v>42153</v>
      </c>
      <c r="D204" s="2" t="s">
        <v>596</v>
      </c>
      <c r="E204" s="2" t="s">
        <v>521</v>
      </c>
      <c r="F204" s="5">
        <v>400</v>
      </c>
      <c r="G204" s="40">
        <v>506</v>
      </c>
      <c r="H204" s="495">
        <f t="shared" si="18"/>
        <v>0</v>
      </c>
      <c r="I204" s="253"/>
      <c r="J204" s="248">
        <f t="shared" ca="1" si="17"/>
        <v>392</v>
      </c>
      <c r="K204" s="260" t="str">
        <f t="shared" ca="1" si="16"/>
        <v>Sin fecha</v>
      </c>
      <c r="L204" s="4" t="s">
        <v>45</v>
      </c>
      <c r="M204" s="4"/>
      <c r="N204" s="4" t="s">
        <v>48</v>
      </c>
      <c r="O204" s="4" t="s">
        <v>48</v>
      </c>
      <c r="P204" s="35" t="s">
        <v>48</v>
      </c>
      <c r="Q204" s="35" t="s">
        <v>48</v>
      </c>
      <c r="R204" s="35" t="s">
        <v>48</v>
      </c>
      <c r="S204" s="35" t="s">
        <v>48</v>
      </c>
      <c r="T204" s="5">
        <f>481+25</f>
        <v>506</v>
      </c>
      <c r="U204" s="5" t="s">
        <v>55</v>
      </c>
      <c r="V204" s="43" t="s">
        <v>433</v>
      </c>
    </row>
    <row r="205" spans="1:23" ht="15" hidden="1" customHeight="1">
      <c r="A205" s="15" t="s">
        <v>49</v>
      </c>
      <c r="B205" s="43">
        <v>5207</v>
      </c>
      <c r="C205" s="278">
        <v>42156</v>
      </c>
      <c r="D205" s="4" t="s">
        <v>13</v>
      </c>
      <c r="E205" s="257" t="s">
        <v>22</v>
      </c>
      <c r="F205" s="5"/>
      <c r="G205" s="46">
        <v>300</v>
      </c>
      <c r="H205" s="578">
        <f t="shared" si="18"/>
        <v>0</v>
      </c>
      <c r="I205" s="253"/>
      <c r="J205" s="578">
        <f t="shared" ca="1" si="17"/>
        <v>389</v>
      </c>
      <c r="K205" s="260" t="str">
        <f t="shared" ca="1" si="16"/>
        <v>Sin fecha</v>
      </c>
      <c r="L205" s="2" t="s">
        <v>47</v>
      </c>
      <c r="M205" s="4"/>
      <c r="N205" s="221" t="s">
        <v>1</v>
      </c>
      <c r="O205" s="221" t="s">
        <v>1</v>
      </c>
      <c r="P205" s="35" t="s">
        <v>48</v>
      </c>
      <c r="Q205" s="35" t="s">
        <v>48</v>
      </c>
      <c r="R205" s="35" t="s">
        <v>48</v>
      </c>
      <c r="S205" s="35" t="s">
        <v>48</v>
      </c>
      <c r="T205" s="5">
        <v>300</v>
      </c>
      <c r="U205" s="5" t="s">
        <v>55</v>
      </c>
      <c r="V205" s="4" t="s">
        <v>435</v>
      </c>
    </row>
    <row r="206" spans="1:23" ht="15" hidden="1" customHeight="1">
      <c r="A206" s="211" t="s">
        <v>452</v>
      </c>
      <c r="B206" s="206" t="s">
        <v>48</v>
      </c>
      <c r="C206" s="327">
        <v>42115</v>
      </c>
      <c r="D206" s="206" t="s">
        <v>27</v>
      </c>
      <c r="E206" s="305" t="s">
        <v>170</v>
      </c>
      <c r="F206" s="207"/>
      <c r="G206" s="208">
        <v>13</v>
      </c>
      <c r="H206" s="49">
        <f t="shared" si="18"/>
        <v>0</v>
      </c>
      <c r="I206" s="251"/>
      <c r="J206" s="293">
        <f t="shared" ca="1" si="17"/>
        <v>430</v>
      </c>
      <c r="K206" s="294" t="str">
        <f t="shared" ca="1" si="16"/>
        <v>Sin fecha</v>
      </c>
      <c r="L206" s="206" t="s">
        <v>45</v>
      </c>
      <c r="M206" s="206"/>
      <c r="N206" s="206" t="s">
        <v>48</v>
      </c>
      <c r="O206" s="206" t="s">
        <v>48</v>
      </c>
      <c r="P206" s="209" t="s">
        <v>48</v>
      </c>
      <c r="Q206" s="209" t="s">
        <v>48</v>
      </c>
      <c r="R206" s="209" t="s">
        <v>48</v>
      </c>
      <c r="S206" s="209" t="s">
        <v>48</v>
      </c>
      <c r="T206" s="210">
        <v>13</v>
      </c>
      <c r="U206" s="210" t="s">
        <v>55</v>
      </c>
      <c r="V206" s="211" t="s">
        <v>151</v>
      </c>
    </row>
    <row r="207" spans="1:23" ht="15" hidden="1" customHeight="1">
      <c r="A207" s="4" t="s">
        <v>452</v>
      </c>
      <c r="B207" s="2" t="s">
        <v>48</v>
      </c>
      <c r="C207" s="278" t="s">
        <v>48</v>
      </c>
      <c r="D207" s="2" t="s">
        <v>24</v>
      </c>
      <c r="E207" s="2" t="s">
        <v>74</v>
      </c>
      <c r="F207" s="2"/>
      <c r="G207" s="3">
        <v>20</v>
      </c>
      <c r="H207" s="28">
        <f t="shared" si="18"/>
        <v>0</v>
      </c>
      <c r="I207" s="28"/>
      <c r="J207" s="248" t="e">
        <f t="shared" ca="1" si="17"/>
        <v>#VALUE!</v>
      </c>
      <c r="K207" s="260" t="str">
        <f t="shared" ref="K207:K238" ca="1" si="19">IF(I207="","Sin fecha",((I207-TODAY())))</f>
        <v>Sin fecha</v>
      </c>
      <c r="L207" s="2" t="s">
        <v>47</v>
      </c>
      <c r="M207" s="2"/>
      <c r="N207" s="2"/>
      <c r="O207" s="2"/>
      <c r="P207" s="15"/>
      <c r="Q207" s="15"/>
      <c r="R207" s="15"/>
      <c r="S207" s="15"/>
      <c r="T207" s="5">
        <v>20</v>
      </c>
      <c r="U207" s="5" t="s">
        <v>55</v>
      </c>
      <c r="V207" s="4" t="s">
        <v>60</v>
      </c>
    </row>
    <row r="208" spans="1:23" ht="15" hidden="1" customHeight="1">
      <c r="A208" s="4" t="s">
        <v>452</v>
      </c>
      <c r="B208" s="43" t="s">
        <v>48</v>
      </c>
      <c r="C208" s="278">
        <v>42128</v>
      </c>
      <c r="D208" s="2" t="s">
        <v>111</v>
      </c>
      <c r="E208" s="4" t="s">
        <v>86</v>
      </c>
      <c r="F208" s="5"/>
      <c r="G208" s="40">
        <v>37</v>
      </c>
      <c r="H208" s="578">
        <f t="shared" si="18"/>
        <v>0</v>
      </c>
      <c r="I208" s="578"/>
      <c r="J208" s="248">
        <f t="shared" ca="1" si="17"/>
        <v>417</v>
      </c>
      <c r="K208" s="260" t="str">
        <f t="shared" ca="1" si="19"/>
        <v>Sin fecha</v>
      </c>
      <c r="L208" s="2" t="s">
        <v>116</v>
      </c>
      <c r="M208" s="4"/>
      <c r="N208" s="4" t="s">
        <v>48</v>
      </c>
      <c r="O208" s="4" t="s">
        <v>48</v>
      </c>
      <c r="P208" s="35" t="s">
        <v>48</v>
      </c>
      <c r="Q208" s="35" t="s">
        <v>48</v>
      </c>
      <c r="R208" s="4"/>
      <c r="S208" s="4"/>
      <c r="T208" s="5">
        <f>9+28</f>
        <v>37</v>
      </c>
      <c r="U208" s="5" t="s">
        <v>55</v>
      </c>
      <c r="V208" s="4" t="s">
        <v>151</v>
      </c>
    </row>
    <row r="209" spans="1:23" ht="15" hidden="1" customHeight="1">
      <c r="A209" s="284" t="s">
        <v>452</v>
      </c>
      <c r="B209" s="285" t="s">
        <v>48</v>
      </c>
      <c r="C209" s="446">
        <v>42130</v>
      </c>
      <c r="D209" s="284" t="s">
        <v>24</v>
      </c>
      <c r="E209" s="284" t="s">
        <v>22</v>
      </c>
      <c r="F209" s="290"/>
      <c r="G209" s="296">
        <v>30</v>
      </c>
      <c r="H209" s="581">
        <f t="shared" si="18"/>
        <v>0</v>
      </c>
      <c r="I209" s="581"/>
      <c r="J209" s="302">
        <f t="shared" ca="1" si="17"/>
        <v>415</v>
      </c>
      <c r="K209" s="303" t="str">
        <f t="shared" ca="1" si="19"/>
        <v>Sin fecha</v>
      </c>
      <c r="L209" s="301" t="s">
        <v>48</v>
      </c>
      <c r="M209" s="284"/>
      <c r="N209" s="284" t="s">
        <v>48</v>
      </c>
      <c r="O209" s="284" t="s">
        <v>48</v>
      </c>
      <c r="P209" s="284"/>
      <c r="Q209" s="284"/>
      <c r="R209" s="284"/>
      <c r="S209" s="284"/>
      <c r="T209" s="290">
        <v>30</v>
      </c>
      <c r="U209" s="290" t="s">
        <v>55</v>
      </c>
      <c r="V209" s="284" t="s">
        <v>151</v>
      </c>
    </row>
    <row r="210" spans="1:23" ht="15.75" hidden="1" customHeight="1">
      <c r="A210" s="4" t="s">
        <v>452</v>
      </c>
      <c r="B210" s="43" t="s">
        <v>48</v>
      </c>
      <c r="C210" s="278" t="s">
        <v>484</v>
      </c>
      <c r="D210" s="221" t="s">
        <v>24</v>
      </c>
      <c r="E210" s="4" t="s">
        <v>41</v>
      </c>
      <c r="F210" s="5"/>
      <c r="G210" s="40">
        <v>20</v>
      </c>
      <c r="H210" s="28">
        <f t="shared" si="18"/>
        <v>0</v>
      </c>
      <c r="I210" s="253"/>
      <c r="J210" s="248">
        <f t="shared" ca="1" si="17"/>
        <v>394</v>
      </c>
      <c r="K210" s="260" t="str">
        <f t="shared" ca="1" si="19"/>
        <v>Sin fecha</v>
      </c>
      <c r="L210" s="2" t="s">
        <v>45</v>
      </c>
      <c r="M210" s="4"/>
      <c r="N210" s="221" t="s">
        <v>55</v>
      </c>
      <c r="O210" s="221" t="s">
        <v>55</v>
      </c>
      <c r="P210" s="35" t="s">
        <v>48</v>
      </c>
      <c r="Q210" s="35" t="s">
        <v>48</v>
      </c>
      <c r="R210" s="35" t="s">
        <v>48</v>
      </c>
      <c r="S210" s="35" t="s">
        <v>48</v>
      </c>
      <c r="T210" s="5">
        <v>20</v>
      </c>
      <c r="U210" s="5" t="s">
        <v>55</v>
      </c>
      <c r="V210" s="4" t="s">
        <v>151</v>
      </c>
    </row>
    <row r="211" spans="1:23" ht="15" hidden="1" customHeight="1">
      <c r="A211" s="307" t="s">
        <v>49</v>
      </c>
      <c r="B211" s="308" t="s">
        <v>48</v>
      </c>
      <c r="C211" s="461" t="s">
        <v>484</v>
      </c>
      <c r="D211" s="464" t="s">
        <v>24</v>
      </c>
      <c r="E211" s="307" t="s">
        <v>22</v>
      </c>
      <c r="F211" s="309"/>
      <c r="G211" s="310">
        <v>20</v>
      </c>
      <c r="H211" s="50">
        <f t="shared" si="18"/>
        <v>0</v>
      </c>
      <c r="I211" s="312"/>
      <c r="J211" s="465">
        <f t="shared" ca="1" si="17"/>
        <v>394</v>
      </c>
      <c r="K211" s="313" t="str">
        <f t="shared" ca="1" si="19"/>
        <v>Sin fecha</v>
      </c>
      <c r="L211" s="449" t="s">
        <v>47</v>
      </c>
      <c r="M211" s="307"/>
      <c r="N211" s="464" t="s">
        <v>55</v>
      </c>
      <c r="O211" s="464" t="s">
        <v>55</v>
      </c>
      <c r="P211" s="445"/>
      <c r="Q211" s="314" t="s">
        <v>48</v>
      </c>
      <c r="R211" s="314" t="s">
        <v>48</v>
      </c>
      <c r="S211" s="314" t="s">
        <v>48</v>
      </c>
      <c r="T211" s="309">
        <v>20</v>
      </c>
      <c r="U211" s="309" t="s">
        <v>55</v>
      </c>
      <c r="V211" s="307" t="s">
        <v>151</v>
      </c>
    </row>
    <row r="212" spans="1:23" ht="15.75" hidden="1" customHeight="1">
      <c r="A212" s="4" t="s">
        <v>49</v>
      </c>
      <c r="B212" s="43" t="s">
        <v>37</v>
      </c>
      <c r="C212" s="278" t="s">
        <v>492</v>
      </c>
      <c r="D212" s="2" t="s">
        <v>111</v>
      </c>
      <c r="E212" s="4" t="s">
        <v>493</v>
      </c>
      <c r="F212" s="5">
        <v>60</v>
      </c>
      <c r="G212" s="40">
        <v>62</v>
      </c>
      <c r="H212" s="495">
        <f t="shared" si="18"/>
        <v>0</v>
      </c>
      <c r="I212" s="253"/>
      <c r="J212" s="578">
        <f t="shared" ca="1" si="17"/>
        <v>393</v>
      </c>
      <c r="K212" s="260" t="str">
        <f t="shared" ca="1" si="19"/>
        <v>Sin fecha</v>
      </c>
      <c r="L212" s="4" t="s">
        <v>47</v>
      </c>
      <c r="M212" s="4"/>
      <c r="N212" s="4" t="s">
        <v>48</v>
      </c>
      <c r="O212" s="4" t="s">
        <v>48</v>
      </c>
      <c r="P212" s="35" t="s">
        <v>48</v>
      </c>
      <c r="Q212" s="35" t="s">
        <v>48</v>
      </c>
      <c r="R212" s="35" t="s">
        <v>48</v>
      </c>
      <c r="S212" s="35" t="s">
        <v>48</v>
      </c>
      <c r="T212" s="5">
        <v>62</v>
      </c>
      <c r="U212" s="5" t="s">
        <v>55</v>
      </c>
      <c r="V212" s="4" t="s">
        <v>151</v>
      </c>
    </row>
    <row r="213" spans="1:23" ht="15.75" hidden="1" customHeight="1">
      <c r="A213" s="4" t="s">
        <v>49</v>
      </c>
      <c r="B213" s="43">
        <v>5209</v>
      </c>
      <c r="C213" s="278">
        <v>42156</v>
      </c>
      <c r="D213" s="4" t="s">
        <v>13</v>
      </c>
      <c r="E213" s="257" t="s">
        <v>39</v>
      </c>
      <c r="F213" s="5"/>
      <c r="G213" s="40">
        <v>100</v>
      </c>
      <c r="H213" s="495">
        <f t="shared" si="18"/>
        <v>0</v>
      </c>
      <c r="I213" s="253"/>
      <c r="J213" s="578">
        <f t="shared" ca="1" si="17"/>
        <v>389</v>
      </c>
      <c r="K213" s="260" t="str">
        <f t="shared" ca="1" si="19"/>
        <v>Sin fecha</v>
      </c>
      <c r="L213" s="2" t="s">
        <v>47</v>
      </c>
      <c r="M213" s="4"/>
      <c r="N213" s="4" t="s">
        <v>48</v>
      </c>
      <c r="O213" s="4" t="s">
        <v>48</v>
      </c>
      <c r="P213" s="35" t="s">
        <v>48</v>
      </c>
      <c r="Q213" s="35" t="s">
        <v>48</v>
      </c>
      <c r="R213" s="35" t="s">
        <v>48</v>
      </c>
      <c r="S213" s="35" t="s">
        <v>48</v>
      </c>
      <c r="T213" s="5">
        <v>100</v>
      </c>
      <c r="U213" s="5" t="s">
        <v>55</v>
      </c>
      <c r="V213" s="4" t="s">
        <v>434</v>
      </c>
    </row>
    <row r="214" spans="1:23" ht="15" hidden="1" customHeight="1">
      <c r="A214" s="307" t="s">
        <v>94</v>
      </c>
      <c r="B214" s="308">
        <v>5212</v>
      </c>
      <c r="C214" s="468">
        <v>42157</v>
      </c>
      <c r="D214" s="307" t="s">
        <v>117</v>
      </c>
      <c r="E214" s="594" t="s">
        <v>553</v>
      </c>
      <c r="F214" s="309"/>
      <c r="G214" s="311">
        <v>788</v>
      </c>
      <c r="H214" s="311">
        <f t="shared" si="18"/>
        <v>0</v>
      </c>
      <c r="I214" s="312"/>
      <c r="J214" s="311">
        <f t="shared" ca="1" si="17"/>
        <v>388</v>
      </c>
      <c r="K214" s="313" t="str">
        <f t="shared" ca="1" si="19"/>
        <v>Sin fecha</v>
      </c>
      <c r="L214" s="449" t="s">
        <v>48</v>
      </c>
      <c r="M214" s="307"/>
      <c r="N214" s="307" t="s">
        <v>48</v>
      </c>
      <c r="O214" s="307" t="s">
        <v>48</v>
      </c>
      <c r="P214" s="314" t="s">
        <v>48</v>
      </c>
      <c r="Q214" s="314" t="s">
        <v>48</v>
      </c>
      <c r="R214" s="314" t="s">
        <v>48</v>
      </c>
      <c r="S214" s="314" t="s">
        <v>48</v>
      </c>
      <c r="T214" s="309">
        <f>200+200+388</f>
        <v>788</v>
      </c>
      <c r="U214" s="309" t="s">
        <v>55</v>
      </c>
      <c r="V214" s="307" t="s">
        <v>434</v>
      </c>
    </row>
    <row r="215" spans="1:23" ht="15" hidden="1" customHeight="1">
      <c r="A215" s="4" t="s">
        <v>94</v>
      </c>
      <c r="B215" s="43">
        <v>5212</v>
      </c>
      <c r="C215" s="318">
        <v>42157</v>
      </c>
      <c r="D215" s="4" t="s">
        <v>117</v>
      </c>
      <c r="E215" s="337" t="s">
        <v>554</v>
      </c>
      <c r="F215" s="5"/>
      <c r="G215" s="578">
        <v>959</v>
      </c>
      <c r="H215" s="578">
        <f t="shared" si="18"/>
        <v>0</v>
      </c>
      <c r="I215" s="253"/>
      <c r="J215" s="578">
        <f t="shared" ca="1" si="17"/>
        <v>388</v>
      </c>
      <c r="K215" s="260" t="str">
        <f t="shared" ca="1" si="19"/>
        <v>Sin fecha</v>
      </c>
      <c r="L215" s="2" t="s">
        <v>48</v>
      </c>
      <c r="M215" s="4"/>
      <c r="N215" s="4" t="s">
        <v>48</v>
      </c>
      <c r="O215" s="4" t="s">
        <v>48</v>
      </c>
      <c r="P215" s="35" t="s">
        <v>48</v>
      </c>
      <c r="Q215" s="35" t="s">
        <v>48</v>
      </c>
      <c r="R215" s="35" t="s">
        <v>48</v>
      </c>
      <c r="S215" s="35" t="s">
        <v>48</v>
      </c>
      <c r="T215" s="5">
        <f>500+459</f>
        <v>959</v>
      </c>
      <c r="U215" s="5" t="s">
        <v>55</v>
      </c>
      <c r="V215" s="4" t="s">
        <v>434</v>
      </c>
    </row>
    <row r="216" spans="1:23" ht="15" hidden="1" customHeight="1">
      <c r="A216" s="211" t="s">
        <v>94</v>
      </c>
      <c r="B216" s="291">
        <v>5212</v>
      </c>
      <c r="C216" s="466">
        <v>42157</v>
      </c>
      <c r="D216" s="211" t="s">
        <v>117</v>
      </c>
      <c r="E216" s="471" t="s">
        <v>555</v>
      </c>
      <c r="F216" s="210">
        <v>300</v>
      </c>
      <c r="G216" s="582">
        <v>312</v>
      </c>
      <c r="H216" s="582">
        <f t="shared" si="18"/>
        <v>0</v>
      </c>
      <c r="I216" s="292"/>
      <c r="J216" s="582">
        <f t="shared" ca="1" si="17"/>
        <v>388</v>
      </c>
      <c r="K216" s="294" t="str">
        <f t="shared" ca="1" si="19"/>
        <v>Sin fecha</v>
      </c>
      <c r="L216" s="206" t="s">
        <v>48</v>
      </c>
      <c r="M216" s="211"/>
      <c r="N216" s="211" t="s">
        <v>48</v>
      </c>
      <c r="O216" s="211" t="s">
        <v>48</v>
      </c>
      <c r="P216" s="209" t="s">
        <v>48</v>
      </c>
      <c r="Q216" s="209" t="s">
        <v>48</v>
      </c>
      <c r="R216" s="209" t="s">
        <v>48</v>
      </c>
      <c r="S216" s="209" t="s">
        <v>48</v>
      </c>
      <c r="T216" s="210">
        <v>312</v>
      </c>
      <c r="U216" s="210" t="s">
        <v>55</v>
      </c>
      <c r="V216" s="211" t="s">
        <v>435</v>
      </c>
    </row>
    <row r="217" spans="1:23" ht="15" hidden="1" customHeight="1">
      <c r="A217" s="4" t="s">
        <v>94</v>
      </c>
      <c r="B217" s="43">
        <v>5212</v>
      </c>
      <c r="C217" s="318">
        <v>42157</v>
      </c>
      <c r="D217" s="4" t="s">
        <v>117</v>
      </c>
      <c r="E217" s="63" t="s">
        <v>557</v>
      </c>
      <c r="F217" s="5">
        <v>100</v>
      </c>
      <c r="G217" s="578">
        <v>116</v>
      </c>
      <c r="H217" s="578">
        <f t="shared" si="18"/>
        <v>0</v>
      </c>
      <c r="I217" s="253"/>
      <c r="J217" s="578">
        <f t="shared" ca="1" si="17"/>
        <v>388</v>
      </c>
      <c r="K217" s="260" t="str">
        <f t="shared" ca="1" si="19"/>
        <v>Sin fecha</v>
      </c>
      <c r="L217" s="2" t="s">
        <v>48</v>
      </c>
      <c r="M217" s="4"/>
      <c r="N217" s="4" t="s">
        <v>48</v>
      </c>
      <c r="O217" s="4" t="s">
        <v>48</v>
      </c>
      <c r="P217" s="35" t="s">
        <v>48</v>
      </c>
      <c r="Q217" s="35" t="s">
        <v>48</v>
      </c>
      <c r="R217" s="35" t="s">
        <v>48</v>
      </c>
      <c r="S217" s="35" t="s">
        <v>48</v>
      </c>
      <c r="T217" s="5">
        <v>116</v>
      </c>
      <c r="U217" s="5" t="s">
        <v>55</v>
      </c>
      <c r="V217" s="4" t="s">
        <v>435</v>
      </c>
    </row>
    <row r="218" spans="1:23" ht="15" hidden="1" customHeight="1">
      <c r="A218" s="4" t="s">
        <v>94</v>
      </c>
      <c r="B218" s="43">
        <v>5212</v>
      </c>
      <c r="C218" s="318">
        <v>42157</v>
      </c>
      <c r="D218" s="4" t="s">
        <v>117</v>
      </c>
      <c r="E218" s="63" t="s">
        <v>558</v>
      </c>
      <c r="F218" s="5">
        <v>200</v>
      </c>
      <c r="G218" s="578">
        <v>210</v>
      </c>
      <c r="H218" s="578">
        <f t="shared" si="18"/>
        <v>0</v>
      </c>
      <c r="I218" s="253"/>
      <c r="J218" s="578">
        <f t="shared" ca="1" si="17"/>
        <v>388</v>
      </c>
      <c r="K218" s="260" t="str">
        <f t="shared" ca="1" si="19"/>
        <v>Sin fecha</v>
      </c>
      <c r="L218" s="2" t="s">
        <v>48</v>
      </c>
      <c r="M218" s="4"/>
      <c r="N218" s="4" t="s">
        <v>48</v>
      </c>
      <c r="O218" s="4" t="s">
        <v>48</v>
      </c>
      <c r="P218" s="35" t="s">
        <v>48</v>
      </c>
      <c r="Q218" s="35" t="s">
        <v>48</v>
      </c>
      <c r="R218" s="35" t="s">
        <v>48</v>
      </c>
      <c r="S218" s="35" t="s">
        <v>48</v>
      </c>
      <c r="T218" s="5">
        <v>210</v>
      </c>
      <c r="U218" s="5" t="s">
        <v>55</v>
      </c>
      <c r="V218" s="4" t="s">
        <v>435</v>
      </c>
    </row>
    <row r="219" spans="1:23" ht="15" hidden="1" customHeight="1">
      <c r="A219" s="284" t="s">
        <v>94</v>
      </c>
      <c r="B219" s="285">
        <v>5212</v>
      </c>
      <c r="C219" s="345">
        <v>42157</v>
      </c>
      <c r="D219" s="284" t="s">
        <v>117</v>
      </c>
      <c r="E219" s="456" t="s">
        <v>559</v>
      </c>
      <c r="F219" s="290">
        <v>200</v>
      </c>
      <c r="G219" s="581">
        <v>232</v>
      </c>
      <c r="H219" s="581">
        <f t="shared" si="18"/>
        <v>0</v>
      </c>
      <c r="I219" s="297"/>
      <c r="J219" s="581">
        <f t="shared" ca="1" si="17"/>
        <v>388</v>
      </c>
      <c r="K219" s="303" t="str">
        <f t="shared" ca="1" si="19"/>
        <v>Sin fecha</v>
      </c>
      <c r="L219" s="301" t="s">
        <v>48</v>
      </c>
      <c r="M219" s="284"/>
      <c r="N219" s="284" t="s">
        <v>48</v>
      </c>
      <c r="O219" s="284" t="s">
        <v>48</v>
      </c>
      <c r="P219" s="289" t="s">
        <v>48</v>
      </c>
      <c r="Q219" s="289" t="s">
        <v>48</v>
      </c>
      <c r="R219" s="289" t="s">
        <v>48</v>
      </c>
      <c r="S219" s="289" t="s">
        <v>48</v>
      </c>
      <c r="T219" s="290">
        <v>232</v>
      </c>
      <c r="U219" s="290" t="s">
        <v>55</v>
      </c>
      <c r="V219" s="284" t="s">
        <v>435</v>
      </c>
    </row>
    <row r="220" spans="1:23" ht="15" hidden="1" customHeight="1">
      <c r="A220" s="4" t="s">
        <v>49</v>
      </c>
      <c r="B220" s="2">
        <v>5210</v>
      </c>
      <c r="C220" s="318">
        <v>42160</v>
      </c>
      <c r="D220" s="6" t="s">
        <v>25</v>
      </c>
      <c r="E220" s="53" t="s">
        <v>6</v>
      </c>
      <c r="F220" s="3"/>
      <c r="G220" s="46">
        <v>500</v>
      </c>
      <c r="H220" s="28">
        <f t="shared" si="18"/>
        <v>0</v>
      </c>
      <c r="I220" s="318" t="s">
        <v>529</v>
      </c>
      <c r="J220" s="248">
        <f t="shared" ca="1" si="17"/>
        <v>385</v>
      </c>
      <c r="K220" s="260">
        <f t="shared" ca="1" si="19"/>
        <v>-375</v>
      </c>
      <c r="L220" s="26" t="s">
        <v>47</v>
      </c>
      <c r="M220" s="46"/>
      <c r="N220" s="2" t="s">
        <v>48</v>
      </c>
      <c r="O220" s="2" t="s">
        <v>48</v>
      </c>
      <c r="P220" s="35" t="s">
        <v>48</v>
      </c>
      <c r="Q220" s="35" t="s">
        <v>48</v>
      </c>
      <c r="R220" s="35" t="s">
        <v>48</v>
      </c>
      <c r="S220" s="35" t="s">
        <v>48</v>
      </c>
      <c r="T220" s="5">
        <v>500</v>
      </c>
      <c r="U220" s="5" t="s">
        <v>55</v>
      </c>
      <c r="V220" s="43" t="s">
        <v>433</v>
      </c>
      <c r="W220" s="33"/>
    </row>
    <row r="221" spans="1:23" ht="15" hidden="1" customHeight="1">
      <c r="A221" s="211" t="s">
        <v>49</v>
      </c>
      <c r="B221" s="206">
        <v>5210</v>
      </c>
      <c r="C221" s="327">
        <v>42160</v>
      </c>
      <c r="D221" s="467" t="s">
        <v>25</v>
      </c>
      <c r="E221" s="306" t="s">
        <v>8</v>
      </c>
      <c r="F221" s="207"/>
      <c r="G221" s="460">
        <v>500</v>
      </c>
      <c r="H221" s="49">
        <f t="shared" si="18"/>
        <v>0</v>
      </c>
      <c r="I221" s="466" t="s">
        <v>529</v>
      </c>
      <c r="J221" s="293">
        <f t="shared" ca="1" si="17"/>
        <v>385</v>
      </c>
      <c r="K221" s="294">
        <f t="shared" ca="1" si="19"/>
        <v>-375</v>
      </c>
      <c r="L221" s="206" t="s">
        <v>47</v>
      </c>
      <c r="M221" s="460"/>
      <c r="N221" s="206" t="s">
        <v>48</v>
      </c>
      <c r="O221" s="206" t="s">
        <v>48</v>
      </c>
      <c r="P221" s="209" t="s">
        <v>48</v>
      </c>
      <c r="Q221" s="209" t="s">
        <v>48</v>
      </c>
      <c r="R221" s="209" t="s">
        <v>48</v>
      </c>
      <c r="S221" s="209" t="s">
        <v>48</v>
      </c>
      <c r="T221" s="210">
        <v>500</v>
      </c>
      <c r="U221" s="210" t="s">
        <v>55</v>
      </c>
      <c r="V221" s="291" t="s">
        <v>433</v>
      </c>
      <c r="W221" s="33"/>
    </row>
    <row r="222" spans="1:23" ht="15" hidden="1" customHeight="1">
      <c r="A222" s="284" t="s">
        <v>49</v>
      </c>
      <c r="B222" s="301">
        <v>5210</v>
      </c>
      <c r="C222" s="446">
        <v>42160</v>
      </c>
      <c r="D222" s="301" t="s">
        <v>25</v>
      </c>
      <c r="E222" s="453" t="s">
        <v>9</v>
      </c>
      <c r="F222" s="298"/>
      <c r="G222" s="454">
        <v>500</v>
      </c>
      <c r="H222" s="51">
        <f t="shared" si="18"/>
        <v>0</v>
      </c>
      <c r="I222" s="345" t="s">
        <v>529</v>
      </c>
      <c r="J222" s="302">
        <f t="shared" ca="1" si="17"/>
        <v>385</v>
      </c>
      <c r="K222" s="303">
        <f t="shared" ca="1" si="19"/>
        <v>-375</v>
      </c>
      <c r="L222" s="301" t="s">
        <v>47</v>
      </c>
      <c r="M222" s="454"/>
      <c r="N222" s="301" t="s">
        <v>48</v>
      </c>
      <c r="O222" s="301" t="s">
        <v>48</v>
      </c>
      <c r="P222" s="289" t="s">
        <v>48</v>
      </c>
      <c r="Q222" s="289" t="s">
        <v>48</v>
      </c>
      <c r="R222" s="289" t="s">
        <v>48</v>
      </c>
      <c r="S222" s="289" t="s">
        <v>48</v>
      </c>
      <c r="T222" s="290">
        <v>500</v>
      </c>
      <c r="U222" s="290" t="s">
        <v>55</v>
      </c>
      <c r="V222" s="285" t="s">
        <v>433</v>
      </c>
      <c r="W222" s="33"/>
    </row>
    <row r="223" spans="1:23" ht="15" hidden="1" customHeight="1">
      <c r="A223" s="4" t="s">
        <v>49</v>
      </c>
      <c r="B223" s="2">
        <v>5210</v>
      </c>
      <c r="C223" s="278">
        <v>42160</v>
      </c>
      <c r="D223" s="2" t="s">
        <v>25</v>
      </c>
      <c r="E223" s="53" t="s">
        <v>7</v>
      </c>
      <c r="F223" s="3"/>
      <c r="G223" s="46">
        <v>500</v>
      </c>
      <c r="H223" s="28">
        <f t="shared" si="18"/>
        <v>0</v>
      </c>
      <c r="I223" s="253" t="s">
        <v>529</v>
      </c>
      <c r="J223" s="248">
        <f t="shared" ca="1" si="17"/>
        <v>385</v>
      </c>
      <c r="K223" s="260">
        <f t="shared" ca="1" si="19"/>
        <v>-375</v>
      </c>
      <c r="L223" s="2" t="s">
        <v>47</v>
      </c>
      <c r="M223" s="2"/>
      <c r="N223" s="2" t="s">
        <v>48</v>
      </c>
      <c r="O223" s="2" t="s">
        <v>48</v>
      </c>
      <c r="P223" s="35" t="s">
        <v>48</v>
      </c>
      <c r="Q223" s="35" t="s">
        <v>48</v>
      </c>
      <c r="R223" s="35" t="s">
        <v>48</v>
      </c>
      <c r="S223" s="35" t="s">
        <v>48</v>
      </c>
      <c r="T223" s="5">
        <v>500</v>
      </c>
      <c r="U223" s="5" t="s">
        <v>55</v>
      </c>
      <c r="V223" s="43" t="s">
        <v>433</v>
      </c>
      <c r="W223" s="33"/>
    </row>
    <row r="224" spans="1:23" ht="15" hidden="1" customHeight="1">
      <c r="A224" s="211" t="s">
        <v>193</v>
      </c>
      <c r="B224" s="291">
        <v>5226</v>
      </c>
      <c r="C224" s="469">
        <v>42186</v>
      </c>
      <c r="D224" s="470" t="s">
        <v>21</v>
      </c>
      <c r="E224" s="211" t="s">
        <v>600</v>
      </c>
      <c r="F224" s="210"/>
      <c r="G224" s="208">
        <v>1500</v>
      </c>
      <c r="H224" s="920">
        <f t="shared" si="18"/>
        <v>140</v>
      </c>
      <c r="I224" s="292">
        <v>42217</v>
      </c>
      <c r="J224" s="293">
        <f t="shared" ca="1" si="17"/>
        <v>359</v>
      </c>
      <c r="K224" s="294">
        <f t="shared" ca="1" si="19"/>
        <v>-328</v>
      </c>
      <c r="L224" s="211" t="s">
        <v>48</v>
      </c>
      <c r="M224" s="211"/>
      <c r="N224" s="211" t="s">
        <v>48</v>
      </c>
      <c r="O224" s="211" t="s">
        <v>48</v>
      </c>
      <c r="P224" s="211"/>
      <c r="Q224" s="211"/>
      <c r="R224" s="211"/>
      <c r="S224" s="211"/>
      <c r="T224" s="210">
        <v>1360</v>
      </c>
      <c r="U224" s="210" t="s">
        <v>55</v>
      </c>
      <c r="V224" s="291" t="s">
        <v>435</v>
      </c>
    </row>
    <row r="225" spans="1:23" ht="15" hidden="1" customHeight="1">
      <c r="A225" s="4" t="s">
        <v>94</v>
      </c>
      <c r="B225" s="43">
        <v>5212</v>
      </c>
      <c r="C225" s="318">
        <v>42157</v>
      </c>
      <c r="D225" s="4" t="s">
        <v>117</v>
      </c>
      <c r="E225" s="479" t="s">
        <v>556</v>
      </c>
      <c r="F225" s="5"/>
      <c r="G225" s="578">
        <v>200</v>
      </c>
      <c r="H225" s="578">
        <f t="shared" si="18"/>
        <v>0</v>
      </c>
      <c r="I225" s="253"/>
      <c r="J225" s="578">
        <f t="shared" ca="1" si="17"/>
        <v>388</v>
      </c>
      <c r="K225" s="260" t="str">
        <f t="shared" ca="1" si="19"/>
        <v>Sin fecha</v>
      </c>
      <c r="L225" s="2" t="s">
        <v>48</v>
      </c>
      <c r="M225" s="4"/>
      <c r="N225" s="4" t="s">
        <v>48</v>
      </c>
      <c r="O225" s="4" t="s">
        <v>48</v>
      </c>
      <c r="P225" s="35" t="s">
        <v>48</v>
      </c>
      <c r="Q225" s="35" t="s">
        <v>48</v>
      </c>
      <c r="R225" s="35" t="s">
        <v>48</v>
      </c>
      <c r="S225" s="35" t="s">
        <v>48</v>
      </c>
      <c r="T225" s="5">
        <v>200</v>
      </c>
      <c r="U225" s="5" t="s">
        <v>55</v>
      </c>
      <c r="V225" s="4" t="s">
        <v>436</v>
      </c>
    </row>
    <row r="226" spans="1:23" ht="15" hidden="1" customHeight="1">
      <c r="A226" s="4" t="s">
        <v>49</v>
      </c>
      <c r="B226" s="43">
        <v>5213</v>
      </c>
      <c r="C226" s="278">
        <v>42165</v>
      </c>
      <c r="D226" s="4" t="s">
        <v>13</v>
      </c>
      <c r="E226" s="369" t="s">
        <v>264</v>
      </c>
      <c r="F226" s="5"/>
      <c r="G226" s="578">
        <v>518</v>
      </c>
      <c r="H226" s="578">
        <f t="shared" si="18"/>
        <v>0</v>
      </c>
      <c r="I226" s="278"/>
      <c r="J226" s="578">
        <f t="shared" ca="1" si="17"/>
        <v>380</v>
      </c>
      <c r="K226" s="260" t="str">
        <f t="shared" ca="1" si="19"/>
        <v>Sin fecha</v>
      </c>
      <c r="L226" s="2" t="s">
        <v>47</v>
      </c>
      <c r="M226" s="5"/>
      <c r="N226" s="4" t="s">
        <v>1</v>
      </c>
      <c r="O226" s="4" t="s">
        <v>48</v>
      </c>
      <c r="P226" s="35" t="s">
        <v>48</v>
      </c>
      <c r="Q226" s="35" t="s">
        <v>48</v>
      </c>
      <c r="R226" s="35" t="s">
        <v>48</v>
      </c>
      <c r="S226" s="35" t="s">
        <v>48</v>
      </c>
      <c r="T226" s="5">
        <f>240+100+100+78</f>
        <v>518</v>
      </c>
      <c r="U226" s="5" t="s">
        <v>55</v>
      </c>
      <c r="V226" s="4" t="s">
        <v>436</v>
      </c>
      <c r="W226" s="1">
        <v>178</v>
      </c>
    </row>
    <row r="227" spans="1:23" ht="15" hidden="1" customHeight="1">
      <c r="A227" s="4" t="s">
        <v>49</v>
      </c>
      <c r="B227" s="43">
        <v>5215</v>
      </c>
      <c r="C227" s="338">
        <v>42167</v>
      </c>
      <c r="D227" s="2" t="s">
        <v>111</v>
      </c>
      <c r="E227" s="15" t="s">
        <v>14</v>
      </c>
      <c r="F227" s="5"/>
      <c r="G227" s="40">
        <v>100</v>
      </c>
      <c r="H227" s="577">
        <f t="shared" si="18"/>
        <v>-10</v>
      </c>
      <c r="I227" s="278">
        <v>42215</v>
      </c>
      <c r="J227" s="248">
        <f t="shared" ca="1" si="17"/>
        <v>378</v>
      </c>
      <c r="K227" s="260">
        <f t="shared" ca="1" si="19"/>
        <v>-330</v>
      </c>
      <c r="L227" s="4" t="s">
        <v>47</v>
      </c>
      <c r="M227" s="4"/>
      <c r="N227" s="4" t="s">
        <v>69</v>
      </c>
      <c r="O227" s="4" t="s">
        <v>69</v>
      </c>
      <c r="P227" s="4"/>
      <c r="Q227" s="35" t="s">
        <v>48</v>
      </c>
      <c r="R227" s="4"/>
      <c r="S227" s="4"/>
      <c r="T227" s="5">
        <f>46+43+21</f>
        <v>110</v>
      </c>
      <c r="U227" s="5" t="s">
        <v>55</v>
      </c>
      <c r="V227" s="4" t="s">
        <v>436</v>
      </c>
      <c r="W227" s="1">
        <v>100</v>
      </c>
    </row>
    <row r="228" spans="1:23" ht="15" hidden="1" customHeight="1">
      <c r="A228" s="284" t="s">
        <v>49</v>
      </c>
      <c r="B228" s="285">
        <v>5213</v>
      </c>
      <c r="C228" s="446">
        <v>42165</v>
      </c>
      <c r="D228" s="284" t="s">
        <v>13</v>
      </c>
      <c r="E228" s="596" t="s">
        <v>22</v>
      </c>
      <c r="F228" s="290"/>
      <c r="G228" s="581">
        <v>150</v>
      </c>
      <c r="H228" s="581">
        <f t="shared" si="18"/>
        <v>0</v>
      </c>
      <c r="I228" s="446"/>
      <c r="J228" s="581">
        <f t="shared" ca="1" si="17"/>
        <v>380</v>
      </c>
      <c r="K228" s="303" t="str">
        <f t="shared" ca="1" si="19"/>
        <v>Sin fecha</v>
      </c>
      <c r="L228" s="301" t="s">
        <v>47</v>
      </c>
      <c r="M228" s="284"/>
      <c r="N228" s="284" t="s">
        <v>1</v>
      </c>
      <c r="O228" s="284" t="s">
        <v>69</v>
      </c>
      <c r="P228" s="284"/>
      <c r="Q228" s="289" t="s">
        <v>48</v>
      </c>
      <c r="R228" s="289" t="s">
        <v>48</v>
      </c>
      <c r="S228" s="289" t="s">
        <v>48</v>
      </c>
      <c r="T228" s="290">
        <v>150</v>
      </c>
      <c r="U228" s="290" t="s">
        <v>55</v>
      </c>
      <c r="V228" s="284" t="s">
        <v>434</v>
      </c>
    </row>
    <row r="229" spans="1:23" ht="15" hidden="1" customHeight="1">
      <c r="A229" s="4" t="s">
        <v>49</v>
      </c>
      <c r="B229" s="43">
        <v>5220</v>
      </c>
      <c r="C229" s="338" t="s">
        <v>587</v>
      </c>
      <c r="D229" s="4" t="s">
        <v>111</v>
      </c>
      <c r="E229" s="15" t="s">
        <v>14</v>
      </c>
      <c r="F229" s="348"/>
      <c r="G229" s="46">
        <v>150</v>
      </c>
      <c r="H229" s="577">
        <f t="shared" si="18"/>
        <v>150</v>
      </c>
      <c r="I229" s="253" t="s">
        <v>588</v>
      </c>
      <c r="J229" s="248">
        <f t="shared" ca="1" si="17"/>
        <v>367</v>
      </c>
      <c r="K229" s="260">
        <f t="shared" ca="1" si="19"/>
        <v>-330</v>
      </c>
      <c r="L229" s="4" t="s">
        <v>45</v>
      </c>
      <c r="M229" s="4"/>
      <c r="N229" s="4" t="s">
        <v>69</v>
      </c>
      <c r="O229" s="4" t="s">
        <v>69</v>
      </c>
      <c r="P229" s="4"/>
      <c r="Q229" s="4"/>
      <c r="R229" s="4"/>
      <c r="S229" s="4"/>
      <c r="T229" s="5"/>
      <c r="U229" s="5" t="s">
        <v>55</v>
      </c>
      <c r="V229" s="4" t="s">
        <v>679</v>
      </c>
    </row>
    <row r="230" spans="1:23" ht="15" hidden="1" customHeight="1">
      <c r="A230" s="4" t="s">
        <v>49</v>
      </c>
      <c r="B230" s="43" t="s">
        <v>48</v>
      </c>
      <c r="C230" s="338" t="s">
        <v>561</v>
      </c>
      <c r="D230" s="4" t="s">
        <v>5</v>
      </c>
      <c r="E230" s="4" t="s">
        <v>36</v>
      </c>
      <c r="F230" s="5"/>
      <c r="G230" s="40">
        <v>40</v>
      </c>
      <c r="H230" s="478">
        <f t="shared" si="18"/>
        <v>0</v>
      </c>
      <c r="I230" s="253"/>
      <c r="J230" s="248">
        <f t="shared" ca="1" si="17"/>
        <v>375</v>
      </c>
      <c r="K230" s="260" t="str">
        <f t="shared" ca="1" si="19"/>
        <v>Sin fecha</v>
      </c>
      <c r="L230" s="2" t="s">
        <v>47</v>
      </c>
      <c r="M230" s="4"/>
      <c r="N230" s="2" t="s">
        <v>69</v>
      </c>
      <c r="O230" s="2" t="s">
        <v>48</v>
      </c>
      <c r="P230" s="4"/>
      <c r="Q230" s="4"/>
      <c r="R230" s="4"/>
      <c r="S230" s="4"/>
      <c r="T230" s="5">
        <v>40</v>
      </c>
      <c r="U230" s="5" t="s">
        <v>55</v>
      </c>
      <c r="V230" s="43" t="s">
        <v>433</v>
      </c>
    </row>
    <row r="231" spans="1:23" ht="15" hidden="1" customHeight="1">
      <c r="A231" s="4" t="s">
        <v>49</v>
      </c>
      <c r="B231" s="43">
        <v>5215</v>
      </c>
      <c r="C231" s="338">
        <v>42167</v>
      </c>
      <c r="D231" s="2" t="s">
        <v>111</v>
      </c>
      <c r="E231" s="15" t="s">
        <v>493</v>
      </c>
      <c r="F231" s="5">
        <v>200</v>
      </c>
      <c r="G231" s="40">
        <v>236</v>
      </c>
      <c r="H231" s="577">
        <f t="shared" si="18"/>
        <v>0</v>
      </c>
      <c r="I231" s="253">
        <v>42209</v>
      </c>
      <c r="J231" s="248">
        <f t="shared" ca="1" si="17"/>
        <v>378</v>
      </c>
      <c r="K231" s="260">
        <f t="shared" ca="1" si="19"/>
        <v>-336</v>
      </c>
      <c r="L231" s="4" t="s">
        <v>47</v>
      </c>
      <c r="M231" s="4"/>
      <c r="N231" s="4" t="s">
        <v>48</v>
      </c>
      <c r="O231" s="4" t="s">
        <v>48</v>
      </c>
      <c r="P231" s="4"/>
      <c r="Q231" s="4"/>
      <c r="R231" s="4"/>
      <c r="S231" s="4"/>
      <c r="T231" s="5">
        <f>20+60+156</f>
        <v>236</v>
      </c>
      <c r="U231" s="5" t="s">
        <v>55</v>
      </c>
      <c r="V231" s="4" t="s">
        <v>435</v>
      </c>
    </row>
    <row r="232" spans="1:23" ht="15" hidden="1" customHeight="1">
      <c r="A232" s="4" t="s">
        <v>193</v>
      </c>
      <c r="B232" s="43">
        <v>5226</v>
      </c>
      <c r="C232" s="338">
        <v>42186</v>
      </c>
      <c r="D232" s="4" t="s">
        <v>21</v>
      </c>
      <c r="E232" s="4" t="s">
        <v>601</v>
      </c>
      <c r="F232" s="5"/>
      <c r="G232" s="40">
        <v>1500</v>
      </c>
      <c r="H232" s="917">
        <f t="shared" si="18"/>
        <v>150</v>
      </c>
      <c r="I232" s="253">
        <v>42217</v>
      </c>
      <c r="J232" s="248">
        <f t="shared" ca="1" si="17"/>
        <v>359</v>
      </c>
      <c r="K232" s="260">
        <f t="shared" ca="1" si="19"/>
        <v>-328</v>
      </c>
      <c r="L232" s="4" t="s">
        <v>48</v>
      </c>
      <c r="M232" s="4"/>
      <c r="N232" s="4" t="s">
        <v>48</v>
      </c>
      <c r="O232" s="4" t="s">
        <v>48</v>
      </c>
      <c r="P232" s="4"/>
      <c r="Q232" s="4"/>
      <c r="R232" s="4"/>
      <c r="S232" s="4"/>
      <c r="T232" s="5">
        <v>1350</v>
      </c>
      <c r="U232" s="5" t="s">
        <v>55</v>
      </c>
      <c r="V232" s="43" t="s">
        <v>434</v>
      </c>
    </row>
    <row r="233" spans="1:23" ht="15" hidden="1" customHeight="1">
      <c r="A233" s="211" t="s">
        <v>453</v>
      </c>
      <c r="B233" s="291" t="s">
        <v>526</v>
      </c>
      <c r="C233" s="469" t="s">
        <v>573</v>
      </c>
      <c r="D233" s="211" t="s">
        <v>57</v>
      </c>
      <c r="E233" s="211" t="s">
        <v>58</v>
      </c>
      <c r="F233" s="210"/>
      <c r="G233" s="208">
        <v>132</v>
      </c>
      <c r="H233" s="582">
        <f t="shared" si="18"/>
        <v>0</v>
      </c>
      <c r="I233" s="292"/>
      <c r="J233" s="582">
        <f t="shared" ca="1" si="17"/>
        <v>393</v>
      </c>
      <c r="K233" s="294" t="str">
        <f t="shared" ca="1" si="19"/>
        <v>Sin fecha</v>
      </c>
      <c r="L233" s="211" t="s">
        <v>47</v>
      </c>
      <c r="M233" s="211"/>
      <c r="N233" s="211" t="s">
        <v>48</v>
      </c>
      <c r="O233" s="211" t="s">
        <v>48</v>
      </c>
      <c r="P233" s="209" t="s">
        <v>48</v>
      </c>
      <c r="Q233" s="209" t="s">
        <v>48</v>
      </c>
      <c r="R233" s="209" t="s">
        <v>48</v>
      </c>
      <c r="S233" s="209" t="s">
        <v>48</v>
      </c>
      <c r="T233" s="210">
        <v>132</v>
      </c>
      <c r="U233" s="210" t="s">
        <v>55</v>
      </c>
      <c r="V233" s="211" t="s">
        <v>434</v>
      </c>
    </row>
    <row r="234" spans="1:23" ht="15" hidden="1" customHeight="1">
      <c r="A234" s="1" t="s">
        <v>49</v>
      </c>
      <c r="B234" s="44">
        <v>5208</v>
      </c>
      <c r="C234" s="589" t="s">
        <v>574</v>
      </c>
      <c r="D234" s="284" t="s">
        <v>3</v>
      </c>
      <c r="E234" s="1" t="s">
        <v>456</v>
      </c>
      <c r="G234" s="18">
        <v>1600</v>
      </c>
      <c r="H234" s="581">
        <f t="shared" si="18"/>
        <v>0</v>
      </c>
      <c r="I234" s="297" t="s">
        <v>504</v>
      </c>
      <c r="J234" s="581">
        <f t="shared" ca="1" si="17"/>
        <v>392</v>
      </c>
      <c r="K234" s="303">
        <f t="shared" ca="1" si="19"/>
        <v>-360</v>
      </c>
      <c r="L234" s="301" t="s">
        <v>47</v>
      </c>
      <c r="N234" s="1" t="s">
        <v>48</v>
      </c>
      <c r="O234" s="1" t="s">
        <v>48</v>
      </c>
      <c r="P234" s="39" t="s">
        <v>48</v>
      </c>
      <c r="Q234" s="39" t="s">
        <v>48</v>
      </c>
      <c r="R234" s="39" t="s">
        <v>48</v>
      </c>
      <c r="S234" s="39" t="s">
        <v>48</v>
      </c>
      <c r="T234" s="16">
        <f>92+400+400+500+208</f>
        <v>1600</v>
      </c>
      <c r="U234" s="16" t="s">
        <v>55</v>
      </c>
      <c r="V234" s="1" t="s">
        <v>434</v>
      </c>
    </row>
    <row r="235" spans="1:23" ht="15" hidden="1" customHeight="1">
      <c r="A235" s="4" t="s">
        <v>49</v>
      </c>
      <c r="B235" s="43">
        <v>5229</v>
      </c>
      <c r="C235" s="338">
        <v>42193</v>
      </c>
      <c r="D235" s="4" t="s">
        <v>21</v>
      </c>
      <c r="E235" s="4" t="s">
        <v>599</v>
      </c>
      <c r="F235" s="5"/>
      <c r="G235" s="40">
        <v>1000</v>
      </c>
      <c r="H235" s="898">
        <f t="shared" si="18"/>
        <v>0</v>
      </c>
      <c r="I235" s="253">
        <v>42224</v>
      </c>
      <c r="J235" s="921">
        <f t="shared" ca="1" si="17"/>
        <v>352</v>
      </c>
      <c r="K235" s="260">
        <f t="shared" ca="1" si="19"/>
        <v>-321</v>
      </c>
      <c r="L235" s="4" t="s">
        <v>45</v>
      </c>
      <c r="M235" s="4"/>
      <c r="N235" s="4" t="s">
        <v>48</v>
      </c>
      <c r="O235" s="4" t="s">
        <v>48</v>
      </c>
      <c r="P235" s="35" t="s">
        <v>48</v>
      </c>
      <c r="Q235" s="35" t="s">
        <v>48</v>
      </c>
      <c r="R235" s="35" t="s">
        <v>48</v>
      </c>
      <c r="S235" s="35" t="s">
        <v>48</v>
      </c>
      <c r="T235" s="5">
        <v>1000</v>
      </c>
      <c r="U235" s="5" t="s">
        <v>55</v>
      </c>
      <c r="V235" s="43" t="s">
        <v>434</v>
      </c>
    </row>
    <row r="236" spans="1:23" ht="15" hidden="1" customHeight="1">
      <c r="A236" s="4" t="s">
        <v>49</v>
      </c>
      <c r="B236" s="43">
        <v>5217</v>
      </c>
      <c r="C236" s="338" t="s">
        <v>583</v>
      </c>
      <c r="D236" s="4" t="s">
        <v>177</v>
      </c>
      <c r="E236" s="4" t="s">
        <v>585</v>
      </c>
      <c r="F236" s="5">
        <v>1000</v>
      </c>
      <c r="G236" s="40">
        <v>1520</v>
      </c>
      <c r="H236" s="444">
        <f t="shared" si="18"/>
        <v>0</v>
      </c>
      <c r="I236" s="253"/>
      <c r="J236" s="578">
        <f t="shared" ca="1" si="17"/>
        <v>366</v>
      </c>
      <c r="K236" s="260" t="str">
        <f t="shared" ca="1" si="19"/>
        <v>Sin fecha</v>
      </c>
      <c r="L236" s="4" t="s">
        <v>47</v>
      </c>
      <c r="M236" s="4"/>
      <c r="N236" s="4" t="s">
        <v>48</v>
      </c>
      <c r="O236" s="4" t="s">
        <v>48</v>
      </c>
      <c r="P236" s="4"/>
      <c r="Q236" s="35" t="s">
        <v>48</v>
      </c>
      <c r="R236" s="35" t="s">
        <v>48</v>
      </c>
      <c r="S236" s="35" t="s">
        <v>48</v>
      </c>
      <c r="T236" s="5">
        <v>1520</v>
      </c>
      <c r="U236" s="5" t="s">
        <v>55</v>
      </c>
      <c r="V236" s="4" t="s">
        <v>434</v>
      </c>
    </row>
    <row r="237" spans="1:23" ht="15" hidden="1" customHeight="1">
      <c r="A237" s="1" t="s">
        <v>49</v>
      </c>
      <c r="B237" s="44">
        <v>5217</v>
      </c>
      <c r="C237" s="276" t="s">
        <v>583</v>
      </c>
      <c r="D237" s="1" t="s">
        <v>177</v>
      </c>
      <c r="E237" s="1" t="s">
        <v>584</v>
      </c>
      <c r="F237" s="16">
        <v>700</v>
      </c>
      <c r="G237" s="18">
        <v>640</v>
      </c>
      <c r="H237" s="582">
        <f t="shared" si="18"/>
        <v>0</v>
      </c>
      <c r="J237" s="582">
        <f t="shared" ca="1" si="17"/>
        <v>366</v>
      </c>
      <c r="K237" s="294" t="str">
        <f t="shared" ca="1" si="19"/>
        <v>Sin fecha</v>
      </c>
      <c r="L237" s="211" t="s">
        <v>47</v>
      </c>
      <c r="N237" s="211" t="s">
        <v>48</v>
      </c>
      <c r="O237" s="211" t="s">
        <v>48</v>
      </c>
      <c r="P237" s="211"/>
      <c r="Q237" s="209" t="s">
        <v>48</v>
      </c>
      <c r="R237" s="209" t="s">
        <v>48</v>
      </c>
      <c r="S237" s="209" t="s">
        <v>48</v>
      </c>
      <c r="T237" s="210">
        <v>640</v>
      </c>
      <c r="U237" s="210" t="s">
        <v>55</v>
      </c>
      <c r="V237" s="1" t="s">
        <v>434</v>
      </c>
    </row>
    <row r="238" spans="1:23" ht="15" hidden="1" customHeight="1">
      <c r="A238" s="284" t="s">
        <v>49</v>
      </c>
      <c r="B238" s="44">
        <v>5218</v>
      </c>
      <c r="C238" s="276" t="s">
        <v>583</v>
      </c>
      <c r="D238" s="1" t="s">
        <v>5</v>
      </c>
      <c r="E238" s="1" t="s">
        <v>36</v>
      </c>
      <c r="G238" s="18">
        <v>24</v>
      </c>
      <c r="H238" s="29">
        <f t="shared" si="18"/>
        <v>0</v>
      </c>
      <c r="J238" s="581">
        <f t="shared" ca="1" si="17"/>
        <v>366</v>
      </c>
      <c r="K238" s="303" t="str">
        <f t="shared" ca="1" si="19"/>
        <v>Sin fecha</v>
      </c>
      <c r="L238" s="284" t="s">
        <v>45</v>
      </c>
      <c r="N238" s="1" t="s">
        <v>69</v>
      </c>
      <c r="O238" s="1" t="s">
        <v>48</v>
      </c>
      <c r="Q238" s="39" t="s">
        <v>48</v>
      </c>
      <c r="S238" s="39" t="s">
        <v>48</v>
      </c>
      <c r="T238" s="16">
        <v>24</v>
      </c>
      <c r="U238" s="16" t="s">
        <v>55</v>
      </c>
      <c r="V238" s="1" t="s">
        <v>434</v>
      </c>
    </row>
    <row r="239" spans="1:23" ht="15" hidden="1" customHeight="1">
      <c r="A239" s="4" t="s">
        <v>49</v>
      </c>
      <c r="B239" s="43">
        <v>5218</v>
      </c>
      <c r="C239" s="338" t="s">
        <v>583</v>
      </c>
      <c r="D239" s="4" t="s">
        <v>5</v>
      </c>
      <c r="E239" s="15" t="s">
        <v>577</v>
      </c>
      <c r="F239" s="5">
        <v>50</v>
      </c>
      <c r="G239" s="40">
        <v>61</v>
      </c>
      <c r="H239" s="484">
        <f t="shared" si="18"/>
        <v>0</v>
      </c>
      <c r="I239" s="253"/>
      <c r="J239" s="578">
        <f t="shared" ca="1" si="17"/>
        <v>366</v>
      </c>
      <c r="K239" s="260" t="str">
        <f t="shared" ref="K239:K248" ca="1" si="20">IF(I239="","Sin fecha",((I239-TODAY())))</f>
        <v>Sin fecha</v>
      </c>
      <c r="L239" s="4" t="s">
        <v>45</v>
      </c>
      <c r="M239" s="4"/>
      <c r="N239" s="4" t="s">
        <v>69</v>
      </c>
      <c r="O239" s="4" t="s">
        <v>69</v>
      </c>
      <c r="P239" s="4"/>
      <c r="Q239" s="35" t="s">
        <v>48</v>
      </c>
      <c r="R239" s="4"/>
      <c r="S239" s="35" t="s">
        <v>48</v>
      </c>
      <c r="T239" s="5">
        <f>12+49</f>
        <v>61</v>
      </c>
      <c r="U239" s="5" t="s">
        <v>55</v>
      </c>
      <c r="V239" s="4" t="s">
        <v>434</v>
      </c>
    </row>
    <row r="240" spans="1:23" ht="15" hidden="1" customHeight="1">
      <c r="A240" s="4" t="s">
        <v>49</v>
      </c>
      <c r="B240" s="43">
        <v>5220</v>
      </c>
      <c r="C240" s="338" t="s">
        <v>587</v>
      </c>
      <c r="D240" s="4" t="s">
        <v>111</v>
      </c>
      <c r="E240" s="15" t="s">
        <v>17</v>
      </c>
      <c r="F240" s="348"/>
      <c r="G240" s="46">
        <v>100</v>
      </c>
      <c r="H240" s="577">
        <f t="shared" si="18"/>
        <v>-65</v>
      </c>
      <c r="I240" s="253" t="s">
        <v>588</v>
      </c>
      <c r="J240" s="248">
        <f t="shared" ca="1" si="17"/>
        <v>367</v>
      </c>
      <c r="K240" s="260">
        <f t="shared" ca="1" si="20"/>
        <v>-330</v>
      </c>
      <c r="L240" s="4" t="s">
        <v>47</v>
      </c>
      <c r="M240" s="4"/>
      <c r="N240" s="4" t="s">
        <v>69</v>
      </c>
      <c r="O240" s="4" t="s">
        <v>69</v>
      </c>
      <c r="P240" s="4"/>
      <c r="Q240" s="4"/>
      <c r="R240" s="4"/>
      <c r="S240" s="4"/>
      <c r="T240" s="5">
        <f>6+44+6+50+59</f>
        <v>165</v>
      </c>
      <c r="U240" s="5" t="s">
        <v>55</v>
      </c>
      <c r="V240" s="4" t="s">
        <v>711</v>
      </c>
      <c r="W240" s="1">
        <v>50</v>
      </c>
    </row>
    <row r="241" spans="1:23" ht="15" hidden="1" customHeight="1">
      <c r="A241" s="4" t="s">
        <v>49</v>
      </c>
      <c r="B241" s="43">
        <v>5220</v>
      </c>
      <c r="C241" s="338" t="s">
        <v>587</v>
      </c>
      <c r="D241" s="4" t="s">
        <v>111</v>
      </c>
      <c r="E241" s="34" t="s">
        <v>578</v>
      </c>
      <c r="F241" s="348">
        <v>150</v>
      </c>
      <c r="G241" s="46">
        <v>200</v>
      </c>
      <c r="H241" s="577">
        <f t="shared" si="18"/>
        <v>0</v>
      </c>
      <c r="I241" s="253" t="s">
        <v>588</v>
      </c>
      <c r="J241" s="248">
        <f t="shared" ca="1" si="17"/>
        <v>367</v>
      </c>
      <c r="K241" s="260">
        <f t="shared" ca="1" si="20"/>
        <v>-330</v>
      </c>
      <c r="L241" s="4" t="s">
        <v>47</v>
      </c>
      <c r="M241" s="4"/>
      <c r="N241" s="4" t="s">
        <v>48</v>
      </c>
      <c r="O241" s="4" t="s">
        <v>48</v>
      </c>
      <c r="P241" s="4"/>
      <c r="Q241" s="4"/>
      <c r="R241" s="4"/>
      <c r="S241" s="4"/>
      <c r="T241" s="5">
        <f>100+100</f>
        <v>200</v>
      </c>
      <c r="U241" s="5" t="s">
        <v>55</v>
      </c>
      <c r="V241" s="4" t="s">
        <v>435</v>
      </c>
    </row>
    <row r="242" spans="1:23" ht="15" hidden="1" customHeight="1">
      <c r="A242" s="4" t="s">
        <v>49</v>
      </c>
      <c r="B242" s="43">
        <v>5220</v>
      </c>
      <c r="C242" s="338" t="s">
        <v>587</v>
      </c>
      <c r="D242" s="4" t="s">
        <v>111</v>
      </c>
      <c r="E242" s="445" t="s">
        <v>41</v>
      </c>
      <c r="F242" s="497">
        <v>200</v>
      </c>
      <c r="G242" s="46">
        <v>285</v>
      </c>
      <c r="H242" s="577">
        <f t="shared" si="18"/>
        <v>0</v>
      </c>
      <c r="I242" s="253" t="s">
        <v>588</v>
      </c>
      <c r="J242" s="248">
        <f t="shared" ca="1" si="17"/>
        <v>367</v>
      </c>
      <c r="K242" s="260">
        <f t="shared" ca="1" si="20"/>
        <v>-330</v>
      </c>
      <c r="L242" s="4" t="s">
        <v>47</v>
      </c>
      <c r="M242" s="4"/>
      <c r="N242" s="284" t="s">
        <v>69</v>
      </c>
      <c r="O242" s="284" t="s">
        <v>69</v>
      </c>
      <c r="P242" s="284"/>
      <c r="Q242" s="284"/>
      <c r="R242" s="284"/>
      <c r="S242" s="284"/>
      <c r="T242" s="5">
        <f>6+21+15+48+30+114+51</f>
        <v>285</v>
      </c>
      <c r="U242" s="5" t="s">
        <v>55</v>
      </c>
      <c r="V242" s="4" t="s">
        <v>436</v>
      </c>
      <c r="W242" s="1">
        <v>165</v>
      </c>
    </row>
    <row r="243" spans="1:23" ht="15" hidden="1" customHeight="1">
      <c r="A243" s="4" t="s">
        <v>49</v>
      </c>
      <c r="B243" s="43">
        <v>5220</v>
      </c>
      <c r="C243" s="338" t="s">
        <v>587</v>
      </c>
      <c r="D243" s="4" t="s">
        <v>111</v>
      </c>
      <c r="E243" s="15" t="s">
        <v>75</v>
      </c>
      <c r="F243" s="348"/>
      <c r="G243" s="46">
        <v>300</v>
      </c>
      <c r="H243" s="577">
        <f t="shared" si="18"/>
        <v>0</v>
      </c>
      <c r="I243" s="253" t="s">
        <v>588</v>
      </c>
      <c r="J243" s="248">
        <f t="shared" ca="1" si="17"/>
        <v>367</v>
      </c>
      <c r="K243" s="260">
        <f t="shared" ca="1" si="20"/>
        <v>-330</v>
      </c>
      <c r="L243" s="4" t="s">
        <v>47</v>
      </c>
      <c r="M243" s="4"/>
      <c r="N243" s="4" t="s">
        <v>69</v>
      </c>
      <c r="O243" s="4" t="s">
        <v>48</v>
      </c>
      <c r="P243" s="4"/>
      <c r="Q243" s="4"/>
      <c r="R243" s="4"/>
      <c r="S243" s="4"/>
      <c r="T243" s="5">
        <f>3+69+22+82+9+60+55</f>
        <v>300</v>
      </c>
      <c r="U243" s="5" t="s">
        <v>55</v>
      </c>
      <c r="V243" s="4" t="s">
        <v>711</v>
      </c>
      <c r="W243" s="1">
        <v>91</v>
      </c>
    </row>
    <row r="244" spans="1:23" ht="15" hidden="1" customHeight="1">
      <c r="A244" s="4" t="s">
        <v>49</v>
      </c>
      <c r="B244" s="43">
        <v>5220</v>
      </c>
      <c r="C244" s="338" t="s">
        <v>587</v>
      </c>
      <c r="D244" s="4" t="s">
        <v>111</v>
      </c>
      <c r="E244" s="63" t="s">
        <v>102</v>
      </c>
      <c r="F244" s="348"/>
      <c r="G244" s="46">
        <v>200</v>
      </c>
      <c r="H244" s="577">
        <f t="shared" si="18"/>
        <v>-18</v>
      </c>
      <c r="I244" s="253" t="s">
        <v>588</v>
      </c>
      <c r="J244" s="248">
        <f t="shared" ca="1" si="17"/>
        <v>367</v>
      </c>
      <c r="K244" s="260">
        <f t="shared" ca="1" si="20"/>
        <v>-330</v>
      </c>
      <c r="L244" s="4" t="s">
        <v>47</v>
      </c>
      <c r="M244" s="4"/>
      <c r="N244" s="4" t="s">
        <v>69</v>
      </c>
      <c r="O244" s="4" t="s">
        <v>69</v>
      </c>
      <c r="P244" s="4"/>
      <c r="Q244" s="4"/>
      <c r="R244" s="4"/>
      <c r="S244" s="4"/>
      <c r="T244" s="5">
        <f>9+60+48+71+30</f>
        <v>218</v>
      </c>
      <c r="U244" s="5" t="s">
        <v>55</v>
      </c>
      <c r="V244" s="4" t="s">
        <v>436</v>
      </c>
      <c r="W244" s="1">
        <v>101</v>
      </c>
    </row>
    <row r="245" spans="1:23" ht="15" hidden="1" customHeight="1">
      <c r="A245" s="4" t="s">
        <v>49</v>
      </c>
      <c r="B245" s="43">
        <v>5222</v>
      </c>
      <c r="C245" s="338" t="s">
        <v>583</v>
      </c>
      <c r="D245" s="4" t="s">
        <v>13</v>
      </c>
      <c r="E245" s="369" t="s">
        <v>22</v>
      </c>
      <c r="F245" s="5"/>
      <c r="G245" s="40">
        <v>300</v>
      </c>
      <c r="H245" s="577">
        <f t="shared" si="18"/>
        <v>0</v>
      </c>
      <c r="I245" s="253"/>
      <c r="J245" s="248">
        <f t="shared" ca="1" si="17"/>
        <v>366</v>
      </c>
      <c r="K245" s="260" t="str">
        <f t="shared" ca="1" si="20"/>
        <v>Sin fecha</v>
      </c>
      <c r="L245" s="4" t="s">
        <v>47</v>
      </c>
      <c r="M245" s="4"/>
      <c r="N245" s="4" t="s">
        <v>1</v>
      </c>
      <c r="O245" s="4" t="s">
        <v>1</v>
      </c>
      <c r="P245" s="4" t="s">
        <v>55</v>
      </c>
      <c r="Q245" s="35" t="s">
        <v>48</v>
      </c>
      <c r="R245" s="35" t="s">
        <v>48</v>
      </c>
      <c r="S245" s="35" t="s">
        <v>48</v>
      </c>
      <c r="T245" s="5">
        <v>300</v>
      </c>
      <c r="U245" s="5" t="s">
        <v>55</v>
      </c>
      <c r="V245" s="4" t="s">
        <v>436</v>
      </c>
      <c r="W245" s="1">
        <v>300</v>
      </c>
    </row>
    <row r="246" spans="1:23" ht="15" hidden="1" customHeight="1">
      <c r="A246" s="4" t="s">
        <v>49</v>
      </c>
      <c r="B246" s="43">
        <v>5227</v>
      </c>
      <c r="C246" s="338">
        <v>42191</v>
      </c>
      <c r="D246" s="369" t="s">
        <v>34</v>
      </c>
      <c r="E246" s="43">
        <v>1870</v>
      </c>
      <c r="F246" s="5"/>
      <c r="G246" s="40">
        <v>400</v>
      </c>
      <c r="H246" s="577">
        <f t="shared" si="18"/>
        <v>30</v>
      </c>
      <c r="I246" s="253"/>
      <c r="J246" s="248">
        <f t="shared" ca="1" si="17"/>
        <v>354</v>
      </c>
      <c r="K246" s="260" t="str">
        <f t="shared" ca="1" si="20"/>
        <v>Sin fecha</v>
      </c>
      <c r="L246" s="4" t="s">
        <v>47</v>
      </c>
      <c r="M246" s="4"/>
      <c r="N246" s="4" t="s">
        <v>48</v>
      </c>
      <c r="O246" s="4" t="s">
        <v>48</v>
      </c>
      <c r="P246" s="35" t="s">
        <v>48</v>
      </c>
      <c r="Q246" s="35" t="s">
        <v>48</v>
      </c>
      <c r="R246" s="35" t="s">
        <v>48</v>
      </c>
      <c r="S246" s="35" t="s">
        <v>48</v>
      </c>
      <c r="T246" s="5">
        <f>222+148</f>
        <v>370</v>
      </c>
      <c r="U246" s="5" t="s">
        <v>55</v>
      </c>
      <c r="V246" s="43" t="s">
        <v>436</v>
      </c>
      <c r="W246" s="1">
        <v>370</v>
      </c>
    </row>
    <row r="247" spans="1:23" ht="15" hidden="1" customHeight="1">
      <c r="A247" s="4" t="s">
        <v>49</v>
      </c>
      <c r="B247" s="43">
        <v>5228</v>
      </c>
      <c r="C247" s="338">
        <v>42193</v>
      </c>
      <c r="D247" s="369" t="s">
        <v>13</v>
      </c>
      <c r="E247" s="4" t="s">
        <v>264</v>
      </c>
      <c r="F247" s="5"/>
      <c r="G247" s="40">
        <v>304</v>
      </c>
      <c r="H247" s="577">
        <f t="shared" si="18"/>
        <v>10</v>
      </c>
      <c r="I247" s="253"/>
      <c r="J247" s="248">
        <f t="shared" ca="1" si="17"/>
        <v>352</v>
      </c>
      <c r="K247" s="260" t="str">
        <f t="shared" ca="1" si="20"/>
        <v>Sin fecha</v>
      </c>
      <c r="L247" s="4" t="s">
        <v>47</v>
      </c>
      <c r="M247" s="40"/>
      <c r="N247" s="4" t="s">
        <v>1</v>
      </c>
      <c r="O247" s="4" t="s">
        <v>48</v>
      </c>
      <c r="P247" s="4"/>
      <c r="Q247" s="4"/>
      <c r="R247" s="4"/>
      <c r="S247" s="4"/>
      <c r="T247" s="5">
        <f>122+172</f>
        <v>294</v>
      </c>
      <c r="U247" s="5" t="s">
        <v>55</v>
      </c>
      <c r="V247" s="43" t="s">
        <v>436</v>
      </c>
      <c r="W247" s="1">
        <v>294</v>
      </c>
    </row>
    <row r="248" spans="1:23" ht="15" hidden="1" customHeight="1">
      <c r="A248" s="4" t="s">
        <v>49</v>
      </c>
      <c r="B248" s="43">
        <v>5222</v>
      </c>
      <c r="C248" s="338" t="s">
        <v>583</v>
      </c>
      <c r="D248" s="4" t="s">
        <v>13</v>
      </c>
      <c r="E248" s="369" t="s">
        <v>36</v>
      </c>
      <c r="F248" s="5">
        <v>311</v>
      </c>
      <c r="G248" s="40">
        <v>320</v>
      </c>
      <c r="H248" s="577">
        <f t="shared" si="18"/>
        <v>0</v>
      </c>
      <c r="I248" s="253"/>
      <c r="J248" s="248">
        <f t="shared" ca="1" si="17"/>
        <v>366</v>
      </c>
      <c r="K248" s="260" t="str">
        <f t="shared" ca="1" si="20"/>
        <v>Sin fecha</v>
      </c>
      <c r="L248" s="4" t="s">
        <v>47</v>
      </c>
      <c r="M248" s="4"/>
      <c r="N248" s="4" t="s">
        <v>1</v>
      </c>
      <c r="O248" s="4" t="s">
        <v>48</v>
      </c>
      <c r="P248" s="4"/>
      <c r="Q248" s="4"/>
      <c r="R248" s="4"/>
      <c r="S248" s="4"/>
      <c r="T248" s="5">
        <f>316+4</f>
        <v>320</v>
      </c>
      <c r="U248" s="5" t="s">
        <v>55</v>
      </c>
      <c r="V248" s="4" t="s">
        <v>435</v>
      </c>
    </row>
    <row r="249" spans="1:23" ht="15" hidden="1" customHeight="1">
      <c r="A249" s="4" t="s">
        <v>94</v>
      </c>
      <c r="B249" s="2">
        <v>5233</v>
      </c>
      <c r="C249" s="318" t="s">
        <v>681</v>
      </c>
      <c r="D249" s="4" t="s">
        <v>488</v>
      </c>
      <c r="E249" s="479" t="s">
        <v>696</v>
      </c>
      <c r="F249" s="477"/>
      <c r="G249" s="40">
        <v>200</v>
      </c>
      <c r="H249" s="478">
        <f t="shared" si="18"/>
        <v>-8</v>
      </c>
      <c r="I249" s="253"/>
      <c r="J249" s="578">
        <f t="shared" ca="1" si="17"/>
        <v>336</v>
      </c>
      <c r="K249" s="260" t="e">
        <f ca="1">IF(#REF!="","Sin fecha",((#REF!-TODAY())))</f>
        <v>#REF!</v>
      </c>
      <c r="L249" s="4" t="s">
        <v>48</v>
      </c>
      <c r="M249" s="4"/>
      <c r="N249" s="4" t="s">
        <v>48</v>
      </c>
      <c r="O249" s="4" t="s">
        <v>48</v>
      </c>
      <c r="P249" s="35" t="s">
        <v>48</v>
      </c>
      <c r="Q249" s="35" t="s">
        <v>48</v>
      </c>
      <c r="R249" s="35" t="s">
        <v>48</v>
      </c>
      <c r="S249" s="35" t="s">
        <v>48</v>
      </c>
      <c r="T249" s="5">
        <v>208</v>
      </c>
      <c r="U249" s="5" t="s">
        <v>55</v>
      </c>
      <c r="V249" s="43" t="s">
        <v>436</v>
      </c>
    </row>
    <row r="250" spans="1:23" ht="15" hidden="1" customHeight="1">
      <c r="A250" s="4" t="s">
        <v>94</v>
      </c>
      <c r="B250" s="2">
        <v>5233</v>
      </c>
      <c r="C250" s="318" t="s">
        <v>681</v>
      </c>
      <c r="D250" s="4" t="s">
        <v>488</v>
      </c>
      <c r="E250" s="479" t="s">
        <v>671</v>
      </c>
      <c r="F250" s="477"/>
      <c r="G250" s="40">
        <v>200</v>
      </c>
      <c r="H250" s="478">
        <f t="shared" si="18"/>
        <v>0</v>
      </c>
      <c r="I250" s="253"/>
      <c r="J250" s="578">
        <f t="shared" ca="1" si="17"/>
        <v>336</v>
      </c>
      <c r="K250" s="260" t="e">
        <f ca="1">IF(#REF!="","Sin fecha",((#REF!-TODAY())))</f>
        <v>#REF!</v>
      </c>
      <c r="L250" s="4" t="s">
        <v>48</v>
      </c>
      <c r="M250" s="4"/>
      <c r="N250" s="4" t="s">
        <v>48</v>
      </c>
      <c r="O250" s="4" t="s">
        <v>48</v>
      </c>
      <c r="P250" s="35" t="s">
        <v>48</v>
      </c>
      <c r="Q250" s="35" t="s">
        <v>48</v>
      </c>
      <c r="R250" s="35" t="s">
        <v>48</v>
      </c>
      <c r="S250" s="35" t="s">
        <v>48</v>
      </c>
      <c r="T250" s="5">
        <v>200</v>
      </c>
      <c r="U250" s="5" t="s">
        <v>55</v>
      </c>
      <c r="V250" s="43" t="s">
        <v>436</v>
      </c>
    </row>
    <row r="251" spans="1:23" ht="15" hidden="1" customHeight="1">
      <c r="A251" s="211" t="s">
        <v>49</v>
      </c>
      <c r="B251" s="291">
        <v>5224</v>
      </c>
      <c r="C251" s="469" t="s">
        <v>563</v>
      </c>
      <c r="D251" s="470" t="s">
        <v>24</v>
      </c>
      <c r="E251" s="211" t="s">
        <v>19</v>
      </c>
      <c r="F251" s="210"/>
      <c r="G251" s="208">
        <v>100</v>
      </c>
      <c r="H251" s="580">
        <f t="shared" si="18"/>
        <v>100</v>
      </c>
      <c r="I251" s="292"/>
      <c r="J251" s="293">
        <f t="shared" ca="1" si="17"/>
        <v>360</v>
      </c>
      <c r="K251" s="294" t="str">
        <f ca="1">IF(I251="","Sin fecha",((I251-TODAY())))</f>
        <v>Sin fecha</v>
      </c>
      <c r="L251" s="211" t="s">
        <v>48</v>
      </c>
      <c r="M251" s="211"/>
      <c r="N251" s="211" t="s">
        <v>48</v>
      </c>
      <c r="O251" s="211" t="s">
        <v>48</v>
      </c>
      <c r="P251" s="209" t="s">
        <v>48</v>
      </c>
      <c r="Q251" s="209" t="s">
        <v>48</v>
      </c>
      <c r="R251" s="209" t="s">
        <v>48</v>
      </c>
      <c r="S251" s="209" t="s">
        <v>48</v>
      </c>
      <c r="T251" s="210"/>
      <c r="U251" s="210" t="s">
        <v>55</v>
      </c>
      <c r="V251" s="291" t="s">
        <v>679</v>
      </c>
    </row>
    <row r="252" spans="1:23" ht="15" hidden="1" customHeight="1">
      <c r="A252" s="4" t="s">
        <v>49</v>
      </c>
      <c r="B252" s="43">
        <v>5225</v>
      </c>
      <c r="C252" s="338" t="s">
        <v>563</v>
      </c>
      <c r="D252" s="369" t="s">
        <v>3</v>
      </c>
      <c r="E252" s="4" t="s">
        <v>456</v>
      </c>
      <c r="F252" s="5"/>
      <c r="G252" s="40">
        <v>1600</v>
      </c>
      <c r="H252" s="577">
        <f t="shared" si="18"/>
        <v>0</v>
      </c>
      <c r="I252" s="253"/>
      <c r="J252" s="248">
        <f t="shared" ca="1" si="17"/>
        <v>360</v>
      </c>
      <c r="K252" s="260" t="str">
        <f ca="1">IF(I252="","Sin fecha",((I252-TODAY())))</f>
        <v>Sin fecha</v>
      </c>
      <c r="L252" s="4" t="s">
        <v>47</v>
      </c>
      <c r="M252" s="4"/>
      <c r="N252" s="4" t="s">
        <v>48</v>
      </c>
      <c r="O252" s="4" t="s">
        <v>48</v>
      </c>
      <c r="P252" s="4"/>
      <c r="Q252" s="4"/>
      <c r="R252" s="4"/>
      <c r="S252" s="4"/>
      <c r="T252" s="5">
        <f>+(250-208)+450+600+300+208</f>
        <v>1600</v>
      </c>
      <c r="U252" s="5" t="s">
        <v>55</v>
      </c>
      <c r="V252" s="43" t="s">
        <v>435</v>
      </c>
    </row>
    <row r="253" spans="1:23" ht="15.75" hidden="1" customHeight="1">
      <c r="A253" s="419" t="s">
        <v>193</v>
      </c>
      <c r="B253" s="929" t="s">
        <v>37</v>
      </c>
      <c r="C253" s="940">
        <v>42215</v>
      </c>
      <c r="D253" s="419" t="s">
        <v>21</v>
      </c>
      <c r="E253" s="419" t="s">
        <v>642</v>
      </c>
      <c r="F253" s="924"/>
      <c r="G253" s="932">
        <v>1480</v>
      </c>
      <c r="H253" s="28">
        <f t="shared" si="18"/>
        <v>0</v>
      </c>
      <c r="I253" s="252"/>
      <c r="J253" s="28">
        <f t="shared" ca="1" si="17"/>
        <v>330</v>
      </c>
      <c r="K253" s="260" t="str">
        <f ca="1">IF(I253="","Sin fecha",((I253-TODAY())))</f>
        <v>Sin fecha</v>
      </c>
      <c r="L253" s="419" t="s">
        <v>48</v>
      </c>
      <c r="M253" s="419"/>
      <c r="N253" s="419" t="s">
        <v>48</v>
      </c>
      <c r="O253" s="419" t="s">
        <v>48</v>
      </c>
      <c r="P253" s="938" t="s">
        <v>48</v>
      </c>
      <c r="Q253" s="938" t="s">
        <v>48</v>
      </c>
      <c r="R253" s="938" t="s">
        <v>48</v>
      </c>
      <c r="S253" s="938" t="s">
        <v>48</v>
      </c>
      <c r="T253" s="924">
        <v>1480</v>
      </c>
      <c r="U253" s="924" t="s">
        <v>55</v>
      </c>
      <c r="V253" s="939" t="s">
        <v>434</v>
      </c>
      <c r="W253" s="1" t="s">
        <v>660</v>
      </c>
    </row>
    <row r="254" spans="1:23" ht="15" hidden="1" customHeight="1">
      <c r="A254" s="15" t="s">
        <v>94</v>
      </c>
      <c r="B254" s="2">
        <v>5236</v>
      </c>
      <c r="C254" s="338">
        <v>42220</v>
      </c>
      <c r="D254" s="15" t="s">
        <v>21</v>
      </c>
      <c r="E254" s="63" t="s">
        <v>639</v>
      </c>
      <c r="F254" s="59"/>
      <c r="G254" s="921">
        <v>1400</v>
      </c>
      <c r="H254" s="921">
        <f t="shared" si="18"/>
        <v>215</v>
      </c>
      <c r="I254" s="253"/>
      <c r="J254" s="921">
        <f t="shared" ca="1" si="17"/>
        <v>325</v>
      </c>
      <c r="K254" s="260" t="str">
        <f ca="1">IF(I254="","Sin fecha",((I254-TODAY())))</f>
        <v>Sin fecha</v>
      </c>
      <c r="L254" s="4" t="s">
        <v>48</v>
      </c>
      <c r="M254" s="4"/>
      <c r="N254" s="4" t="s">
        <v>48</v>
      </c>
      <c r="O254" s="4" t="s">
        <v>48</v>
      </c>
      <c r="P254" s="35" t="s">
        <v>48</v>
      </c>
      <c r="Q254" s="35" t="s">
        <v>48</v>
      </c>
      <c r="R254" s="35" t="s">
        <v>48</v>
      </c>
      <c r="S254" s="35" t="s">
        <v>48</v>
      </c>
      <c r="T254" s="5">
        <v>1185</v>
      </c>
      <c r="U254" s="5" t="s">
        <v>55</v>
      </c>
      <c r="V254" s="43" t="s">
        <v>435</v>
      </c>
      <c r="W254" s="1" t="s">
        <v>789</v>
      </c>
    </row>
    <row r="255" spans="1:23" ht="15" hidden="1" customHeight="1">
      <c r="A255" s="15" t="s">
        <v>193</v>
      </c>
      <c r="B255" s="2">
        <v>5241</v>
      </c>
      <c r="C255" s="440">
        <v>42227</v>
      </c>
      <c r="D255" s="15" t="s">
        <v>21</v>
      </c>
      <c r="E255" s="63" t="s">
        <v>192</v>
      </c>
      <c r="F255" s="59">
        <v>3000</v>
      </c>
      <c r="G255" s="917">
        <v>3120</v>
      </c>
      <c r="H255" s="921">
        <f t="shared" si="18"/>
        <v>0</v>
      </c>
      <c r="I255" s="338">
        <v>42258</v>
      </c>
      <c r="J255" s="921">
        <f t="shared" ref="J255:J268" ca="1" si="21">TODAY()-C255</f>
        <v>318</v>
      </c>
      <c r="K255" s="260" t="e">
        <f ca="1">IF(#REF!="","Sin fecha",((#REF!-TODAY())))</f>
        <v>#REF!</v>
      </c>
      <c r="L255" s="4" t="s">
        <v>48</v>
      </c>
      <c r="M255" s="4"/>
      <c r="N255" s="4" t="s">
        <v>48</v>
      </c>
      <c r="O255" s="4" t="s">
        <v>48</v>
      </c>
      <c r="P255" s="35" t="s">
        <v>48</v>
      </c>
      <c r="Q255" s="35" t="s">
        <v>48</v>
      </c>
      <c r="R255" s="35" t="s">
        <v>48</v>
      </c>
      <c r="S255" s="35" t="s">
        <v>48</v>
      </c>
      <c r="T255" s="5">
        <f>1500+1620</f>
        <v>3120</v>
      </c>
      <c r="U255" s="5" t="s">
        <v>55</v>
      </c>
      <c r="V255" s="43" t="s">
        <v>435</v>
      </c>
      <c r="W255" s="1" t="s">
        <v>659</v>
      </c>
    </row>
    <row r="256" spans="1:23" ht="15" hidden="1" customHeight="1">
      <c r="A256" s="4" t="s">
        <v>94</v>
      </c>
      <c r="B256" s="2">
        <v>5233</v>
      </c>
      <c r="C256" s="318" t="s">
        <v>681</v>
      </c>
      <c r="D256" s="4" t="s">
        <v>488</v>
      </c>
      <c r="E256" s="479" t="s">
        <v>672</v>
      </c>
      <c r="F256" s="477"/>
      <c r="G256" s="40">
        <v>400</v>
      </c>
      <c r="H256" s="499">
        <f t="shared" si="18"/>
        <v>0</v>
      </c>
      <c r="I256" s="253"/>
      <c r="J256" s="578">
        <f t="shared" ca="1" si="21"/>
        <v>336</v>
      </c>
      <c r="K256" s="260" t="e">
        <f ca="1">IF(#REF!="","Sin fecha",((#REF!-TODAY())))</f>
        <v>#REF!</v>
      </c>
      <c r="L256" s="4" t="s">
        <v>48</v>
      </c>
      <c r="M256" s="4"/>
      <c r="N256" s="4" t="s">
        <v>48</v>
      </c>
      <c r="O256" s="4" t="s">
        <v>48</v>
      </c>
      <c r="P256" s="35" t="s">
        <v>48</v>
      </c>
      <c r="Q256" s="35" t="s">
        <v>48</v>
      </c>
      <c r="R256" s="35" t="s">
        <v>48</v>
      </c>
      <c r="S256" s="35" t="s">
        <v>48</v>
      </c>
      <c r="T256" s="5">
        <v>400</v>
      </c>
      <c r="U256" s="5" t="s">
        <v>55</v>
      </c>
      <c r="V256" s="43" t="s">
        <v>436</v>
      </c>
    </row>
    <row r="257" spans="1:23" ht="15.75" hidden="1" customHeight="1">
      <c r="A257" s="15" t="s">
        <v>94</v>
      </c>
      <c r="B257" s="2">
        <v>5241</v>
      </c>
      <c r="C257" s="440">
        <v>42227</v>
      </c>
      <c r="D257" s="15" t="s">
        <v>21</v>
      </c>
      <c r="E257" s="63" t="s">
        <v>678</v>
      </c>
      <c r="F257" s="59"/>
      <c r="G257" s="917">
        <v>1500</v>
      </c>
      <c r="H257" s="921">
        <f t="shared" si="18"/>
        <v>92</v>
      </c>
      <c r="I257" s="338">
        <v>42258</v>
      </c>
      <c r="J257" s="921">
        <f t="shared" ca="1" si="21"/>
        <v>318</v>
      </c>
      <c r="K257" s="260" t="e">
        <f ca="1">IF(#REF!="","Sin fecha",((#REF!-TODAY())))</f>
        <v>#REF!</v>
      </c>
      <c r="L257" s="4" t="s">
        <v>48</v>
      </c>
      <c r="M257" s="4"/>
      <c r="N257" s="4" t="s">
        <v>48</v>
      </c>
      <c r="O257" s="4" t="s">
        <v>48</v>
      </c>
      <c r="P257" s="35" t="s">
        <v>48</v>
      </c>
      <c r="Q257" s="35" t="s">
        <v>48</v>
      </c>
      <c r="R257" s="35" t="s">
        <v>48</v>
      </c>
      <c r="S257" s="35" t="s">
        <v>48</v>
      </c>
      <c r="T257" s="5">
        <f>936+472</f>
        <v>1408</v>
      </c>
      <c r="U257" s="5" t="s">
        <v>55</v>
      </c>
      <c r="V257" s="43" t="s">
        <v>959</v>
      </c>
      <c r="W257" s="1" t="s">
        <v>677</v>
      </c>
    </row>
    <row r="258" spans="1:23" ht="15" hidden="1" customHeight="1">
      <c r="A258" s="4" t="s">
        <v>94</v>
      </c>
      <c r="B258" s="2">
        <v>5233</v>
      </c>
      <c r="C258" s="318" t="s">
        <v>681</v>
      </c>
      <c r="D258" s="4" t="s">
        <v>488</v>
      </c>
      <c r="E258" s="479" t="s">
        <v>673</v>
      </c>
      <c r="F258" s="477"/>
      <c r="G258" s="40">
        <v>300</v>
      </c>
      <c r="H258" s="578">
        <f t="shared" si="18"/>
        <v>20</v>
      </c>
      <c r="I258" s="253"/>
      <c r="J258" s="578">
        <f t="shared" ca="1" si="21"/>
        <v>336</v>
      </c>
      <c r="K258" s="260" t="e">
        <f ca="1">IF(#REF!="","Sin fecha",((#REF!-TODAY())))</f>
        <v>#REF!</v>
      </c>
      <c r="L258" s="4" t="s">
        <v>48</v>
      </c>
      <c r="M258" s="4"/>
      <c r="N258" s="4" t="s">
        <v>48</v>
      </c>
      <c r="O258" s="4" t="s">
        <v>48</v>
      </c>
      <c r="P258" s="35" t="s">
        <v>48</v>
      </c>
      <c r="Q258" s="35" t="s">
        <v>48</v>
      </c>
      <c r="R258" s="35" t="s">
        <v>48</v>
      </c>
      <c r="S258" s="35" t="s">
        <v>48</v>
      </c>
      <c r="T258" s="5">
        <v>280</v>
      </c>
      <c r="U258" s="5" t="s">
        <v>55</v>
      </c>
      <c r="V258" s="43" t="s">
        <v>436</v>
      </c>
    </row>
    <row r="259" spans="1:23" ht="15" hidden="1" customHeight="1">
      <c r="A259" s="4" t="s">
        <v>94</v>
      </c>
      <c r="B259" s="2">
        <v>5233</v>
      </c>
      <c r="C259" s="318" t="s">
        <v>681</v>
      </c>
      <c r="D259" s="4" t="s">
        <v>488</v>
      </c>
      <c r="E259" s="63" t="s">
        <v>675</v>
      </c>
      <c r="F259" s="477"/>
      <c r="G259" s="40"/>
      <c r="H259" s="578"/>
      <c r="I259" s="253"/>
      <c r="J259" s="578">
        <f t="shared" ca="1" si="21"/>
        <v>336</v>
      </c>
      <c r="K259" s="260" t="e">
        <f ca="1">IF(#REF!="","Sin fecha",((#REF!-TODAY())))</f>
        <v>#REF!</v>
      </c>
      <c r="L259" s="4" t="s">
        <v>48</v>
      </c>
      <c r="M259" s="4"/>
      <c r="N259" s="4" t="s">
        <v>48</v>
      </c>
      <c r="O259" s="4" t="s">
        <v>48</v>
      </c>
      <c r="P259" s="35" t="s">
        <v>48</v>
      </c>
      <c r="Q259" s="35" t="s">
        <v>48</v>
      </c>
      <c r="R259" s="35" t="s">
        <v>48</v>
      </c>
      <c r="S259" s="35" t="s">
        <v>48</v>
      </c>
      <c r="T259" s="5"/>
      <c r="U259" s="5" t="s">
        <v>55</v>
      </c>
      <c r="V259" s="43"/>
    </row>
    <row r="260" spans="1:23" ht="15" hidden="1" customHeight="1">
      <c r="A260" s="4" t="s">
        <v>49</v>
      </c>
      <c r="B260" s="43">
        <v>5230</v>
      </c>
      <c r="C260" s="338" t="s">
        <v>606</v>
      </c>
      <c r="D260" s="369" t="s">
        <v>13</v>
      </c>
      <c r="E260" s="4" t="s">
        <v>722</v>
      </c>
      <c r="F260" s="5"/>
      <c r="G260" s="40">
        <v>100</v>
      </c>
      <c r="H260" s="577">
        <f t="shared" ref="H260:H297" si="22">G260-T260</f>
        <v>0</v>
      </c>
      <c r="I260" s="253"/>
      <c r="J260" s="248">
        <f t="shared" ca="1" si="21"/>
        <v>347</v>
      </c>
      <c r="K260" s="260" t="str">
        <f t="shared" ref="K260:K268" ca="1" si="23">IF(I260="","Sin fecha",((I260-TODAY())))</f>
        <v>Sin fecha</v>
      </c>
      <c r="L260" s="4" t="s">
        <v>47</v>
      </c>
      <c r="M260" s="4"/>
      <c r="N260" s="4" t="s">
        <v>48</v>
      </c>
      <c r="O260" s="4" t="s">
        <v>48</v>
      </c>
      <c r="P260" s="4"/>
      <c r="Q260" s="4"/>
      <c r="R260" s="4"/>
      <c r="S260" s="4"/>
      <c r="T260" s="5">
        <v>100</v>
      </c>
      <c r="U260" s="5" t="s">
        <v>55</v>
      </c>
      <c r="V260" s="43" t="s">
        <v>435</v>
      </c>
    </row>
    <row r="261" spans="1:23" ht="15" hidden="1" customHeight="1">
      <c r="A261" s="211" t="s">
        <v>49</v>
      </c>
      <c r="B261" s="291">
        <v>5230</v>
      </c>
      <c r="C261" s="469" t="s">
        <v>606</v>
      </c>
      <c r="D261" s="470" t="s">
        <v>13</v>
      </c>
      <c r="E261" s="211" t="s">
        <v>19</v>
      </c>
      <c r="F261" s="210"/>
      <c r="G261" s="208">
        <v>100</v>
      </c>
      <c r="H261" s="580">
        <f t="shared" si="22"/>
        <v>0</v>
      </c>
      <c r="I261" s="292"/>
      <c r="J261" s="293">
        <f t="shared" ca="1" si="21"/>
        <v>347</v>
      </c>
      <c r="K261" s="294" t="str">
        <f t="shared" ca="1" si="23"/>
        <v>Sin fecha</v>
      </c>
      <c r="L261" s="211" t="s">
        <v>47</v>
      </c>
      <c r="M261" s="211"/>
      <c r="N261" s="211" t="s">
        <v>48</v>
      </c>
      <c r="O261" s="211" t="s">
        <v>48</v>
      </c>
      <c r="P261" s="211"/>
      <c r="Q261" s="211"/>
      <c r="R261" s="211"/>
      <c r="S261" s="211"/>
      <c r="T261" s="210">
        <v>100</v>
      </c>
      <c r="U261" s="210" t="s">
        <v>55</v>
      </c>
      <c r="V261" s="291" t="s">
        <v>435</v>
      </c>
    </row>
    <row r="262" spans="1:23" ht="15" hidden="1" customHeight="1">
      <c r="A262" s="15" t="s">
        <v>193</v>
      </c>
      <c r="B262" s="2">
        <v>5269</v>
      </c>
      <c r="C262" s="338">
        <v>42291</v>
      </c>
      <c r="D262" s="15" t="s">
        <v>21</v>
      </c>
      <c r="E262" s="67" t="s">
        <v>790</v>
      </c>
      <c r="F262" s="59"/>
      <c r="G262" s="46">
        <v>3000</v>
      </c>
      <c r="H262" s="496">
        <f t="shared" si="22"/>
        <v>-158</v>
      </c>
      <c r="I262" s="67" t="s">
        <v>791</v>
      </c>
      <c r="J262" s="921">
        <f t="shared" ca="1" si="21"/>
        <v>254</v>
      </c>
      <c r="K262" s="260">
        <f t="shared" ca="1" si="23"/>
        <v>-223</v>
      </c>
      <c r="L262" s="4" t="s">
        <v>48</v>
      </c>
      <c r="M262" s="4"/>
      <c r="N262" s="2" t="s">
        <v>48</v>
      </c>
      <c r="O262" s="2" t="s">
        <v>48</v>
      </c>
      <c r="P262" s="35" t="s">
        <v>48</v>
      </c>
      <c r="Q262" s="35" t="s">
        <v>48</v>
      </c>
      <c r="R262" s="35" t="s">
        <v>48</v>
      </c>
      <c r="S262" s="35" t="s">
        <v>48</v>
      </c>
      <c r="T262" s="5">
        <v>3158</v>
      </c>
      <c r="U262" s="5" t="s">
        <v>55</v>
      </c>
      <c r="V262" s="43" t="s">
        <v>711</v>
      </c>
    </row>
    <row r="263" spans="1:23" ht="15" hidden="1" customHeight="1">
      <c r="A263" s="15" t="s">
        <v>193</v>
      </c>
      <c r="B263" s="2">
        <v>5269</v>
      </c>
      <c r="C263" s="338">
        <v>42291</v>
      </c>
      <c r="D263" s="15" t="s">
        <v>21</v>
      </c>
      <c r="E263" s="67" t="s">
        <v>792</v>
      </c>
      <c r="F263" s="59"/>
      <c r="G263" s="46">
        <v>2000</v>
      </c>
      <c r="H263" s="577">
        <f t="shared" si="22"/>
        <v>-80</v>
      </c>
      <c r="I263" s="67" t="s">
        <v>791</v>
      </c>
      <c r="J263" s="921">
        <f t="shared" ca="1" si="21"/>
        <v>254</v>
      </c>
      <c r="K263" s="260">
        <f t="shared" ca="1" si="23"/>
        <v>-223</v>
      </c>
      <c r="L263" s="4" t="s">
        <v>48</v>
      </c>
      <c r="M263" s="4"/>
      <c r="N263" s="2" t="s">
        <v>48</v>
      </c>
      <c r="O263" s="2" t="s">
        <v>48</v>
      </c>
      <c r="P263" s="35" t="s">
        <v>48</v>
      </c>
      <c r="Q263" s="35" t="s">
        <v>48</v>
      </c>
      <c r="R263" s="35" t="s">
        <v>48</v>
      </c>
      <c r="S263" s="35" t="s">
        <v>48</v>
      </c>
      <c r="T263" s="5">
        <v>2080</v>
      </c>
      <c r="U263" s="5" t="s">
        <v>55</v>
      </c>
      <c r="V263" s="43" t="s">
        <v>711</v>
      </c>
    </row>
    <row r="264" spans="1:23" ht="15" hidden="1" customHeight="1">
      <c r="A264" s="15" t="s">
        <v>193</v>
      </c>
      <c r="B264" s="2">
        <v>5269</v>
      </c>
      <c r="C264" s="338">
        <v>42291</v>
      </c>
      <c r="D264" s="15" t="s">
        <v>21</v>
      </c>
      <c r="E264" s="67" t="s">
        <v>793</v>
      </c>
      <c r="F264" s="59"/>
      <c r="G264" s="46">
        <v>2000</v>
      </c>
      <c r="H264" s="577">
        <f t="shared" si="22"/>
        <v>-464</v>
      </c>
      <c r="I264" s="67" t="s">
        <v>791</v>
      </c>
      <c r="J264" s="921">
        <f t="shared" ca="1" si="21"/>
        <v>254</v>
      </c>
      <c r="K264" s="260">
        <f t="shared" ca="1" si="23"/>
        <v>-223</v>
      </c>
      <c r="L264" s="4" t="s">
        <v>48</v>
      </c>
      <c r="M264" s="4"/>
      <c r="N264" s="2" t="s">
        <v>48</v>
      </c>
      <c r="O264" s="2" t="s">
        <v>48</v>
      </c>
      <c r="P264" s="35" t="s">
        <v>48</v>
      </c>
      <c r="Q264" s="35" t="s">
        <v>48</v>
      </c>
      <c r="R264" s="35" t="s">
        <v>48</v>
      </c>
      <c r="S264" s="35" t="s">
        <v>48</v>
      </c>
      <c r="T264" s="5">
        <v>2464</v>
      </c>
      <c r="U264" s="5" t="s">
        <v>55</v>
      </c>
      <c r="V264" s="43" t="s">
        <v>711</v>
      </c>
    </row>
    <row r="265" spans="1:23" ht="15" hidden="1" customHeight="1">
      <c r="A265" s="4" t="s">
        <v>453</v>
      </c>
      <c r="B265" s="43" t="s">
        <v>628</v>
      </c>
      <c r="C265" s="338" t="s">
        <v>629</v>
      </c>
      <c r="D265" s="4" t="s">
        <v>57</v>
      </c>
      <c r="E265" s="4" t="s">
        <v>58</v>
      </c>
      <c r="F265" s="5"/>
      <c r="G265" s="40">
        <v>40</v>
      </c>
      <c r="H265" s="578">
        <f t="shared" si="22"/>
        <v>0</v>
      </c>
      <c r="I265" s="253"/>
      <c r="J265" s="578">
        <f t="shared" ca="1" si="21"/>
        <v>335</v>
      </c>
      <c r="K265" s="260" t="str">
        <f t="shared" ca="1" si="23"/>
        <v>Sin fecha</v>
      </c>
      <c r="L265" s="4" t="s">
        <v>47</v>
      </c>
      <c r="M265" s="4"/>
      <c r="N265" s="4" t="s">
        <v>48</v>
      </c>
      <c r="O265" s="4" t="s">
        <v>48</v>
      </c>
      <c r="P265" s="35" t="s">
        <v>48</v>
      </c>
      <c r="Q265" s="35" t="s">
        <v>48</v>
      </c>
      <c r="R265" s="35" t="s">
        <v>48</v>
      </c>
      <c r="S265" s="35" t="s">
        <v>48</v>
      </c>
      <c r="T265" s="5">
        <v>40</v>
      </c>
      <c r="U265" s="5" t="s">
        <v>55</v>
      </c>
      <c r="V265" s="43" t="s">
        <v>434</v>
      </c>
    </row>
    <row r="266" spans="1:23" ht="15" hidden="1" customHeight="1">
      <c r="A266" s="15" t="s">
        <v>636</v>
      </c>
      <c r="B266" s="2">
        <v>5234</v>
      </c>
      <c r="C266" s="338">
        <v>42214</v>
      </c>
      <c r="D266" s="15" t="s">
        <v>5</v>
      </c>
      <c r="E266" s="63" t="s">
        <v>264</v>
      </c>
      <c r="F266" s="59"/>
      <c r="G266" s="578">
        <v>50</v>
      </c>
      <c r="H266" s="578">
        <f t="shared" si="22"/>
        <v>0</v>
      </c>
      <c r="I266" s="253"/>
      <c r="J266" s="578">
        <f t="shared" ca="1" si="21"/>
        <v>331</v>
      </c>
      <c r="K266" s="260" t="str">
        <f t="shared" ca="1" si="23"/>
        <v>Sin fecha</v>
      </c>
      <c r="L266" s="2" t="s">
        <v>47</v>
      </c>
      <c r="M266" s="4"/>
      <c r="N266" s="4" t="s">
        <v>69</v>
      </c>
      <c r="O266" s="4" t="s">
        <v>48</v>
      </c>
      <c r="P266" s="35" t="s">
        <v>48</v>
      </c>
      <c r="Q266" s="35" t="s">
        <v>48</v>
      </c>
      <c r="R266" s="4"/>
      <c r="S266" s="35" t="s">
        <v>48</v>
      </c>
      <c r="T266" s="5">
        <v>50</v>
      </c>
      <c r="U266" s="5" t="s">
        <v>55</v>
      </c>
      <c r="V266" s="43" t="s">
        <v>436</v>
      </c>
      <c r="W266" s="1">
        <v>50</v>
      </c>
    </row>
    <row r="267" spans="1:23" ht="15" hidden="1" customHeight="1">
      <c r="A267" s="15" t="s">
        <v>193</v>
      </c>
      <c r="B267" s="2">
        <v>5269</v>
      </c>
      <c r="C267" s="338">
        <v>42291</v>
      </c>
      <c r="D267" s="15" t="s">
        <v>21</v>
      </c>
      <c r="E267" s="67" t="s">
        <v>794</v>
      </c>
      <c r="F267" s="59"/>
      <c r="G267" s="46">
        <v>1000</v>
      </c>
      <c r="H267" s="917">
        <f t="shared" si="22"/>
        <v>-243</v>
      </c>
      <c r="I267" s="67" t="s">
        <v>791</v>
      </c>
      <c r="J267" s="921">
        <f t="shared" ca="1" si="21"/>
        <v>254</v>
      </c>
      <c r="K267" s="260">
        <f t="shared" ca="1" si="23"/>
        <v>-223</v>
      </c>
      <c r="L267" s="4" t="s">
        <v>48</v>
      </c>
      <c r="M267" s="4"/>
      <c r="N267" s="2" t="s">
        <v>48</v>
      </c>
      <c r="O267" s="2" t="s">
        <v>48</v>
      </c>
      <c r="P267" s="35" t="s">
        <v>48</v>
      </c>
      <c r="Q267" s="35" t="s">
        <v>48</v>
      </c>
      <c r="R267" s="35" t="s">
        <v>48</v>
      </c>
      <c r="S267" s="35" t="s">
        <v>48</v>
      </c>
      <c r="T267" s="5">
        <v>1243</v>
      </c>
      <c r="U267" s="5" t="s">
        <v>55</v>
      </c>
      <c r="V267" s="43" t="s">
        <v>711</v>
      </c>
    </row>
    <row r="268" spans="1:23" ht="15" hidden="1" customHeight="1">
      <c r="A268" s="4" t="s">
        <v>94</v>
      </c>
      <c r="B268" s="2">
        <v>5270</v>
      </c>
      <c r="C268" s="338">
        <v>42292</v>
      </c>
      <c r="D268" s="15" t="s">
        <v>21</v>
      </c>
      <c r="E268" s="67" t="s">
        <v>796</v>
      </c>
      <c r="F268" s="59"/>
      <c r="G268" s="46">
        <v>100</v>
      </c>
      <c r="H268" s="917">
        <f t="shared" si="22"/>
        <v>-6</v>
      </c>
      <c r="I268" s="67" t="s">
        <v>797</v>
      </c>
      <c r="J268" s="921">
        <f t="shared" ca="1" si="21"/>
        <v>253</v>
      </c>
      <c r="K268" s="260">
        <f t="shared" ca="1" si="23"/>
        <v>-222</v>
      </c>
      <c r="L268" s="4" t="s">
        <v>48</v>
      </c>
      <c r="M268" s="4"/>
      <c r="N268" s="2" t="s">
        <v>48</v>
      </c>
      <c r="O268" s="2" t="s">
        <v>48</v>
      </c>
      <c r="P268" s="35" t="s">
        <v>48</v>
      </c>
      <c r="Q268" s="35" t="s">
        <v>48</v>
      </c>
      <c r="R268" s="35" t="s">
        <v>48</v>
      </c>
      <c r="S268" s="35" t="s">
        <v>48</v>
      </c>
      <c r="T268" s="5">
        <v>106</v>
      </c>
      <c r="U268" s="5" t="s">
        <v>55</v>
      </c>
      <c r="V268" s="43" t="s">
        <v>711</v>
      </c>
    </row>
    <row r="269" spans="1:23" ht="15" hidden="1" customHeight="1">
      <c r="A269" s="15" t="s">
        <v>636</v>
      </c>
      <c r="B269" s="2">
        <v>5274</v>
      </c>
      <c r="C269" s="338">
        <v>42305</v>
      </c>
      <c r="D269" s="15" t="s">
        <v>21</v>
      </c>
      <c r="E269" s="67" t="s">
        <v>828</v>
      </c>
      <c r="F269" s="59"/>
      <c r="G269" s="46">
        <v>4000</v>
      </c>
      <c r="H269" s="28">
        <f t="shared" si="22"/>
        <v>50</v>
      </c>
      <c r="I269" s="253"/>
      <c r="J269" s="921"/>
      <c r="K269" s="921"/>
      <c r="L269" s="4" t="s">
        <v>48</v>
      </c>
      <c r="M269" s="4"/>
      <c r="N269" s="4" t="s">
        <v>48</v>
      </c>
      <c r="O269" s="4" t="s">
        <v>48</v>
      </c>
      <c r="P269" s="4"/>
      <c r="Q269" s="4"/>
      <c r="R269" s="4"/>
      <c r="S269" s="4"/>
      <c r="T269" s="5">
        <f>2050+1900</f>
        <v>3950</v>
      </c>
      <c r="U269" s="5" t="s">
        <v>55</v>
      </c>
      <c r="V269" s="43" t="s">
        <v>775</v>
      </c>
    </row>
    <row r="270" spans="1:23" ht="15" hidden="1" customHeight="1">
      <c r="A270" s="284" t="s">
        <v>49</v>
      </c>
      <c r="B270" s="285" t="s">
        <v>37</v>
      </c>
      <c r="C270" s="458">
        <v>42132</v>
      </c>
      <c r="D270" s="284" t="s">
        <v>24</v>
      </c>
      <c r="E270" s="284" t="s">
        <v>35</v>
      </c>
      <c r="F270" s="290"/>
      <c r="G270" s="296">
        <v>100</v>
      </c>
      <c r="H270" s="579">
        <f t="shared" si="22"/>
        <v>0</v>
      </c>
      <c r="I270" s="297"/>
      <c r="J270" s="302">
        <f ca="1">TODAY()-C270</f>
        <v>413</v>
      </c>
      <c r="K270" s="303" t="str">
        <f ca="1">IF(I270="","Sin fecha",((I270-TODAY())))</f>
        <v>Sin fecha</v>
      </c>
      <c r="L270" s="284" t="s">
        <v>47</v>
      </c>
      <c r="M270" s="284"/>
      <c r="N270" s="284" t="s">
        <v>48</v>
      </c>
      <c r="O270" s="284" t="s">
        <v>48</v>
      </c>
      <c r="P270" s="289" t="s">
        <v>48</v>
      </c>
      <c r="Q270" s="289" t="s">
        <v>48</v>
      </c>
      <c r="R270" s="289" t="s">
        <v>48</v>
      </c>
      <c r="S270" s="289" t="s">
        <v>48</v>
      </c>
      <c r="T270" s="290">
        <v>100</v>
      </c>
      <c r="U270" s="290" t="s">
        <v>55</v>
      </c>
      <c r="V270" s="285" t="s">
        <v>435</v>
      </c>
    </row>
    <row r="271" spans="1:23" ht="15" hidden="1" customHeight="1">
      <c r="A271" s="15" t="s">
        <v>193</v>
      </c>
      <c r="B271" s="2">
        <v>5280</v>
      </c>
      <c r="C271" s="338">
        <v>42314</v>
      </c>
      <c r="D271" s="15" t="s">
        <v>21</v>
      </c>
      <c r="E271" s="15" t="s">
        <v>840</v>
      </c>
      <c r="F271" s="59"/>
      <c r="G271" s="46">
        <v>5000</v>
      </c>
      <c r="H271" s="28">
        <f t="shared" si="22"/>
        <v>-710</v>
      </c>
      <c r="I271" s="253"/>
      <c r="J271" s="899"/>
      <c r="K271" s="921"/>
      <c r="L271" s="4" t="s">
        <v>48</v>
      </c>
      <c r="M271" s="4"/>
      <c r="N271" s="4" t="s">
        <v>48</v>
      </c>
      <c r="O271" s="4" t="s">
        <v>48</v>
      </c>
      <c r="P271" s="4"/>
      <c r="Q271" s="4"/>
      <c r="R271" s="4"/>
      <c r="S271" s="4"/>
      <c r="T271" s="5">
        <f>2000+2000+1710</f>
        <v>5710</v>
      </c>
      <c r="U271" s="5" t="s">
        <v>55</v>
      </c>
      <c r="V271" s="43" t="s">
        <v>775</v>
      </c>
    </row>
    <row r="272" spans="1:23" ht="15" hidden="1" customHeight="1">
      <c r="A272" s="15" t="s">
        <v>648</v>
      </c>
      <c r="B272" s="2">
        <v>5237</v>
      </c>
      <c r="C272" s="338">
        <v>42222</v>
      </c>
      <c r="D272" s="15" t="s">
        <v>13</v>
      </c>
      <c r="E272" s="63" t="s">
        <v>645</v>
      </c>
      <c r="F272" s="59"/>
      <c r="G272" s="578">
        <v>200</v>
      </c>
      <c r="H272" s="578">
        <f t="shared" si="22"/>
        <v>0</v>
      </c>
      <c r="I272" s="253"/>
      <c r="J272" s="578">
        <f ca="1">TODAY()-C272</f>
        <v>323</v>
      </c>
      <c r="K272" s="260" t="str">
        <f ca="1">IF(I272="","Sin fecha",((I272-TODAY())))</f>
        <v>Sin fecha</v>
      </c>
      <c r="L272" s="4" t="s">
        <v>48</v>
      </c>
      <c r="M272" s="4"/>
      <c r="N272" s="4" t="s">
        <v>48</v>
      </c>
      <c r="O272" s="4" t="s">
        <v>48</v>
      </c>
      <c r="P272" s="35" t="s">
        <v>48</v>
      </c>
      <c r="Q272" s="35" t="s">
        <v>48</v>
      </c>
      <c r="R272" s="35" t="s">
        <v>48</v>
      </c>
      <c r="S272" s="35" t="s">
        <v>48</v>
      </c>
      <c r="T272" s="5">
        <v>200</v>
      </c>
      <c r="U272" s="5" t="s">
        <v>55</v>
      </c>
      <c r="V272" s="43" t="s">
        <v>435</v>
      </c>
    </row>
    <row r="273" spans="1:23" ht="15" hidden="1" customHeight="1">
      <c r="A273" s="15" t="s">
        <v>636</v>
      </c>
      <c r="B273" s="2">
        <v>5238</v>
      </c>
      <c r="C273" s="338">
        <v>42208</v>
      </c>
      <c r="D273" s="15" t="s">
        <v>3</v>
      </c>
      <c r="E273" s="63" t="s">
        <v>646</v>
      </c>
      <c r="F273" s="59"/>
      <c r="G273" s="578">
        <v>40</v>
      </c>
      <c r="H273" s="578">
        <f t="shared" si="22"/>
        <v>0</v>
      </c>
      <c r="I273" s="253"/>
      <c r="J273" s="578">
        <f ca="1">TODAY()-C273</f>
        <v>337</v>
      </c>
      <c r="K273" s="260" t="str">
        <f ca="1">IF(I273="","Sin fecha",((I273-TODAY())))</f>
        <v>Sin fecha</v>
      </c>
      <c r="L273" s="4" t="s">
        <v>47</v>
      </c>
      <c r="M273" s="4"/>
      <c r="N273" s="4" t="s">
        <v>48</v>
      </c>
      <c r="O273" s="4" t="s">
        <v>48</v>
      </c>
      <c r="P273" s="35" t="s">
        <v>48</v>
      </c>
      <c r="Q273" s="35" t="s">
        <v>48</v>
      </c>
      <c r="R273" s="35" t="s">
        <v>48</v>
      </c>
      <c r="S273" s="35" t="s">
        <v>48</v>
      </c>
      <c r="T273" s="5">
        <v>40</v>
      </c>
      <c r="U273" s="5" t="s">
        <v>55</v>
      </c>
      <c r="V273" s="43" t="s">
        <v>435</v>
      </c>
    </row>
    <row r="274" spans="1:23" ht="15" hidden="1" customHeight="1">
      <c r="A274" s="15" t="s">
        <v>636</v>
      </c>
      <c r="B274" s="2">
        <v>5239</v>
      </c>
      <c r="C274" s="338" t="s">
        <v>647</v>
      </c>
      <c r="D274" s="15" t="s">
        <v>13</v>
      </c>
      <c r="E274" s="63" t="s">
        <v>59</v>
      </c>
      <c r="F274" s="59"/>
      <c r="G274" s="578">
        <v>150</v>
      </c>
      <c r="H274" s="578">
        <f t="shared" si="22"/>
        <v>0</v>
      </c>
      <c r="I274" s="253"/>
      <c r="J274" s="578">
        <f ca="1">TODAY()-C274</f>
        <v>338</v>
      </c>
      <c r="K274" s="260" t="str">
        <f ca="1">IF(I274="","Sin fecha",((I274-TODAY())))</f>
        <v>Sin fecha</v>
      </c>
      <c r="L274" s="4" t="s">
        <v>47</v>
      </c>
      <c r="M274" s="4"/>
      <c r="N274" s="4" t="s">
        <v>1</v>
      </c>
      <c r="O274" s="419" t="s">
        <v>1</v>
      </c>
      <c r="P274" s="35" t="s">
        <v>48</v>
      </c>
      <c r="Q274" s="35" t="s">
        <v>48</v>
      </c>
      <c r="R274" s="35" t="s">
        <v>48</v>
      </c>
      <c r="S274" s="35" t="s">
        <v>48</v>
      </c>
      <c r="T274" s="5">
        <v>150</v>
      </c>
      <c r="U274" s="5" t="s">
        <v>55</v>
      </c>
      <c r="V274" s="43" t="s">
        <v>435</v>
      </c>
    </row>
    <row r="275" spans="1:23" ht="15" hidden="1" customHeight="1">
      <c r="A275" s="344" t="s">
        <v>193</v>
      </c>
      <c r="B275" s="588">
        <v>5280</v>
      </c>
      <c r="C275" s="276">
        <v>42314</v>
      </c>
      <c r="D275" s="344" t="s">
        <v>21</v>
      </c>
      <c r="E275" s="344" t="s">
        <v>650</v>
      </c>
      <c r="F275"/>
      <c r="G275" s="933">
        <v>3000</v>
      </c>
      <c r="H275" s="902">
        <f t="shared" si="22"/>
        <v>-22</v>
      </c>
      <c r="L275" s="1" t="s">
        <v>48</v>
      </c>
      <c r="N275" s="1" t="s">
        <v>48</v>
      </c>
      <c r="O275" s="1" t="s">
        <v>48</v>
      </c>
      <c r="T275" s="16">
        <f>1500+1522</f>
        <v>3022</v>
      </c>
      <c r="U275" s="16" t="s">
        <v>55</v>
      </c>
      <c r="V275" s="44" t="s">
        <v>776</v>
      </c>
    </row>
    <row r="276" spans="1:23" ht="15" hidden="1" customHeight="1">
      <c r="A276" s="4" t="s">
        <v>636</v>
      </c>
      <c r="B276" s="43" t="s">
        <v>37</v>
      </c>
      <c r="C276" s="338">
        <v>42227</v>
      </c>
      <c r="D276" s="4" t="s">
        <v>111</v>
      </c>
      <c r="E276" s="4" t="s">
        <v>35</v>
      </c>
      <c r="F276" s="5"/>
      <c r="G276" s="40">
        <v>206</v>
      </c>
      <c r="H276" s="526">
        <f t="shared" si="22"/>
        <v>0</v>
      </c>
      <c r="I276" s="253" t="s">
        <v>588</v>
      </c>
      <c r="J276" s="248">
        <f ca="1">TODAY()-C276</f>
        <v>318</v>
      </c>
      <c r="K276" s="260">
        <f ca="1">IF(I276="","Sin fecha",((I276-TODAY())))</f>
        <v>-330</v>
      </c>
      <c r="L276" s="4" t="s">
        <v>47</v>
      </c>
      <c r="M276" s="4"/>
      <c r="N276" s="4" t="s">
        <v>48</v>
      </c>
      <c r="O276" s="4" t="s">
        <v>48</v>
      </c>
      <c r="P276" s="4" t="s">
        <v>48</v>
      </c>
      <c r="Q276" s="4" t="s">
        <v>48</v>
      </c>
      <c r="R276" s="4" t="s">
        <v>48</v>
      </c>
      <c r="S276" s="4" t="s">
        <v>48</v>
      </c>
      <c r="T276" s="5">
        <v>206</v>
      </c>
      <c r="U276" s="5" t="s">
        <v>55</v>
      </c>
      <c r="V276" s="43" t="s">
        <v>435</v>
      </c>
    </row>
    <row r="277" spans="1:23" ht="15" hidden="1" customHeight="1">
      <c r="A277" s="15" t="s">
        <v>193</v>
      </c>
      <c r="B277" s="2">
        <v>5280</v>
      </c>
      <c r="C277" s="338">
        <v>42314</v>
      </c>
      <c r="D277" s="15" t="s">
        <v>21</v>
      </c>
      <c r="E277" s="15" t="s">
        <v>652</v>
      </c>
      <c r="F277" s="59"/>
      <c r="G277" s="46">
        <v>1000</v>
      </c>
      <c r="H277" s="28">
        <f t="shared" si="22"/>
        <v>-148</v>
      </c>
      <c r="I277" s="253"/>
      <c r="J277" s="921"/>
      <c r="K277" s="921"/>
      <c r="L277" s="4" t="s">
        <v>48</v>
      </c>
      <c r="M277" s="4"/>
      <c r="N277" s="4" t="s">
        <v>48</v>
      </c>
      <c r="O277" s="4" t="s">
        <v>48</v>
      </c>
      <c r="P277" s="4"/>
      <c r="Q277" s="4"/>
      <c r="R277" s="4"/>
      <c r="S277" s="4"/>
      <c r="T277" s="5">
        <v>1148</v>
      </c>
      <c r="U277" s="5" t="s">
        <v>55</v>
      </c>
      <c r="V277" s="43" t="s">
        <v>776</v>
      </c>
    </row>
    <row r="278" spans="1:23" ht="15" hidden="1" customHeight="1">
      <c r="A278" s="15" t="s">
        <v>636</v>
      </c>
      <c r="B278" s="2">
        <v>5242</v>
      </c>
      <c r="C278" s="440">
        <v>42229</v>
      </c>
      <c r="D278" s="15" t="s">
        <v>24</v>
      </c>
      <c r="E278" s="63" t="s">
        <v>578</v>
      </c>
      <c r="F278" s="59"/>
      <c r="G278" s="67">
        <v>60</v>
      </c>
      <c r="H278" s="578">
        <f t="shared" si="22"/>
        <v>0</v>
      </c>
      <c r="I278" s="253"/>
      <c r="J278" s="578">
        <f t="shared" ref="J278:J293" ca="1" si="24">TODAY()-C278</f>
        <v>316</v>
      </c>
      <c r="K278" s="260" t="e">
        <f ca="1">IF(#REF!="","Sin fecha",((#REF!-TODAY())))</f>
        <v>#REF!</v>
      </c>
      <c r="L278" s="4" t="s">
        <v>47</v>
      </c>
      <c r="M278" s="4"/>
      <c r="N278" s="4"/>
      <c r="O278" s="4"/>
      <c r="P278" s="4"/>
      <c r="Q278" s="4"/>
      <c r="R278" s="4"/>
      <c r="S278" s="4"/>
      <c r="T278" s="5">
        <v>60</v>
      </c>
      <c r="U278" s="5" t="s">
        <v>55</v>
      </c>
      <c r="V278" s="43" t="s">
        <v>436</v>
      </c>
      <c r="W278" s="1">
        <v>60</v>
      </c>
    </row>
    <row r="279" spans="1:23" ht="15" hidden="1" customHeight="1">
      <c r="A279" s="4" t="s">
        <v>636</v>
      </c>
      <c r="B279" s="43" t="s">
        <v>37</v>
      </c>
      <c r="C279" s="338" t="s">
        <v>658</v>
      </c>
      <c r="D279" s="4" t="s">
        <v>24</v>
      </c>
      <c r="E279" s="4" t="s">
        <v>35</v>
      </c>
      <c r="F279" s="5"/>
      <c r="G279" s="40">
        <v>200</v>
      </c>
      <c r="H279" s="526">
        <f t="shared" si="22"/>
        <v>0</v>
      </c>
      <c r="I279" s="253"/>
      <c r="J279" s="248">
        <f t="shared" ca="1" si="24"/>
        <v>315</v>
      </c>
      <c r="K279" s="260" t="str">
        <f ca="1">IF(I279="","Sin fecha",((I279-TODAY())))</f>
        <v>Sin fecha</v>
      </c>
      <c r="L279" s="4" t="s">
        <v>48</v>
      </c>
      <c r="M279" s="4"/>
      <c r="N279" s="4" t="s">
        <v>48</v>
      </c>
      <c r="O279" s="4" t="s">
        <v>48</v>
      </c>
      <c r="P279" s="35" t="s">
        <v>48</v>
      </c>
      <c r="Q279" s="35" t="s">
        <v>48</v>
      </c>
      <c r="R279" s="35" t="s">
        <v>48</v>
      </c>
      <c r="S279" s="35" t="s">
        <v>48</v>
      </c>
      <c r="T279" s="5">
        <v>200</v>
      </c>
      <c r="U279" s="5" t="s">
        <v>55</v>
      </c>
      <c r="V279" s="43" t="s">
        <v>435</v>
      </c>
    </row>
    <row r="280" spans="1:23" ht="15" hidden="1" customHeight="1">
      <c r="A280" s="4" t="s">
        <v>49</v>
      </c>
      <c r="B280" s="43" t="s">
        <v>37</v>
      </c>
      <c r="C280" s="338">
        <v>42236</v>
      </c>
      <c r="D280" s="4" t="s">
        <v>111</v>
      </c>
      <c r="E280" s="307" t="s">
        <v>35</v>
      </c>
      <c r="F280" s="5"/>
      <c r="G280" s="40">
        <v>400</v>
      </c>
      <c r="H280" s="526">
        <f t="shared" si="22"/>
        <v>0</v>
      </c>
      <c r="I280" s="253"/>
      <c r="J280" s="248">
        <f t="shared" ca="1" si="24"/>
        <v>309</v>
      </c>
      <c r="K280" s="260" t="str">
        <f ca="1">IF(I280="","Sin fecha",((I280-TODAY())))</f>
        <v>Sin fecha</v>
      </c>
      <c r="L280" s="4" t="s">
        <v>47</v>
      </c>
      <c r="M280" s="4"/>
      <c r="N280" s="4" t="s">
        <v>48</v>
      </c>
      <c r="O280" s="4" t="s">
        <v>48</v>
      </c>
      <c r="P280" s="4"/>
      <c r="Q280" s="4"/>
      <c r="R280" s="4"/>
      <c r="S280" s="4"/>
      <c r="T280" s="5">
        <v>400</v>
      </c>
      <c r="U280" s="5" t="s">
        <v>55</v>
      </c>
      <c r="V280" s="43" t="s">
        <v>435</v>
      </c>
    </row>
    <row r="281" spans="1:23" ht="15" hidden="1" customHeight="1">
      <c r="A281" s="15" t="s">
        <v>636</v>
      </c>
      <c r="B281" s="2">
        <v>5242</v>
      </c>
      <c r="C281" s="440">
        <v>42229</v>
      </c>
      <c r="D281" s="15" t="s">
        <v>24</v>
      </c>
      <c r="E281" s="63" t="s">
        <v>664</v>
      </c>
      <c r="F281" s="59"/>
      <c r="G281" s="67">
        <v>60</v>
      </c>
      <c r="H281" s="578">
        <f t="shared" si="22"/>
        <v>0</v>
      </c>
      <c r="I281" s="253"/>
      <c r="J281" s="578">
        <f t="shared" ca="1" si="24"/>
        <v>316</v>
      </c>
      <c r="K281" s="260" t="e">
        <f ca="1">IF(#REF!="","Sin fecha",((#REF!-TODAY())))</f>
        <v>#REF!</v>
      </c>
      <c r="L281" s="4" t="s">
        <v>47</v>
      </c>
      <c r="M281" s="4"/>
      <c r="N281" s="4"/>
      <c r="O281" s="4"/>
      <c r="P281" s="4"/>
      <c r="Q281" s="4"/>
      <c r="R281" s="4"/>
      <c r="S281" s="4"/>
      <c r="T281" s="5">
        <f>40+20</f>
        <v>60</v>
      </c>
      <c r="U281" s="5" t="s">
        <v>55</v>
      </c>
      <c r="V281" s="43" t="s">
        <v>711</v>
      </c>
    </row>
    <row r="282" spans="1:23" ht="15" hidden="1" customHeight="1">
      <c r="A282" s="15" t="s">
        <v>636</v>
      </c>
      <c r="B282" s="2">
        <v>5243</v>
      </c>
      <c r="C282" s="440">
        <v>42229</v>
      </c>
      <c r="D282" s="15" t="s">
        <v>57</v>
      </c>
      <c r="E282" s="63" t="s">
        <v>58</v>
      </c>
      <c r="F282" s="59"/>
      <c r="G282" s="801">
        <v>600</v>
      </c>
      <c r="H282" s="578">
        <f t="shared" si="22"/>
        <v>-68</v>
      </c>
      <c r="I282" s="253"/>
      <c r="J282" s="581">
        <f t="shared" ca="1" si="24"/>
        <v>316</v>
      </c>
      <c r="K282" s="303" t="e">
        <f ca="1">IF(#REF!="","Sin fecha",((#REF!-TODAY())))</f>
        <v>#REF!</v>
      </c>
      <c r="L282" s="284" t="s">
        <v>48</v>
      </c>
      <c r="M282" s="4"/>
      <c r="N282" s="4" t="s">
        <v>48</v>
      </c>
      <c r="O282" s="4" t="s">
        <v>48</v>
      </c>
      <c r="P282" s="35" t="s">
        <v>48</v>
      </c>
      <c r="Q282" s="35" t="s">
        <v>48</v>
      </c>
      <c r="R282" s="35" t="s">
        <v>48</v>
      </c>
      <c r="S282" s="35" t="s">
        <v>48</v>
      </c>
      <c r="T282" s="5">
        <v>668</v>
      </c>
      <c r="U282" s="5" t="s">
        <v>55</v>
      </c>
      <c r="V282" s="43" t="s">
        <v>435</v>
      </c>
    </row>
    <row r="283" spans="1:23" ht="15" hidden="1" customHeight="1">
      <c r="A283" s="15" t="s">
        <v>636</v>
      </c>
      <c r="B283" s="2">
        <v>5244</v>
      </c>
      <c r="C283" s="440">
        <v>42228</v>
      </c>
      <c r="D283" s="15" t="s">
        <v>13</v>
      </c>
      <c r="E283" s="63" t="s">
        <v>59</v>
      </c>
      <c r="F283" s="59"/>
      <c r="G283" s="577">
        <v>150</v>
      </c>
      <c r="H283" s="578">
        <f t="shared" si="22"/>
        <v>6</v>
      </c>
      <c r="I283" s="253"/>
      <c r="J283" s="581">
        <f t="shared" ca="1" si="24"/>
        <v>317</v>
      </c>
      <c r="K283" s="303" t="e">
        <f ca="1">IF(#REF!="","Sin fecha",((#REF!-TODAY())))</f>
        <v>#REF!</v>
      </c>
      <c r="L283" s="284" t="s">
        <v>47</v>
      </c>
      <c r="M283" s="4"/>
      <c r="N283" s="4" t="s">
        <v>1</v>
      </c>
      <c r="O283" s="4" t="s">
        <v>69</v>
      </c>
      <c r="P283" s="35" t="s">
        <v>48</v>
      </c>
      <c r="Q283" s="35" t="s">
        <v>48</v>
      </c>
      <c r="R283" s="35" t="s">
        <v>48</v>
      </c>
      <c r="S283" s="35" t="s">
        <v>48</v>
      </c>
      <c r="T283" s="5">
        <v>144</v>
      </c>
      <c r="U283" s="5" t="s">
        <v>55</v>
      </c>
      <c r="V283" s="43" t="s">
        <v>435</v>
      </c>
    </row>
    <row r="284" spans="1:23" ht="15" hidden="1" customHeight="1">
      <c r="A284" s="15" t="s">
        <v>636</v>
      </c>
      <c r="B284" s="2">
        <v>5244</v>
      </c>
      <c r="C284" s="440">
        <v>42228</v>
      </c>
      <c r="D284" s="15" t="s">
        <v>13</v>
      </c>
      <c r="E284" s="63" t="s">
        <v>102</v>
      </c>
      <c r="F284" s="59"/>
      <c r="G284" s="577">
        <v>150</v>
      </c>
      <c r="H284" s="578">
        <f t="shared" si="22"/>
        <v>3</v>
      </c>
      <c r="I284" s="253"/>
      <c r="J284" s="581">
        <f t="shared" ca="1" si="24"/>
        <v>317</v>
      </c>
      <c r="K284" s="303" t="e">
        <f ca="1">IF(#REF!="","Sin fecha",((#REF!-TODAY())))</f>
        <v>#REF!</v>
      </c>
      <c r="L284" s="284" t="s">
        <v>47</v>
      </c>
      <c r="M284" s="4"/>
      <c r="N284" s="4"/>
      <c r="O284" s="4"/>
      <c r="P284" s="4"/>
      <c r="Q284" s="4"/>
      <c r="R284" s="4"/>
      <c r="S284" s="4"/>
      <c r="T284" s="5">
        <f>110+37</f>
        <v>147</v>
      </c>
      <c r="U284" s="5" t="s">
        <v>55</v>
      </c>
      <c r="V284" s="43" t="s">
        <v>436</v>
      </c>
      <c r="W284" s="1">
        <v>37</v>
      </c>
    </row>
    <row r="285" spans="1:23" ht="15" hidden="1" customHeight="1">
      <c r="A285" s="15" t="s">
        <v>636</v>
      </c>
      <c r="B285" s="2">
        <v>5244</v>
      </c>
      <c r="C285" s="440">
        <v>42228</v>
      </c>
      <c r="D285" s="15" t="s">
        <v>13</v>
      </c>
      <c r="E285" s="63" t="s">
        <v>36</v>
      </c>
      <c r="F285" s="59"/>
      <c r="G285" s="577">
        <v>100</v>
      </c>
      <c r="H285" s="578">
        <f t="shared" si="22"/>
        <v>2</v>
      </c>
      <c r="I285" s="253"/>
      <c r="J285" s="581">
        <f t="shared" ca="1" si="24"/>
        <v>317</v>
      </c>
      <c r="K285" s="303" t="e">
        <f ca="1">IF(#REF!="","Sin fecha",((#REF!-TODAY())))</f>
        <v>#REF!</v>
      </c>
      <c r="L285" s="284" t="s">
        <v>47</v>
      </c>
      <c r="M285" s="4"/>
      <c r="N285" s="4"/>
      <c r="O285" s="4"/>
      <c r="P285" s="4"/>
      <c r="Q285" s="4"/>
      <c r="R285" s="4"/>
      <c r="S285" s="4"/>
      <c r="T285" s="5">
        <v>98</v>
      </c>
      <c r="U285" s="5" t="s">
        <v>55</v>
      </c>
      <c r="V285" s="43" t="s">
        <v>436</v>
      </c>
      <c r="W285" s="1">
        <v>98</v>
      </c>
    </row>
    <row r="286" spans="1:23" ht="15" hidden="1" customHeight="1">
      <c r="A286" s="304" t="s">
        <v>636</v>
      </c>
      <c r="B286" s="301">
        <v>5246</v>
      </c>
      <c r="C286" s="591" t="s">
        <v>668</v>
      </c>
      <c r="D286" s="304" t="s">
        <v>3</v>
      </c>
      <c r="E286" s="456" t="s">
        <v>676</v>
      </c>
      <c r="F286" s="581"/>
      <c r="G286" s="579">
        <v>1600</v>
      </c>
      <c r="H286" s="51">
        <f t="shared" si="22"/>
        <v>0</v>
      </c>
      <c r="I286" s="297"/>
      <c r="J286" s="581">
        <f t="shared" ca="1" si="24"/>
        <v>-787</v>
      </c>
      <c r="K286" s="303" t="e">
        <f ca="1">IF(#REF!="","Sin fecha",((#REF!-TODAY())))</f>
        <v>#REF!</v>
      </c>
      <c r="L286" s="284" t="s">
        <v>48</v>
      </c>
      <c r="M286" s="284"/>
      <c r="N286" s="301" t="s">
        <v>48</v>
      </c>
      <c r="O286" s="301" t="s">
        <v>48</v>
      </c>
      <c r="P286" s="289" t="s">
        <v>48</v>
      </c>
      <c r="Q286" s="289" t="s">
        <v>48</v>
      </c>
      <c r="R286" s="289" t="s">
        <v>48</v>
      </c>
      <c r="S286" s="289" t="s">
        <v>48</v>
      </c>
      <c r="T286" s="290">
        <f>400+600+400+200</f>
        <v>1600</v>
      </c>
      <c r="U286" s="290" t="s">
        <v>55</v>
      </c>
      <c r="V286" s="285" t="s">
        <v>436</v>
      </c>
      <c r="W286" s="1">
        <v>1200</v>
      </c>
    </row>
    <row r="287" spans="1:23" ht="15" hidden="1" customHeight="1">
      <c r="A287" s="15" t="s">
        <v>636</v>
      </c>
      <c r="B287" s="2">
        <v>5245</v>
      </c>
      <c r="C287" s="440" t="s">
        <v>665</v>
      </c>
      <c r="D287" s="15" t="s">
        <v>5</v>
      </c>
      <c r="E287" s="63" t="s">
        <v>578</v>
      </c>
      <c r="F287" s="59"/>
      <c r="G287" s="67">
        <v>50</v>
      </c>
      <c r="H287" s="578">
        <f t="shared" si="22"/>
        <v>0</v>
      </c>
      <c r="I287" s="253"/>
      <c r="J287" s="578">
        <f t="shared" ca="1" si="24"/>
        <v>309</v>
      </c>
      <c r="K287" s="260" t="e">
        <f ca="1">IF(#REF!="","Sin fecha",((#REF!-TODAY())))</f>
        <v>#REF!</v>
      </c>
      <c r="L287" s="2" t="s">
        <v>45</v>
      </c>
      <c r="M287" s="4"/>
      <c r="N287" s="4"/>
      <c r="O287" s="4"/>
      <c r="P287" s="4"/>
      <c r="Q287" s="4"/>
      <c r="R287" s="4"/>
      <c r="S287" s="4"/>
      <c r="T287" s="5">
        <v>50</v>
      </c>
      <c r="U287" s="5" t="s">
        <v>55</v>
      </c>
      <c r="V287" s="43" t="s">
        <v>435</v>
      </c>
    </row>
    <row r="288" spans="1:23" ht="15" hidden="1" customHeight="1">
      <c r="A288" s="445" t="s">
        <v>636</v>
      </c>
      <c r="B288" s="449">
        <v>5245</v>
      </c>
      <c r="C288" s="590" t="s">
        <v>666</v>
      </c>
      <c r="D288" s="445" t="s">
        <v>5</v>
      </c>
      <c r="E288" s="498" t="s">
        <v>22</v>
      </c>
      <c r="F288" s="602"/>
      <c r="G288" s="325">
        <v>60</v>
      </c>
      <c r="H288" s="311">
        <f t="shared" si="22"/>
        <v>0</v>
      </c>
      <c r="I288" s="312"/>
      <c r="J288" s="311">
        <f t="shared" ca="1" si="24"/>
        <v>-57</v>
      </c>
      <c r="K288" s="313" t="e">
        <f ca="1">IF(#REF!="","Sin fecha",((#REF!-TODAY())))</f>
        <v>#REF!</v>
      </c>
      <c r="L288" s="307" t="s">
        <v>47</v>
      </c>
      <c r="M288" s="307"/>
      <c r="N288" s="307"/>
      <c r="O288" s="307"/>
      <c r="P288" s="307"/>
      <c r="Q288" s="307"/>
      <c r="R288" s="307"/>
      <c r="S288" s="307"/>
      <c r="T288" s="309">
        <v>60</v>
      </c>
      <c r="U288" s="309" t="s">
        <v>55</v>
      </c>
      <c r="V288" s="308" t="s">
        <v>435</v>
      </c>
    </row>
    <row r="289" spans="1:23" ht="15" hidden="1" customHeight="1">
      <c r="A289" s="15" t="s">
        <v>636</v>
      </c>
      <c r="B289" s="2">
        <v>5245</v>
      </c>
      <c r="C289" s="440" t="s">
        <v>667</v>
      </c>
      <c r="D289" s="15" t="s">
        <v>5</v>
      </c>
      <c r="E289" s="63" t="s">
        <v>36</v>
      </c>
      <c r="F289" s="59"/>
      <c r="G289" s="67">
        <v>40</v>
      </c>
      <c r="H289" s="578">
        <f t="shared" si="22"/>
        <v>0</v>
      </c>
      <c r="I289" s="253"/>
      <c r="J289" s="578">
        <f t="shared" ca="1" si="24"/>
        <v>-422</v>
      </c>
      <c r="K289" s="260" t="e">
        <f ca="1">IF(#REF!="","Sin fecha",((#REF!-TODAY())))</f>
        <v>#REF!</v>
      </c>
      <c r="L289" s="4" t="s">
        <v>47</v>
      </c>
      <c r="M289" s="4"/>
      <c r="N289" s="4"/>
      <c r="O289" s="4"/>
      <c r="P289" s="4"/>
      <c r="Q289" s="4"/>
      <c r="R289" s="4"/>
      <c r="S289" s="4"/>
      <c r="T289" s="5">
        <v>40</v>
      </c>
      <c r="U289" s="5" t="s">
        <v>55</v>
      </c>
      <c r="V289" s="43" t="s">
        <v>435</v>
      </c>
    </row>
    <row r="290" spans="1:23" ht="15" hidden="1" customHeight="1">
      <c r="A290" s="194" t="s">
        <v>636</v>
      </c>
      <c r="B290" s="206">
        <v>5245</v>
      </c>
      <c r="C290" s="473" t="s">
        <v>668</v>
      </c>
      <c r="D290" s="194" t="s">
        <v>5</v>
      </c>
      <c r="E290" s="471" t="s">
        <v>102</v>
      </c>
      <c r="F290" s="472"/>
      <c r="G290" s="474">
        <v>30</v>
      </c>
      <c r="H290" s="582">
        <f t="shared" si="22"/>
        <v>0</v>
      </c>
      <c r="I290" s="292"/>
      <c r="J290" s="311">
        <f t="shared" ca="1" si="24"/>
        <v>-787</v>
      </c>
      <c r="K290" s="313" t="e">
        <f ca="1">IF(#REF!="","Sin fecha",((#REF!-TODAY())))</f>
        <v>#REF!</v>
      </c>
      <c r="L290" s="307" t="s">
        <v>47</v>
      </c>
      <c r="M290" s="211"/>
      <c r="N290" s="211"/>
      <c r="O290" s="211"/>
      <c r="P290" s="211"/>
      <c r="Q290" s="211"/>
      <c r="R290" s="211"/>
      <c r="S290" s="211"/>
      <c r="T290" s="210">
        <v>30</v>
      </c>
      <c r="U290" s="210" t="s">
        <v>55</v>
      </c>
      <c r="V290" s="291" t="s">
        <v>435</v>
      </c>
    </row>
    <row r="291" spans="1:23" ht="15" hidden="1" customHeight="1">
      <c r="A291" s="4" t="s">
        <v>94</v>
      </c>
      <c r="B291" s="2">
        <v>5233</v>
      </c>
      <c r="C291" s="318" t="s">
        <v>681</v>
      </c>
      <c r="D291" s="4" t="s">
        <v>488</v>
      </c>
      <c r="E291" s="63" t="s">
        <v>669</v>
      </c>
      <c r="F291" s="40">
        <v>56</v>
      </c>
      <c r="G291" s="40">
        <v>84</v>
      </c>
      <c r="H291" s="578">
        <f t="shared" si="22"/>
        <v>0</v>
      </c>
      <c r="I291" s="253"/>
      <c r="J291" s="581">
        <f t="shared" ca="1" si="24"/>
        <v>336</v>
      </c>
      <c r="K291" s="303" t="e">
        <f ca="1">IF(#REF!="","Sin fecha",((#REF!-TODAY())))</f>
        <v>#REF!</v>
      </c>
      <c r="L291" s="284" t="s">
        <v>48</v>
      </c>
      <c r="M291" s="4"/>
      <c r="N291" s="4" t="s">
        <v>48</v>
      </c>
      <c r="O291" s="4" t="s">
        <v>48</v>
      </c>
      <c r="P291" s="35" t="s">
        <v>48</v>
      </c>
      <c r="Q291" s="35" t="s">
        <v>48</v>
      </c>
      <c r="R291" s="35" t="s">
        <v>48</v>
      </c>
      <c r="S291" s="35" t="s">
        <v>48</v>
      </c>
      <c r="T291" s="5">
        <v>84</v>
      </c>
      <c r="U291" s="5" t="s">
        <v>55</v>
      </c>
      <c r="V291" s="43" t="s">
        <v>435</v>
      </c>
    </row>
    <row r="292" spans="1:23" ht="15" hidden="1" customHeight="1">
      <c r="A292" s="15" t="s">
        <v>636</v>
      </c>
      <c r="B292" s="2">
        <v>5247</v>
      </c>
      <c r="C292" s="440" t="s">
        <v>680</v>
      </c>
      <c r="D292" s="15" t="s">
        <v>5</v>
      </c>
      <c r="E292" s="63" t="s">
        <v>664</v>
      </c>
      <c r="F292" s="59"/>
      <c r="G292" s="67">
        <v>60</v>
      </c>
      <c r="H292" s="578">
        <f t="shared" si="22"/>
        <v>0</v>
      </c>
      <c r="I292" s="253"/>
      <c r="J292" s="581">
        <f t="shared" ca="1" si="24"/>
        <v>302</v>
      </c>
      <c r="K292" s="303" t="e">
        <f ca="1">IF(#REF!="","Sin fecha",((#REF!-TODAY())))</f>
        <v>#REF!</v>
      </c>
      <c r="L292" s="284" t="s">
        <v>47</v>
      </c>
      <c r="M292" s="4"/>
      <c r="N292" s="4"/>
      <c r="O292" s="4"/>
      <c r="P292" s="4"/>
      <c r="Q292" s="4"/>
      <c r="R292" s="4"/>
      <c r="S292" s="4"/>
      <c r="T292" s="5">
        <v>60</v>
      </c>
      <c r="U292" s="5" t="s">
        <v>55</v>
      </c>
      <c r="V292" s="43" t="s">
        <v>711</v>
      </c>
    </row>
    <row r="293" spans="1:23" ht="15" hidden="1" customHeight="1">
      <c r="A293" s="4" t="s">
        <v>94</v>
      </c>
      <c r="B293" s="2">
        <v>5233</v>
      </c>
      <c r="C293" s="318" t="s">
        <v>681</v>
      </c>
      <c r="D293" s="4" t="s">
        <v>488</v>
      </c>
      <c r="E293" s="456" t="s">
        <v>670</v>
      </c>
      <c r="F293" s="477"/>
      <c r="G293" s="40">
        <v>100</v>
      </c>
      <c r="H293" s="578">
        <f t="shared" si="22"/>
        <v>0</v>
      </c>
      <c r="I293" s="253"/>
      <c r="J293" s="581">
        <f t="shared" ca="1" si="24"/>
        <v>336</v>
      </c>
      <c r="K293" s="303" t="e">
        <f ca="1">IF(#REF!="","Sin fecha",((#REF!-TODAY())))</f>
        <v>#REF!</v>
      </c>
      <c r="L293" s="284" t="s">
        <v>48</v>
      </c>
      <c r="M293" s="4"/>
      <c r="N293" s="4" t="s">
        <v>48</v>
      </c>
      <c r="O293" s="4" t="s">
        <v>48</v>
      </c>
      <c r="P293" s="35" t="s">
        <v>48</v>
      </c>
      <c r="Q293" s="35" t="s">
        <v>48</v>
      </c>
      <c r="R293" s="35" t="s">
        <v>48</v>
      </c>
      <c r="S293" s="35" t="s">
        <v>48</v>
      </c>
      <c r="T293" s="5">
        <v>100</v>
      </c>
      <c r="U293" s="5" t="s">
        <v>55</v>
      </c>
      <c r="V293" s="43" t="s">
        <v>435</v>
      </c>
    </row>
    <row r="294" spans="1:23" ht="15" hidden="1" customHeight="1">
      <c r="A294" s="4" t="s">
        <v>94</v>
      </c>
      <c r="B294" s="43">
        <v>5285</v>
      </c>
      <c r="C294" s="338">
        <v>42321</v>
      </c>
      <c r="D294" s="4" t="s">
        <v>21</v>
      </c>
      <c r="E294" s="4" t="s">
        <v>841</v>
      </c>
      <c r="F294" s="5"/>
      <c r="G294" s="40">
        <v>2000</v>
      </c>
      <c r="H294" s="917">
        <f t="shared" si="22"/>
        <v>-300</v>
      </c>
      <c r="I294" s="253"/>
      <c r="J294" s="921"/>
      <c r="K294" s="921"/>
      <c r="L294" s="4" t="s">
        <v>48</v>
      </c>
      <c r="M294" s="4"/>
      <c r="N294" s="4" t="s">
        <v>48</v>
      </c>
      <c r="O294" s="4" t="s">
        <v>48</v>
      </c>
      <c r="P294" s="4"/>
      <c r="Q294" s="4"/>
      <c r="R294" s="4"/>
      <c r="S294" s="4"/>
      <c r="T294" s="5">
        <v>2300</v>
      </c>
      <c r="U294" s="5" t="s">
        <v>55</v>
      </c>
      <c r="V294" s="43" t="s">
        <v>775</v>
      </c>
    </row>
    <row r="295" spans="1:23" ht="15" hidden="1" customHeight="1">
      <c r="A295" s="211" t="s">
        <v>94</v>
      </c>
      <c r="B295" s="291">
        <v>5285</v>
      </c>
      <c r="C295" s="469">
        <v>42321</v>
      </c>
      <c r="D295" s="211" t="s">
        <v>21</v>
      </c>
      <c r="E295" s="211" t="s">
        <v>842</v>
      </c>
      <c r="F295" s="210"/>
      <c r="G295" s="208">
        <v>1200</v>
      </c>
      <c r="H295" s="920">
        <f t="shared" si="22"/>
        <v>-61</v>
      </c>
      <c r="I295" s="292"/>
      <c r="J295" s="782"/>
      <c r="K295" s="782"/>
      <c r="L295" s="211" t="s">
        <v>48</v>
      </c>
      <c r="M295" s="211"/>
      <c r="N295" s="211" t="s">
        <v>48</v>
      </c>
      <c r="O295" s="211" t="s">
        <v>48</v>
      </c>
      <c r="P295" s="211"/>
      <c r="Q295" s="211"/>
      <c r="R295" s="211"/>
      <c r="S295" s="211"/>
      <c r="T295" s="210">
        <f>500+500+261</f>
        <v>1261</v>
      </c>
      <c r="U295" s="210" t="s">
        <v>55</v>
      </c>
      <c r="V295" s="291" t="s">
        <v>776</v>
      </c>
    </row>
    <row r="296" spans="1:23" ht="15" hidden="1" customHeight="1">
      <c r="A296" s="4" t="s">
        <v>94</v>
      </c>
      <c r="B296" s="43">
        <v>5285</v>
      </c>
      <c r="C296" s="338">
        <v>42321</v>
      </c>
      <c r="D296" s="4" t="s">
        <v>21</v>
      </c>
      <c r="E296" s="4" t="s">
        <v>843</v>
      </c>
      <c r="F296" s="5"/>
      <c r="G296" s="40">
        <v>2000</v>
      </c>
      <c r="H296" s="898">
        <f t="shared" si="22"/>
        <v>230</v>
      </c>
      <c r="I296" s="253"/>
      <c r="J296" s="921"/>
      <c r="K296" s="921"/>
      <c r="L296" s="4" t="s">
        <v>48</v>
      </c>
      <c r="M296" s="4"/>
      <c r="N296" s="4" t="s">
        <v>48</v>
      </c>
      <c r="O296" s="4" t="s">
        <v>48</v>
      </c>
      <c r="P296" s="4"/>
      <c r="Q296" s="4"/>
      <c r="R296" s="4"/>
      <c r="S296" s="4"/>
      <c r="T296" s="5">
        <v>1770</v>
      </c>
      <c r="U296" s="5" t="s">
        <v>55</v>
      </c>
      <c r="V296" s="43" t="s">
        <v>775</v>
      </c>
    </row>
    <row r="297" spans="1:23" ht="15" hidden="1" customHeight="1">
      <c r="A297" s="4" t="s">
        <v>94</v>
      </c>
      <c r="B297" s="2">
        <v>5233</v>
      </c>
      <c r="C297" s="318" t="s">
        <v>681</v>
      </c>
      <c r="D297" s="4" t="s">
        <v>488</v>
      </c>
      <c r="E297" s="63" t="s">
        <v>674</v>
      </c>
      <c r="F297" s="477"/>
      <c r="G297" s="40">
        <v>32</v>
      </c>
      <c r="H297" s="578">
        <f t="shared" si="22"/>
        <v>0</v>
      </c>
      <c r="I297" s="253"/>
      <c r="J297" s="578">
        <f ca="1">TODAY()-C297</f>
        <v>336</v>
      </c>
      <c r="K297" s="260" t="e">
        <f ca="1">IF(#REF!="","Sin fecha",((#REF!-TODAY())))</f>
        <v>#REF!</v>
      </c>
      <c r="L297" s="4" t="s">
        <v>48</v>
      </c>
      <c r="M297" s="4"/>
      <c r="N297" s="4" t="s">
        <v>48</v>
      </c>
      <c r="O297" s="4" t="s">
        <v>48</v>
      </c>
      <c r="P297" s="35" t="s">
        <v>48</v>
      </c>
      <c r="Q297" s="35" t="s">
        <v>48</v>
      </c>
      <c r="R297" s="35" t="s">
        <v>48</v>
      </c>
      <c r="S297" s="35" t="s">
        <v>48</v>
      </c>
      <c r="T297" s="5">
        <f>8+24</f>
        <v>32</v>
      </c>
      <c r="U297" s="5" t="s">
        <v>55</v>
      </c>
      <c r="V297" s="43" t="s">
        <v>436</v>
      </c>
    </row>
    <row r="298" spans="1:23" ht="15" hidden="1" customHeight="1">
      <c r="A298" s="15" t="s">
        <v>94</v>
      </c>
      <c r="B298" s="2">
        <v>5249</v>
      </c>
      <c r="C298" s="59" t="s">
        <v>690</v>
      </c>
      <c r="D298" s="15" t="s">
        <v>488</v>
      </c>
      <c r="E298" s="63" t="s">
        <v>691</v>
      </c>
      <c r="F298" s="59"/>
      <c r="G298" s="578">
        <v>36</v>
      </c>
      <c r="H298" s="59"/>
      <c r="I298" s="253"/>
      <c r="J298" s="578"/>
      <c r="K298" s="578"/>
      <c r="L298" s="4"/>
      <c r="M298" s="4"/>
      <c r="N298" s="4"/>
      <c r="O298" s="4"/>
      <c r="P298" s="4"/>
      <c r="Q298" s="4"/>
      <c r="R298" s="4"/>
      <c r="S298" s="4"/>
      <c r="T298" s="5">
        <v>36</v>
      </c>
      <c r="U298" s="5" t="s">
        <v>55</v>
      </c>
      <c r="V298" s="43" t="s">
        <v>436</v>
      </c>
    </row>
    <row r="299" spans="1:23" ht="15" hidden="1" customHeight="1">
      <c r="A299" s="15" t="s">
        <v>94</v>
      </c>
      <c r="B299" s="2">
        <v>5249</v>
      </c>
      <c r="C299" s="59" t="s">
        <v>690</v>
      </c>
      <c r="D299" s="15" t="s">
        <v>488</v>
      </c>
      <c r="E299" s="63" t="s">
        <v>692</v>
      </c>
      <c r="F299" s="59"/>
      <c r="G299" s="578">
        <v>24</v>
      </c>
      <c r="H299" s="59"/>
      <c r="I299" s="253"/>
      <c r="J299" s="578"/>
      <c r="K299" s="578"/>
      <c r="L299" s="4"/>
      <c r="M299" s="4"/>
      <c r="N299" s="4"/>
      <c r="O299" s="4"/>
      <c r="P299" s="4"/>
      <c r="Q299" s="4"/>
      <c r="R299" s="4"/>
      <c r="S299" s="4"/>
      <c r="T299" s="5">
        <v>24</v>
      </c>
      <c r="U299" s="5" t="s">
        <v>55</v>
      </c>
      <c r="V299" s="43" t="s">
        <v>436</v>
      </c>
    </row>
    <row r="300" spans="1:23" ht="15" hidden="1" customHeight="1">
      <c r="A300" s="15" t="s">
        <v>94</v>
      </c>
      <c r="B300" s="2">
        <v>5249</v>
      </c>
      <c r="C300" s="59" t="s">
        <v>690</v>
      </c>
      <c r="D300" s="15" t="s">
        <v>488</v>
      </c>
      <c r="E300" s="63" t="s">
        <v>693</v>
      </c>
      <c r="F300" s="59"/>
      <c r="G300" s="578">
        <v>12</v>
      </c>
      <c r="H300" s="59"/>
      <c r="I300" s="253"/>
      <c r="J300" s="578"/>
      <c r="K300" s="578"/>
      <c r="L300" s="4"/>
      <c r="M300" s="4"/>
      <c r="N300" s="4"/>
      <c r="O300" s="4"/>
      <c r="P300" s="4"/>
      <c r="Q300" s="4"/>
      <c r="R300" s="4"/>
      <c r="S300" s="4"/>
      <c r="T300" s="5">
        <v>12</v>
      </c>
      <c r="U300" s="5" t="s">
        <v>55</v>
      </c>
      <c r="V300" s="43" t="s">
        <v>436</v>
      </c>
    </row>
    <row r="301" spans="1:23" ht="15" hidden="1" customHeight="1">
      <c r="A301" s="15" t="s">
        <v>636</v>
      </c>
      <c r="B301" s="43" t="s">
        <v>37</v>
      </c>
      <c r="C301" s="338" t="s">
        <v>680</v>
      </c>
      <c r="D301" s="4" t="s">
        <v>5</v>
      </c>
      <c r="E301" s="4" t="s">
        <v>35</v>
      </c>
      <c r="F301" s="5"/>
      <c r="G301" s="40">
        <v>200</v>
      </c>
      <c r="H301" s="578">
        <f>G301-T301</f>
        <v>0</v>
      </c>
      <c r="I301" s="253"/>
      <c r="J301" s="578">
        <f ca="1">TODAY()-C301</f>
        <v>302</v>
      </c>
      <c r="K301" s="260" t="e">
        <f ca="1">IF(#REF!="","Sin fecha",((#REF!-TODAY())))</f>
        <v>#REF!</v>
      </c>
      <c r="L301" s="4" t="s">
        <v>47</v>
      </c>
      <c r="M301" s="4"/>
      <c r="N301" s="4"/>
      <c r="O301" s="4"/>
      <c r="P301" s="4"/>
      <c r="Q301" s="4"/>
      <c r="R301" s="4"/>
      <c r="S301" s="4"/>
      <c r="T301" s="5">
        <v>200</v>
      </c>
      <c r="U301" s="5" t="s">
        <v>55</v>
      </c>
      <c r="V301" s="43" t="s">
        <v>435</v>
      </c>
    </row>
    <row r="302" spans="1:23" ht="15" hidden="1" customHeight="1">
      <c r="A302" s="1" t="s">
        <v>49</v>
      </c>
      <c r="B302" s="44" t="s">
        <v>37</v>
      </c>
      <c r="C302" s="276">
        <v>42248</v>
      </c>
      <c r="D302" s="1" t="s">
        <v>111</v>
      </c>
      <c r="E302" s="1" t="s">
        <v>19</v>
      </c>
      <c r="G302" s="18">
        <v>47</v>
      </c>
      <c r="H302" s="579">
        <f>G302-T302</f>
        <v>0</v>
      </c>
      <c r="J302" s="302">
        <f ca="1">TODAY()-C302</f>
        <v>297</v>
      </c>
      <c r="K302" s="303" t="str">
        <f ca="1">IF(I302="","Sin fecha",((I302-TODAY())))</f>
        <v>Sin fecha</v>
      </c>
      <c r="L302" s="284" t="s">
        <v>47</v>
      </c>
      <c r="N302" s="1" t="s">
        <v>48</v>
      </c>
      <c r="O302" s="1" t="s">
        <v>48</v>
      </c>
      <c r="T302" s="16">
        <v>47</v>
      </c>
      <c r="U302" s="16" t="s">
        <v>55</v>
      </c>
      <c r="V302" s="44" t="s">
        <v>436</v>
      </c>
      <c r="W302" s="1">
        <v>47</v>
      </c>
    </row>
    <row r="303" spans="1:23" ht="15" hidden="1" customHeight="1">
      <c r="A303" s="15" t="s">
        <v>94</v>
      </c>
      <c r="B303" s="2">
        <v>5249</v>
      </c>
      <c r="C303" s="59" t="s">
        <v>690</v>
      </c>
      <c r="D303" s="15" t="s">
        <v>488</v>
      </c>
      <c r="E303" s="63" t="s">
        <v>694</v>
      </c>
      <c r="F303" s="59"/>
      <c r="G303" s="578">
        <v>58</v>
      </c>
      <c r="H303" s="59"/>
      <c r="I303" s="253"/>
      <c r="J303" s="578"/>
      <c r="K303" s="578"/>
      <c r="L303" s="4"/>
      <c r="M303" s="4"/>
      <c r="N303" s="4"/>
      <c r="O303" s="4"/>
      <c r="P303" s="4"/>
      <c r="Q303" s="4"/>
      <c r="R303" s="4"/>
      <c r="S303" s="4"/>
      <c r="T303" s="5">
        <v>58</v>
      </c>
      <c r="U303" s="5" t="s">
        <v>55</v>
      </c>
      <c r="V303" s="43" t="s">
        <v>436</v>
      </c>
    </row>
    <row r="304" spans="1:23" ht="15" hidden="1" customHeight="1">
      <c r="A304" s="15" t="s">
        <v>94</v>
      </c>
      <c r="B304" s="2">
        <v>5249</v>
      </c>
      <c r="C304" s="59" t="s">
        <v>690</v>
      </c>
      <c r="D304" s="15" t="s">
        <v>488</v>
      </c>
      <c r="E304" s="63" t="s">
        <v>695</v>
      </c>
      <c r="F304" s="59"/>
      <c r="G304" s="578">
        <v>6</v>
      </c>
      <c r="H304" s="59"/>
      <c r="I304" s="253"/>
      <c r="J304" s="578"/>
      <c r="K304" s="578"/>
      <c r="L304" s="4"/>
      <c r="M304" s="4"/>
      <c r="N304" s="4"/>
      <c r="O304" s="4"/>
      <c r="P304" s="4"/>
      <c r="Q304" s="4"/>
      <c r="R304" s="4"/>
      <c r="S304" s="4"/>
      <c r="T304" s="5">
        <v>6</v>
      </c>
      <c r="U304" s="5" t="s">
        <v>55</v>
      </c>
      <c r="V304" s="43" t="s">
        <v>436</v>
      </c>
    </row>
    <row r="305" spans="1:23" ht="15" hidden="1" customHeight="1">
      <c r="A305" s="284" t="s">
        <v>49</v>
      </c>
      <c r="B305" s="285">
        <v>5250</v>
      </c>
      <c r="C305" s="458">
        <v>42248</v>
      </c>
      <c r="D305" s="304" t="s">
        <v>867</v>
      </c>
      <c r="E305" s="284" t="s">
        <v>687</v>
      </c>
      <c r="F305" s="290"/>
      <c r="G305" s="296">
        <v>470</v>
      </c>
      <c r="H305" s="579">
        <f t="shared" ref="H305:H336" si="25">G305-T305</f>
        <v>0</v>
      </c>
      <c r="I305" s="297"/>
      <c r="J305" s="302">
        <f t="shared" ref="J305:J310" ca="1" si="26">TODAY()-C305</f>
        <v>297</v>
      </c>
      <c r="K305" s="303" t="str">
        <f ca="1">IF(I305="","Sin fecha",((I305-TODAY())))</f>
        <v>Sin fecha</v>
      </c>
      <c r="L305" s="284" t="s">
        <v>47</v>
      </c>
      <c r="M305" s="284"/>
      <c r="N305" s="284" t="s">
        <v>48</v>
      </c>
      <c r="O305" s="284" t="s">
        <v>48</v>
      </c>
      <c r="P305" s="284"/>
      <c r="Q305" s="284"/>
      <c r="R305" s="284"/>
      <c r="S305" s="284"/>
      <c r="T305" s="290">
        <f>204+266</f>
        <v>470</v>
      </c>
      <c r="U305" s="290" t="s">
        <v>55</v>
      </c>
      <c r="V305" s="285" t="s">
        <v>436</v>
      </c>
      <c r="W305" s="1">
        <v>470</v>
      </c>
    </row>
    <row r="306" spans="1:23" ht="15" hidden="1" customHeight="1">
      <c r="A306" s="4" t="s">
        <v>453</v>
      </c>
      <c r="B306" s="2" t="s">
        <v>525</v>
      </c>
      <c r="C306" s="278">
        <v>42115</v>
      </c>
      <c r="D306" s="2" t="s">
        <v>27</v>
      </c>
      <c r="E306" s="2" t="s">
        <v>71</v>
      </c>
      <c r="F306" s="3"/>
      <c r="G306" s="40">
        <v>8</v>
      </c>
      <c r="H306" s="28">
        <f t="shared" si="25"/>
        <v>0</v>
      </c>
      <c r="I306" s="252"/>
      <c r="J306" s="248">
        <f t="shared" ca="1" si="26"/>
        <v>430</v>
      </c>
      <c r="K306" s="260" t="str">
        <f ca="1">IF(I306="","Sin fecha",((I306-TODAY())))</f>
        <v>Sin fecha</v>
      </c>
      <c r="L306" s="2" t="s">
        <v>45</v>
      </c>
      <c r="M306" s="2"/>
      <c r="N306" s="2" t="s">
        <v>48</v>
      </c>
      <c r="O306" s="2" t="s">
        <v>48</v>
      </c>
      <c r="P306" s="35" t="s">
        <v>48</v>
      </c>
      <c r="Q306" s="35" t="s">
        <v>48</v>
      </c>
      <c r="R306" s="35" t="s">
        <v>48</v>
      </c>
      <c r="S306" s="35" t="s">
        <v>48</v>
      </c>
      <c r="T306" s="5">
        <v>8</v>
      </c>
      <c r="U306" s="5" t="s">
        <v>55</v>
      </c>
      <c r="V306" s="4" t="s">
        <v>436</v>
      </c>
    </row>
    <row r="307" spans="1:23" ht="15" hidden="1" customHeight="1">
      <c r="A307" s="4" t="s">
        <v>453</v>
      </c>
      <c r="B307" s="43" t="s">
        <v>586</v>
      </c>
      <c r="C307" s="338">
        <v>42160</v>
      </c>
      <c r="D307" s="4" t="s">
        <v>111</v>
      </c>
      <c r="E307" s="2" t="s">
        <v>99</v>
      </c>
      <c r="F307" s="5"/>
      <c r="G307" s="40">
        <v>4</v>
      </c>
      <c r="H307" s="542">
        <f t="shared" si="25"/>
        <v>0</v>
      </c>
      <c r="I307" s="253"/>
      <c r="J307" s="248">
        <f t="shared" ca="1" si="26"/>
        <v>385</v>
      </c>
      <c r="K307" s="260" t="str">
        <f ca="1">IF(I307="","Sin fecha",((I307-TODAY())))</f>
        <v>Sin fecha</v>
      </c>
      <c r="L307" s="4" t="s">
        <v>47</v>
      </c>
      <c r="M307" s="4"/>
      <c r="N307" s="4" t="s">
        <v>48</v>
      </c>
      <c r="O307" s="4" t="s">
        <v>48</v>
      </c>
      <c r="P307" s="4"/>
      <c r="Q307" s="4"/>
      <c r="R307" s="4"/>
      <c r="S307" s="4"/>
      <c r="T307" s="5">
        <v>4</v>
      </c>
      <c r="U307" s="5" t="s">
        <v>55</v>
      </c>
      <c r="V307" s="4" t="s">
        <v>711</v>
      </c>
    </row>
    <row r="308" spans="1:23" ht="15" hidden="1" customHeight="1">
      <c r="A308" s="4" t="s">
        <v>636</v>
      </c>
      <c r="B308" s="43" t="s">
        <v>37</v>
      </c>
      <c r="C308" s="338">
        <v>42251</v>
      </c>
      <c r="D308" s="4" t="s">
        <v>111</v>
      </c>
      <c r="E308" s="4" t="s">
        <v>35</v>
      </c>
      <c r="F308" s="5"/>
      <c r="G308" s="40">
        <v>424</v>
      </c>
      <c r="H308" s="542">
        <f t="shared" si="25"/>
        <v>0</v>
      </c>
      <c r="I308" s="253"/>
      <c r="J308" s="578">
        <f t="shared" ca="1" si="26"/>
        <v>294</v>
      </c>
      <c r="K308" s="578"/>
      <c r="L308" s="4" t="s">
        <v>47</v>
      </c>
      <c r="M308" s="4"/>
      <c r="N308" s="4"/>
      <c r="O308" s="4"/>
      <c r="P308" s="4"/>
      <c r="Q308" s="4"/>
      <c r="R308" s="4"/>
      <c r="S308" s="4"/>
      <c r="T308" s="5">
        <v>424</v>
      </c>
      <c r="U308" s="5" t="s">
        <v>55</v>
      </c>
      <c r="V308" s="43" t="s">
        <v>436</v>
      </c>
      <c r="W308" s="1">
        <v>424</v>
      </c>
    </row>
    <row r="309" spans="1:23" ht="15" hidden="1" customHeight="1">
      <c r="A309" s="15" t="s">
        <v>636</v>
      </c>
      <c r="B309" s="2">
        <v>5251</v>
      </c>
      <c r="C309" s="338">
        <v>42256</v>
      </c>
      <c r="D309" s="15" t="s">
        <v>13</v>
      </c>
      <c r="E309" s="63" t="s">
        <v>102</v>
      </c>
      <c r="F309" s="59"/>
      <c r="G309" s="578">
        <v>200</v>
      </c>
      <c r="H309" s="542">
        <f t="shared" si="25"/>
        <v>0</v>
      </c>
      <c r="I309" s="253"/>
      <c r="J309" s="578">
        <f t="shared" ca="1" si="26"/>
        <v>289</v>
      </c>
      <c r="K309" s="260" t="e">
        <f ca="1">IF(#REF!="","Sin fecha",((#REF!-TODAY())))</f>
        <v>#REF!</v>
      </c>
      <c r="L309" s="4" t="s">
        <v>47</v>
      </c>
      <c r="M309" s="4"/>
      <c r="N309" s="4" t="s">
        <v>1</v>
      </c>
      <c r="O309" s="4" t="s">
        <v>1</v>
      </c>
      <c r="P309" s="4" t="s">
        <v>55</v>
      </c>
      <c r="Q309" s="35" t="s">
        <v>48</v>
      </c>
      <c r="R309" s="35" t="s">
        <v>48</v>
      </c>
      <c r="S309" s="35" t="s">
        <v>48</v>
      </c>
      <c r="T309" s="5">
        <v>200</v>
      </c>
      <c r="U309" s="5" t="s">
        <v>55</v>
      </c>
      <c r="V309" s="43" t="s">
        <v>711</v>
      </c>
    </row>
    <row r="310" spans="1:23" ht="15" hidden="1" customHeight="1">
      <c r="A310" s="15" t="s">
        <v>636</v>
      </c>
      <c r="B310" s="2">
        <v>5253</v>
      </c>
      <c r="C310" s="338">
        <v>42258</v>
      </c>
      <c r="D310" s="15" t="s">
        <v>13</v>
      </c>
      <c r="E310" s="4" t="s">
        <v>722</v>
      </c>
      <c r="F310" s="59"/>
      <c r="G310" s="578">
        <v>100</v>
      </c>
      <c r="H310" s="542">
        <f t="shared" si="25"/>
        <v>-41</v>
      </c>
      <c r="I310" s="253"/>
      <c r="J310" s="578">
        <f t="shared" ca="1" si="26"/>
        <v>287</v>
      </c>
      <c r="K310" s="260" t="e">
        <f ca="1">IF(#REF!="","Sin fecha",((#REF!-TODAY())))</f>
        <v>#REF!</v>
      </c>
      <c r="L310" s="4" t="s">
        <v>47</v>
      </c>
      <c r="M310" s="4"/>
      <c r="N310" s="4" t="s">
        <v>48</v>
      </c>
      <c r="O310" s="4" t="s">
        <v>48</v>
      </c>
      <c r="P310" s="35" t="s">
        <v>48</v>
      </c>
      <c r="Q310" s="35" t="s">
        <v>48</v>
      </c>
      <c r="R310" s="35" t="s">
        <v>48</v>
      </c>
      <c r="S310" s="35" t="s">
        <v>48</v>
      </c>
      <c r="T310" s="5">
        <v>141</v>
      </c>
      <c r="U310" s="5" t="s">
        <v>55</v>
      </c>
      <c r="V310" s="43" t="s">
        <v>436</v>
      </c>
    </row>
    <row r="311" spans="1:23" ht="15" hidden="1" customHeight="1">
      <c r="A311" s="1" t="s">
        <v>94</v>
      </c>
      <c r="B311" s="44">
        <v>5285</v>
      </c>
      <c r="C311" s="276">
        <v>42321</v>
      </c>
      <c r="D311" s="1" t="s">
        <v>21</v>
      </c>
      <c r="E311" s="1" t="s">
        <v>844</v>
      </c>
      <c r="G311" s="18">
        <v>150</v>
      </c>
      <c r="H311" s="349">
        <f t="shared" si="25"/>
        <v>-52</v>
      </c>
      <c r="J311" s="311"/>
      <c r="K311" s="311"/>
      <c r="L311" s="1" t="s">
        <v>48</v>
      </c>
      <c r="N311" s="1" t="s">
        <v>48</v>
      </c>
      <c r="O311" s="1" t="s">
        <v>48</v>
      </c>
      <c r="T311" s="16">
        <v>202</v>
      </c>
      <c r="U311" s="16" t="s">
        <v>55</v>
      </c>
      <c r="V311" s="44" t="s">
        <v>775</v>
      </c>
    </row>
    <row r="312" spans="1:23" ht="15" hidden="1" customHeight="1">
      <c r="A312" s="4" t="s">
        <v>636</v>
      </c>
      <c r="B312" s="43">
        <v>5255</v>
      </c>
      <c r="C312" s="338">
        <v>42258</v>
      </c>
      <c r="D312" s="4" t="s">
        <v>111</v>
      </c>
      <c r="E312" s="2" t="s">
        <v>99</v>
      </c>
      <c r="F312" s="5">
        <v>100</v>
      </c>
      <c r="G312" s="40">
        <v>112</v>
      </c>
      <c r="H312" s="542">
        <f t="shared" si="25"/>
        <v>0</v>
      </c>
      <c r="I312" s="253"/>
      <c r="J312" s="248">
        <f ca="1">TODAY()-C312</f>
        <v>287</v>
      </c>
      <c r="K312" s="260" t="str">
        <f ca="1">IF(I312="","Sin fecha",((I312-TODAY())))</f>
        <v>Sin fecha</v>
      </c>
      <c r="L312" s="4" t="s">
        <v>47</v>
      </c>
      <c r="M312" s="4"/>
      <c r="N312" s="4" t="s">
        <v>48</v>
      </c>
      <c r="O312" s="4" t="s">
        <v>48</v>
      </c>
      <c r="P312" s="35" t="s">
        <v>48</v>
      </c>
      <c r="Q312" s="35" t="s">
        <v>48</v>
      </c>
      <c r="R312" s="4" t="s">
        <v>48</v>
      </c>
      <c r="S312" s="4" t="s">
        <v>48</v>
      </c>
      <c r="T312" s="5">
        <f>106+6</f>
        <v>112</v>
      </c>
      <c r="U312" s="5" t="s">
        <v>55</v>
      </c>
      <c r="V312" s="43" t="s">
        <v>711</v>
      </c>
    </row>
    <row r="313" spans="1:23" ht="15" hidden="1" customHeight="1">
      <c r="A313" s="4" t="s">
        <v>636</v>
      </c>
      <c r="B313" s="43" t="s">
        <v>37</v>
      </c>
      <c r="C313" s="338" t="s">
        <v>717</v>
      </c>
      <c r="D313" s="4" t="s">
        <v>111</v>
      </c>
      <c r="E313" s="4" t="s">
        <v>35</v>
      </c>
      <c r="F313" s="5"/>
      <c r="G313" s="40">
        <v>384</v>
      </c>
      <c r="H313" s="542">
        <f t="shared" si="25"/>
        <v>0</v>
      </c>
      <c r="I313" s="253"/>
      <c r="J313" s="578"/>
      <c r="K313" s="578"/>
      <c r="L313" s="4" t="s">
        <v>47</v>
      </c>
      <c r="M313" s="4"/>
      <c r="N313" s="4"/>
      <c r="O313" s="4"/>
      <c r="P313" s="4"/>
      <c r="Q313" s="4"/>
      <c r="R313" s="4"/>
      <c r="S313" s="4"/>
      <c r="T313" s="5">
        <v>384</v>
      </c>
      <c r="U313" s="5" t="s">
        <v>55</v>
      </c>
      <c r="V313" s="43" t="s">
        <v>436</v>
      </c>
      <c r="W313" s="1">
        <v>384</v>
      </c>
    </row>
    <row r="314" spans="1:23" ht="15" hidden="1" customHeight="1">
      <c r="A314" s="15" t="s">
        <v>636</v>
      </c>
      <c r="B314" s="2">
        <v>5289</v>
      </c>
      <c r="C314" s="338">
        <v>42331</v>
      </c>
      <c r="D314" s="15" t="s">
        <v>21</v>
      </c>
      <c r="E314" s="15" t="s">
        <v>858</v>
      </c>
      <c r="F314" s="59"/>
      <c r="G314" s="46">
        <v>300</v>
      </c>
      <c r="H314" s="572">
        <f t="shared" si="25"/>
        <v>300</v>
      </c>
      <c r="I314" s="253"/>
      <c r="J314" s="921"/>
      <c r="K314" s="921"/>
      <c r="L314" s="4" t="s">
        <v>45</v>
      </c>
      <c r="M314" s="4"/>
      <c r="N314" s="4" t="s">
        <v>48</v>
      </c>
      <c r="O314" s="4" t="s">
        <v>48</v>
      </c>
      <c r="P314" s="4"/>
      <c r="Q314" s="4"/>
      <c r="R314" s="4"/>
      <c r="S314" s="4"/>
      <c r="T314" s="5"/>
      <c r="U314" s="5" t="s">
        <v>55</v>
      </c>
      <c r="V314" s="43" t="s">
        <v>944</v>
      </c>
    </row>
    <row r="315" spans="1:23" ht="15" hidden="1" customHeight="1">
      <c r="A315" s="15" t="s">
        <v>636</v>
      </c>
      <c r="B315" s="2">
        <v>5289</v>
      </c>
      <c r="C315" s="338">
        <v>42331</v>
      </c>
      <c r="D315" s="15" t="s">
        <v>21</v>
      </c>
      <c r="E315" s="15" t="s">
        <v>40</v>
      </c>
      <c r="F315" s="59"/>
      <c r="G315" s="46">
        <v>300</v>
      </c>
      <c r="H315" s="917">
        <f t="shared" si="25"/>
        <v>300</v>
      </c>
      <c r="I315" s="253"/>
      <c r="J315" s="921"/>
      <c r="K315" s="921"/>
      <c r="L315" s="4" t="s">
        <v>45</v>
      </c>
      <c r="M315" s="4"/>
      <c r="N315" s="4" t="s">
        <v>69</v>
      </c>
      <c r="O315" s="4" t="s">
        <v>69</v>
      </c>
      <c r="P315" s="4"/>
      <c r="Q315" s="4"/>
      <c r="R315" s="4"/>
      <c r="S315" s="4"/>
      <c r="T315" s="5"/>
      <c r="U315" s="5" t="s">
        <v>55</v>
      </c>
      <c r="V315" s="43" t="s">
        <v>944</v>
      </c>
    </row>
    <row r="316" spans="1:23" ht="15" hidden="1" customHeight="1">
      <c r="A316" s="15" t="s">
        <v>636</v>
      </c>
      <c r="B316" s="2">
        <v>5289</v>
      </c>
      <c r="C316" s="338">
        <v>42331</v>
      </c>
      <c r="D316" s="15" t="s">
        <v>21</v>
      </c>
      <c r="E316" s="15" t="s">
        <v>22</v>
      </c>
      <c r="F316" s="59"/>
      <c r="G316" s="46">
        <v>400</v>
      </c>
      <c r="H316" s="572">
        <f t="shared" si="25"/>
        <v>400</v>
      </c>
      <c r="I316" s="253"/>
      <c r="J316" s="921"/>
      <c r="K316" s="921"/>
      <c r="L316" s="4" t="s">
        <v>47</v>
      </c>
      <c r="M316" s="4"/>
      <c r="N316" s="4" t="s">
        <v>69</v>
      </c>
      <c r="O316" s="4" t="s">
        <v>69</v>
      </c>
      <c r="P316" s="4"/>
      <c r="Q316" s="4"/>
      <c r="R316" s="4"/>
      <c r="S316" s="4"/>
      <c r="T316" s="5"/>
      <c r="U316" s="5" t="s">
        <v>55</v>
      </c>
      <c r="V316" s="43" t="s">
        <v>944</v>
      </c>
    </row>
    <row r="317" spans="1:23" ht="15" hidden="1" customHeight="1">
      <c r="A317" s="4" t="s">
        <v>452</v>
      </c>
      <c r="B317" s="43" t="s">
        <v>37</v>
      </c>
      <c r="C317" s="338" t="s">
        <v>732</v>
      </c>
      <c r="D317" s="4" t="s">
        <v>24</v>
      </c>
      <c r="E317" s="4" t="s">
        <v>23</v>
      </c>
      <c r="F317" s="5"/>
      <c r="G317" s="40">
        <v>50</v>
      </c>
      <c r="H317" s="578">
        <f t="shared" si="25"/>
        <v>0</v>
      </c>
      <c r="I317" s="253"/>
      <c r="J317" s="578">
        <f ca="1">TODAY()-C317</f>
        <v>276</v>
      </c>
      <c r="K317" s="260" t="e">
        <f ca="1">IF(#REF!="","Sin fecha",((#REF!-TODAY())))</f>
        <v>#REF!</v>
      </c>
      <c r="L317" s="4" t="s">
        <v>48</v>
      </c>
      <c r="M317" s="4"/>
      <c r="N317" s="4"/>
      <c r="O317" s="4"/>
      <c r="P317" s="4"/>
      <c r="Q317" s="4"/>
      <c r="R317" s="4"/>
      <c r="S317" s="4"/>
      <c r="T317" s="5">
        <v>50</v>
      </c>
      <c r="U317" s="5" t="s">
        <v>55</v>
      </c>
      <c r="V317" s="43" t="s">
        <v>436</v>
      </c>
      <c r="W317" s="1">
        <v>50</v>
      </c>
    </row>
    <row r="318" spans="1:23" ht="15" hidden="1" customHeight="1">
      <c r="A318" s="15" t="s">
        <v>636</v>
      </c>
      <c r="B318" s="2">
        <v>5260</v>
      </c>
      <c r="C318" s="578" t="s">
        <v>732</v>
      </c>
      <c r="D318" s="15" t="s">
        <v>5</v>
      </c>
      <c r="E318" s="15" t="s">
        <v>41</v>
      </c>
      <c r="F318" s="59"/>
      <c r="G318" s="46">
        <v>60</v>
      </c>
      <c r="H318" s="572">
        <f t="shared" si="25"/>
        <v>0</v>
      </c>
      <c r="I318" s="253"/>
      <c r="J318" s="578">
        <f ca="1">TODAY()-C318</f>
        <v>276</v>
      </c>
      <c r="K318" s="260" t="str">
        <f ca="1">IF(I318="","Sin fecha",((I318-TODAY())))</f>
        <v>Sin fecha</v>
      </c>
      <c r="L318" s="4" t="s">
        <v>47</v>
      </c>
      <c r="M318" s="4"/>
      <c r="N318" s="4" t="s">
        <v>69</v>
      </c>
      <c r="O318" s="4" t="s">
        <v>69</v>
      </c>
      <c r="P318" s="4" t="s">
        <v>55</v>
      </c>
      <c r="Q318" s="4" t="s">
        <v>48</v>
      </c>
      <c r="R318" s="4" t="s">
        <v>55</v>
      </c>
      <c r="S318" s="4" t="s">
        <v>48</v>
      </c>
      <c r="T318" s="5">
        <v>60</v>
      </c>
      <c r="U318" s="5" t="s">
        <v>55</v>
      </c>
      <c r="V318" s="43" t="s">
        <v>711</v>
      </c>
    </row>
    <row r="319" spans="1:23" ht="15" hidden="1" customHeight="1">
      <c r="A319" s="4" t="s">
        <v>636</v>
      </c>
      <c r="B319" s="43" t="s">
        <v>37</v>
      </c>
      <c r="C319" s="338">
        <v>42278</v>
      </c>
      <c r="D319" s="304" t="s">
        <v>867</v>
      </c>
      <c r="E319" s="4" t="s">
        <v>687</v>
      </c>
      <c r="F319" s="5"/>
      <c r="G319" s="40">
        <v>166</v>
      </c>
      <c r="H319" s="572">
        <f t="shared" si="25"/>
        <v>0</v>
      </c>
      <c r="I319" s="253"/>
      <c r="J319" s="578">
        <f ca="1">TODAY()-C319</f>
        <v>267</v>
      </c>
      <c r="K319" s="260" t="str">
        <f ca="1">IF(I319="","Sin fecha",((I319-TODAY())))</f>
        <v>Sin fecha</v>
      </c>
      <c r="L319" s="4" t="s">
        <v>47</v>
      </c>
      <c r="M319" s="4"/>
      <c r="N319" s="4" t="s">
        <v>48</v>
      </c>
      <c r="O319" s="4" t="s">
        <v>48</v>
      </c>
      <c r="P319" s="4" t="s">
        <v>48</v>
      </c>
      <c r="Q319" s="4" t="s">
        <v>48</v>
      </c>
      <c r="R319" s="4" t="s">
        <v>48</v>
      </c>
      <c r="S319" s="4" t="s">
        <v>48</v>
      </c>
      <c r="T319" s="5">
        <v>166</v>
      </c>
      <c r="U319" s="5" t="s">
        <v>55</v>
      </c>
      <c r="V319" s="43" t="s">
        <v>711</v>
      </c>
    </row>
    <row r="320" spans="1:23" ht="15" hidden="1" customHeight="1">
      <c r="A320" s="15" t="s">
        <v>636</v>
      </c>
      <c r="B320" s="2">
        <v>5289</v>
      </c>
      <c r="C320" s="338">
        <v>42331</v>
      </c>
      <c r="D320" s="15" t="s">
        <v>21</v>
      </c>
      <c r="E320" s="15" t="s">
        <v>36</v>
      </c>
      <c r="F320" s="59"/>
      <c r="G320" s="46">
        <v>300</v>
      </c>
      <c r="H320" s="917">
        <f t="shared" si="25"/>
        <v>300</v>
      </c>
      <c r="I320" s="253"/>
      <c r="J320" s="921"/>
      <c r="K320" s="921"/>
      <c r="L320" s="4" t="s">
        <v>45</v>
      </c>
      <c r="M320" s="4"/>
      <c r="N320" s="4" t="s">
        <v>69</v>
      </c>
      <c r="O320" s="4" t="s">
        <v>48</v>
      </c>
      <c r="P320" s="4"/>
      <c r="Q320" s="4"/>
      <c r="R320" s="4"/>
      <c r="S320" s="4"/>
      <c r="T320" s="5"/>
      <c r="U320" s="5" t="s">
        <v>55</v>
      </c>
      <c r="V320" s="43" t="s">
        <v>944</v>
      </c>
    </row>
    <row r="321" spans="1:22" ht="15" hidden="1" customHeight="1">
      <c r="A321" s="1" t="s">
        <v>772</v>
      </c>
      <c r="B321" s="44" t="s">
        <v>37</v>
      </c>
      <c r="C321" s="276">
        <v>42285</v>
      </c>
      <c r="D321" s="1" t="s">
        <v>5</v>
      </c>
      <c r="E321" s="1" t="s">
        <v>35</v>
      </c>
      <c r="G321" s="18">
        <v>420</v>
      </c>
      <c r="H321" s="349">
        <f t="shared" si="25"/>
        <v>0</v>
      </c>
      <c r="J321" s="574">
        <f ca="1">TODAY()-C321</f>
        <v>260</v>
      </c>
      <c r="K321" s="260" t="str">
        <f ca="1">IF(I321="","Sin fecha",((I321-TODAY())))</f>
        <v>Sin fecha</v>
      </c>
      <c r="L321" s="4" t="s">
        <v>47</v>
      </c>
      <c r="N321" s="4" t="s">
        <v>48</v>
      </c>
      <c r="O321" s="4" t="s">
        <v>48</v>
      </c>
      <c r="P321" s="35" t="s">
        <v>48</v>
      </c>
      <c r="Q321" s="35" t="s">
        <v>48</v>
      </c>
      <c r="R321" s="35" t="s">
        <v>48</v>
      </c>
      <c r="S321" s="35" t="s">
        <v>48</v>
      </c>
      <c r="T321" s="16">
        <v>420</v>
      </c>
      <c r="U321" s="16" t="s">
        <v>55</v>
      </c>
      <c r="V321" s="44" t="s">
        <v>711</v>
      </c>
    </row>
    <row r="322" spans="1:22" ht="15" hidden="1" customHeight="1">
      <c r="A322" s="4" t="s">
        <v>453</v>
      </c>
      <c r="B322" s="43" t="s">
        <v>422</v>
      </c>
      <c r="C322" s="338">
        <v>42285</v>
      </c>
      <c r="D322" s="2" t="s">
        <v>111</v>
      </c>
      <c r="E322" s="4" t="s">
        <v>76</v>
      </c>
      <c r="F322" s="682"/>
      <c r="G322" s="40">
        <v>1</v>
      </c>
      <c r="H322" s="350">
        <f t="shared" si="25"/>
        <v>1</v>
      </c>
      <c r="I322" s="253"/>
      <c r="J322" s="247">
        <f ca="1">TODAY()-C322</f>
        <v>260</v>
      </c>
      <c r="K322" s="657" t="str">
        <f ca="1">IF(I322="","Sin fecha",((I322-TODAY())))</f>
        <v>Sin fecha</v>
      </c>
      <c r="L322" s="4" t="s">
        <v>47</v>
      </c>
      <c r="M322" s="4"/>
      <c r="N322" s="2" t="s">
        <v>48</v>
      </c>
      <c r="O322" s="2" t="s">
        <v>48</v>
      </c>
      <c r="P322" s="686" t="s">
        <v>48</v>
      </c>
      <c r="Q322" s="35" t="s">
        <v>48</v>
      </c>
      <c r="R322" s="35" t="s">
        <v>48</v>
      </c>
      <c r="S322" s="658" t="s">
        <v>48</v>
      </c>
      <c r="T322" s="5"/>
      <c r="U322" s="5" t="s">
        <v>55</v>
      </c>
      <c r="V322" s="43" t="s">
        <v>959</v>
      </c>
    </row>
    <row r="323" spans="1:22" ht="15" hidden="1" customHeight="1">
      <c r="A323" s="194" t="s">
        <v>636</v>
      </c>
      <c r="B323" s="206">
        <v>5289</v>
      </c>
      <c r="C323" s="469">
        <v>42331</v>
      </c>
      <c r="D323" s="194" t="s">
        <v>21</v>
      </c>
      <c r="E323" s="194" t="s">
        <v>102</v>
      </c>
      <c r="F323" s="59"/>
      <c r="G323" s="460">
        <v>300</v>
      </c>
      <c r="H323" s="696">
        <f t="shared" si="25"/>
        <v>300</v>
      </c>
      <c r="I323" s="292"/>
      <c r="J323" s="921"/>
      <c r="K323" s="921"/>
      <c r="L323" s="211" t="s">
        <v>45</v>
      </c>
      <c r="M323" s="211"/>
      <c r="N323" s="211" t="s">
        <v>69</v>
      </c>
      <c r="O323" s="211" t="s">
        <v>69</v>
      </c>
      <c r="P323" s="4"/>
      <c r="Q323" s="4"/>
      <c r="R323" s="4"/>
      <c r="S323" s="4"/>
      <c r="T323" s="210"/>
      <c r="U323" s="210" t="s">
        <v>55</v>
      </c>
      <c r="V323" s="291" t="s">
        <v>944</v>
      </c>
    </row>
    <row r="324" spans="1:22" ht="15" hidden="1" customHeight="1">
      <c r="A324" s="15" t="s">
        <v>636</v>
      </c>
      <c r="B324" s="2">
        <v>5289</v>
      </c>
      <c r="C324" s="338">
        <v>42331</v>
      </c>
      <c r="D324" s="15" t="s">
        <v>21</v>
      </c>
      <c r="E324" s="15" t="s">
        <v>802</v>
      </c>
      <c r="F324" s="59"/>
      <c r="G324" s="46">
        <v>200</v>
      </c>
      <c r="H324" s="919">
        <f t="shared" si="25"/>
        <v>200</v>
      </c>
      <c r="I324" s="253"/>
      <c r="J324" s="645"/>
      <c r="K324" s="921"/>
      <c r="L324" s="4" t="s">
        <v>45</v>
      </c>
      <c r="M324" s="4"/>
      <c r="N324" s="4" t="s">
        <v>69</v>
      </c>
      <c r="O324" s="4" t="s">
        <v>69</v>
      </c>
      <c r="P324" s="4"/>
      <c r="Q324" s="4"/>
      <c r="R324" s="4"/>
      <c r="S324" s="4"/>
      <c r="T324" s="5"/>
      <c r="U324" s="5" t="s">
        <v>55</v>
      </c>
      <c r="V324" s="43" t="s">
        <v>944</v>
      </c>
    </row>
    <row r="325" spans="1:22" ht="15" hidden="1" customHeight="1">
      <c r="A325" s="15" t="s">
        <v>193</v>
      </c>
      <c r="B325" s="2">
        <v>5291</v>
      </c>
      <c r="C325" s="338">
        <v>42334</v>
      </c>
      <c r="D325" s="15" t="s">
        <v>21</v>
      </c>
      <c r="E325" s="15" t="s">
        <v>192</v>
      </c>
      <c r="F325" s="59"/>
      <c r="G325" s="46">
        <v>6000</v>
      </c>
      <c r="H325" s="919">
        <f t="shared" si="25"/>
        <v>295</v>
      </c>
      <c r="I325" s="253"/>
      <c r="J325" s="645"/>
      <c r="K325" s="921"/>
      <c r="L325" s="4" t="s">
        <v>48</v>
      </c>
      <c r="M325" s="4"/>
      <c r="N325" s="4" t="s">
        <v>48</v>
      </c>
      <c r="O325" s="4" t="s">
        <v>48</v>
      </c>
      <c r="P325" s="4"/>
      <c r="Q325" s="4"/>
      <c r="R325" s="4"/>
      <c r="S325" s="4"/>
      <c r="T325" s="5">
        <f>2000+2000+1705</f>
        <v>5705</v>
      </c>
      <c r="U325" s="5" t="s">
        <v>55</v>
      </c>
      <c r="V325" s="43" t="s">
        <v>776</v>
      </c>
    </row>
    <row r="326" spans="1:22" ht="15" hidden="1" customHeight="1">
      <c r="A326" s="4" t="s">
        <v>193</v>
      </c>
      <c r="B326" s="43">
        <v>5214</v>
      </c>
      <c r="C326" s="338">
        <v>42344</v>
      </c>
      <c r="D326" s="4" t="s">
        <v>21</v>
      </c>
      <c r="E326" s="4" t="s">
        <v>562</v>
      </c>
      <c r="F326" s="5">
        <v>4000</v>
      </c>
      <c r="G326" s="40">
        <v>4300</v>
      </c>
      <c r="H326" s="921">
        <f t="shared" si="25"/>
        <v>0</v>
      </c>
      <c r="I326" s="253">
        <v>42197</v>
      </c>
      <c r="J326" s="651">
        <f ca="1">TODAY()-C326</f>
        <v>201</v>
      </c>
      <c r="K326" s="260">
        <f ca="1">IF(I326="","Sin fecha",((I326-TODAY())))</f>
        <v>-348</v>
      </c>
      <c r="L326" s="4" t="s">
        <v>48</v>
      </c>
      <c r="M326" s="4"/>
      <c r="N326" s="4" t="s">
        <v>48</v>
      </c>
      <c r="O326" s="4" t="s">
        <v>48</v>
      </c>
      <c r="P326" s="35" t="s">
        <v>48</v>
      </c>
      <c r="Q326" s="35" t="s">
        <v>48</v>
      </c>
      <c r="R326" s="35" t="s">
        <v>48</v>
      </c>
      <c r="S326" s="35" t="s">
        <v>48</v>
      </c>
      <c r="T326" s="5">
        <f>2500+1800</f>
        <v>4300</v>
      </c>
      <c r="U326" s="5" t="s">
        <v>55</v>
      </c>
      <c r="V326" s="43" t="s">
        <v>433</v>
      </c>
    </row>
    <row r="327" spans="1:22" ht="15" hidden="1" customHeight="1">
      <c r="A327" s="15" t="s">
        <v>193</v>
      </c>
      <c r="B327" s="2">
        <v>5297</v>
      </c>
      <c r="C327" s="338">
        <v>42349</v>
      </c>
      <c r="D327" s="15" t="s">
        <v>21</v>
      </c>
      <c r="E327" s="59" t="s">
        <v>793</v>
      </c>
      <c r="F327" s="59"/>
      <c r="G327" s="46">
        <v>5000</v>
      </c>
      <c r="H327" s="921">
        <f t="shared" si="25"/>
        <v>-405</v>
      </c>
      <c r="I327" s="759">
        <v>42309</v>
      </c>
      <c r="J327" s="651"/>
      <c r="K327" s="921"/>
      <c r="L327" s="4" t="s">
        <v>48</v>
      </c>
      <c r="M327" s="4"/>
      <c r="N327" s="4" t="s">
        <v>48</v>
      </c>
      <c r="O327" s="4" t="s">
        <v>48</v>
      </c>
      <c r="P327" s="4"/>
      <c r="Q327" s="4"/>
      <c r="R327" s="4"/>
      <c r="S327" s="4"/>
      <c r="T327" s="5">
        <f>2000+2000+1405</f>
        <v>5405</v>
      </c>
      <c r="U327" s="5" t="s">
        <v>55</v>
      </c>
      <c r="V327" s="43" t="s">
        <v>926</v>
      </c>
    </row>
    <row r="328" spans="1:22" ht="15" hidden="1" customHeight="1">
      <c r="A328" s="211" t="s">
        <v>636</v>
      </c>
      <c r="B328" s="291" t="s">
        <v>37</v>
      </c>
      <c r="C328" s="469">
        <v>42299</v>
      </c>
      <c r="D328" s="211" t="s">
        <v>24</v>
      </c>
      <c r="E328" s="211" t="s">
        <v>41</v>
      </c>
      <c r="F328" s="210"/>
      <c r="G328" s="208">
        <v>20</v>
      </c>
      <c r="H328" s="652">
        <f t="shared" si="25"/>
        <v>0</v>
      </c>
      <c r="I328" s="292"/>
      <c r="J328" s="653">
        <f ca="1">TODAY()-C328</f>
        <v>246</v>
      </c>
      <c r="K328" s="294" t="str">
        <f ca="1">IF(I328="","Sin fecha",((I328-TODAY())))</f>
        <v>Sin fecha</v>
      </c>
      <c r="L328" s="211" t="s">
        <v>48</v>
      </c>
      <c r="M328" s="211"/>
      <c r="N328" s="206" t="s">
        <v>48</v>
      </c>
      <c r="O328" s="206" t="s">
        <v>48</v>
      </c>
      <c r="P328" s="209" t="s">
        <v>48</v>
      </c>
      <c r="Q328" s="209" t="s">
        <v>48</v>
      </c>
      <c r="R328" s="209" t="s">
        <v>48</v>
      </c>
      <c r="S328" s="209" t="s">
        <v>48</v>
      </c>
      <c r="T328" s="210">
        <v>20</v>
      </c>
      <c r="U328" s="210" t="s">
        <v>55</v>
      </c>
      <c r="V328" s="291" t="s">
        <v>711</v>
      </c>
    </row>
    <row r="329" spans="1:22" ht="15" hidden="1" customHeight="1">
      <c r="A329" s="15" t="s">
        <v>636</v>
      </c>
      <c r="B329" s="2">
        <v>5271</v>
      </c>
      <c r="C329" s="338">
        <v>42299</v>
      </c>
      <c r="D329" s="15" t="s">
        <v>24</v>
      </c>
      <c r="E329" s="67" t="s">
        <v>41</v>
      </c>
      <c r="F329" s="59"/>
      <c r="G329" s="46">
        <v>152</v>
      </c>
      <c r="H329" s="650">
        <f t="shared" si="25"/>
        <v>0</v>
      </c>
      <c r="I329" s="253"/>
      <c r="J329" s="651">
        <f ca="1">TODAY()-C329</f>
        <v>246</v>
      </c>
      <c r="K329" s="260" t="str">
        <f ca="1">IF(I329="","Sin fecha",((I329-TODAY())))</f>
        <v>Sin fecha</v>
      </c>
      <c r="L329" s="4" t="s">
        <v>47</v>
      </c>
      <c r="M329" s="4"/>
      <c r="N329" s="4" t="s">
        <v>1</v>
      </c>
      <c r="O329" s="4" t="s">
        <v>1</v>
      </c>
      <c r="P329" s="35" t="s">
        <v>48</v>
      </c>
      <c r="Q329" s="35" t="s">
        <v>48</v>
      </c>
      <c r="R329" s="35" t="s">
        <v>48</v>
      </c>
      <c r="S329" s="35" t="s">
        <v>48</v>
      </c>
      <c r="T329" s="5">
        <v>152</v>
      </c>
      <c r="U329" s="5" t="s">
        <v>55</v>
      </c>
      <c r="V329" s="43" t="s">
        <v>775</v>
      </c>
    </row>
    <row r="330" spans="1:22" ht="15" hidden="1" customHeight="1">
      <c r="A330" s="15" t="s">
        <v>636</v>
      </c>
      <c r="B330" s="2">
        <v>5271</v>
      </c>
      <c r="C330" s="338">
        <v>42299</v>
      </c>
      <c r="D330" s="15" t="s">
        <v>24</v>
      </c>
      <c r="E330" s="67" t="s">
        <v>802</v>
      </c>
      <c r="F330" s="59"/>
      <c r="G330" s="46">
        <v>152</v>
      </c>
      <c r="H330" s="650">
        <f t="shared" si="25"/>
        <v>0</v>
      </c>
      <c r="I330" s="253"/>
      <c r="J330" s="651">
        <f ca="1">TODAY()-C330</f>
        <v>246</v>
      </c>
      <c r="K330" s="260" t="str">
        <f ca="1">IF(I330="","Sin fecha",((I330-TODAY())))</f>
        <v>Sin fecha</v>
      </c>
      <c r="L330" s="4" t="s">
        <v>47</v>
      </c>
      <c r="M330" s="4"/>
      <c r="N330" s="4" t="s">
        <v>1</v>
      </c>
      <c r="O330" s="4" t="s">
        <v>1</v>
      </c>
      <c r="P330" s="35" t="s">
        <v>48</v>
      </c>
      <c r="Q330" s="35" t="s">
        <v>48</v>
      </c>
      <c r="R330" s="35" t="s">
        <v>48</v>
      </c>
      <c r="S330" s="35" t="s">
        <v>48</v>
      </c>
      <c r="T330" s="5">
        <v>152</v>
      </c>
      <c r="U330" s="5" t="s">
        <v>55</v>
      </c>
      <c r="V330" s="43" t="s">
        <v>775</v>
      </c>
    </row>
    <row r="331" spans="1:22" hidden="1">
      <c r="A331" s="15" t="s">
        <v>636</v>
      </c>
      <c r="B331" s="2">
        <v>5300</v>
      </c>
      <c r="C331" s="338">
        <v>42376</v>
      </c>
      <c r="D331" s="15" t="s">
        <v>27</v>
      </c>
      <c r="E331" s="59" t="s">
        <v>70</v>
      </c>
      <c r="F331" s="59"/>
      <c r="G331" s="46">
        <v>150</v>
      </c>
      <c r="H331" s="783">
        <f t="shared" si="25"/>
        <v>-65</v>
      </c>
      <c r="I331" s="253"/>
      <c r="J331" s="783"/>
      <c r="K331" s="783"/>
      <c r="L331" s="4" t="s">
        <v>47</v>
      </c>
      <c r="M331" s="4"/>
      <c r="N331" s="4" t="s">
        <v>48</v>
      </c>
      <c r="O331" s="4" t="s">
        <v>48</v>
      </c>
      <c r="P331" s="4"/>
      <c r="Q331" s="4"/>
      <c r="R331" s="4"/>
      <c r="S331" s="4"/>
      <c r="T331" s="5">
        <v>215</v>
      </c>
      <c r="U331" s="5" t="s">
        <v>55</v>
      </c>
      <c r="V331" s="43" t="s">
        <v>947</v>
      </c>
    </row>
    <row r="332" spans="1:22" hidden="1">
      <c r="A332" s="15" t="s">
        <v>636</v>
      </c>
      <c r="B332" s="2">
        <v>5272</v>
      </c>
      <c r="C332" s="338">
        <v>42299</v>
      </c>
      <c r="D332" s="15" t="s">
        <v>13</v>
      </c>
      <c r="E332" s="67" t="s">
        <v>36</v>
      </c>
      <c r="F332" s="59"/>
      <c r="G332" s="46">
        <v>350</v>
      </c>
      <c r="H332" s="650">
        <f t="shared" si="25"/>
        <v>-62</v>
      </c>
      <c r="I332" s="253"/>
      <c r="J332" s="651">
        <f ca="1">TODAY()-C332</f>
        <v>246</v>
      </c>
      <c r="K332" s="260" t="str">
        <f ca="1">IF(I332="","Sin fecha",((I332-TODAY())))</f>
        <v>Sin fecha</v>
      </c>
      <c r="L332" s="4" t="s">
        <v>47</v>
      </c>
      <c r="M332" s="4"/>
      <c r="N332" s="4" t="s">
        <v>1</v>
      </c>
      <c r="O332" s="4" t="s">
        <v>48</v>
      </c>
      <c r="P332" s="35" t="s">
        <v>48</v>
      </c>
      <c r="Q332" s="35" t="s">
        <v>48</v>
      </c>
      <c r="R332" s="35" t="s">
        <v>48</v>
      </c>
      <c r="S332" s="35" t="s">
        <v>48</v>
      </c>
      <c r="T332" s="5">
        <f>152+150+110</f>
        <v>412</v>
      </c>
      <c r="U332" s="5" t="s">
        <v>55</v>
      </c>
      <c r="V332" s="43" t="s">
        <v>776</v>
      </c>
    </row>
    <row r="333" spans="1:22" hidden="1">
      <c r="A333" s="15" t="s">
        <v>636</v>
      </c>
      <c r="B333" s="2">
        <v>5272</v>
      </c>
      <c r="C333" s="338">
        <v>42299</v>
      </c>
      <c r="D333" s="15" t="s">
        <v>13</v>
      </c>
      <c r="E333" s="67" t="s">
        <v>41</v>
      </c>
      <c r="F333" s="59"/>
      <c r="G333" s="46">
        <v>300</v>
      </c>
      <c r="H333" s="650">
        <f t="shared" si="25"/>
        <v>0</v>
      </c>
      <c r="I333" s="253"/>
      <c r="J333" s="651">
        <f ca="1">TODAY()-C333</f>
        <v>246</v>
      </c>
      <c r="K333" s="260" t="str">
        <f ca="1">IF(I333="","Sin fecha",((I333-TODAY())))</f>
        <v>Sin fecha</v>
      </c>
      <c r="L333" s="4" t="s">
        <v>47</v>
      </c>
      <c r="M333" s="4"/>
      <c r="N333" s="4" t="s">
        <v>1</v>
      </c>
      <c r="O333" s="4" t="s">
        <v>69</v>
      </c>
      <c r="P333" s="4" t="s">
        <v>55</v>
      </c>
      <c r="Q333" s="35" t="s">
        <v>48</v>
      </c>
      <c r="R333" s="35" t="s">
        <v>48</v>
      </c>
      <c r="S333" s="35" t="s">
        <v>48</v>
      </c>
      <c r="T333" s="5">
        <f>136+164</f>
        <v>300</v>
      </c>
      <c r="U333" s="5" t="s">
        <v>55</v>
      </c>
      <c r="V333" s="43" t="s">
        <v>776</v>
      </c>
    </row>
    <row r="334" spans="1:22" hidden="1">
      <c r="A334" s="15" t="s">
        <v>636</v>
      </c>
      <c r="B334" s="2">
        <v>5300</v>
      </c>
      <c r="C334" s="338">
        <v>42376</v>
      </c>
      <c r="D334" s="15" t="s">
        <v>27</v>
      </c>
      <c r="E334" s="59" t="s">
        <v>930</v>
      </c>
      <c r="F334" s="59"/>
      <c r="G334" s="46">
        <v>120</v>
      </c>
      <c r="H334" s="783">
        <f t="shared" si="25"/>
        <v>-21</v>
      </c>
      <c r="I334" s="253"/>
      <c r="J334" s="783"/>
      <c r="K334" s="783"/>
      <c r="L334" s="4" t="s">
        <v>47</v>
      </c>
      <c r="M334" s="4"/>
      <c r="N334" s="4" t="s">
        <v>48</v>
      </c>
      <c r="O334" s="4" t="s">
        <v>48</v>
      </c>
      <c r="P334" s="4"/>
      <c r="Q334" s="4"/>
      <c r="R334" s="4"/>
      <c r="S334" s="4"/>
      <c r="T334" s="5">
        <v>141</v>
      </c>
      <c r="U334" s="5" t="s">
        <v>55</v>
      </c>
      <c r="V334" s="43" t="s">
        <v>947</v>
      </c>
    </row>
    <row r="335" spans="1:22" hidden="1">
      <c r="A335" s="4" t="s">
        <v>636</v>
      </c>
      <c r="B335" s="43">
        <v>5275</v>
      </c>
      <c r="C335" s="338">
        <v>42305</v>
      </c>
      <c r="D335" s="4" t="s">
        <v>57</v>
      </c>
      <c r="E335" s="15" t="s">
        <v>826</v>
      </c>
      <c r="F335" s="659"/>
      <c r="G335" s="40">
        <v>800</v>
      </c>
      <c r="H335" s="656">
        <f t="shared" si="25"/>
        <v>-45</v>
      </c>
      <c r="I335" s="253"/>
      <c r="J335" s="655"/>
      <c r="K335" s="657"/>
      <c r="L335" s="4" t="s">
        <v>47</v>
      </c>
      <c r="M335" s="4"/>
      <c r="N335" s="2" t="s">
        <v>48</v>
      </c>
      <c r="O335" s="2" t="s">
        <v>48</v>
      </c>
      <c r="P335" s="4"/>
      <c r="Q335" s="4"/>
      <c r="R335" s="4"/>
      <c r="S335" s="660"/>
      <c r="T335" s="5">
        <v>845</v>
      </c>
      <c r="U335" s="5" t="s">
        <v>55</v>
      </c>
      <c r="V335" s="43" t="s">
        <v>775</v>
      </c>
    </row>
    <row r="336" spans="1:22" hidden="1">
      <c r="A336" s="4" t="s">
        <v>636</v>
      </c>
      <c r="B336" s="43">
        <v>5276</v>
      </c>
      <c r="C336" s="338">
        <v>42306</v>
      </c>
      <c r="D336" s="4" t="s">
        <v>33</v>
      </c>
      <c r="E336" s="4" t="s">
        <v>189</v>
      </c>
      <c r="G336" s="40">
        <v>300</v>
      </c>
      <c r="H336" s="656">
        <f t="shared" si="25"/>
        <v>-15</v>
      </c>
      <c r="I336" s="253"/>
      <c r="J336" s="655">
        <f ca="1">TODAY()-C336</f>
        <v>239</v>
      </c>
      <c r="K336" s="657" t="str">
        <f ca="1">IF(I336="","Sin fecha",((I336-TODAY())))</f>
        <v>Sin fecha</v>
      </c>
      <c r="L336" s="4" t="s">
        <v>47</v>
      </c>
      <c r="M336" s="4"/>
      <c r="N336" s="2" t="s">
        <v>48</v>
      </c>
      <c r="O336" s="2" t="s">
        <v>48</v>
      </c>
      <c r="P336" s="35" t="s">
        <v>48</v>
      </c>
      <c r="Q336" s="35" t="s">
        <v>48</v>
      </c>
      <c r="R336" s="35" t="s">
        <v>48</v>
      </c>
      <c r="S336" s="658" t="s">
        <v>48</v>
      </c>
      <c r="T336" s="5">
        <v>315</v>
      </c>
      <c r="U336" s="5" t="s">
        <v>55</v>
      </c>
      <c r="V336" s="43" t="s">
        <v>775</v>
      </c>
    </row>
    <row r="337" spans="1:22" hidden="1">
      <c r="A337" s="4" t="s">
        <v>49</v>
      </c>
      <c r="B337" s="43">
        <v>5277</v>
      </c>
      <c r="C337" s="338" t="s">
        <v>825</v>
      </c>
      <c r="D337" s="4" t="s">
        <v>11</v>
      </c>
      <c r="E337" s="4" t="s">
        <v>10</v>
      </c>
      <c r="G337" s="40">
        <v>100</v>
      </c>
      <c r="H337" s="28">
        <f t="shared" ref="H337:H368" si="27">G337-T337</f>
        <v>-31</v>
      </c>
      <c r="I337" s="253"/>
      <c r="L337" s="4" t="s">
        <v>45</v>
      </c>
      <c r="M337" s="4"/>
      <c r="N337" s="4" t="s">
        <v>48</v>
      </c>
      <c r="O337" s="4" t="s">
        <v>48</v>
      </c>
      <c r="T337" s="5">
        <v>131</v>
      </c>
      <c r="U337" s="5" t="s">
        <v>55</v>
      </c>
      <c r="V337" s="43" t="s">
        <v>775</v>
      </c>
    </row>
    <row r="338" spans="1:22" hidden="1">
      <c r="A338" s="4" t="s">
        <v>49</v>
      </c>
      <c r="B338" s="43">
        <v>5277</v>
      </c>
      <c r="C338" s="338" t="s">
        <v>825</v>
      </c>
      <c r="D338" s="4" t="s">
        <v>11</v>
      </c>
      <c r="E338" s="4" t="s">
        <v>598</v>
      </c>
      <c r="G338" s="40">
        <v>100</v>
      </c>
      <c r="H338" s="28">
        <f t="shared" si="27"/>
        <v>-17</v>
      </c>
      <c r="I338" s="253"/>
      <c r="L338" s="4" t="s">
        <v>45</v>
      </c>
      <c r="M338" s="4"/>
      <c r="N338" s="4" t="s">
        <v>48</v>
      </c>
      <c r="O338" s="4" t="s">
        <v>48</v>
      </c>
      <c r="T338" s="5">
        <v>117</v>
      </c>
      <c r="U338" s="5" t="s">
        <v>55</v>
      </c>
      <c r="V338" s="43" t="s">
        <v>775</v>
      </c>
    </row>
    <row r="339" spans="1:22" hidden="1">
      <c r="A339" s="15" t="s">
        <v>193</v>
      </c>
      <c r="B339" s="2">
        <v>5299</v>
      </c>
      <c r="C339" s="338">
        <v>42367</v>
      </c>
      <c r="D339" s="15" t="s">
        <v>21</v>
      </c>
      <c r="E339" s="59" t="s">
        <v>919</v>
      </c>
      <c r="F339"/>
      <c r="G339" s="46">
        <v>2000</v>
      </c>
      <c r="H339" s="921">
        <f t="shared" si="27"/>
        <v>20</v>
      </c>
      <c r="I339" s="253"/>
      <c r="L339" s="4" t="s">
        <v>48</v>
      </c>
      <c r="M339" s="4"/>
      <c r="N339" s="4" t="s">
        <v>48</v>
      </c>
      <c r="O339" s="4" t="s">
        <v>48</v>
      </c>
      <c r="T339" s="5">
        <v>1980</v>
      </c>
      <c r="U339" s="5" t="s">
        <v>55</v>
      </c>
      <c r="V339" s="43" t="s">
        <v>926</v>
      </c>
    </row>
    <row r="340" spans="1:22" hidden="1">
      <c r="A340" s="15" t="s">
        <v>193</v>
      </c>
      <c r="B340" s="2">
        <v>5299</v>
      </c>
      <c r="C340" s="338">
        <v>42367</v>
      </c>
      <c r="D340" s="15" t="s">
        <v>21</v>
      </c>
      <c r="E340" s="59" t="s">
        <v>600</v>
      </c>
      <c r="F340" s="663"/>
      <c r="G340" s="46">
        <v>1500</v>
      </c>
      <c r="H340" s="921">
        <f t="shared" si="27"/>
        <v>180</v>
      </c>
      <c r="I340" s="253"/>
      <c r="L340" s="4" t="s">
        <v>48</v>
      </c>
      <c r="M340" s="4"/>
      <c r="N340" s="4" t="s">
        <v>48</v>
      </c>
      <c r="O340" s="4" t="s">
        <v>48</v>
      </c>
      <c r="T340" s="5">
        <v>1320</v>
      </c>
      <c r="U340" s="5" t="s">
        <v>55</v>
      </c>
      <c r="V340" s="43" t="s">
        <v>926</v>
      </c>
    </row>
    <row r="341" spans="1:22" hidden="1">
      <c r="A341" s="4" t="s">
        <v>49</v>
      </c>
      <c r="B341" s="2">
        <v>5279</v>
      </c>
      <c r="C341" s="338">
        <v>42312</v>
      </c>
      <c r="D341" s="15" t="s">
        <v>5</v>
      </c>
      <c r="E341" s="15" t="s">
        <v>17</v>
      </c>
      <c r="F341" s="663"/>
      <c r="G341" s="46">
        <v>80</v>
      </c>
      <c r="H341" s="28">
        <f t="shared" si="27"/>
        <v>10</v>
      </c>
      <c r="I341" s="253"/>
      <c r="L341" s="4" t="s">
        <v>47</v>
      </c>
      <c r="M341" s="4"/>
      <c r="N341" s="4" t="s">
        <v>69</v>
      </c>
      <c r="O341" s="4" t="s">
        <v>69</v>
      </c>
      <c r="T341" s="5">
        <v>70</v>
      </c>
      <c r="U341" s="5" t="s">
        <v>55</v>
      </c>
      <c r="V341" s="43" t="s">
        <v>775</v>
      </c>
    </row>
    <row r="342" spans="1:22" hidden="1">
      <c r="A342" s="4" t="s">
        <v>49</v>
      </c>
      <c r="B342" s="2">
        <v>5279</v>
      </c>
      <c r="C342" s="338">
        <v>42312</v>
      </c>
      <c r="D342" s="15" t="s">
        <v>5</v>
      </c>
      <c r="E342" s="15" t="s">
        <v>36</v>
      </c>
      <c r="F342" s="663"/>
      <c r="G342" s="46">
        <v>100</v>
      </c>
      <c r="H342" s="28">
        <f t="shared" si="27"/>
        <v>0</v>
      </c>
      <c r="I342" s="253"/>
      <c r="L342" s="4" t="s">
        <v>47</v>
      </c>
      <c r="M342" s="4"/>
      <c r="N342" s="4" t="s">
        <v>69</v>
      </c>
      <c r="O342" s="4" t="s">
        <v>48</v>
      </c>
      <c r="T342" s="5">
        <v>100</v>
      </c>
      <c r="U342" s="5" t="s">
        <v>55</v>
      </c>
      <c r="V342" s="43" t="s">
        <v>775</v>
      </c>
    </row>
    <row r="343" spans="1:22" hidden="1">
      <c r="A343" s="15" t="s">
        <v>193</v>
      </c>
      <c r="B343" s="2">
        <v>5301</v>
      </c>
      <c r="C343" s="338">
        <v>42383</v>
      </c>
      <c r="D343" s="15" t="s">
        <v>21</v>
      </c>
      <c r="E343" s="59" t="s">
        <v>790</v>
      </c>
      <c r="F343"/>
      <c r="G343" s="46">
        <v>3000</v>
      </c>
      <c r="H343" s="921">
        <f t="shared" si="27"/>
        <v>-135</v>
      </c>
      <c r="I343" s="503">
        <v>42706</v>
      </c>
      <c r="L343" s="4" t="s">
        <v>48</v>
      </c>
      <c r="M343" s="4"/>
      <c r="N343" s="4" t="s">
        <v>48</v>
      </c>
      <c r="O343" s="4" t="s">
        <v>48</v>
      </c>
      <c r="P343" s="16"/>
      <c r="Q343" s="16" t="s">
        <v>56</v>
      </c>
      <c r="T343" s="5">
        <f>2000+1135</f>
        <v>3135</v>
      </c>
      <c r="U343" s="5" t="s">
        <v>55</v>
      </c>
      <c r="V343" s="903">
        <v>42370</v>
      </c>
    </row>
    <row r="344" spans="1:22" hidden="1">
      <c r="A344" s="15" t="s">
        <v>193</v>
      </c>
      <c r="B344" s="2">
        <v>5301</v>
      </c>
      <c r="C344" s="338">
        <v>42383</v>
      </c>
      <c r="D344" s="15" t="s">
        <v>21</v>
      </c>
      <c r="E344" s="59" t="s">
        <v>937</v>
      </c>
      <c r="F344"/>
      <c r="G344" s="46">
        <v>1000</v>
      </c>
      <c r="H344" s="921">
        <f t="shared" si="27"/>
        <v>-201</v>
      </c>
      <c r="I344" s="503">
        <v>42706</v>
      </c>
      <c r="L344" s="4" t="s">
        <v>48</v>
      </c>
      <c r="M344" s="4"/>
      <c r="N344" s="4" t="s">
        <v>48</v>
      </c>
      <c r="O344" s="4" t="s">
        <v>48</v>
      </c>
      <c r="P344" s="16"/>
      <c r="Q344" s="16" t="s">
        <v>56</v>
      </c>
      <c r="T344" s="5">
        <v>1201</v>
      </c>
      <c r="U344" s="5" t="s">
        <v>55</v>
      </c>
      <c r="V344" s="43" t="s">
        <v>947</v>
      </c>
    </row>
    <row r="345" spans="1:22" hidden="1">
      <c r="A345" s="15" t="s">
        <v>636</v>
      </c>
      <c r="B345" s="2" t="s">
        <v>942</v>
      </c>
      <c r="C345" s="338">
        <v>42389</v>
      </c>
      <c r="D345" s="15" t="s">
        <v>21</v>
      </c>
      <c r="E345" s="15" t="s">
        <v>22</v>
      </c>
      <c r="F345"/>
      <c r="G345" s="930">
        <v>500</v>
      </c>
      <c r="H345" s="917">
        <f t="shared" si="27"/>
        <v>0</v>
      </c>
      <c r="I345" s="59" t="s">
        <v>943</v>
      </c>
      <c r="L345" s="4" t="s">
        <v>47</v>
      </c>
      <c r="M345" s="4"/>
      <c r="N345" s="4" t="s">
        <v>69</v>
      </c>
      <c r="O345" s="4" t="s">
        <v>69</v>
      </c>
      <c r="T345" s="5">
        <v>500</v>
      </c>
      <c r="U345" s="5" t="s">
        <v>55</v>
      </c>
      <c r="V345" s="903">
        <v>42370</v>
      </c>
    </row>
    <row r="346" spans="1:22" hidden="1">
      <c r="A346" s="15" t="s">
        <v>636</v>
      </c>
      <c r="B346" s="2" t="s">
        <v>942</v>
      </c>
      <c r="C346" s="338">
        <v>42390</v>
      </c>
      <c r="D346" s="15" t="s">
        <v>21</v>
      </c>
      <c r="E346" s="15" t="s">
        <v>102</v>
      </c>
      <c r="F346"/>
      <c r="G346" s="46">
        <v>300</v>
      </c>
      <c r="H346" s="917">
        <f t="shared" si="27"/>
        <v>0</v>
      </c>
      <c r="I346" s="59" t="s">
        <v>943</v>
      </c>
      <c r="L346" s="4" t="s">
        <v>47</v>
      </c>
      <c r="M346" s="4"/>
      <c r="N346" s="4" t="s">
        <v>69</v>
      </c>
      <c r="O346" s="4" t="s">
        <v>69</v>
      </c>
      <c r="T346" s="5">
        <v>300</v>
      </c>
      <c r="U346" s="5" t="s">
        <v>55</v>
      </c>
      <c r="V346" s="43" t="s">
        <v>947</v>
      </c>
    </row>
    <row r="347" spans="1:22" hidden="1">
      <c r="A347" s="15" t="s">
        <v>636</v>
      </c>
      <c r="B347" s="2">
        <v>5282</v>
      </c>
      <c r="C347" s="338">
        <v>42318</v>
      </c>
      <c r="D347" s="15" t="s">
        <v>3</v>
      </c>
      <c r="E347" s="15" t="s">
        <v>456</v>
      </c>
      <c r="F347"/>
      <c r="G347" s="46">
        <v>2400</v>
      </c>
      <c r="H347" s="28">
        <f t="shared" si="27"/>
        <v>0</v>
      </c>
      <c r="I347" s="253"/>
      <c r="L347" s="4" t="s">
        <v>47</v>
      </c>
      <c r="M347" s="4"/>
      <c r="N347" s="4" t="s">
        <v>48</v>
      </c>
      <c r="O347" s="4" t="s">
        <v>48</v>
      </c>
      <c r="T347" s="5">
        <f>615+400+474+400+400+111</f>
        <v>2400</v>
      </c>
      <c r="U347" s="5" t="s">
        <v>55</v>
      </c>
      <c r="V347" s="43" t="s">
        <v>926</v>
      </c>
    </row>
    <row r="348" spans="1:22" hidden="1">
      <c r="A348" s="15" t="s">
        <v>636</v>
      </c>
      <c r="B348" s="2">
        <v>5283</v>
      </c>
      <c r="C348" s="338">
        <v>42319</v>
      </c>
      <c r="D348" s="304" t="s">
        <v>867</v>
      </c>
      <c r="E348" s="15" t="s">
        <v>687</v>
      </c>
      <c r="F348"/>
      <c r="G348" s="46">
        <v>375</v>
      </c>
      <c r="H348" s="28">
        <f t="shared" si="27"/>
        <v>0</v>
      </c>
      <c r="I348" s="253"/>
      <c r="L348" s="4" t="s">
        <v>47</v>
      </c>
      <c r="M348" s="4"/>
      <c r="N348" s="4" t="s">
        <v>48</v>
      </c>
      <c r="O348" s="4" t="s">
        <v>48</v>
      </c>
      <c r="T348" s="5">
        <f>250+125</f>
        <v>375</v>
      </c>
      <c r="U348" s="5" t="s">
        <v>55</v>
      </c>
      <c r="V348" s="43" t="s">
        <v>775</v>
      </c>
    </row>
    <row r="349" spans="1:22" hidden="1">
      <c r="A349" s="304" t="s">
        <v>636</v>
      </c>
      <c r="B349" s="301" t="s">
        <v>942</v>
      </c>
      <c r="C349" s="458">
        <v>42390</v>
      </c>
      <c r="D349" s="304" t="s">
        <v>21</v>
      </c>
      <c r="E349" s="304" t="s">
        <v>40</v>
      </c>
      <c r="F349"/>
      <c r="G349" s="454">
        <v>300</v>
      </c>
      <c r="H349" s="919">
        <f t="shared" si="27"/>
        <v>0</v>
      </c>
      <c r="I349" s="459" t="s">
        <v>943</v>
      </c>
      <c r="L349" s="284" t="s">
        <v>47</v>
      </c>
      <c r="M349" s="284"/>
      <c r="N349" s="284" t="s">
        <v>69</v>
      </c>
      <c r="O349" s="284" t="s">
        <v>69</v>
      </c>
      <c r="T349" s="290">
        <v>300</v>
      </c>
      <c r="U349" s="16" t="s">
        <v>55</v>
      </c>
      <c r="V349" s="285" t="s">
        <v>947</v>
      </c>
    </row>
    <row r="350" spans="1:22" ht="15.75" hidden="1">
      <c r="A350" s="4" t="s">
        <v>49</v>
      </c>
      <c r="B350" s="43">
        <v>5284</v>
      </c>
      <c r="C350" s="338">
        <v>42321</v>
      </c>
      <c r="D350" s="4" t="s">
        <v>111</v>
      </c>
      <c r="E350" s="15" t="s">
        <v>577</v>
      </c>
      <c r="F350" s="668">
        <v>150</v>
      </c>
      <c r="G350" s="40">
        <v>150</v>
      </c>
      <c r="H350" s="675">
        <f t="shared" si="27"/>
        <v>-29</v>
      </c>
      <c r="I350" s="253"/>
      <c r="L350" s="4" t="s">
        <v>47</v>
      </c>
      <c r="M350" s="4"/>
      <c r="N350" s="4" t="s">
        <v>69</v>
      </c>
      <c r="O350" s="4" t="s">
        <v>69</v>
      </c>
      <c r="T350" s="5">
        <f>176+3</f>
        <v>179</v>
      </c>
      <c r="U350" s="5" t="s">
        <v>55</v>
      </c>
      <c r="V350" s="43" t="s">
        <v>776</v>
      </c>
    </row>
    <row r="351" spans="1:22" hidden="1">
      <c r="A351" s="15" t="s">
        <v>636</v>
      </c>
      <c r="B351" s="2" t="s">
        <v>942</v>
      </c>
      <c r="C351" s="338">
        <v>42390</v>
      </c>
      <c r="D351" s="15" t="s">
        <v>21</v>
      </c>
      <c r="E351" s="15" t="s">
        <v>858</v>
      </c>
      <c r="F351"/>
      <c r="G351" s="46">
        <v>300</v>
      </c>
      <c r="H351" s="784">
        <f t="shared" si="27"/>
        <v>0</v>
      </c>
      <c r="I351" s="59" t="s">
        <v>943</v>
      </c>
      <c r="L351" s="4" t="s">
        <v>47</v>
      </c>
      <c r="M351" s="4"/>
      <c r="N351" s="4" t="s">
        <v>48</v>
      </c>
      <c r="O351" s="4" t="s">
        <v>48</v>
      </c>
      <c r="T351" s="290">
        <v>300</v>
      </c>
      <c r="U351" s="5" t="s">
        <v>55</v>
      </c>
      <c r="V351" s="43" t="s">
        <v>948</v>
      </c>
    </row>
    <row r="352" spans="1:22" hidden="1">
      <c r="A352" s="15" t="s">
        <v>636</v>
      </c>
      <c r="B352" s="2" t="s">
        <v>942</v>
      </c>
      <c r="C352" s="338">
        <v>42390</v>
      </c>
      <c r="D352" s="15" t="s">
        <v>21</v>
      </c>
      <c r="E352" s="15" t="s">
        <v>802</v>
      </c>
      <c r="F352"/>
      <c r="G352" s="46">
        <v>200</v>
      </c>
      <c r="H352" s="784">
        <f t="shared" si="27"/>
        <v>-8</v>
      </c>
      <c r="I352" s="59" t="s">
        <v>943</v>
      </c>
      <c r="L352" s="4" t="s">
        <v>47</v>
      </c>
      <c r="M352" s="4"/>
      <c r="N352" s="4" t="s">
        <v>69</v>
      </c>
      <c r="O352" s="4" t="s">
        <v>69</v>
      </c>
      <c r="T352" s="5">
        <f>200+8</f>
        <v>208</v>
      </c>
      <c r="U352" s="5" t="s">
        <v>55</v>
      </c>
      <c r="V352" s="43" t="s">
        <v>947</v>
      </c>
    </row>
    <row r="353" spans="1:22" hidden="1">
      <c r="A353" s="15" t="s">
        <v>636</v>
      </c>
      <c r="B353" s="2" t="s">
        <v>942</v>
      </c>
      <c r="C353" s="338">
        <v>42390</v>
      </c>
      <c r="D353" s="15" t="s">
        <v>21</v>
      </c>
      <c r="E353" s="15" t="s">
        <v>36</v>
      </c>
      <c r="F353"/>
      <c r="G353" s="930">
        <v>400</v>
      </c>
      <c r="H353" s="784">
        <f t="shared" si="27"/>
        <v>0</v>
      </c>
      <c r="I353" s="59" t="s">
        <v>943</v>
      </c>
      <c r="L353" s="4" t="s">
        <v>47</v>
      </c>
      <c r="M353" s="4"/>
      <c r="N353" s="4" t="s">
        <v>69</v>
      </c>
      <c r="O353" s="4" t="s">
        <v>48</v>
      </c>
      <c r="T353" s="290">
        <v>400</v>
      </c>
      <c r="U353" s="5" t="s">
        <v>55</v>
      </c>
      <c r="V353" s="903">
        <v>42370</v>
      </c>
    </row>
    <row r="354" spans="1:22" hidden="1">
      <c r="A354" s="4" t="s">
        <v>49</v>
      </c>
      <c r="B354" s="43">
        <v>5228</v>
      </c>
      <c r="C354" s="338">
        <v>42193</v>
      </c>
      <c r="D354" s="369" t="s">
        <v>13</v>
      </c>
      <c r="E354" s="15" t="s">
        <v>14</v>
      </c>
      <c r="G354" s="40">
        <v>291</v>
      </c>
      <c r="H354" s="784">
        <f t="shared" si="27"/>
        <v>20</v>
      </c>
      <c r="I354" s="253"/>
      <c r="J354" s="791">
        <f ca="1">TODAY()-C354</f>
        <v>352</v>
      </c>
      <c r="K354" s="632" t="str">
        <f ca="1">IF(I354="","Sin fecha",((I354-TODAY())))</f>
        <v>Sin fecha</v>
      </c>
      <c r="L354" s="4" t="s">
        <v>47</v>
      </c>
      <c r="M354" s="4"/>
      <c r="N354" s="4" t="s">
        <v>1</v>
      </c>
      <c r="O354" s="4" t="s">
        <v>1</v>
      </c>
      <c r="T354" s="5">
        <f>+(100-58)+129+100</f>
        <v>271</v>
      </c>
      <c r="U354" s="5" t="s">
        <v>55</v>
      </c>
      <c r="V354" s="43" t="s">
        <v>959</v>
      </c>
    </row>
    <row r="355" spans="1:22" hidden="1">
      <c r="A355" s="15" t="s">
        <v>648</v>
      </c>
      <c r="B355" s="2" t="s">
        <v>37</v>
      </c>
      <c r="C355" s="338" t="s">
        <v>647</v>
      </c>
      <c r="D355" s="15" t="s">
        <v>13</v>
      </c>
      <c r="E355" s="63" t="s">
        <v>649</v>
      </c>
      <c r="F355"/>
      <c r="G355" s="784">
        <v>274</v>
      </c>
      <c r="H355" s="783">
        <f t="shared" si="27"/>
        <v>0</v>
      </c>
      <c r="I355" s="253"/>
      <c r="J355" s="29">
        <f ca="1">TODAY()-C355</f>
        <v>338</v>
      </c>
      <c r="K355" s="632" t="str">
        <f ca="1">IF(I355="","Sin fecha",((I355-TODAY())))</f>
        <v>Sin fecha</v>
      </c>
      <c r="L355" s="4" t="s">
        <v>48</v>
      </c>
      <c r="M355" s="4"/>
      <c r="N355" s="4" t="s">
        <v>48</v>
      </c>
      <c r="O355" s="4" t="s">
        <v>48</v>
      </c>
      <c r="P355" s="39" t="s">
        <v>48</v>
      </c>
      <c r="Q355" s="39" t="s">
        <v>48</v>
      </c>
      <c r="R355" s="39" t="s">
        <v>48</v>
      </c>
      <c r="S355" s="39" t="s">
        <v>48</v>
      </c>
      <c r="T355" s="5">
        <v>274</v>
      </c>
      <c r="U355" s="5" t="s">
        <v>55</v>
      </c>
      <c r="V355" s="43" t="s">
        <v>1013</v>
      </c>
    </row>
    <row r="356" spans="1:22" hidden="1">
      <c r="A356" s="15" t="s">
        <v>636</v>
      </c>
      <c r="B356" s="2">
        <v>5257</v>
      </c>
      <c r="C356" s="783" t="s">
        <v>725</v>
      </c>
      <c r="D356" s="15" t="s">
        <v>13</v>
      </c>
      <c r="E356" s="15" t="s">
        <v>41</v>
      </c>
      <c r="F356"/>
      <c r="G356" s="46">
        <v>406</v>
      </c>
      <c r="H356" s="675">
        <f t="shared" si="27"/>
        <v>34</v>
      </c>
      <c r="I356" s="525" t="s">
        <v>726</v>
      </c>
      <c r="J356" s="791">
        <f ca="1">TODAY()-C356</f>
        <v>281</v>
      </c>
      <c r="K356" s="632">
        <f ca="1">IF(I356="","Sin fecha",((I356-TODAY())))</f>
        <v>-273</v>
      </c>
      <c r="L356" s="4" t="s">
        <v>47</v>
      </c>
      <c r="M356" s="4"/>
      <c r="N356" s="4" t="s">
        <v>1</v>
      </c>
      <c r="O356" s="4" t="s">
        <v>1</v>
      </c>
      <c r="P356" s="39" t="s">
        <v>48</v>
      </c>
      <c r="Q356" s="39" t="s">
        <v>48</v>
      </c>
      <c r="R356" s="1" t="s">
        <v>48</v>
      </c>
      <c r="S356" s="1" t="s">
        <v>48</v>
      </c>
      <c r="T356" s="5">
        <f>160+58+154</f>
        <v>372</v>
      </c>
      <c r="U356" s="5" t="s">
        <v>55</v>
      </c>
      <c r="V356" s="43" t="s">
        <v>959</v>
      </c>
    </row>
    <row r="357" spans="1:22" ht="15.75" hidden="1">
      <c r="A357" s="4" t="s">
        <v>49</v>
      </c>
      <c r="B357" s="43">
        <v>5284</v>
      </c>
      <c r="C357" s="338">
        <v>42321</v>
      </c>
      <c r="D357" s="4" t="s">
        <v>111</v>
      </c>
      <c r="E357" s="15" t="s">
        <v>862</v>
      </c>
      <c r="F357" s="668">
        <v>100</v>
      </c>
      <c r="G357" s="40">
        <v>100</v>
      </c>
      <c r="H357" s="675">
        <f t="shared" si="27"/>
        <v>-20</v>
      </c>
      <c r="I357" s="253"/>
      <c r="L357" s="4" t="s">
        <v>47</v>
      </c>
      <c r="M357" s="4"/>
      <c r="N357" s="4" t="s">
        <v>48</v>
      </c>
      <c r="O357" s="4" t="s">
        <v>48</v>
      </c>
      <c r="T357" s="5">
        <v>120</v>
      </c>
      <c r="U357" s="5" t="s">
        <v>55</v>
      </c>
      <c r="V357" s="43" t="s">
        <v>776</v>
      </c>
    </row>
    <row r="358" spans="1:22" ht="15.75" hidden="1">
      <c r="A358" s="4" t="s">
        <v>49</v>
      </c>
      <c r="B358" s="43">
        <v>5284</v>
      </c>
      <c r="C358" s="338">
        <v>42321</v>
      </c>
      <c r="D358" s="4" t="s">
        <v>111</v>
      </c>
      <c r="E358" s="15" t="s">
        <v>35</v>
      </c>
      <c r="F358" s="668">
        <v>1500</v>
      </c>
      <c r="G358" s="40">
        <v>1500</v>
      </c>
      <c r="H358" s="675">
        <f t="shared" si="27"/>
        <v>0</v>
      </c>
      <c r="I358" s="253"/>
      <c r="L358" s="4" t="s">
        <v>47</v>
      </c>
      <c r="M358" s="4"/>
      <c r="N358" s="4" t="s">
        <v>48</v>
      </c>
      <c r="O358" s="4" t="s">
        <v>48</v>
      </c>
      <c r="T358" s="5">
        <f>500+1000</f>
        <v>1500</v>
      </c>
      <c r="U358" s="5" t="s">
        <v>55</v>
      </c>
      <c r="V358" s="43" t="s">
        <v>776</v>
      </c>
    </row>
    <row r="359" spans="1:22" hidden="1">
      <c r="A359" s="194" t="s">
        <v>193</v>
      </c>
      <c r="B359" s="206">
        <v>5309</v>
      </c>
      <c r="C359" s="469">
        <v>42403</v>
      </c>
      <c r="D359" s="194" t="s">
        <v>21</v>
      </c>
      <c r="E359" s="194" t="s">
        <v>968</v>
      </c>
      <c r="F359"/>
      <c r="G359" s="460">
        <v>6000</v>
      </c>
      <c r="H359" s="920">
        <f t="shared" si="27"/>
        <v>-176</v>
      </c>
      <c r="I359" s="935">
        <v>42432</v>
      </c>
      <c r="L359" s="211" t="s">
        <v>48</v>
      </c>
      <c r="M359" s="211"/>
      <c r="N359" s="211" t="s">
        <v>48</v>
      </c>
      <c r="O359" s="211" t="s">
        <v>48</v>
      </c>
      <c r="T359" s="210">
        <f>3088+3088</f>
        <v>6176</v>
      </c>
      <c r="U359" s="210" t="s">
        <v>55</v>
      </c>
      <c r="V359" s="291" t="s">
        <v>947</v>
      </c>
    </row>
    <row r="360" spans="1:22" hidden="1">
      <c r="A360" s="15" t="s">
        <v>193</v>
      </c>
      <c r="B360" s="2">
        <v>5309</v>
      </c>
      <c r="C360" s="338">
        <v>42403</v>
      </c>
      <c r="D360" s="15" t="s">
        <v>21</v>
      </c>
      <c r="E360" s="15" t="s">
        <v>969</v>
      </c>
      <c r="F360"/>
      <c r="G360" s="46">
        <v>2000</v>
      </c>
      <c r="H360" s="917">
        <f t="shared" si="27"/>
        <v>-70</v>
      </c>
      <c r="I360" s="503">
        <v>42432</v>
      </c>
      <c r="L360" s="4" t="s">
        <v>48</v>
      </c>
      <c r="M360" s="4"/>
      <c r="N360" s="4" t="s">
        <v>48</v>
      </c>
      <c r="O360" s="4" t="s">
        <v>48</v>
      </c>
      <c r="T360" s="5">
        <v>2070</v>
      </c>
      <c r="U360" s="5" t="s">
        <v>55</v>
      </c>
      <c r="V360" s="43" t="s">
        <v>948</v>
      </c>
    </row>
    <row r="361" spans="1:22" hidden="1">
      <c r="A361" s="15" t="s">
        <v>193</v>
      </c>
      <c r="B361" s="2">
        <v>5309</v>
      </c>
      <c r="C361" s="338">
        <v>42403</v>
      </c>
      <c r="D361" s="15" t="s">
        <v>21</v>
      </c>
      <c r="E361" s="15" t="s">
        <v>481</v>
      </c>
      <c r="F361"/>
      <c r="G361" s="46">
        <v>2000</v>
      </c>
      <c r="H361" s="667">
        <f t="shared" si="27"/>
        <v>-133</v>
      </c>
      <c r="I361" s="503">
        <v>42432</v>
      </c>
      <c r="L361" s="4" t="s">
        <v>48</v>
      </c>
      <c r="M361" s="4"/>
      <c r="N361" s="4" t="s">
        <v>48</v>
      </c>
      <c r="O361" s="4" t="s">
        <v>48</v>
      </c>
      <c r="T361" s="5">
        <v>2133</v>
      </c>
      <c r="U361" s="5" t="s">
        <v>55</v>
      </c>
      <c r="V361" s="43" t="s">
        <v>948</v>
      </c>
    </row>
    <row r="362" spans="1:22" hidden="1">
      <c r="A362" s="15" t="s">
        <v>193</v>
      </c>
      <c r="B362" s="2">
        <v>5316</v>
      </c>
      <c r="C362" s="338">
        <v>42433</v>
      </c>
      <c r="D362" s="15" t="s">
        <v>21</v>
      </c>
      <c r="E362" s="15" t="s">
        <v>792</v>
      </c>
      <c r="F362"/>
      <c r="G362" s="46">
        <v>5000</v>
      </c>
      <c r="H362" s="667">
        <f t="shared" si="27"/>
        <v>175</v>
      </c>
      <c r="I362" s="253"/>
      <c r="L362" s="4" t="s">
        <v>48</v>
      </c>
      <c r="M362" s="4"/>
      <c r="N362" s="4" t="s">
        <v>48</v>
      </c>
      <c r="O362" s="4" t="s">
        <v>48</v>
      </c>
      <c r="T362" s="5">
        <f>2000+2000+825</f>
        <v>4825</v>
      </c>
      <c r="U362" s="5" t="s">
        <v>55</v>
      </c>
      <c r="V362" s="43" t="s">
        <v>948</v>
      </c>
    </row>
    <row r="363" spans="1:22" hidden="1">
      <c r="A363" s="15" t="s">
        <v>636</v>
      </c>
      <c r="B363" s="43">
        <v>5286</v>
      </c>
      <c r="C363" s="338">
        <v>42313</v>
      </c>
      <c r="D363" s="15" t="s">
        <v>24</v>
      </c>
      <c r="E363" s="4" t="s">
        <v>264</v>
      </c>
      <c r="G363" s="40">
        <v>204</v>
      </c>
      <c r="H363" s="669">
        <f t="shared" si="27"/>
        <v>1</v>
      </c>
      <c r="I363" s="253"/>
      <c r="L363" s="4" t="s">
        <v>47</v>
      </c>
      <c r="M363" s="4"/>
      <c r="N363" s="4" t="s">
        <v>1</v>
      </c>
      <c r="O363" s="4" t="s">
        <v>48</v>
      </c>
      <c r="T363" s="5">
        <f>165+38</f>
        <v>203</v>
      </c>
      <c r="U363" s="5" t="s">
        <v>55</v>
      </c>
      <c r="V363" s="43" t="s">
        <v>776</v>
      </c>
    </row>
    <row r="364" spans="1:22" hidden="1">
      <c r="A364" s="15" t="s">
        <v>852</v>
      </c>
      <c r="B364" s="2">
        <v>5287</v>
      </c>
      <c r="C364" s="338">
        <v>42317</v>
      </c>
      <c r="D364" s="15" t="s">
        <v>24</v>
      </c>
      <c r="E364" s="15" t="s">
        <v>802</v>
      </c>
      <c r="F364"/>
      <c r="G364" s="46">
        <v>152</v>
      </c>
      <c r="H364" s="669">
        <f t="shared" si="27"/>
        <v>3</v>
      </c>
      <c r="I364" s="253"/>
      <c r="L364" s="4" t="s">
        <v>47</v>
      </c>
      <c r="M364" s="4"/>
      <c r="N364" s="4" t="s">
        <v>48</v>
      </c>
      <c r="O364" s="4" t="s">
        <v>48</v>
      </c>
      <c r="T364" s="5">
        <v>149</v>
      </c>
      <c r="U364" s="5" t="s">
        <v>55</v>
      </c>
      <c r="V364" s="43" t="s">
        <v>775</v>
      </c>
    </row>
    <row r="365" spans="1:22" hidden="1">
      <c r="A365" s="15" t="s">
        <v>636</v>
      </c>
      <c r="B365" s="2">
        <v>5288</v>
      </c>
      <c r="C365" s="338">
        <v>42326</v>
      </c>
      <c r="D365" s="15" t="s">
        <v>3</v>
      </c>
      <c r="E365" s="15" t="s">
        <v>856</v>
      </c>
      <c r="F365"/>
      <c r="G365" s="46">
        <v>400</v>
      </c>
      <c r="H365" s="670">
        <f t="shared" si="27"/>
        <v>0</v>
      </c>
      <c r="I365" s="253"/>
      <c r="L365" s="4" t="s">
        <v>47</v>
      </c>
      <c r="M365" s="4"/>
      <c r="N365" s="4" t="s">
        <v>48</v>
      </c>
      <c r="O365" s="4" t="s">
        <v>48</v>
      </c>
      <c r="T365" s="5">
        <v>400</v>
      </c>
      <c r="U365" s="5" t="s">
        <v>55</v>
      </c>
      <c r="V365" s="43"/>
    </row>
    <row r="366" spans="1:22" hidden="1">
      <c r="A366" s="15" t="s">
        <v>636</v>
      </c>
      <c r="B366" s="2">
        <v>5288</v>
      </c>
      <c r="C366" s="338">
        <v>42326</v>
      </c>
      <c r="D366" s="15" t="s">
        <v>3</v>
      </c>
      <c r="E366" s="15" t="s">
        <v>857</v>
      </c>
      <c r="F366"/>
      <c r="G366" s="46">
        <v>200</v>
      </c>
      <c r="H366" s="670">
        <f t="shared" si="27"/>
        <v>0</v>
      </c>
      <c r="I366" s="253"/>
      <c r="L366" s="4" t="s">
        <v>47</v>
      </c>
      <c r="M366" s="4"/>
      <c r="N366" s="4" t="s">
        <v>48</v>
      </c>
      <c r="O366" s="4" t="s">
        <v>48</v>
      </c>
      <c r="T366" s="5">
        <v>200</v>
      </c>
      <c r="U366" s="5" t="s">
        <v>55</v>
      </c>
      <c r="V366" s="43"/>
    </row>
    <row r="367" spans="1:22" hidden="1">
      <c r="A367" s="15" t="s">
        <v>636</v>
      </c>
      <c r="B367" s="2">
        <v>5272</v>
      </c>
      <c r="C367" s="338">
        <v>42299</v>
      </c>
      <c r="D367" s="15" t="s">
        <v>13</v>
      </c>
      <c r="E367" s="15" t="s">
        <v>577</v>
      </c>
      <c r="F367"/>
      <c r="G367" s="46">
        <v>200</v>
      </c>
      <c r="H367" s="784">
        <f t="shared" si="27"/>
        <v>6</v>
      </c>
      <c r="I367" s="253"/>
      <c r="J367" s="29">
        <f ca="1">TODAY()-C367</f>
        <v>246</v>
      </c>
      <c r="K367" s="632" t="str">
        <f ca="1">IF(I367="","Sin fecha",((I367-TODAY())))</f>
        <v>Sin fecha</v>
      </c>
      <c r="L367" s="4" t="s">
        <v>47</v>
      </c>
      <c r="M367" s="4"/>
      <c r="N367" s="4" t="s">
        <v>1</v>
      </c>
      <c r="O367" s="4" t="s">
        <v>1</v>
      </c>
      <c r="P367" s="1" t="s">
        <v>55</v>
      </c>
      <c r="Q367" s="39" t="s">
        <v>48</v>
      </c>
      <c r="R367" s="39" t="s">
        <v>48</v>
      </c>
      <c r="S367" s="39" t="s">
        <v>48</v>
      </c>
      <c r="T367" s="5">
        <v>194</v>
      </c>
      <c r="U367" s="5" t="s">
        <v>55</v>
      </c>
      <c r="V367" s="43" t="s">
        <v>775</v>
      </c>
    </row>
    <row r="368" spans="1:22" hidden="1">
      <c r="A368" s="4" t="s">
        <v>195</v>
      </c>
      <c r="B368" s="43">
        <v>5273</v>
      </c>
      <c r="C368" s="338">
        <v>42303</v>
      </c>
      <c r="D368" s="4" t="s">
        <v>13</v>
      </c>
      <c r="E368" s="15" t="s">
        <v>804</v>
      </c>
      <c r="G368" s="40">
        <v>293</v>
      </c>
      <c r="H368" s="784">
        <f t="shared" si="27"/>
        <v>3</v>
      </c>
      <c r="I368" s="253"/>
      <c r="J368" s="29">
        <f ca="1">TODAY()-C368</f>
        <v>242</v>
      </c>
      <c r="K368" s="632" t="str">
        <f ca="1">IF(I368="","Sin fecha",((I368-TODAY())))</f>
        <v>Sin fecha</v>
      </c>
      <c r="L368" s="4" t="s">
        <v>47</v>
      </c>
      <c r="M368" s="4"/>
      <c r="N368" s="4" t="s">
        <v>48</v>
      </c>
      <c r="O368" s="4" t="s">
        <v>48</v>
      </c>
      <c r="T368" s="5">
        <v>290</v>
      </c>
      <c r="U368" s="5" t="s">
        <v>55</v>
      </c>
      <c r="V368" s="43" t="s">
        <v>775</v>
      </c>
    </row>
    <row r="369" spans="1:22" hidden="1">
      <c r="A369" s="15" t="s">
        <v>193</v>
      </c>
      <c r="B369" s="2">
        <v>5316</v>
      </c>
      <c r="C369" s="338">
        <v>42433</v>
      </c>
      <c r="D369" s="15" t="s">
        <v>21</v>
      </c>
      <c r="E369" s="15" t="s">
        <v>794</v>
      </c>
      <c r="F369" s="663"/>
      <c r="G369" s="46">
        <v>1000</v>
      </c>
      <c r="H369" s="671">
        <f t="shared" ref="H369:H400" si="28">G369-T369</f>
        <v>70</v>
      </c>
      <c r="I369" s="253"/>
      <c r="L369" s="4" t="s">
        <v>48</v>
      </c>
      <c r="M369" s="4"/>
      <c r="N369" s="4" t="s">
        <v>48</v>
      </c>
      <c r="O369" s="4" t="s">
        <v>48</v>
      </c>
      <c r="T369" s="5">
        <v>930</v>
      </c>
      <c r="U369" s="5" t="s">
        <v>55</v>
      </c>
      <c r="V369" s="43" t="s">
        <v>948</v>
      </c>
    </row>
    <row r="370" spans="1:22" hidden="1">
      <c r="A370" s="15" t="s">
        <v>193</v>
      </c>
      <c r="B370" s="2">
        <v>5318</v>
      </c>
      <c r="C370" s="338">
        <v>42440</v>
      </c>
      <c r="D370" s="15" t="s">
        <v>21</v>
      </c>
      <c r="E370" s="15" t="s">
        <v>192</v>
      </c>
      <c r="F370" s="663"/>
      <c r="G370" s="921">
        <v>5000</v>
      </c>
      <c r="H370" s="671">
        <f t="shared" si="28"/>
        <v>-56</v>
      </c>
      <c r="I370" s="253"/>
      <c r="L370" s="4" t="s">
        <v>48</v>
      </c>
      <c r="M370" s="4"/>
      <c r="N370" s="4" t="s">
        <v>48</v>
      </c>
      <c r="O370" s="4" t="s">
        <v>48</v>
      </c>
      <c r="T370" s="5">
        <v>5056</v>
      </c>
      <c r="U370" s="5" t="s">
        <v>55</v>
      </c>
      <c r="V370" s="43" t="s">
        <v>1013</v>
      </c>
    </row>
    <row r="371" spans="1:22" hidden="1">
      <c r="A371" s="15" t="s">
        <v>94</v>
      </c>
      <c r="B371" s="2">
        <v>5325</v>
      </c>
      <c r="C371" s="338">
        <v>42446</v>
      </c>
      <c r="D371" s="15" t="s">
        <v>21</v>
      </c>
      <c r="E371" s="15" t="s">
        <v>1012</v>
      </c>
      <c r="F371" s="663"/>
      <c r="G371" s="46">
        <v>200</v>
      </c>
      <c r="H371" s="671">
        <f t="shared" si="28"/>
        <v>0</v>
      </c>
      <c r="I371" s="253"/>
      <c r="L371" s="4" t="s">
        <v>48</v>
      </c>
      <c r="M371" s="4"/>
      <c r="N371" s="4" t="s">
        <v>48</v>
      </c>
      <c r="O371" s="4" t="s">
        <v>48</v>
      </c>
      <c r="T371" s="5">
        <v>200</v>
      </c>
      <c r="U371" s="5" t="s">
        <v>55</v>
      </c>
      <c r="V371" s="43" t="s">
        <v>948</v>
      </c>
    </row>
    <row r="372" spans="1:22" hidden="1">
      <c r="A372" s="15" t="s">
        <v>193</v>
      </c>
      <c r="B372" s="2">
        <v>5328</v>
      </c>
      <c r="C372" s="338">
        <v>42447</v>
      </c>
      <c r="D372" s="15" t="s">
        <v>21</v>
      </c>
      <c r="E372" s="15" t="s">
        <v>600</v>
      </c>
      <c r="F372" s="663"/>
      <c r="G372" s="46">
        <v>1500</v>
      </c>
      <c r="H372" s="671">
        <f t="shared" si="28"/>
        <v>282</v>
      </c>
      <c r="I372" s="253"/>
      <c r="L372" s="4" t="s">
        <v>48</v>
      </c>
      <c r="M372" s="4"/>
      <c r="N372" s="4" t="s">
        <v>48</v>
      </c>
      <c r="O372" s="4" t="s">
        <v>48</v>
      </c>
      <c r="T372" s="5">
        <v>1218</v>
      </c>
      <c r="U372" s="5" t="s">
        <v>55</v>
      </c>
      <c r="V372" s="43" t="s">
        <v>1013</v>
      </c>
    </row>
    <row r="373" spans="1:22" hidden="1">
      <c r="A373" s="15" t="s">
        <v>193</v>
      </c>
      <c r="B373" s="2">
        <v>5328</v>
      </c>
      <c r="C373" s="338">
        <v>42447</v>
      </c>
      <c r="D373" s="15" t="s">
        <v>21</v>
      </c>
      <c r="E373" s="15" t="s">
        <v>601</v>
      </c>
      <c r="F373" s="663"/>
      <c r="G373" s="46">
        <v>1500</v>
      </c>
      <c r="H373" s="671">
        <f t="shared" si="28"/>
        <v>-49</v>
      </c>
      <c r="I373" s="253"/>
      <c r="L373" s="4" t="s">
        <v>48</v>
      </c>
      <c r="M373" s="4"/>
      <c r="N373" s="4" t="s">
        <v>48</v>
      </c>
      <c r="O373" s="4" t="s">
        <v>48</v>
      </c>
      <c r="T373" s="5">
        <v>1549</v>
      </c>
      <c r="U373" s="5" t="s">
        <v>55</v>
      </c>
      <c r="V373" s="43" t="s">
        <v>1013</v>
      </c>
    </row>
    <row r="374" spans="1:22" hidden="1">
      <c r="A374" s="15" t="s">
        <v>193</v>
      </c>
      <c r="B374" s="2">
        <v>5330</v>
      </c>
      <c r="C374" s="338">
        <v>42464</v>
      </c>
      <c r="D374" s="15" t="s">
        <v>21</v>
      </c>
      <c r="E374" s="15" t="s">
        <v>1026</v>
      </c>
      <c r="F374" s="663"/>
      <c r="G374" s="46">
        <v>3800</v>
      </c>
      <c r="H374" s="917">
        <f t="shared" si="28"/>
        <v>-137</v>
      </c>
      <c r="I374" s="253"/>
      <c r="L374" s="4" t="s">
        <v>48</v>
      </c>
      <c r="M374" s="4"/>
      <c r="N374" s="4" t="s">
        <v>48</v>
      </c>
      <c r="O374" s="4" t="s">
        <v>48</v>
      </c>
      <c r="T374" s="5">
        <f>2000+1937</f>
        <v>3937</v>
      </c>
      <c r="U374" s="5" t="s">
        <v>55</v>
      </c>
      <c r="V374" s="43" t="s">
        <v>1013</v>
      </c>
    </row>
    <row r="375" spans="1:22" hidden="1">
      <c r="A375" s="676" t="s">
        <v>636</v>
      </c>
      <c r="B375" s="2">
        <v>5290</v>
      </c>
      <c r="C375" s="338">
        <v>42332</v>
      </c>
      <c r="D375" s="15" t="s">
        <v>13</v>
      </c>
      <c r="E375" s="15" t="s">
        <v>861</v>
      </c>
      <c r="F375" s="663"/>
      <c r="G375" s="46">
        <v>100</v>
      </c>
      <c r="H375" s="675">
        <f t="shared" si="28"/>
        <v>-33</v>
      </c>
      <c r="I375" s="253"/>
      <c r="L375" s="4" t="s">
        <v>47</v>
      </c>
      <c r="M375" s="4"/>
      <c r="N375" s="4" t="s">
        <v>48</v>
      </c>
      <c r="O375" s="4" t="s">
        <v>48</v>
      </c>
      <c r="T375" s="5">
        <v>133</v>
      </c>
      <c r="U375" s="5" t="s">
        <v>55</v>
      </c>
      <c r="V375" s="43" t="s">
        <v>776</v>
      </c>
    </row>
    <row r="376" spans="1:22" hidden="1">
      <c r="A376" s="676" t="s">
        <v>636</v>
      </c>
      <c r="B376" s="2">
        <v>5290</v>
      </c>
      <c r="C376" s="338">
        <v>42332</v>
      </c>
      <c r="D376" s="15" t="s">
        <v>13</v>
      </c>
      <c r="E376" s="15" t="s">
        <v>19</v>
      </c>
      <c r="F376" s="663"/>
      <c r="G376" s="46">
        <v>100</v>
      </c>
      <c r="H376" s="675">
        <f t="shared" si="28"/>
        <v>-5</v>
      </c>
      <c r="I376" s="253"/>
      <c r="L376" s="4" t="s">
        <v>47</v>
      </c>
      <c r="M376" s="4"/>
      <c r="N376" s="4" t="s">
        <v>48</v>
      </c>
      <c r="O376" s="4" t="s">
        <v>48</v>
      </c>
      <c r="T376" s="5">
        <v>105</v>
      </c>
      <c r="U376" s="5" t="s">
        <v>55</v>
      </c>
      <c r="V376" s="43" t="s">
        <v>776</v>
      </c>
    </row>
    <row r="377" spans="1:22" hidden="1">
      <c r="A377" s="15" t="s">
        <v>193</v>
      </c>
      <c r="B377" s="2">
        <v>5330</v>
      </c>
      <c r="C377" s="338">
        <v>42464</v>
      </c>
      <c r="D377" s="15" t="s">
        <v>21</v>
      </c>
      <c r="E377" s="15" t="s">
        <v>1027</v>
      </c>
      <c r="F377"/>
      <c r="G377" s="46">
        <v>1000</v>
      </c>
      <c r="H377" s="917">
        <f t="shared" si="28"/>
        <v>-882</v>
      </c>
      <c r="I377" s="253"/>
      <c r="L377" s="4" t="s">
        <v>48</v>
      </c>
      <c r="M377" s="4"/>
      <c r="N377" s="4" t="s">
        <v>48</v>
      </c>
      <c r="O377" s="4" t="s">
        <v>48</v>
      </c>
      <c r="T377" s="5">
        <v>1882</v>
      </c>
      <c r="U377" s="5" t="s">
        <v>55</v>
      </c>
      <c r="V377" s="43" t="s">
        <v>1013</v>
      </c>
    </row>
    <row r="378" spans="1:22" hidden="1">
      <c r="A378" s="15" t="s">
        <v>94</v>
      </c>
      <c r="B378" s="2">
        <v>5292</v>
      </c>
      <c r="C378" s="338">
        <v>42333</v>
      </c>
      <c r="D378" s="15" t="s">
        <v>868</v>
      </c>
      <c r="E378" s="15" t="s">
        <v>869</v>
      </c>
      <c r="F378"/>
      <c r="G378" s="46">
        <v>426</v>
      </c>
      <c r="H378" s="702">
        <f t="shared" si="28"/>
        <v>0</v>
      </c>
      <c r="I378" s="253"/>
      <c r="L378" s="4" t="s">
        <v>48</v>
      </c>
      <c r="M378" s="4"/>
      <c r="N378" s="4" t="s">
        <v>48</v>
      </c>
      <c r="O378" s="4" t="s">
        <v>48</v>
      </c>
      <c r="T378" s="5">
        <v>426</v>
      </c>
      <c r="U378" s="5" t="s">
        <v>55</v>
      </c>
      <c r="V378" s="43" t="s">
        <v>947</v>
      </c>
    </row>
    <row r="379" spans="1:22" hidden="1">
      <c r="A379" s="15" t="s">
        <v>636</v>
      </c>
      <c r="B379" s="2">
        <v>5281</v>
      </c>
      <c r="C379" s="338">
        <v>42317</v>
      </c>
      <c r="D379" s="676" t="s">
        <v>13</v>
      </c>
      <c r="E379" s="15" t="s">
        <v>22</v>
      </c>
      <c r="F379" s="663"/>
      <c r="G379" s="46">
        <v>510</v>
      </c>
      <c r="H379" s="28">
        <f t="shared" si="28"/>
        <v>0</v>
      </c>
      <c r="I379" s="253"/>
      <c r="L379" s="4" t="s">
        <v>47</v>
      </c>
      <c r="M379" s="4"/>
      <c r="N379" s="4" t="s">
        <v>1</v>
      </c>
      <c r="O379" s="4" t="s">
        <v>1</v>
      </c>
      <c r="T379" s="5">
        <f>130+307+73</f>
        <v>510</v>
      </c>
      <c r="U379" s="5" t="s">
        <v>55</v>
      </c>
      <c r="V379" s="43" t="s">
        <v>1013</v>
      </c>
    </row>
    <row r="380" spans="1:22" hidden="1">
      <c r="A380" s="15" t="s">
        <v>636</v>
      </c>
      <c r="B380" s="2">
        <v>5294</v>
      </c>
      <c r="C380" s="338">
        <v>42340</v>
      </c>
      <c r="D380" s="676" t="s">
        <v>867</v>
      </c>
      <c r="E380" s="15" t="s">
        <v>687</v>
      </c>
      <c r="F380" s="663"/>
      <c r="G380" s="46">
        <v>500</v>
      </c>
      <c r="H380" s="703">
        <f t="shared" si="28"/>
        <v>0</v>
      </c>
      <c r="I380" s="253"/>
      <c r="L380" s="4" t="s">
        <v>45</v>
      </c>
      <c r="M380" s="4"/>
      <c r="N380" s="4" t="s">
        <v>48</v>
      </c>
      <c r="O380" s="4" t="s">
        <v>48</v>
      </c>
      <c r="T380" s="5">
        <v>500</v>
      </c>
      <c r="U380" s="5" t="s">
        <v>55</v>
      </c>
      <c r="V380" s="43" t="s">
        <v>776</v>
      </c>
    </row>
    <row r="381" spans="1:22" hidden="1">
      <c r="A381" s="15" t="s">
        <v>636</v>
      </c>
      <c r="B381" s="2" t="s">
        <v>940</v>
      </c>
      <c r="C381" s="338">
        <v>42387</v>
      </c>
      <c r="D381" s="4" t="s">
        <v>13</v>
      </c>
      <c r="E381" s="4" t="s">
        <v>102</v>
      </c>
      <c r="F381" s="5"/>
      <c r="G381" s="40">
        <v>200</v>
      </c>
      <c r="H381" s="784">
        <f t="shared" si="28"/>
        <v>45</v>
      </c>
      <c r="I381" s="253"/>
      <c r="L381" s="4" t="s">
        <v>47</v>
      </c>
      <c r="M381" s="4"/>
      <c r="N381" s="4" t="s">
        <v>69</v>
      </c>
      <c r="O381" s="4" t="s">
        <v>69</v>
      </c>
      <c r="T381" s="5">
        <v>155</v>
      </c>
      <c r="U381" s="5" t="s">
        <v>55</v>
      </c>
      <c r="V381" s="43" t="s">
        <v>947</v>
      </c>
    </row>
    <row r="382" spans="1:22" hidden="1">
      <c r="A382" s="15" t="s">
        <v>636</v>
      </c>
      <c r="B382" s="2">
        <v>5296</v>
      </c>
      <c r="C382" s="338">
        <v>42348</v>
      </c>
      <c r="D382" s="15" t="s">
        <v>34</v>
      </c>
      <c r="E382" s="212">
        <v>1860</v>
      </c>
      <c r="F382" s="59"/>
      <c r="G382" s="46">
        <v>400</v>
      </c>
      <c r="H382" s="758">
        <f t="shared" si="28"/>
        <v>0</v>
      </c>
      <c r="I382" s="212" t="s">
        <v>901</v>
      </c>
      <c r="L382" s="4" t="s">
        <v>47</v>
      </c>
      <c r="M382" s="4"/>
      <c r="N382" s="4" t="s">
        <v>48</v>
      </c>
      <c r="O382" s="4" t="s">
        <v>48</v>
      </c>
      <c r="T382" s="5">
        <v>400</v>
      </c>
      <c r="U382" s="5" t="s">
        <v>55</v>
      </c>
      <c r="V382" s="43" t="s">
        <v>926</v>
      </c>
    </row>
    <row r="383" spans="1:22" hidden="1">
      <c r="A383" s="15" t="s">
        <v>636</v>
      </c>
      <c r="B383" s="2">
        <v>5296</v>
      </c>
      <c r="C383" s="338">
        <v>42348</v>
      </c>
      <c r="D383" s="15" t="s">
        <v>34</v>
      </c>
      <c r="E383" s="212">
        <v>1860</v>
      </c>
      <c r="F383" s="59"/>
      <c r="G383" s="46">
        <v>400</v>
      </c>
      <c r="H383" s="758">
        <f t="shared" si="28"/>
        <v>0</v>
      </c>
      <c r="I383" s="212" t="s">
        <v>902</v>
      </c>
      <c r="L383" s="4" t="s">
        <v>47</v>
      </c>
      <c r="M383" s="4"/>
      <c r="N383" s="4" t="s">
        <v>48</v>
      </c>
      <c r="O383" s="4" t="s">
        <v>48</v>
      </c>
      <c r="T383" s="5">
        <v>400</v>
      </c>
      <c r="U383" s="5" t="s">
        <v>55</v>
      </c>
      <c r="V383" s="43" t="s">
        <v>926</v>
      </c>
    </row>
    <row r="384" spans="1:22" hidden="1">
      <c r="A384" s="304" t="s">
        <v>636</v>
      </c>
      <c r="B384" s="301" t="s">
        <v>962</v>
      </c>
      <c r="C384" s="458">
        <v>42397</v>
      </c>
      <c r="D384" s="304" t="s">
        <v>13</v>
      </c>
      <c r="E384" s="304" t="s">
        <v>40</v>
      </c>
      <c r="F384" s="59"/>
      <c r="G384" s="454">
        <v>202</v>
      </c>
      <c r="H384" s="893">
        <f t="shared" si="28"/>
        <v>4</v>
      </c>
      <c r="I384" s="459" t="s">
        <v>963</v>
      </c>
      <c r="L384" s="284" t="s">
        <v>47</v>
      </c>
      <c r="M384" s="284"/>
      <c r="N384" s="284" t="s">
        <v>1</v>
      </c>
      <c r="O384" s="304" t="s">
        <v>1</v>
      </c>
      <c r="T384" s="290">
        <v>198</v>
      </c>
      <c r="U384" s="290" t="s">
        <v>55</v>
      </c>
      <c r="V384" s="285" t="s">
        <v>947</v>
      </c>
    </row>
    <row r="385" spans="1:22">
      <c r="A385" s="15" t="s">
        <v>636</v>
      </c>
      <c r="B385" s="3" t="s">
        <v>962</v>
      </c>
      <c r="C385" s="338">
        <v>42397</v>
      </c>
      <c r="D385" s="15" t="s">
        <v>13</v>
      </c>
      <c r="E385" s="15" t="s">
        <v>964</v>
      </c>
      <c r="F385" s="663"/>
      <c r="G385" s="46">
        <v>302</v>
      </c>
      <c r="H385" s="896">
        <f t="shared" si="28"/>
        <v>17</v>
      </c>
      <c r="I385" s="59" t="s">
        <v>963</v>
      </c>
      <c r="L385" s="4" t="s">
        <v>47</v>
      </c>
      <c r="M385" s="4"/>
      <c r="N385" s="4" t="s">
        <v>1</v>
      </c>
      <c r="O385" s="4" t="s">
        <v>1</v>
      </c>
      <c r="T385" s="5">
        <v>285</v>
      </c>
      <c r="U385" s="5" t="s">
        <v>56</v>
      </c>
      <c r="V385" s="43"/>
    </row>
    <row r="386" spans="1:22" hidden="1">
      <c r="A386" s="15" t="s">
        <v>636</v>
      </c>
      <c r="B386" s="2">
        <v>5296</v>
      </c>
      <c r="C386" s="338">
        <v>42348</v>
      </c>
      <c r="D386" s="15" t="s">
        <v>34</v>
      </c>
      <c r="E386" s="212">
        <v>1870</v>
      </c>
      <c r="F386" s="59"/>
      <c r="G386" s="46">
        <v>400</v>
      </c>
      <c r="H386" s="758">
        <f t="shared" si="28"/>
        <v>-90</v>
      </c>
      <c r="I386" s="759">
        <v>42278</v>
      </c>
      <c r="L386" s="4" t="s">
        <v>47</v>
      </c>
      <c r="M386" s="4"/>
      <c r="N386" s="4" t="s">
        <v>48</v>
      </c>
      <c r="O386" s="4" t="s">
        <v>48</v>
      </c>
      <c r="T386" s="5">
        <v>490</v>
      </c>
      <c r="U386" s="5" t="s">
        <v>55</v>
      </c>
      <c r="V386" s="43" t="s">
        <v>926</v>
      </c>
    </row>
    <row r="387" spans="1:22" hidden="1">
      <c r="A387" s="15" t="s">
        <v>193</v>
      </c>
      <c r="B387" s="2">
        <v>5330</v>
      </c>
      <c r="C387" s="338">
        <v>42464</v>
      </c>
      <c r="D387" s="15" t="s">
        <v>21</v>
      </c>
      <c r="E387" s="15" t="s">
        <v>481</v>
      </c>
      <c r="F387" s="663"/>
      <c r="G387" s="46">
        <v>3000</v>
      </c>
      <c r="H387" s="917">
        <f t="shared" si="28"/>
        <v>36</v>
      </c>
      <c r="I387" s="253"/>
      <c r="L387" s="4" t="s">
        <v>48</v>
      </c>
      <c r="M387" s="4"/>
      <c r="N387" s="4" t="s">
        <v>48</v>
      </c>
      <c r="O387" s="4" t="s">
        <v>48</v>
      </c>
      <c r="T387" s="5">
        <f>2000+964</f>
        <v>2964</v>
      </c>
      <c r="U387" s="5" t="s">
        <v>55</v>
      </c>
      <c r="V387" s="43" t="s">
        <v>1013</v>
      </c>
    </row>
    <row r="388" spans="1:22" hidden="1">
      <c r="A388" s="15" t="s">
        <v>636</v>
      </c>
      <c r="B388" s="2">
        <v>5298</v>
      </c>
      <c r="C388" s="338">
        <v>42349</v>
      </c>
      <c r="D388" s="15" t="s">
        <v>5</v>
      </c>
      <c r="E388" s="59" t="s">
        <v>22</v>
      </c>
      <c r="F388"/>
      <c r="G388" s="46">
        <v>90</v>
      </c>
      <c r="H388" s="760">
        <f t="shared" si="28"/>
        <v>90</v>
      </c>
      <c r="I388" s="253"/>
      <c r="L388" s="4" t="s">
        <v>47</v>
      </c>
      <c r="M388" s="4"/>
      <c r="N388" s="4" t="s">
        <v>69</v>
      </c>
      <c r="O388" s="4" t="s">
        <v>69</v>
      </c>
      <c r="T388" s="5"/>
      <c r="U388" s="5" t="s">
        <v>55</v>
      </c>
      <c r="V388" s="43" t="s">
        <v>959</v>
      </c>
    </row>
    <row r="389" spans="1:22" hidden="1">
      <c r="A389" s="15" t="s">
        <v>636</v>
      </c>
      <c r="B389" s="2">
        <v>5298</v>
      </c>
      <c r="C389" s="338">
        <v>42349</v>
      </c>
      <c r="D389" s="15" t="s">
        <v>5</v>
      </c>
      <c r="E389" s="59" t="s">
        <v>264</v>
      </c>
      <c r="F389"/>
      <c r="G389" s="46">
        <v>70</v>
      </c>
      <c r="H389" s="760">
        <f t="shared" si="28"/>
        <v>0</v>
      </c>
      <c r="I389" s="253"/>
      <c r="L389" s="4" t="s">
        <v>47</v>
      </c>
      <c r="M389" s="4"/>
      <c r="N389" s="4" t="s">
        <v>69</v>
      </c>
      <c r="O389" s="4" t="s">
        <v>48</v>
      </c>
      <c r="T389" s="5">
        <v>70</v>
      </c>
      <c r="U389" s="5" t="s">
        <v>55</v>
      </c>
      <c r="V389" s="43" t="s">
        <v>776</v>
      </c>
    </row>
    <row r="390" spans="1:22" hidden="1">
      <c r="A390" s="4" t="s">
        <v>636</v>
      </c>
      <c r="B390" s="43" t="s">
        <v>37</v>
      </c>
      <c r="C390" s="338" t="s">
        <v>738</v>
      </c>
      <c r="D390" s="4" t="s">
        <v>24</v>
      </c>
      <c r="E390" s="4" t="s">
        <v>35</v>
      </c>
      <c r="G390" s="40">
        <v>500</v>
      </c>
      <c r="H390" s="761">
        <f t="shared" si="28"/>
        <v>0</v>
      </c>
      <c r="I390" s="253"/>
      <c r="L390" s="4" t="s">
        <v>47</v>
      </c>
      <c r="M390" s="4"/>
      <c r="N390" s="4" t="s">
        <v>48</v>
      </c>
      <c r="O390" s="4" t="s">
        <v>48</v>
      </c>
      <c r="T390" s="5">
        <v>500</v>
      </c>
      <c r="U390" s="5" t="s">
        <v>55</v>
      </c>
      <c r="V390" s="43" t="s">
        <v>776</v>
      </c>
    </row>
    <row r="391" spans="1:22" hidden="1">
      <c r="A391" s="304" t="s">
        <v>636</v>
      </c>
      <c r="B391" s="44" t="s">
        <v>37</v>
      </c>
      <c r="C391" s="458">
        <v>42355</v>
      </c>
      <c r="D391" s="304" t="s">
        <v>5</v>
      </c>
      <c r="E391" s="1" t="s">
        <v>35</v>
      </c>
      <c r="G391" s="18">
        <v>500</v>
      </c>
      <c r="H391" s="763">
        <f t="shared" si="28"/>
        <v>0</v>
      </c>
      <c r="L391" s="1" t="s">
        <v>47</v>
      </c>
      <c r="N391" s="1" t="s">
        <v>48</v>
      </c>
      <c r="O391" s="1" t="s">
        <v>48</v>
      </c>
      <c r="T391" s="16">
        <v>500</v>
      </c>
      <c r="U391" s="16" t="s">
        <v>55</v>
      </c>
      <c r="V391" s="44" t="s">
        <v>776</v>
      </c>
    </row>
    <row r="392" spans="1:22" hidden="1">
      <c r="A392" s="15" t="s">
        <v>94</v>
      </c>
      <c r="B392" s="2">
        <v>5333</v>
      </c>
      <c r="C392" s="338">
        <v>42479</v>
      </c>
      <c r="D392" s="15" t="s">
        <v>21</v>
      </c>
      <c r="E392" s="862" t="s">
        <v>1066</v>
      </c>
      <c r="F392"/>
      <c r="G392" s="46">
        <v>1200</v>
      </c>
      <c r="H392" s="764">
        <f t="shared" si="28"/>
        <v>-218</v>
      </c>
      <c r="I392" s="253"/>
      <c r="L392" s="4" t="s">
        <v>48</v>
      </c>
      <c r="M392" s="4"/>
      <c r="N392" s="4" t="s">
        <v>48</v>
      </c>
      <c r="O392" s="4" t="s">
        <v>48</v>
      </c>
      <c r="T392" s="5">
        <f>303+515+600</f>
        <v>1418</v>
      </c>
      <c r="U392" s="5" t="s">
        <v>55</v>
      </c>
      <c r="V392" s="43" t="s">
        <v>1109</v>
      </c>
    </row>
    <row r="393" spans="1:22" hidden="1">
      <c r="A393" s="15" t="s">
        <v>94</v>
      </c>
      <c r="B393" s="2">
        <v>5333</v>
      </c>
      <c r="C393" s="338">
        <v>42479</v>
      </c>
      <c r="D393" s="15" t="s">
        <v>21</v>
      </c>
      <c r="E393" s="15" t="s">
        <v>1067</v>
      </c>
      <c r="F393"/>
      <c r="G393" s="46">
        <v>200</v>
      </c>
      <c r="H393" s="917"/>
      <c r="I393" s="253"/>
      <c r="L393" s="4" t="s">
        <v>48</v>
      </c>
      <c r="M393" s="4"/>
      <c r="N393" s="4" t="s">
        <v>48</v>
      </c>
      <c r="O393" s="4" t="s">
        <v>48</v>
      </c>
      <c r="T393" s="5">
        <v>320</v>
      </c>
      <c r="U393" s="5" t="s">
        <v>55</v>
      </c>
      <c r="V393" s="43" t="s">
        <v>1013</v>
      </c>
    </row>
    <row r="394" spans="1:22" hidden="1">
      <c r="A394" s="211" t="s">
        <v>49</v>
      </c>
      <c r="B394" s="449">
        <v>5323</v>
      </c>
      <c r="C394" s="469" t="s">
        <v>921</v>
      </c>
      <c r="D394" s="211" t="s">
        <v>177</v>
      </c>
      <c r="E394" s="211" t="s">
        <v>920</v>
      </c>
      <c r="G394" s="208">
        <v>20</v>
      </c>
      <c r="H394" s="770">
        <f>G394-T394</f>
        <v>0</v>
      </c>
      <c r="I394" s="292"/>
      <c r="L394" s="211" t="s">
        <v>47</v>
      </c>
      <c r="M394" s="211"/>
      <c r="N394" s="211" t="s">
        <v>48</v>
      </c>
      <c r="O394" s="211" t="s">
        <v>48</v>
      </c>
      <c r="T394" s="210">
        <v>20</v>
      </c>
      <c r="U394" s="210" t="s">
        <v>55</v>
      </c>
      <c r="V394" s="291" t="s">
        <v>776</v>
      </c>
    </row>
    <row r="395" spans="1:22" hidden="1">
      <c r="A395" s="4" t="s">
        <v>49</v>
      </c>
      <c r="B395" s="43" t="s">
        <v>37</v>
      </c>
      <c r="C395" s="338">
        <v>42374</v>
      </c>
      <c r="D395" s="4" t="s">
        <v>5</v>
      </c>
      <c r="E395" s="4" t="s">
        <v>753</v>
      </c>
      <c r="G395" s="40">
        <v>60</v>
      </c>
      <c r="H395" s="765"/>
      <c r="I395" s="253"/>
      <c r="L395" s="4" t="s">
        <v>47</v>
      </c>
      <c r="M395" s="4"/>
      <c r="N395" s="4" t="s">
        <v>69</v>
      </c>
      <c r="O395" s="4" t="s">
        <v>69</v>
      </c>
      <c r="T395" s="5">
        <v>60</v>
      </c>
      <c r="U395" s="5" t="s">
        <v>55</v>
      </c>
      <c r="V395" s="43" t="s">
        <v>926</v>
      </c>
    </row>
    <row r="396" spans="1:22" hidden="1">
      <c r="A396" s="15" t="s">
        <v>636</v>
      </c>
      <c r="B396" s="2">
        <v>5300</v>
      </c>
      <c r="C396" s="338">
        <v>42376</v>
      </c>
      <c r="D396" s="15" t="s">
        <v>27</v>
      </c>
      <c r="E396" s="59" t="s">
        <v>770</v>
      </c>
      <c r="F396"/>
      <c r="G396" s="46">
        <v>300</v>
      </c>
      <c r="H396" s="783">
        <f t="shared" ref="H396:H409" si="29">G396-T396</f>
        <v>-15</v>
      </c>
      <c r="I396" s="253"/>
      <c r="L396" s="4" t="s">
        <v>47</v>
      </c>
      <c r="M396" s="4"/>
      <c r="N396" s="4" t="s">
        <v>48</v>
      </c>
      <c r="O396" s="4" t="s">
        <v>48</v>
      </c>
      <c r="T396" s="5">
        <v>315</v>
      </c>
      <c r="U396" s="5" t="s">
        <v>55</v>
      </c>
      <c r="V396" s="43" t="s">
        <v>947</v>
      </c>
    </row>
    <row r="397" spans="1:22" hidden="1">
      <c r="A397" s="304" t="s">
        <v>636</v>
      </c>
      <c r="B397" s="301">
        <v>5300</v>
      </c>
      <c r="C397" s="458">
        <v>42376</v>
      </c>
      <c r="D397" s="304" t="s">
        <v>27</v>
      </c>
      <c r="E397" s="459" t="s">
        <v>384</v>
      </c>
      <c r="F397"/>
      <c r="G397" s="454">
        <v>300</v>
      </c>
      <c r="H397" s="815">
        <f t="shared" si="29"/>
        <v>-27</v>
      </c>
      <c r="I397" s="297"/>
      <c r="L397" s="284" t="s">
        <v>47</v>
      </c>
      <c r="M397" s="284"/>
      <c r="N397" s="284" t="s">
        <v>48</v>
      </c>
      <c r="O397" s="284" t="s">
        <v>48</v>
      </c>
      <c r="T397" s="290">
        <v>327</v>
      </c>
      <c r="U397" s="290" t="s">
        <v>55</v>
      </c>
      <c r="V397" s="285" t="s">
        <v>947</v>
      </c>
    </row>
    <row r="398" spans="1:22">
      <c r="A398" s="15" t="s">
        <v>636</v>
      </c>
      <c r="B398" s="3" t="s">
        <v>965</v>
      </c>
      <c r="C398" s="338">
        <v>42397</v>
      </c>
      <c r="D398" s="15" t="s">
        <v>13</v>
      </c>
      <c r="E398" s="15" t="s">
        <v>17</v>
      </c>
      <c r="F398"/>
      <c r="G398" s="46">
        <v>719</v>
      </c>
      <c r="H398" s="896">
        <f t="shared" si="29"/>
        <v>21</v>
      </c>
      <c r="I398" s="59" t="s">
        <v>963</v>
      </c>
      <c r="L398" s="4" t="s">
        <v>47</v>
      </c>
      <c r="M398" s="4"/>
      <c r="N398" s="4" t="s">
        <v>1</v>
      </c>
      <c r="O398" s="35"/>
      <c r="T398" s="5">
        <f>226+250+222</f>
        <v>698</v>
      </c>
      <c r="U398" s="5" t="s">
        <v>56</v>
      </c>
      <c r="V398" s="43" t="s">
        <v>1013</v>
      </c>
    </row>
    <row r="399" spans="1:22">
      <c r="A399" s="15" t="s">
        <v>636</v>
      </c>
      <c r="B399" s="3" t="s">
        <v>965</v>
      </c>
      <c r="C399" s="338">
        <v>42397</v>
      </c>
      <c r="D399" s="15" t="s">
        <v>13</v>
      </c>
      <c r="E399" s="15" t="s">
        <v>36</v>
      </c>
      <c r="F399"/>
      <c r="G399" s="895">
        <v>602</v>
      </c>
      <c r="H399" s="896">
        <f t="shared" si="29"/>
        <v>58</v>
      </c>
      <c r="I399" s="59" t="s">
        <v>963</v>
      </c>
      <c r="L399" s="4" t="s">
        <v>47</v>
      </c>
      <c r="M399" s="4"/>
      <c r="N399" s="4" t="s">
        <v>1</v>
      </c>
      <c r="O399" s="4" t="s">
        <v>48</v>
      </c>
      <c r="T399" s="5">
        <f>115+429</f>
        <v>544</v>
      </c>
      <c r="U399" s="5" t="s">
        <v>56</v>
      </c>
      <c r="V399" s="43"/>
    </row>
    <row r="400" spans="1:22" hidden="1">
      <c r="A400" s="15" t="s">
        <v>636</v>
      </c>
      <c r="B400" s="2">
        <v>5300</v>
      </c>
      <c r="C400" s="338">
        <v>42376</v>
      </c>
      <c r="D400" s="15" t="s">
        <v>27</v>
      </c>
      <c r="E400" s="59" t="s">
        <v>931</v>
      </c>
      <c r="F400"/>
      <c r="G400" s="46">
        <v>650</v>
      </c>
      <c r="H400" s="783">
        <f t="shared" si="29"/>
        <v>-159</v>
      </c>
      <c r="I400" s="253"/>
      <c r="L400" s="4" t="s">
        <v>47</v>
      </c>
      <c r="M400" s="4"/>
      <c r="N400" s="4" t="s">
        <v>48</v>
      </c>
      <c r="O400" s="4" t="s">
        <v>48</v>
      </c>
      <c r="T400" s="5">
        <v>809</v>
      </c>
      <c r="U400" s="5" t="s">
        <v>55</v>
      </c>
      <c r="V400" s="43" t="s">
        <v>947</v>
      </c>
    </row>
    <row r="401" spans="1:22" hidden="1">
      <c r="A401" s="304" t="s">
        <v>94</v>
      </c>
      <c r="B401" s="301">
        <v>5333</v>
      </c>
      <c r="C401" s="458">
        <v>42479</v>
      </c>
      <c r="D401" s="304" t="s">
        <v>21</v>
      </c>
      <c r="E401" s="304" t="s">
        <v>1068</v>
      </c>
      <c r="F401"/>
      <c r="G401" s="454">
        <v>1000</v>
      </c>
      <c r="H401" s="815">
        <f t="shared" si="29"/>
        <v>-176</v>
      </c>
      <c r="I401" s="297"/>
      <c r="L401" s="284" t="s">
        <v>48</v>
      </c>
      <c r="M401" s="284"/>
      <c r="N401" s="284" t="s">
        <v>48</v>
      </c>
      <c r="O401" s="284" t="s">
        <v>48</v>
      </c>
      <c r="P401" s="633"/>
      <c r="Q401" s="4"/>
      <c r="T401" s="290">
        <f>461+715</f>
        <v>1176</v>
      </c>
      <c r="U401" s="290" t="s">
        <v>55</v>
      </c>
      <c r="V401" s="285" t="s">
        <v>1109</v>
      </c>
    </row>
    <row r="402" spans="1:22" hidden="1">
      <c r="A402" s="15" t="s">
        <v>94</v>
      </c>
      <c r="B402" s="2">
        <v>5333</v>
      </c>
      <c r="C402" s="338">
        <v>42479</v>
      </c>
      <c r="D402" s="15" t="s">
        <v>21</v>
      </c>
      <c r="E402" s="862" t="s">
        <v>1121</v>
      </c>
      <c r="F402"/>
      <c r="G402" s="46">
        <v>300</v>
      </c>
      <c r="H402" s="921">
        <f t="shared" si="29"/>
        <v>12</v>
      </c>
      <c r="I402" s="253"/>
      <c r="L402" s="4" t="s">
        <v>48</v>
      </c>
      <c r="M402" s="4"/>
      <c r="N402" s="4" t="s">
        <v>48</v>
      </c>
      <c r="O402" s="4" t="s">
        <v>48</v>
      </c>
      <c r="P402" s="633"/>
      <c r="Q402" s="4"/>
      <c r="T402" s="5">
        <v>288</v>
      </c>
      <c r="U402" s="5" t="s">
        <v>55</v>
      </c>
      <c r="V402" s="43" t="s">
        <v>1109</v>
      </c>
    </row>
    <row r="403" spans="1:22" hidden="1">
      <c r="A403" s="194" t="s">
        <v>636</v>
      </c>
      <c r="B403" s="206" t="s">
        <v>938</v>
      </c>
      <c r="C403" s="469">
        <v>42383</v>
      </c>
      <c r="D403" s="194" t="s">
        <v>5</v>
      </c>
      <c r="E403" s="472" t="s">
        <v>14</v>
      </c>
      <c r="F403"/>
      <c r="G403" s="460">
        <v>60</v>
      </c>
      <c r="H403" s="772">
        <f t="shared" si="29"/>
        <v>-16</v>
      </c>
      <c r="I403" s="292"/>
      <c r="L403" s="211" t="s">
        <v>47</v>
      </c>
      <c r="M403" s="211"/>
      <c r="N403" s="211" t="s">
        <v>69</v>
      </c>
      <c r="O403" s="211" t="s">
        <v>69</v>
      </c>
      <c r="T403" s="210">
        <v>76</v>
      </c>
      <c r="U403" s="210" t="s">
        <v>55</v>
      </c>
      <c r="V403" s="291" t="s">
        <v>926</v>
      </c>
    </row>
    <row r="404" spans="1:22" hidden="1">
      <c r="A404" s="15" t="s">
        <v>636</v>
      </c>
      <c r="B404" s="2" t="s">
        <v>938</v>
      </c>
      <c r="C404" s="338">
        <v>42383</v>
      </c>
      <c r="D404" s="15" t="s">
        <v>5</v>
      </c>
      <c r="E404" s="59" t="s">
        <v>664</v>
      </c>
      <c r="F404"/>
      <c r="G404" s="46">
        <v>60</v>
      </c>
      <c r="H404" s="769">
        <f t="shared" si="29"/>
        <v>0</v>
      </c>
      <c r="I404" s="253"/>
      <c r="L404" s="4" t="s">
        <v>47</v>
      </c>
      <c r="M404" s="4"/>
      <c r="N404" s="4" t="s">
        <v>48</v>
      </c>
      <c r="O404" s="4" t="s">
        <v>48</v>
      </c>
      <c r="T404" s="5">
        <v>60</v>
      </c>
      <c r="U404" s="5" t="s">
        <v>55</v>
      </c>
      <c r="V404" s="43" t="s">
        <v>926</v>
      </c>
    </row>
    <row r="405" spans="1:22" ht="15.75" hidden="1" customHeight="1">
      <c r="A405" s="676" t="s">
        <v>636</v>
      </c>
      <c r="B405" s="449" t="s">
        <v>940</v>
      </c>
      <c r="C405" s="338">
        <v>42387</v>
      </c>
      <c r="D405" s="4" t="s">
        <v>13</v>
      </c>
      <c r="E405" s="4" t="s">
        <v>36</v>
      </c>
      <c r="G405" s="40">
        <v>100</v>
      </c>
      <c r="H405" s="771">
        <f t="shared" si="29"/>
        <v>0</v>
      </c>
      <c r="I405" s="253"/>
      <c r="L405" s="4" t="s">
        <v>47</v>
      </c>
      <c r="M405" s="4"/>
      <c r="N405" s="4" t="s">
        <v>69</v>
      </c>
      <c r="O405" s="4" t="s">
        <v>48</v>
      </c>
      <c r="T405" s="5">
        <v>100</v>
      </c>
      <c r="U405" s="5" t="s">
        <v>55</v>
      </c>
      <c r="V405" s="43" t="s">
        <v>926</v>
      </c>
    </row>
    <row r="406" spans="1:22" ht="15.75" hidden="1" customHeight="1">
      <c r="A406" s="842" t="s">
        <v>636</v>
      </c>
      <c r="B406" s="449" t="s">
        <v>965</v>
      </c>
      <c r="C406" s="458">
        <v>42397</v>
      </c>
      <c r="D406" s="304" t="s">
        <v>13</v>
      </c>
      <c r="E406" s="304" t="s">
        <v>577</v>
      </c>
      <c r="F406"/>
      <c r="G406" s="454">
        <v>400</v>
      </c>
      <c r="H406" s="893">
        <f t="shared" si="29"/>
        <v>0</v>
      </c>
      <c r="I406" s="459" t="s">
        <v>963</v>
      </c>
      <c r="L406" s="284" t="s">
        <v>47</v>
      </c>
      <c r="M406" s="284"/>
      <c r="N406" s="284" t="s">
        <v>1</v>
      </c>
      <c r="O406" s="284" t="s">
        <v>69</v>
      </c>
      <c r="T406" s="290">
        <v>400</v>
      </c>
      <c r="U406" s="290" t="s">
        <v>55</v>
      </c>
      <c r="V406" s="285" t="s">
        <v>948</v>
      </c>
    </row>
    <row r="407" spans="1:22">
      <c r="A407" s="15" t="s">
        <v>636</v>
      </c>
      <c r="B407" s="3">
        <v>5288</v>
      </c>
      <c r="C407" s="338">
        <v>42326</v>
      </c>
      <c r="D407" s="15" t="s">
        <v>3</v>
      </c>
      <c r="E407" s="15" t="s">
        <v>856</v>
      </c>
      <c r="F407"/>
      <c r="G407" s="46">
        <v>1600</v>
      </c>
      <c r="H407" s="894">
        <f t="shared" si="29"/>
        <v>200</v>
      </c>
      <c r="I407" s="253"/>
      <c r="L407" s="4" t="s">
        <v>47</v>
      </c>
      <c r="M407" s="4"/>
      <c r="N407" s="4" t="s">
        <v>48</v>
      </c>
      <c r="O407" s="4" t="s">
        <v>48</v>
      </c>
      <c r="T407" s="5">
        <v>1400</v>
      </c>
      <c r="U407" s="5" t="s">
        <v>56</v>
      </c>
      <c r="V407" s="43"/>
    </row>
    <row r="408" spans="1:22" hidden="1">
      <c r="A408" s="304" t="s">
        <v>94</v>
      </c>
      <c r="B408" s="301">
        <v>5333</v>
      </c>
      <c r="C408" s="458">
        <v>42479</v>
      </c>
      <c r="D408" s="304" t="s">
        <v>21</v>
      </c>
      <c r="E408" s="304" t="s">
        <v>1069</v>
      </c>
      <c r="F408"/>
      <c r="G408" s="454">
        <v>1000</v>
      </c>
      <c r="H408" s="815">
        <f t="shared" si="29"/>
        <v>-38</v>
      </c>
      <c r="I408" s="297"/>
      <c r="L408" s="284" t="s">
        <v>48</v>
      </c>
      <c r="M408" s="284"/>
      <c r="N408" s="284" t="s">
        <v>48</v>
      </c>
      <c r="O408" s="284" t="s">
        <v>48</v>
      </c>
      <c r="T408" s="290">
        <v>1038</v>
      </c>
      <c r="U408" s="290" t="s">
        <v>55</v>
      </c>
      <c r="V408" s="285" t="s">
        <v>1109</v>
      </c>
    </row>
    <row r="409" spans="1:22">
      <c r="A409" s="15" t="s">
        <v>636</v>
      </c>
      <c r="B409" s="3">
        <v>5288</v>
      </c>
      <c r="C409" s="338">
        <v>42326</v>
      </c>
      <c r="D409" s="15" t="s">
        <v>3</v>
      </c>
      <c r="E409" s="15" t="s">
        <v>857</v>
      </c>
      <c r="F409"/>
      <c r="G409" s="46">
        <v>800</v>
      </c>
      <c r="H409" s="894">
        <f t="shared" si="29"/>
        <v>100</v>
      </c>
      <c r="I409" s="253"/>
      <c r="L409" s="4" t="s">
        <v>47</v>
      </c>
      <c r="M409" s="4"/>
      <c r="N409" s="4" t="s">
        <v>48</v>
      </c>
      <c r="O409" s="4" t="s">
        <v>48</v>
      </c>
      <c r="T409" s="5">
        <v>700</v>
      </c>
      <c r="U409" s="5" t="s">
        <v>56</v>
      </c>
      <c r="V409" s="43"/>
    </row>
    <row r="410" spans="1:22" hidden="1">
      <c r="A410" s="304" t="s">
        <v>94</v>
      </c>
      <c r="B410" s="301">
        <v>5337</v>
      </c>
      <c r="C410" s="458">
        <v>42482</v>
      </c>
      <c r="D410" s="304" t="s">
        <v>21</v>
      </c>
      <c r="E410" s="304" t="s">
        <v>1070</v>
      </c>
      <c r="F410"/>
      <c r="G410" s="454">
        <v>1200</v>
      </c>
      <c r="H410" s="919"/>
      <c r="I410" s="297"/>
      <c r="L410" s="284" t="s">
        <v>48</v>
      </c>
      <c r="M410" s="284"/>
      <c r="N410" s="284" t="s">
        <v>48</v>
      </c>
      <c r="O410" s="284" t="s">
        <v>48</v>
      </c>
      <c r="T410" s="290">
        <v>1214</v>
      </c>
      <c r="U410" s="290" t="s">
        <v>55</v>
      </c>
      <c r="V410" s="285" t="s">
        <v>1109</v>
      </c>
    </row>
    <row r="411" spans="1:22" hidden="1">
      <c r="A411" s="15" t="s">
        <v>636</v>
      </c>
      <c r="B411" s="2">
        <v>5306</v>
      </c>
      <c r="C411" s="338">
        <v>42387</v>
      </c>
      <c r="D411" s="4" t="s">
        <v>3</v>
      </c>
      <c r="E411" s="4" t="s">
        <v>456</v>
      </c>
      <c r="F411" s="682"/>
      <c r="G411" s="40">
        <v>3309</v>
      </c>
      <c r="H411" s="894">
        <f t="shared" ref="H411:H442" si="30">G411-T411</f>
        <v>0</v>
      </c>
      <c r="I411" s="253"/>
      <c r="L411" s="4" t="s">
        <v>47</v>
      </c>
      <c r="M411" s="4"/>
      <c r="N411" s="4" t="s">
        <v>48</v>
      </c>
      <c r="O411" s="4" t="s">
        <v>48</v>
      </c>
      <c r="T411" s="5">
        <f>400+700+400+400+250+260+450+449</f>
        <v>3309</v>
      </c>
      <c r="U411" s="5" t="s">
        <v>55</v>
      </c>
      <c r="V411" s="43" t="s">
        <v>1109</v>
      </c>
    </row>
    <row r="412" spans="1:22">
      <c r="A412" s="15" t="s">
        <v>636</v>
      </c>
      <c r="B412" s="3">
        <v>5332</v>
      </c>
      <c r="C412" s="338">
        <v>42467</v>
      </c>
      <c r="D412" s="15" t="s">
        <v>3</v>
      </c>
      <c r="E412" s="15" t="s">
        <v>1036</v>
      </c>
      <c r="F412" s="663"/>
      <c r="G412" s="46">
        <v>400</v>
      </c>
      <c r="H412" s="894">
        <f t="shared" si="30"/>
        <v>273</v>
      </c>
      <c r="I412" s="253"/>
      <c r="L412" s="4" t="s">
        <v>47</v>
      </c>
      <c r="M412" s="4"/>
      <c r="N412" s="4" t="s">
        <v>48</v>
      </c>
      <c r="O412" s="4" t="s">
        <v>48</v>
      </c>
      <c r="T412" s="5">
        <v>127</v>
      </c>
      <c r="U412" s="5" t="s">
        <v>56</v>
      </c>
      <c r="V412" s="43"/>
    </row>
    <row r="413" spans="1:22">
      <c r="A413" s="15" t="s">
        <v>636</v>
      </c>
      <c r="B413" s="3">
        <v>5332</v>
      </c>
      <c r="C413" s="338">
        <v>42467</v>
      </c>
      <c r="D413" s="15" t="s">
        <v>3</v>
      </c>
      <c r="E413" s="15" t="s">
        <v>716</v>
      </c>
      <c r="F413" s="663"/>
      <c r="G413" s="46">
        <v>800</v>
      </c>
      <c r="H413" s="894">
        <f t="shared" si="30"/>
        <v>800</v>
      </c>
      <c r="I413" s="253"/>
      <c r="L413" s="4" t="s">
        <v>47</v>
      </c>
      <c r="M413" s="4"/>
      <c r="N413" s="4" t="s">
        <v>48</v>
      </c>
      <c r="O413" s="4" t="s">
        <v>48</v>
      </c>
      <c r="T413" s="5"/>
      <c r="U413" s="5" t="s">
        <v>56</v>
      </c>
      <c r="V413" s="43"/>
    </row>
    <row r="414" spans="1:22" hidden="1">
      <c r="A414" s="4" t="s">
        <v>49</v>
      </c>
      <c r="B414" s="43">
        <v>5223</v>
      </c>
      <c r="C414" s="338" t="s">
        <v>591</v>
      </c>
      <c r="D414" s="4" t="s">
        <v>34</v>
      </c>
      <c r="E414" s="43">
        <v>1861</v>
      </c>
      <c r="G414" s="40">
        <v>300</v>
      </c>
      <c r="H414" s="784">
        <f t="shared" si="30"/>
        <v>146</v>
      </c>
      <c r="I414" s="253"/>
      <c r="J414" s="791">
        <f ca="1">TODAY()-C414</f>
        <v>364</v>
      </c>
      <c r="K414" s="632" t="str">
        <f ca="1">IF(I414="","Sin fecha",((I414-TODAY())))</f>
        <v>Sin fecha</v>
      </c>
      <c r="L414" s="4" t="s">
        <v>45</v>
      </c>
      <c r="M414" s="4"/>
      <c r="N414" s="4" t="s">
        <v>48</v>
      </c>
      <c r="O414" s="4" t="s">
        <v>48</v>
      </c>
      <c r="P414" s="39" t="s">
        <v>48</v>
      </c>
      <c r="Q414" s="39" t="s">
        <v>48</v>
      </c>
      <c r="R414" s="39" t="s">
        <v>48</v>
      </c>
      <c r="S414" s="39" t="s">
        <v>48</v>
      </c>
      <c r="T414" s="5">
        <v>154</v>
      </c>
      <c r="U414" s="5" t="s">
        <v>55</v>
      </c>
      <c r="V414" s="4" t="s">
        <v>959</v>
      </c>
    </row>
    <row r="415" spans="1:22" hidden="1">
      <c r="A415" s="307" t="s">
        <v>49</v>
      </c>
      <c r="B415" s="449">
        <v>5323</v>
      </c>
      <c r="C415" s="694" t="s">
        <v>957</v>
      </c>
      <c r="D415" s="307" t="s">
        <v>177</v>
      </c>
      <c r="E415" s="307" t="s">
        <v>920</v>
      </c>
      <c r="G415" s="18">
        <v>200</v>
      </c>
      <c r="H415" s="696">
        <f t="shared" si="30"/>
        <v>0</v>
      </c>
      <c r="L415" s="1" t="s">
        <v>47</v>
      </c>
      <c r="N415" s="1" t="s">
        <v>48</v>
      </c>
      <c r="O415" s="1" t="s">
        <v>48</v>
      </c>
      <c r="T415" s="16">
        <v>200</v>
      </c>
      <c r="U415" s="16" t="s">
        <v>55</v>
      </c>
      <c r="V415" s="44" t="s">
        <v>926</v>
      </c>
    </row>
    <row r="416" spans="1:22" hidden="1">
      <c r="A416" s="15" t="s">
        <v>636</v>
      </c>
      <c r="B416" s="2">
        <v>5296</v>
      </c>
      <c r="C416" s="338">
        <v>42348</v>
      </c>
      <c r="D416" s="15" t="s">
        <v>34</v>
      </c>
      <c r="E416" s="212">
        <v>1860</v>
      </c>
      <c r="F416"/>
      <c r="G416" s="46">
        <v>600</v>
      </c>
      <c r="H416" s="783">
        <f t="shared" si="30"/>
        <v>0</v>
      </c>
      <c r="I416" s="212" t="s">
        <v>903</v>
      </c>
      <c r="L416" s="4" t="s">
        <v>47</v>
      </c>
      <c r="M416" s="4"/>
      <c r="N416" s="4" t="s">
        <v>48</v>
      </c>
      <c r="O416" s="4" t="s">
        <v>48</v>
      </c>
      <c r="T416" s="5">
        <v>600</v>
      </c>
      <c r="U416" s="5" t="s">
        <v>55</v>
      </c>
      <c r="V416" s="43" t="s">
        <v>947</v>
      </c>
    </row>
    <row r="417" spans="1:22" hidden="1">
      <c r="A417" s="15" t="s">
        <v>636</v>
      </c>
      <c r="B417" s="2">
        <v>5296</v>
      </c>
      <c r="C417" s="338">
        <v>42348</v>
      </c>
      <c r="D417" s="15" t="s">
        <v>34</v>
      </c>
      <c r="E417" s="212">
        <v>1860</v>
      </c>
      <c r="F417"/>
      <c r="G417" s="46">
        <v>600</v>
      </c>
      <c r="H417" s="783">
        <f t="shared" si="30"/>
        <v>0</v>
      </c>
      <c r="I417" s="759">
        <v>42646</v>
      </c>
      <c r="L417" s="4" t="s">
        <v>47</v>
      </c>
      <c r="M417" s="4"/>
      <c r="N417" s="4" t="s">
        <v>48</v>
      </c>
      <c r="O417" s="4" t="s">
        <v>48</v>
      </c>
      <c r="T417" s="5">
        <v>600</v>
      </c>
      <c r="U417" s="5" t="s">
        <v>55</v>
      </c>
      <c r="V417" s="43" t="s">
        <v>948</v>
      </c>
    </row>
    <row r="418" spans="1:22" hidden="1">
      <c r="A418" s="15" t="s">
        <v>636</v>
      </c>
      <c r="B418" s="2" t="s">
        <v>628</v>
      </c>
      <c r="C418" s="440">
        <v>42249</v>
      </c>
      <c r="D418" s="15" t="s">
        <v>57</v>
      </c>
      <c r="E418" s="63" t="s">
        <v>58</v>
      </c>
      <c r="F418"/>
      <c r="G418" s="46">
        <v>32</v>
      </c>
      <c r="H418" s="784">
        <f t="shared" si="30"/>
        <v>32</v>
      </c>
      <c r="I418" s="253"/>
      <c r="J418" s="29">
        <f ca="1">TODAY()-C418</f>
        <v>296</v>
      </c>
      <c r="K418" s="632" t="e">
        <f ca="1">IF(#REF!="","Sin fecha",((#REF!-TODAY())))</f>
        <v>#REF!</v>
      </c>
      <c r="L418" s="4" t="s">
        <v>48</v>
      </c>
      <c r="M418" s="4"/>
      <c r="N418" s="4" t="s">
        <v>48</v>
      </c>
      <c r="O418" s="4" t="s">
        <v>48</v>
      </c>
      <c r="P418" s="39" t="s">
        <v>48</v>
      </c>
      <c r="Q418" s="39" t="s">
        <v>48</v>
      </c>
      <c r="R418" s="39" t="s">
        <v>48</v>
      </c>
      <c r="S418" s="39" t="s">
        <v>48</v>
      </c>
      <c r="T418" s="5"/>
      <c r="U418" s="5" t="s">
        <v>55</v>
      </c>
      <c r="V418" s="43" t="s">
        <v>959</v>
      </c>
    </row>
    <row r="419" spans="1:22" hidden="1">
      <c r="A419" s="15" t="s">
        <v>636</v>
      </c>
      <c r="B419" s="2" t="s">
        <v>941</v>
      </c>
      <c r="C419" s="338">
        <v>42387</v>
      </c>
      <c r="D419" s="4" t="s">
        <v>57</v>
      </c>
      <c r="E419" s="4" t="s">
        <v>826</v>
      </c>
      <c r="G419" s="40">
        <v>1000</v>
      </c>
      <c r="H419" s="784">
        <f t="shared" si="30"/>
        <v>-40</v>
      </c>
      <c r="I419" s="253">
        <v>42430</v>
      </c>
      <c r="L419" s="4" t="s">
        <v>47</v>
      </c>
      <c r="M419" s="4"/>
      <c r="N419" s="4" t="s">
        <v>48</v>
      </c>
      <c r="O419" s="4" t="s">
        <v>48</v>
      </c>
      <c r="T419" s="5">
        <v>1040</v>
      </c>
      <c r="U419" s="5" t="s">
        <v>55</v>
      </c>
      <c r="V419" s="809">
        <v>42430</v>
      </c>
    </row>
    <row r="420" spans="1:22" hidden="1">
      <c r="A420" s="15" t="s">
        <v>636</v>
      </c>
      <c r="B420" s="2">
        <v>5293</v>
      </c>
      <c r="C420" s="338">
        <v>42340</v>
      </c>
      <c r="D420" s="15" t="s">
        <v>5</v>
      </c>
      <c r="E420" s="15" t="s">
        <v>22</v>
      </c>
      <c r="F420"/>
      <c r="G420" s="46">
        <v>100</v>
      </c>
      <c r="H420" s="784">
        <f t="shared" si="30"/>
        <v>44</v>
      </c>
      <c r="I420" s="253"/>
      <c r="L420" s="4" t="s">
        <v>47</v>
      </c>
      <c r="M420" s="4"/>
      <c r="N420" s="4" t="s">
        <v>69</v>
      </c>
      <c r="O420" s="4" t="s">
        <v>69</v>
      </c>
      <c r="T420" s="5">
        <v>56</v>
      </c>
      <c r="U420" s="5" t="s">
        <v>55</v>
      </c>
      <c r="V420" s="43" t="s">
        <v>959</v>
      </c>
    </row>
    <row r="421" spans="1:22" hidden="1">
      <c r="A421" s="307" t="s">
        <v>49</v>
      </c>
      <c r="B421" s="449">
        <v>5323</v>
      </c>
      <c r="C421" s="694">
        <v>42403</v>
      </c>
      <c r="D421" s="307" t="s">
        <v>177</v>
      </c>
      <c r="E421" s="307" t="s">
        <v>920</v>
      </c>
      <c r="F421" s="18">
        <v>200</v>
      </c>
      <c r="G421" s="696">
        <v>120</v>
      </c>
      <c r="H421" s="349">
        <f t="shared" si="30"/>
        <v>0</v>
      </c>
      <c r="L421" s="1" t="s">
        <v>47</v>
      </c>
      <c r="N421" s="1" t="s">
        <v>48</v>
      </c>
      <c r="O421" s="1" t="s">
        <v>48</v>
      </c>
      <c r="T421" s="16">
        <v>120</v>
      </c>
      <c r="U421" s="16" t="s">
        <v>55</v>
      </c>
      <c r="V421" s="794">
        <v>42401</v>
      </c>
    </row>
    <row r="422" spans="1:22" hidden="1">
      <c r="A422" s="15" t="s">
        <v>193</v>
      </c>
      <c r="B422" s="904">
        <v>5340</v>
      </c>
      <c r="C422" s="338">
        <v>42485</v>
      </c>
      <c r="D422" s="59" t="s">
        <v>21</v>
      </c>
      <c r="E422" s="257" t="s">
        <v>840</v>
      </c>
      <c r="F422" s="663"/>
      <c r="G422" s="46">
        <v>4000</v>
      </c>
      <c r="H422" s="898">
        <f t="shared" si="30"/>
        <v>-1378</v>
      </c>
      <c r="I422" s="67" t="s">
        <v>1072</v>
      </c>
      <c r="L422" s="4" t="s">
        <v>48</v>
      </c>
      <c r="M422" s="4"/>
      <c r="N422" s="4" t="s">
        <v>48</v>
      </c>
      <c r="O422" s="4" t="s">
        <v>48</v>
      </c>
      <c r="T422" s="5">
        <f>2000+2000+1050+328</f>
        <v>5378</v>
      </c>
      <c r="U422" s="5" t="s">
        <v>55</v>
      </c>
      <c r="V422" s="43" t="s">
        <v>1109</v>
      </c>
    </row>
    <row r="423" spans="1:22" hidden="1">
      <c r="A423" s="15" t="s">
        <v>193</v>
      </c>
      <c r="B423" s="904">
        <v>5340</v>
      </c>
      <c r="C423" s="338">
        <v>42485</v>
      </c>
      <c r="D423" s="59" t="s">
        <v>21</v>
      </c>
      <c r="E423" s="15" t="s">
        <v>1026</v>
      </c>
      <c r="F423" s="663"/>
      <c r="G423" s="46">
        <v>3000</v>
      </c>
      <c r="H423" s="795">
        <f t="shared" si="30"/>
        <v>-1476</v>
      </c>
      <c r="I423" s="67" t="s">
        <v>1072</v>
      </c>
      <c r="L423" s="4" t="s">
        <v>48</v>
      </c>
      <c r="M423" s="4"/>
      <c r="N423" s="4" t="s">
        <v>48</v>
      </c>
      <c r="O423" s="4" t="s">
        <v>48</v>
      </c>
      <c r="T423" s="5">
        <f>1725+2000+751</f>
        <v>4476</v>
      </c>
      <c r="U423" s="5" t="s">
        <v>55</v>
      </c>
      <c r="V423" s="43" t="s">
        <v>1109</v>
      </c>
    </row>
    <row r="424" spans="1:22" hidden="1">
      <c r="A424" s="15" t="s">
        <v>636</v>
      </c>
      <c r="B424" s="59">
        <v>5338</v>
      </c>
      <c r="C424" s="338">
        <v>42485</v>
      </c>
      <c r="D424" s="59" t="s">
        <v>21</v>
      </c>
      <c r="E424" s="59" t="s">
        <v>41</v>
      </c>
      <c r="F424" s="663"/>
      <c r="G424" s="934">
        <v>600</v>
      </c>
      <c r="H424" s="917">
        <f t="shared" si="30"/>
        <v>-26</v>
      </c>
      <c r="I424" s="59" t="s">
        <v>1072</v>
      </c>
      <c r="L424" s="4" t="s">
        <v>47</v>
      </c>
      <c r="M424" s="4"/>
      <c r="N424" s="4" t="s">
        <v>69</v>
      </c>
      <c r="O424" s="4" t="s">
        <v>69</v>
      </c>
      <c r="T424" s="5">
        <f>200+300+126</f>
        <v>626</v>
      </c>
      <c r="U424" s="5" t="s">
        <v>55</v>
      </c>
      <c r="V424" s="43" t="s">
        <v>1109</v>
      </c>
    </row>
    <row r="425" spans="1:22" hidden="1">
      <c r="A425" s="15" t="s">
        <v>636</v>
      </c>
      <c r="B425" s="43">
        <v>5310</v>
      </c>
      <c r="C425" s="338">
        <v>42416</v>
      </c>
      <c r="D425" s="4" t="s">
        <v>34</v>
      </c>
      <c r="E425" s="43">
        <v>1860</v>
      </c>
      <c r="G425" s="40">
        <v>500</v>
      </c>
      <c r="H425" s="799">
        <f t="shared" si="30"/>
        <v>-50</v>
      </c>
      <c r="I425" s="759" t="s">
        <v>978</v>
      </c>
      <c r="L425" s="4" t="s">
        <v>47</v>
      </c>
      <c r="M425" s="4"/>
      <c r="N425" s="4" t="s">
        <v>48</v>
      </c>
      <c r="O425" s="4" t="s">
        <v>48</v>
      </c>
      <c r="T425" s="5">
        <v>550</v>
      </c>
      <c r="U425" s="5" t="s">
        <v>55</v>
      </c>
      <c r="V425" s="43" t="s">
        <v>1109</v>
      </c>
    </row>
    <row r="426" spans="1:22" hidden="1">
      <c r="A426" s="15" t="s">
        <v>636</v>
      </c>
      <c r="B426" s="43">
        <v>5310</v>
      </c>
      <c r="C426" s="338">
        <v>42416</v>
      </c>
      <c r="D426" s="4" t="s">
        <v>34</v>
      </c>
      <c r="E426" s="43">
        <v>1845</v>
      </c>
      <c r="G426" s="40">
        <v>500</v>
      </c>
      <c r="H426" s="799">
        <f t="shared" si="30"/>
        <v>0</v>
      </c>
      <c r="I426" s="253" t="s">
        <v>979</v>
      </c>
      <c r="L426" s="4" t="s">
        <v>47</v>
      </c>
      <c r="M426" s="4"/>
      <c r="N426" s="4" t="s">
        <v>48</v>
      </c>
      <c r="O426" s="4" t="s">
        <v>48</v>
      </c>
      <c r="T426" s="5">
        <v>500</v>
      </c>
      <c r="U426" s="5" t="s">
        <v>55</v>
      </c>
      <c r="V426" s="43" t="s">
        <v>948</v>
      </c>
    </row>
    <row r="427" spans="1:22" hidden="1">
      <c r="A427" s="15" t="s">
        <v>636</v>
      </c>
      <c r="B427" s="43">
        <v>5310</v>
      </c>
      <c r="C427" s="338">
        <v>42416</v>
      </c>
      <c r="D427" s="4" t="s">
        <v>34</v>
      </c>
      <c r="E427" s="43">
        <v>1845</v>
      </c>
      <c r="G427" s="40">
        <v>500</v>
      </c>
      <c r="H427" s="799">
        <f t="shared" si="30"/>
        <v>-160</v>
      </c>
      <c r="I427" s="253">
        <v>42465</v>
      </c>
      <c r="L427" s="4" t="s">
        <v>47</v>
      </c>
      <c r="M427" s="4"/>
      <c r="N427" s="4" t="s">
        <v>48</v>
      </c>
      <c r="O427" s="4" t="s">
        <v>48</v>
      </c>
      <c r="T427" s="5">
        <v>660</v>
      </c>
      <c r="U427" s="5" t="s">
        <v>55</v>
      </c>
      <c r="V427" s="43" t="s">
        <v>1013</v>
      </c>
    </row>
    <row r="428" spans="1:22" hidden="1">
      <c r="A428" s="15" t="s">
        <v>636</v>
      </c>
      <c r="B428" s="44">
        <v>5311</v>
      </c>
      <c r="C428" s="338">
        <v>42418</v>
      </c>
      <c r="D428" s="4" t="s">
        <v>13</v>
      </c>
      <c r="E428" s="4" t="s">
        <v>14</v>
      </c>
      <c r="G428" s="40">
        <v>305</v>
      </c>
      <c r="H428" s="798">
        <f t="shared" si="30"/>
        <v>-5</v>
      </c>
      <c r="I428" s="253"/>
      <c r="L428" s="4" t="s">
        <v>47</v>
      </c>
      <c r="M428" s="4"/>
      <c r="N428" s="4" t="s">
        <v>1</v>
      </c>
      <c r="O428" s="4" t="s">
        <v>69</v>
      </c>
      <c r="T428" s="5">
        <v>310</v>
      </c>
      <c r="U428" s="5" t="s">
        <v>55</v>
      </c>
      <c r="V428" s="43" t="s">
        <v>948</v>
      </c>
    </row>
    <row r="429" spans="1:22" hidden="1">
      <c r="A429" s="304" t="s">
        <v>636</v>
      </c>
      <c r="B429" s="44">
        <v>5311</v>
      </c>
      <c r="C429" s="458">
        <v>42418</v>
      </c>
      <c r="D429" s="284" t="s">
        <v>13</v>
      </c>
      <c r="E429" s="284" t="s">
        <v>980</v>
      </c>
      <c r="G429" s="296">
        <v>305</v>
      </c>
      <c r="H429" s="802">
        <f t="shared" si="30"/>
        <v>-5</v>
      </c>
      <c r="I429" s="297"/>
      <c r="L429" s="284" t="s">
        <v>48</v>
      </c>
      <c r="M429" s="284"/>
      <c r="N429" s="284" t="s">
        <v>48</v>
      </c>
      <c r="O429" s="284" t="s">
        <v>48</v>
      </c>
      <c r="T429" s="290">
        <v>310</v>
      </c>
      <c r="U429" s="290" t="s">
        <v>55</v>
      </c>
      <c r="V429" s="285" t="s">
        <v>948</v>
      </c>
    </row>
    <row r="430" spans="1:22" hidden="1">
      <c r="A430" s="304" t="s">
        <v>94</v>
      </c>
      <c r="B430" s="2">
        <v>5312</v>
      </c>
      <c r="C430" s="805" t="s">
        <v>986</v>
      </c>
      <c r="D430" s="15" t="s">
        <v>488</v>
      </c>
      <c r="E430" s="59" t="s">
        <v>987</v>
      </c>
      <c r="F430" s="59"/>
      <c r="G430" s="806">
        <v>60</v>
      </c>
      <c r="H430" s="803">
        <f t="shared" si="30"/>
        <v>0</v>
      </c>
      <c r="I430" s="297"/>
      <c r="L430" s="284" t="s">
        <v>48</v>
      </c>
      <c r="M430" s="284"/>
      <c r="N430" s="284" t="s">
        <v>48</v>
      </c>
      <c r="O430" s="284" t="s">
        <v>48</v>
      </c>
      <c r="T430" s="290">
        <v>60</v>
      </c>
      <c r="U430" s="290" t="s">
        <v>55</v>
      </c>
      <c r="V430" s="285" t="s">
        <v>948</v>
      </c>
    </row>
    <row r="431" spans="1:22" hidden="1">
      <c r="A431" s="304" t="s">
        <v>94</v>
      </c>
      <c r="B431" s="2">
        <v>5312</v>
      </c>
      <c r="C431" s="805" t="s">
        <v>986</v>
      </c>
      <c r="D431" s="15" t="s">
        <v>488</v>
      </c>
      <c r="E431" s="59" t="s">
        <v>988</v>
      </c>
      <c r="F431" s="59"/>
      <c r="G431" s="806">
        <v>64</v>
      </c>
      <c r="H431" s="803">
        <f t="shared" si="30"/>
        <v>0</v>
      </c>
      <c r="I431" s="297"/>
      <c r="L431" s="284" t="s">
        <v>48</v>
      </c>
      <c r="M431" s="284"/>
      <c r="N431" s="284" t="s">
        <v>48</v>
      </c>
      <c r="O431" s="284" t="s">
        <v>48</v>
      </c>
      <c r="T431" s="290">
        <v>64</v>
      </c>
      <c r="U431" s="290" t="s">
        <v>55</v>
      </c>
      <c r="V431" s="285" t="s">
        <v>948</v>
      </c>
    </row>
    <row r="432" spans="1:22" hidden="1">
      <c r="A432" s="304" t="s">
        <v>94</v>
      </c>
      <c r="B432" s="2">
        <v>5312</v>
      </c>
      <c r="C432" s="805" t="s">
        <v>986</v>
      </c>
      <c r="D432" s="15" t="s">
        <v>488</v>
      </c>
      <c r="E432" s="59" t="s">
        <v>989</v>
      </c>
      <c r="F432" s="59"/>
      <c r="G432" s="806">
        <v>68</v>
      </c>
      <c r="H432" s="803">
        <f t="shared" si="30"/>
        <v>0</v>
      </c>
      <c r="I432" s="297"/>
      <c r="L432" s="284" t="s">
        <v>48</v>
      </c>
      <c r="M432" s="284"/>
      <c r="N432" s="284" t="s">
        <v>48</v>
      </c>
      <c r="O432" s="284" t="s">
        <v>48</v>
      </c>
      <c r="T432" s="290">
        <v>68</v>
      </c>
      <c r="U432" s="290" t="s">
        <v>55</v>
      </c>
      <c r="V432" s="285" t="s">
        <v>948</v>
      </c>
    </row>
    <row r="433" spans="1:22" hidden="1">
      <c r="A433" s="304" t="s">
        <v>636</v>
      </c>
      <c r="B433" s="285">
        <v>5313</v>
      </c>
      <c r="C433" s="458">
        <v>42430</v>
      </c>
      <c r="D433" s="284" t="s">
        <v>13</v>
      </c>
      <c r="E433" s="284" t="s">
        <v>22</v>
      </c>
      <c r="G433" s="296">
        <v>506</v>
      </c>
      <c r="H433" s="807">
        <f t="shared" si="30"/>
        <v>-44</v>
      </c>
      <c r="I433" s="297"/>
      <c r="L433" s="284" t="s">
        <v>47</v>
      </c>
      <c r="M433" s="284"/>
      <c r="N433" s="284" t="s">
        <v>1</v>
      </c>
      <c r="O433" s="284" t="s">
        <v>1</v>
      </c>
      <c r="T433" s="290">
        <f>300+174+76</f>
        <v>550</v>
      </c>
      <c r="U433" s="290" t="s">
        <v>55</v>
      </c>
      <c r="V433" s="285" t="s">
        <v>1013</v>
      </c>
    </row>
    <row r="434" spans="1:22">
      <c r="A434" s="15" t="s">
        <v>636</v>
      </c>
      <c r="B434" s="5">
        <v>5313</v>
      </c>
      <c r="C434" s="338">
        <v>42430</v>
      </c>
      <c r="D434" s="4" t="s">
        <v>13</v>
      </c>
      <c r="E434" s="4" t="s">
        <v>36</v>
      </c>
      <c r="G434" s="40">
        <v>440</v>
      </c>
      <c r="H434" s="896">
        <f t="shared" si="30"/>
        <v>12</v>
      </c>
      <c r="I434" s="253"/>
      <c r="L434" s="4" t="s">
        <v>47</v>
      </c>
      <c r="M434" s="4"/>
      <c r="N434" s="4" t="s">
        <v>1</v>
      </c>
      <c r="O434" s="4" t="s">
        <v>48</v>
      </c>
      <c r="T434" s="5">
        <f>300+128</f>
        <v>428</v>
      </c>
      <c r="U434" s="5" t="s">
        <v>56</v>
      </c>
      <c r="V434" s="43"/>
    </row>
    <row r="435" spans="1:22" hidden="1">
      <c r="A435" s="15" t="s">
        <v>636</v>
      </c>
      <c r="B435" s="43">
        <v>5313</v>
      </c>
      <c r="C435" s="338">
        <v>42430</v>
      </c>
      <c r="D435" s="4" t="s">
        <v>13</v>
      </c>
      <c r="E435" s="4" t="s">
        <v>102</v>
      </c>
      <c r="G435" s="40">
        <v>250</v>
      </c>
      <c r="H435" s="818">
        <f t="shared" si="30"/>
        <v>-54</v>
      </c>
      <c r="I435" s="253"/>
      <c r="L435" s="4" t="s">
        <v>47</v>
      </c>
      <c r="M435" s="4"/>
      <c r="N435" s="4" t="s">
        <v>1</v>
      </c>
      <c r="O435" s="4" t="s">
        <v>1</v>
      </c>
      <c r="T435" s="5">
        <f>111+193</f>
        <v>304</v>
      </c>
      <c r="U435" s="5" t="s">
        <v>55</v>
      </c>
      <c r="V435" s="43" t="s">
        <v>948</v>
      </c>
    </row>
    <row r="436" spans="1:22" hidden="1">
      <c r="A436" s="211" t="s">
        <v>636</v>
      </c>
      <c r="B436" s="291" t="s">
        <v>37</v>
      </c>
      <c r="C436" s="469">
        <v>42432</v>
      </c>
      <c r="D436" s="211" t="s">
        <v>24</v>
      </c>
      <c r="E436" s="211" t="s">
        <v>753</v>
      </c>
      <c r="G436" s="208">
        <v>57</v>
      </c>
      <c r="H436" s="804">
        <f t="shared" si="30"/>
        <v>0</v>
      </c>
      <c r="I436" s="292"/>
      <c r="L436" s="211" t="s">
        <v>47</v>
      </c>
      <c r="M436" s="211"/>
      <c r="N436" s="211" t="s">
        <v>69</v>
      </c>
      <c r="O436" s="211" t="s">
        <v>69</v>
      </c>
      <c r="T436" s="210">
        <v>57</v>
      </c>
      <c r="U436" s="210" t="s">
        <v>55</v>
      </c>
      <c r="V436" s="291" t="s">
        <v>948</v>
      </c>
    </row>
    <row r="437" spans="1:22" hidden="1">
      <c r="A437" s="4" t="s">
        <v>636</v>
      </c>
      <c r="B437" s="43">
        <v>5314</v>
      </c>
      <c r="C437" s="338">
        <v>42432</v>
      </c>
      <c r="D437" s="4" t="s">
        <v>24</v>
      </c>
      <c r="E437" s="4" t="s">
        <v>22</v>
      </c>
      <c r="G437" s="40">
        <v>150</v>
      </c>
      <c r="H437" s="806">
        <f t="shared" si="30"/>
        <v>1</v>
      </c>
      <c r="I437" s="253"/>
      <c r="L437" s="4" t="s">
        <v>45</v>
      </c>
      <c r="M437" s="4"/>
      <c r="N437" s="4" t="s">
        <v>1</v>
      </c>
      <c r="O437" s="4" t="s">
        <v>1</v>
      </c>
      <c r="T437" s="5">
        <v>149</v>
      </c>
      <c r="U437" s="5" t="s">
        <v>55</v>
      </c>
      <c r="V437" s="43" t="s">
        <v>1013</v>
      </c>
    </row>
    <row r="438" spans="1:22" hidden="1">
      <c r="A438" s="4" t="s">
        <v>636</v>
      </c>
      <c r="B438" s="43">
        <v>5314</v>
      </c>
      <c r="C438" s="338">
        <v>42432</v>
      </c>
      <c r="D438" s="4" t="s">
        <v>24</v>
      </c>
      <c r="E438" s="4" t="s">
        <v>41</v>
      </c>
      <c r="G438" s="40">
        <v>150</v>
      </c>
      <c r="H438" s="806">
        <f t="shared" si="30"/>
        <v>-2</v>
      </c>
      <c r="I438" s="253"/>
      <c r="L438" s="4" t="s">
        <v>45</v>
      </c>
      <c r="M438" s="4"/>
      <c r="N438" s="4" t="s">
        <v>1</v>
      </c>
      <c r="O438" s="4" t="s">
        <v>1</v>
      </c>
      <c r="T438" s="5">
        <v>152</v>
      </c>
      <c r="U438" s="5" t="s">
        <v>55</v>
      </c>
      <c r="V438" s="43" t="s">
        <v>948</v>
      </c>
    </row>
    <row r="439" spans="1:22" hidden="1">
      <c r="A439" s="15" t="s">
        <v>636</v>
      </c>
      <c r="B439" s="2">
        <v>5314</v>
      </c>
      <c r="C439" s="338">
        <v>42432</v>
      </c>
      <c r="D439" s="4" t="s">
        <v>24</v>
      </c>
      <c r="E439" s="15" t="s">
        <v>29</v>
      </c>
      <c r="F439" s="663"/>
      <c r="G439" s="46">
        <v>100</v>
      </c>
      <c r="H439" s="806">
        <f t="shared" si="30"/>
        <v>0</v>
      </c>
      <c r="I439" s="253"/>
      <c r="L439" s="4" t="s">
        <v>45</v>
      </c>
      <c r="M439" s="4"/>
      <c r="N439" s="4" t="s">
        <v>48</v>
      </c>
      <c r="O439" s="4" t="s">
        <v>48</v>
      </c>
      <c r="T439" s="5">
        <f>50+50</f>
        <v>100</v>
      </c>
      <c r="U439" s="5" t="s">
        <v>55</v>
      </c>
      <c r="V439" s="43" t="s">
        <v>1013</v>
      </c>
    </row>
    <row r="440" spans="1:22" hidden="1">
      <c r="A440" s="1" t="s">
        <v>636</v>
      </c>
      <c r="B440" s="44" t="s">
        <v>628</v>
      </c>
      <c r="C440" s="276">
        <v>42432</v>
      </c>
      <c r="D440" s="1" t="s">
        <v>57</v>
      </c>
      <c r="E440" s="1" t="s">
        <v>826</v>
      </c>
      <c r="G440" s="18">
        <v>110</v>
      </c>
      <c r="H440" s="349">
        <f t="shared" si="30"/>
        <v>110</v>
      </c>
      <c r="L440" s="1" t="s">
        <v>48</v>
      </c>
      <c r="N440" s="1" t="s">
        <v>48</v>
      </c>
      <c r="O440" s="1" t="s">
        <v>48</v>
      </c>
      <c r="U440" s="16" t="s">
        <v>55</v>
      </c>
      <c r="V440" s="794">
        <v>42430</v>
      </c>
    </row>
    <row r="441" spans="1:22">
      <c r="A441" s="15" t="s">
        <v>636</v>
      </c>
      <c r="B441" s="5">
        <v>5315</v>
      </c>
      <c r="C441" s="338">
        <v>42432</v>
      </c>
      <c r="D441" s="4" t="s">
        <v>13</v>
      </c>
      <c r="E441" s="4" t="s">
        <v>264</v>
      </c>
      <c r="G441" s="40">
        <v>238</v>
      </c>
      <c r="H441" s="896">
        <f t="shared" si="30"/>
        <v>67</v>
      </c>
      <c r="I441" s="253"/>
      <c r="L441" s="4" t="s">
        <v>47</v>
      </c>
      <c r="M441" s="4"/>
      <c r="N441" s="4" t="s">
        <v>1</v>
      </c>
      <c r="O441" s="4" t="s">
        <v>48</v>
      </c>
      <c r="T441" s="5">
        <v>171</v>
      </c>
      <c r="U441" s="5" t="s">
        <v>56</v>
      </c>
      <c r="V441" s="43"/>
    </row>
    <row r="442" spans="1:22" hidden="1">
      <c r="A442" s="15" t="s">
        <v>636</v>
      </c>
      <c r="B442" s="59">
        <v>5338</v>
      </c>
      <c r="C442" s="338">
        <v>42485</v>
      </c>
      <c r="D442" s="59" t="s">
        <v>21</v>
      </c>
      <c r="E442" s="31" t="s">
        <v>264</v>
      </c>
      <c r="F442"/>
      <c r="G442" s="847">
        <v>600</v>
      </c>
      <c r="H442" s="808">
        <f t="shared" si="30"/>
        <v>-84</v>
      </c>
      <c r="I442" s="59" t="s">
        <v>1072</v>
      </c>
      <c r="L442" s="4" t="s">
        <v>45</v>
      </c>
      <c r="M442" s="4"/>
      <c r="N442" s="4" t="s">
        <v>69</v>
      </c>
      <c r="O442" s="4" t="s">
        <v>48</v>
      </c>
      <c r="T442" s="5">
        <v>684</v>
      </c>
      <c r="U442" s="5" t="s">
        <v>55</v>
      </c>
      <c r="V442" s="43" t="s">
        <v>1217</v>
      </c>
    </row>
    <row r="443" spans="1:22" hidden="1">
      <c r="A443" s="15" t="s">
        <v>636</v>
      </c>
      <c r="B443" s="59">
        <v>5338</v>
      </c>
      <c r="C443" s="338">
        <v>42485</v>
      </c>
      <c r="D443" s="59" t="s">
        <v>21</v>
      </c>
      <c r="E443" s="15" t="s">
        <v>36</v>
      </c>
      <c r="F443"/>
      <c r="G443" s="847">
        <v>1000</v>
      </c>
      <c r="H443" s="898">
        <f t="shared" ref="H443:H474" si="31">G443-T443</f>
        <v>0</v>
      </c>
      <c r="I443" s="59" t="s">
        <v>1072</v>
      </c>
      <c r="L443" s="4" t="s">
        <v>47</v>
      </c>
      <c r="M443" s="4"/>
      <c r="N443" s="4" t="s">
        <v>69</v>
      </c>
      <c r="O443" s="4" t="s">
        <v>48</v>
      </c>
      <c r="T443" s="5">
        <f>500+500</f>
        <v>1000</v>
      </c>
      <c r="U443" s="5" t="s">
        <v>55</v>
      </c>
      <c r="V443" s="43" t="s">
        <v>1109</v>
      </c>
    </row>
    <row r="444" spans="1:22" hidden="1">
      <c r="A444" s="15" t="s">
        <v>636</v>
      </c>
      <c r="B444" s="2">
        <v>5317</v>
      </c>
      <c r="C444" s="338">
        <v>42440</v>
      </c>
      <c r="D444" s="15" t="s">
        <v>5</v>
      </c>
      <c r="E444" s="15" t="s">
        <v>578</v>
      </c>
      <c r="F444"/>
      <c r="G444" s="46">
        <v>70</v>
      </c>
      <c r="H444" s="810">
        <f t="shared" si="31"/>
        <v>0</v>
      </c>
      <c r="I444" s="253"/>
      <c r="L444" s="4" t="s">
        <v>47</v>
      </c>
      <c r="M444" s="4"/>
      <c r="N444" s="4" t="s">
        <v>48</v>
      </c>
      <c r="O444" s="4" t="s">
        <v>48</v>
      </c>
      <c r="T444" s="5">
        <v>70</v>
      </c>
      <c r="U444" s="5" t="s">
        <v>55</v>
      </c>
      <c r="V444" s="43" t="s">
        <v>1013</v>
      </c>
    </row>
    <row r="445" spans="1:22" hidden="1">
      <c r="A445" s="15" t="s">
        <v>636</v>
      </c>
      <c r="B445" s="2">
        <v>5317</v>
      </c>
      <c r="C445" s="338">
        <v>42440</v>
      </c>
      <c r="D445" s="15" t="s">
        <v>5</v>
      </c>
      <c r="E445" s="15" t="s">
        <v>22</v>
      </c>
      <c r="F445"/>
      <c r="G445" s="46">
        <v>70</v>
      </c>
      <c r="H445" s="810">
        <f t="shared" si="31"/>
        <v>-39</v>
      </c>
      <c r="I445" s="253"/>
      <c r="L445" s="4" t="s">
        <v>47</v>
      </c>
      <c r="M445" s="4"/>
      <c r="N445" s="4" t="s">
        <v>69</v>
      </c>
      <c r="O445" s="4" t="s">
        <v>69</v>
      </c>
      <c r="T445" s="5">
        <v>109</v>
      </c>
      <c r="U445" s="5" t="s">
        <v>55</v>
      </c>
      <c r="V445" s="43" t="s">
        <v>1013</v>
      </c>
    </row>
    <row r="446" spans="1:22" hidden="1">
      <c r="A446" s="15" t="s">
        <v>636</v>
      </c>
      <c r="B446" s="2">
        <v>5317</v>
      </c>
      <c r="C446" s="338">
        <v>42440</v>
      </c>
      <c r="D446" s="15" t="s">
        <v>5</v>
      </c>
      <c r="E446" s="15" t="s">
        <v>964</v>
      </c>
      <c r="F446"/>
      <c r="G446" s="46">
        <v>70</v>
      </c>
      <c r="H446" s="810">
        <f t="shared" si="31"/>
        <v>-40</v>
      </c>
      <c r="I446" s="253"/>
      <c r="L446" s="4" t="s">
        <v>47</v>
      </c>
      <c r="M446" s="4"/>
      <c r="N446" s="4" t="s">
        <v>69</v>
      </c>
      <c r="O446" s="4" t="s">
        <v>69</v>
      </c>
      <c r="T446" s="5">
        <v>110</v>
      </c>
      <c r="U446" s="5" t="s">
        <v>55</v>
      </c>
      <c r="V446" s="43" t="s">
        <v>1013</v>
      </c>
    </row>
    <row r="447" spans="1:22" hidden="1">
      <c r="A447" s="304" t="s">
        <v>636</v>
      </c>
      <c r="B447" s="459">
        <v>5338</v>
      </c>
      <c r="C447" s="458">
        <v>42485</v>
      </c>
      <c r="D447" s="459" t="s">
        <v>21</v>
      </c>
      <c r="E447" s="304" t="s">
        <v>14</v>
      </c>
      <c r="F447" s="663"/>
      <c r="G447" s="897">
        <v>300</v>
      </c>
      <c r="H447" s="919">
        <f t="shared" si="31"/>
        <v>-117</v>
      </c>
      <c r="I447" s="459" t="s">
        <v>1072</v>
      </c>
      <c r="L447" s="284" t="s">
        <v>47</v>
      </c>
      <c r="M447" s="284"/>
      <c r="N447" s="284" t="s">
        <v>69</v>
      </c>
      <c r="O447" s="284" t="s">
        <v>69</v>
      </c>
      <c r="T447" s="290">
        <v>417</v>
      </c>
      <c r="U447" s="290" t="s">
        <v>55</v>
      </c>
      <c r="V447" s="285" t="s">
        <v>1109</v>
      </c>
    </row>
    <row r="448" spans="1:22">
      <c r="A448" s="15" t="s">
        <v>636</v>
      </c>
      <c r="B448" s="3">
        <v>5319</v>
      </c>
      <c r="C448" s="338">
        <v>42444</v>
      </c>
      <c r="D448" s="15" t="s">
        <v>33</v>
      </c>
      <c r="E448" s="15" t="s">
        <v>1009</v>
      </c>
      <c r="F448"/>
      <c r="G448" s="46">
        <v>600</v>
      </c>
      <c r="H448" s="895">
        <f t="shared" si="31"/>
        <v>600</v>
      </c>
      <c r="I448" s="253"/>
      <c r="L448" s="4" t="s">
        <v>45</v>
      </c>
      <c r="M448" s="4"/>
      <c r="N448" s="4" t="s">
        <v>48</v>
      </c>
      <c r="O448" s="4" t="s">
        <v>48</v>
      </c>
      <c r="T448" s="5"/>
      <c r="U448" s="5" t="s">
        <v>56</v>
      </c>
      <c r="V448" s="43"/>
    </row>
    <row r="449" spans="1:22" hidden="1">
      <c r="A449" s="15" t="s">
        <v>636</v>
      </c>
      <c r="B449" s="449">
        <v>5323</v>
      </c>
      <c r="C449" s="338">
        <v>42446</v>
      </c>
      <c r="D449" s="1" t="s">
        <v>177</v>
      </c>
      <c r="E449" s="1" t="s">
        <v>920</v>
      </c>
      <c r="G449" s="18">
        <v>500</v>
      </c>
      <c r="H449" s="349">
        <f t="shared" si="31"/>
        <v>0</v>
      </c>
      <c r="L449" s="1" t="s">
        <v>47</v>
      </c>
      <c r="N449" s="1" t="s">
        <v>48</v>
      </c>
      <c r="O449" s="1" t="s">
        <v>48</v>
      </c>
      <c r="T449" s="16">
        <v>500</v>
      </c>
      <c r="U449" s="16" t="s">
        <v>55</v>
      </c>
      <c r="V449" s="44" t="s">
        <v>948</v>
      </c>
    </row>
    <row r="450" spans="1:22" hidden="1">
      <c r="A450" s="304" t="s">
        <v>636</v>
      </c>
      <c r="B450" s="449">
        <v>5323</v>
      </c>
      <c r="C450" s="458">
        <v>42446</v>
      </c>
      <c r="D450" s="445" t="s">
        <v>177</v>
      </c>
      <c r="E450" s="1" t="s">
        <v>920</v>
      </c>
      <c r="F450"/>
      <c r="G450" s="607">
        <v>1181</v>
      </c>
      <c r="H450" s="815">
        <f t="shared" si="31"/>
        <v>0</v>
      </c>
      <c r="L450" s="1" t="s">
        <v>47</v>
      </c>
      <c r="N450" s="284" t="s">
        <v>48</v>
      </c>
      <c r="O450" s="284" t="s">
        <v>48</v>
      </c>
      <c r="T450" s="16">
        <f>20+200+120+500+10+250+81</f>
        <v>1181</v>
      </c>
      <c r="U450" s="16" t="s">
        <v>55</v>
      </c>
      <c r="V450" s="44" t="s">
        <v>1013</v>
      </c>
    </row>
    <row r="451" spans="1:22" hidden="1">
      <c r="A451" s="15" t="s">
        <v>636</v>
      </c>
      <c r="B451" s="59">
        <v>5338</v>
      </c>
      <c r="C451" s="338">
        <v>42485</v>
      </c>
      <c r="D451" s="59" t="s">
        <v>21</v>
      </c>
      <c r="E451" s="31" t="s">
        <v>964</v>
      </c>
      <c r="F451"/>
      <c r="G451" s="847">
        <v>200</v>
      </c>
      <c r="H451" s="816">
        <f t="shared" si="31"/>
        <v>-2</v>
      </c>
      <c r="I451" s="59" t="s">
        <v>1072</v>
      </c>
      <c r="L451" s="4" t="s">
        <v>45</v>
      </c>
      <c r="M451" s="4"/>
      <c r="N451" s="4" t="s">
        <v>69</v>
      </c>
      <c r="O451" s="4" t="s">
        <v>69</v>
      </c>
      <c r="T451" s="5">
        <v>202</v>
      </c>
      <c r="U451" s="5" t="s">
        <v>55</v>
      </c>
      <c r="V451" s="43" t="s">
        <v>1217</v>
      </c>
    </row>
    <row r="452" spans="1:22" hidden="1">
      <c r="A452" s="194" t="s">
        <v>636</v>
      </c>
      <c r="B452" s="206">
        <v>5320</v>
      </c>
      <c r="C452" s="469">
        <v>42445</v>
      </c>
      <c r="D452" s="194" t="s">
        <v>13</v>
      </c>
      <c r="E452" s="194" t="s">
        <v>714</v>
      </c>
      <c r="F452" s="663"/>
      <c r="G452" s="460">
        <v>130</v>
      </c>
      <c r="H452" s="814">
        <f t="shared" si="31"/>
        <v>-4</v>
      </c>
      <c r="I452" s="292"/>
      <c r="L452" s="211" t="s">
        <v>45</v>
      </c>
      <c r="M452" s="211"/>
      <c r="N452" s="211" t="s">
        <v>48</v>
      </c>
      <c r="O452" s="211" t="s">
        <v>48</v>
      </c>
      <c r="T452" s="210">
        <v>134</v>
      </c>
      <c r="U452" s="210" t="s">
        <v>55</v>
      </c>
      <c r="V452" s="291" t="s">
        <v>1013</v>
      </c>
    </row>
    <row r="453" spans="1:22" hidden="1">
      <c r="A453" s="15" t="s">
        <v>636</v>
      </c>
      <c r="B453" s="2">
        <v>5321</v>
      </c>
      <c r="C453" s="338">
        <v>42445</v>
      </c>
      <c r="D453" s="15" t="s">
        <v>5</v>
      </c>
      <c r="E453" s="15" t="s">
        <v>29</v>
      </c>
      <c r="F453" s="663"/>
      <c r="G453" s="46">
        <v>70</v>
      </c>
      <c r="H453" s="812">
        <f t="shared" si="31"/>
        <v>0</v>
      </c>
      <c r="I453" s="253"/>
      <c r="L453" s="4" t="s">
        <v>47</v>
      </c>
      <c r="M453" s="4"/>
      <c r="N453" s="4" t="s">
        <v>48</v>
      </c>
      <c r="O453" s="4" t="s">
        <v>48</v>
      </c>
      <c r="T453" s="5">
        <v>70</v>
      </c>
      <c r="U453" s="5" t="s">
        <v>55</v>
      </c>
      <c r="V453" s="43" t="s">
        <v>1013</v>
      </c>
    </row>
    <row r="454" spans="1:22" hidden="1">
      <c r="A454" s="15" t="s">
        <v>636</v>
      </c>
      <c r="B454" s="2">
        <v>5321</v>
      </c>
      <c r="C454" s="338">
        <v>42445</v>
      </c>
      <c r="D454" s="15" t="s">
        <v>5</v>
      </c>
      <c r="E454" s="15" t="s">
        <v>41</v>
      </c>
      <c r="F454" s="663"/>
      <c r="G454" s="46">
        <v>60</v>
      </c>
      <c r="H454" s="812">
        <f t="shared" si="31"/>
        <v>-10</v>
      </c>
      <c r="I454" s="253"/>
      <c r="L454" s="4" t="s">
        <v>47</v>
      </c>
      <c r="M454" s="4"/>
      <c r="N454" s="4" t="s">
        <v>69</v>
      </c>
      <c r="O454" s="4" t="s">
        <v>69</v>
      </c>
      <c r="T454" s="5">
        <v>70</v>
      </c>
      <c r="U454" s="5" t="s">
        <v>55</v>
      </c>
      <c r="V454" s="43" t="s">
        <v>948</v>
      </c>
    </row>
    <row r="455" spans="1:22" hidden="1">
      <c r="A455" s="15" t="s">
        <v>636</v>
      </c>
      <c r="B455" s="2">
        <v>5322</v>
      </c>
      <c r="C455" s="338">
        <v>42445</v>
      </c>
      <c r="D455" s="15" t="s">
        <v>24</v>
      </c>
      <c r="E455" s="15" t="s">
        <v>578</v>
      </c>
      <c r="F455" s="663"/>
      <c r="G455" s="46">
        <v>100</v>
      </c>
      <c r="H455" s="812">
        <f t="shared" si="31"/>
        <v>15</v>
      </c>
      <c r="I455" s="253"/>
      <c r="L455" s="4" t="s">
        <v>47</v>
      </c>
      <c r="M455" s="4"/>
      <c r="N455" s="4" t="s">
        <v>48</v>
      </c>
      <c r="O455" s="4" t="s">
        <v>48</v>
      </c>
      <c r="T455" s="5">
        <v>85</v>
      </c>
      <c r="U455" s="5" t="s">
        <v>55</v>
      </c>
      <c r="V455" s="43" t="s">
        <v>1109</v>
      </c>
    </row>
    <row r="456" spans="1:22" hidden="1">
      <c r="A456" s="304" t="s">
        <v>636</v>
      </c>
      <c r="B456" s="301">
        <v>5324</v>
      </c>
      <c r="C456" s="458">
        <v>42446</v>
      </c>
      <c r="D456" s="304" t="s">
        <v>867</v>
      </c>
      <c r="E456" s="304" t="s">
        <v>687</v>
      </c>
      <c r="F456"/>
      <c r="G456" s="454">
        <v>58</v>
      </c>
      <c r="H456" s="813">
        <f t="shared" si="31"/>
        <v>0</v>
      </c>
      <c r="I456" s="297"/>
      <c r="L456" s="284" t="s">
        <v>47</v>
      </c>
      <c r="M456" s="284"/>
      <c r="N456" s="284" t="s">
        <v>48</v>
      </c>
      <c r="O456" s="284" t="s">
        <v>48</v>
      </c>
      <c r="T456" s="290">
        <v>58</v>
      </c>
      <c r="U456" s="290" t="s">
        <v>55</v>
      </c>
      <c r="V456" s="285" t="s">
        <v>1109</v>
      </c>
    </row>
    <row r="457" spans="1:22" hidden="1">
      <c r="A457" s="15" t="s">
        <v>94</v>
      </c>
      <c r="B457" s="2">
        <v>5326</v>
      </c>
      <c r="C457" s="338">
        <v>42447</v>
      </c>
      <c r="D457" s="15" t="s">
        <v>488</v>
      </c>
      <c r="E457" s="15" t="s">
        <v>1017</v>
      </c>
      <c r="F457" s="729"/>
      <c r="G457" s="46">
        <v>33</v>
      </c>
      <c r="H457" s="816">
        <f t="shared" si="31"/>
        <v>-11</v>
      </c>
      <c r="I457" s="253"/>
      <c r="L457" s="4" t="s">
        <v>48</v>
      </c>
      <c r="M457" s="4"/>
      <c r="N457" s="4" t="s">
        <v>48</v>
      </c>
      <c r="O457" s="4" t="s">
        <v>48</v>
      </c>
      <c r="T457" s="5">
        <v>44</v>
      </c>
      <c r="U457" s="5" t="s">
        <v>55</v>
      </c>
      <c r="V457" s="43" t="s">
        <v>1013</v>
      </c>
    </row>
    <row r="458" spans="1:22" hidden="1">
      <c r="A458" s="15" t="s">
        <v>94</v>
      </c>
      <c r="B458" s="2">
        <v>5326</v>
      </c>
      <c r="C458" s="338">
        <v>42447</v>
      </c>
      <c r="D458" s="15" t="s">
        <v>488</v>
      </c>
      <c r="E458" s="15" t="s">
        <v>1018</v>
      </c>
      <c r="F458" s="729"/>
      <c r="G458" s="46">
        <v>18</v>
      </c>
      <c r="H458" s="816">
        <f t="shared" si="31"/>
        <v>-6</v>
      </c>
      <c r="I458" s="253"/>
      <c r="L458" s="4" t="s">
        <v>48</v>
      </c>
      <c r="M458" s="4"/>
      <c r="N458" s="4" t="s">
        <v>48</v>
      </c>
      <c r="O458" s="4" t="s">
        <v>48</v>
      </c>
      <c r="T458" s="5">
        <v>24</v>
      </c>
      <c r="U458" s="5" t="s">
        <v>55</v>
      </c>
      <c r="V458" s="43" t="s">
        <v>1013</v>
      </c>
    </row>
    <row r="459" spans="1:22" hidden="1">
      <c r="A459" s="15" t="s">
        <v>94</v>
      </c>
      <c r="B459" s="2">
        <v>5326</v>
      </c>
      <c r="C459" s="338">
        <v>42447</v>
      </c>
      <c r="D459" s="15" t="s">
        <v>488</v>
      </c>
      <c r="E459" s="15" t="s">
        <v>1019</v>
      </c>
      <c r="F459" s="729"/>
      <c r="G459" s="46">
        <v>33</v>
      </c>
      <c r="H459" s="816">
        <f t="shared" si="31"/>
        <v>-11</v>
      </c>
      <c r="I459" s="253"/>
      <c r="L459" s="4" t="s">
        <v>48</v>
      </c>
      <c r="M459" s="4"/>
      <c r="N459" s="4" t="s">
        <v>48</v>
      </c>
      <c r="O459" s="4" t="s">
        <v>48</v>
      </c>
      <c r="T459" s="5">
        <v>44</v>
      </c>
      <c r="U459" s="5" t="s">
        <v>55</v>
      </c>
      <c r="V459" s="43" t="s">
        <v>1013</v>
      </c>
    </row>
    <row r="460" spans="1:22" hidden="1">
      <c r="A460" s="15" t="s">
        <v>94</v>
      </c>
      <c r="B460" s="2">
        <v>5326</v>
      </c>
      <c r="C460" s="338">
        <v>42447</v>
      </c>
      <c r="D460" s="15" t="s">
        <v>488</v>
      </c>
      <c r="E460" s="15" t="s">
        <v>1020</v>
      </c>
      <c r="F460" s="729"/>
      <c r="G460" s="46">
        <v>15</v>
      </c>
      <c r="H460" s="816">
        <f t="shared" si="31"/>
        <v>-5</v>
      </c>
      <c r="I460" s="253"/>
      <c r="L460" s="4" t="s">
        <v>48</v>
      </c>
      <c r="M460" s="4"/>
      <c r="N460" s="4" t="s">
        <v>48</v>
      </c>
      <c r="O460" s="4" t="s">
        <v>48</v>
      </c>
      <c r="T460" s="5">
        <v>20</v>
      </c>
      <c r="U460" s="5" t="s">
        <v>55</v>
      </c>
      <c r="V460" s="43" t="s">
        <v>1013</v>
      </c>
    </row>
    <row r="461" spans="1:22" hidden="1">
      <c r="A461" s="15" t="s">
        <v>94</v>
      </c>
      <c r="B461" s="2">
        <v>5326</v>
      </c>
      <c r="C461" s="338">
        <v>42447</v>
      </c>
      <c r="D461" s="15" t="s">
        <v>488</v>
      </c>
      <c r="E461" s="15" t="s">
        <v>1021</v>
      </c>
      <c r="F461" s="663"/>
      <c r="G461" s="46">
        <v>42</v>
      </c>
      <c r="H461" s="817">
        <f t="shared" si="31"/>
        <v>-14</v>
      </c>
      <c r="I461" s="253"/>
      <c r="L461" s="4" t="s">
        <v>48</v>
      </c>
      <c r="M461" s="4"/>
      <c r="N461" s="4" t="s">
        <v>48</v>
      </c>
      <c r="O461" s="4" t="s">
        <v>48</v>
      </c>
      <c r="T461" s="5">
        <v>56</v>
      </c>
      <c r="U461" s="5" t="s">
        <v>55</v>
      </c>
      <c r="V461" s="43" t="s">
        <v>1013</v>
      </c>
    </row>
    <row r="462" spans="1:22" hidden="1">
      <c r="A462" s="15" t="s">
        <v>94</v>
      </c>
      <c r="B462" s="2">
        <v>5326</v>
      </c>
      <c r="C462" s="338">
        <v>42447</v>
      </c>
      <c r="D462" s="15" t="s">
        <v>488</v>
      </c>
      <c r="E462" s="15" t="s">
        <v>1022</v>
      </c>
      <c r="F462" s="663"/>
      <c r="G462" s="46">
        <v>12</v>
      </c>
      <c r="H462" s="817">
        <f t="shared" si="31"/>
        <v>-2</v>
      </c>
      <c r="I462" s="253"/>
      <c r="L462" s="4" t="s">
        <v>48</v>
      </c>
      <c r="M462" s="4"/>
      <c r="N462" s="4" t="s">
        <v>48</v>
      </c>
      <c r="O462" s="4" t="s">
        <v>48</v>
      </c>
      <c r="T462" s="5">
        <v>14</v>
      </c>
      <c r="U462" s="5" t="s">
        <v>55</v>
      </c>
      <c r="V462" s="43" t="s">
        <v>1013</v>
      </c>
    </row>
    <row r="463" spans="1:22" hidden="1">
      <c r="A463" s="15" t="s">
        <v>94</v>
      </c>
      <c r="B463" s="2">
        <v>5327</v>
      </c>
      <c r="C463" s="338">
        <v>42451</v>
      </c>
      <c r="D463" s="15" t="s">
        <v>488</v>
      </c>
      <c r="E463" s="15" t="s">
        <v>1023</v>
      </c>
      <c r="F463"/>
      <c r="G463" s="46">
        <v>650</v>
      </c>
      <c r="H463" s="817">
        <f t="shared" si="31"/>
        <v>-10</v>
      </c>
      <c r="I463" s="253"/>
      <c r="L463" s="4" t="s">
        <v>48</v>
      </c>
      <c r="M463" s="4"/>
      <c r="N463" s="4" t="s">
        <v>48</v>
      </c>
      <c r="O463" s="4" t="s">
        <v>48</v>
      </c>
      <c r="T463" s="5">
        <v>660</v>
      </c>
      <c r="U463" s="5" t="s">
        <v>55</v>
      </c>
      <c r="V463" s="43" t="s">
        <v>1013</v>
      </c>
    </row>
    <row r="464" spans="1:22" hidden="1">
      <c r="A464" s="15" t="s">
        <v>94</v>
      </c>
      <c r="B464" s="2">
        <v>5327</v>
      </c>
      <c r="C464" s="338">
        <v>42451</v>
      </c>
      <c r="D464" s="15" t="s">
        <v>488</v>
      </c>
      <c r="E464" s="15" t="s">
        <v>1024</v>
      </c>
      <c r="F464"/>
      <c r="G464" s="46">
        <v>200</v>
      </c>
      <c r="H464" s="817">
        <f t="shared" si="31"/>
        <v>18</v>
      </c>
      <c r="I464" s="253"/>
      <c r="L464" s="4" t="s">
        <v>48</v>
      </c>
      <c r="M464" s="4"/>
      <c r="N464" s="4" t="s">
        <v>48</v>
      </c>
      <c r="O464" s="4" t="s">
        <v>48</v>
      </c>
      <c r="T464" s="5">
        <v>182</v>
      </c>
      <c r="U464" s="5" t="s">
        <v>55</v>
      </c>
      <c r="V464" s="43" t="s">
        <v>1013</v>
      </c>
    </row>
    <row r="465" spans="1:23" hidden="1">
      <c r="A465" s="15" t="s">
        <v>94</v>
      </c>
      <c r="B465" s="2">
        <v>5327</v>
      </c>
      <c r="C465" s="338">
        <v>42451</v>
      </c>
      <c r="D465" s="15" t="s">
        <v>488</v>
      </c>
      <c r="E465" s="15" t="s">
        <v>1025</v>
      </c>
      <c r="F465"/>
      <c r="G465" s="46">
        <v>100</v>
      </c>
      <c r="H465" s="817">
        <f t="shared" si="31"/>
        <v>-2</v>
      </c>
      <c r="I465" s="253"/>
      <c r="L465" s="4" t="s">
        <v>48</v>
      </c>
      <c r="M465" s="4"/>
      <c r="N465" s="4" t="s">
        <v>48</v>
      </c>
      <c r="O465" s="4" t="s">
        <v>48</v>
      </c>
      <c r="T465" s="5">
        <v>102</v>
      </c>
      <c r="U465" s="5" t="s">
        <v>55</v>
      </c>
      <c r="V465" s="43" t="s">
        <v>1013</v>
      </c>
    </row>
    <row r="466" spans="1:23">
      <c r="A466" s="15" t="s">
        <v>636</v>
      </c>
      <c r="B466" s="925">
        <v>5339</v>
      </c>
      <c r="C466" s="338">
        <v>42485</v>
      </c>
      <c r="D466" s="59" t="s">
        <v>21</v>
      </c>
      <c r="E466" s="15" t="s">
        <v>22</v>
      </c>
      <c r="F466"/>
      <c r="G466" s="46">
        <v>500</v>
      </c>
      <c r="H466" s="917">
        <f t="shared" si="31"/>
        <v>500</v>
      </c>
      <c r="I466" s="59" t="s">
        <v>1073</v>
      </c>
      <c r="L466" s="4" t="s">
        <v>45</v>
      </c>
      <c r="M466" s="4"/>
      <c r="N466" s="4" t="s">
        <v>69</v>
      </c>
      <c r="O466" s="4" t="s">
        <v>69</v>
      </c>
      <c r="T466" s="5"/>
      <c r="U466" s="5" t="s">
        <v>56</v>
      </c>
      <c r="V466" s="43"/>
    </row>
    <row r="467" spans="1:23">
      <c r="A467" s="15" t="s">
        <v>636</v>
      </c>
      <c r="B467" s="925">
        <v>5339</v>
      </c>
      <c r="C467" s="338">
        <v>42485</v>
      </c>
      <c r="D467" s="59" t="s">
        <v>21</v>
      </c>
      <c r="E467" s="15" t="s">
        <v>802</v>
      </c>
      <c r="F467"/>
      <c r="G467" s="46">
        <v>300</v>
      </c>
      <c r="H467" s="917">
        <f t="shared" si="31"/>
        <v>300</v>
      </c>
      <c r="I467" s="59" t="s">
        <v>1073</v>
      </c>
      <c r="L467" s="4" t="s">
        <v>47</v>
      </c>
      <c r="M467" s="4"/>
      <c r="N467" s="4" t="s">
        <v>69</v>
      </c>
      <c r="O467" s="4" t="s">
        <v>69</v>
      </c>
      <c r="T467" s="5"/>
      <c r="U467" s="5" t="s">
        <v>56</v>
      </c>
      <c r="V467" s="43"/>
    </row>
    <row r="468" spans="1:23" hidden="1">
      <c r="A468" s="15" t="s">
        <v>636</v>
      </c>
      <c r="B468" s="2">
        <v>5329</v>
      </c>
      <c r="C468" s="338">
        <v>42460</v>
      </c>
      <c r="D468" s="15" t="s">
        <v>867</v>
      </c>
      <c r="E468" s="15" t="s">
        <v>687</v>
      </c>
      <c r="F468"/>
      <c r="G468" s="46">
        <v>1000</v>
      </c>
      <c r="H468" s="817">
        <f t="shared" si="31"/>
        <v>0</v>
      </c>
      <c r="I468" s="253"/>
      <c r="L468" s="4" t="s">
        <v>47</v>
      </c>
      <c r="M468" s="4"/>
      <c r="N468" s="4" t="s">
        <v>48</v>
      </c>
      <c r="O468" s="4" t="s">
        <v>48</v>
      </c>
      <c r="T468" s="5">
        <f>500+500</f>
        <v>1000</v>
      </c>
      <c r="U468" s="5" t="s">
        <v>55</v>
      </c>
      <c r="V468" s="285" t="s">
        <v>1109</v>
      </c>
    </row>
    <row r="469" spans="1:23">
      <c r="A469" s="15" t="s">
        <v>636</v>
      </c>
      <c r="B469" s="925">
        <v>5339</v>
      </c>
      <c r="C469" s="338">
        <v>42485</v>
      </c>
      <c r="D469" s="59" t="s">
        <v>21</v>
      </c>
      <c r="E469" s="15" t="s">
        <v>578</v>
      </c>
      <c r="F469"/>
      <c r="G469" s="46">
        <v>300</v>
      </c>
      <c r="H469" s="917">
        <f t="shared" si="31"/>
        <v>300</v>
      </c>
      <c r="I469" s="59" t="s">
        <v>1073</v>
      </c>
      <c r="L469" s="4" t="s">
        <v>45</v>
      </c>
      <c r="M469" s="4"/>
      <c r="N469" s="4" t="s">
        <v>48</v>
      </c>
      <c r="O469" s="4" t="s">
        <v>48</v>
      </c>
      <c r="T469" s="5"/>
      <c r="U469" s="5" t="s">
        <v>56</v>
      </c>
      <c r="V469" s="43"/>
    </row>
    <row r="470" spans="1:23">
      <c r="A470" s="15" t="s">
        <v>636</v>
      </c>
      <c r="B470" s="925">
        <v>5339</v>
      </c>
      <c r="C470" s="338">
        <v>42485</v>
      </c>
      <c r="D470" s="59" t="s">
        <v>21</v>
      </c>
      <c r="E470" s="15" t="s">
        <v>577</v>
      </c>
      <c r="F470"/>
      <c r="G470" s="46">
        <v>300</v>
      </c>
      <c r="H470" s="917">
        <f t="shared" si="31"/>
        <v>78</v>
      </c>
      <c r="I470" s="59" t="s">
        <v>1073</v>
      </c>
      <c r="L470" s="4" t="s">
        <v>47</v>
      </c>
      <c r="M470" s="4"/>
      <c r="N470" s="4" t="s">
        <v>69</v>
      </c>
      <c r="O470" s="4" t="s">
        <v>69</v>
      </c>
      <c r="T470" s="5">
        <v>222</v>
      </c>
      <c r="U470" s="5" t="s">
        <v>56</v>
      </c>
      <c r="V470" s="43"/>
    </row>
    <row r="471" spans="1:23" hidden="1">
      <c r="A471" s="304" t="s">
        <v>193</v>
      </c>
      <c r="B471" s="905">
        <v>5341</v>
      </c>
      <c r="C471" s="458">
        <v>42485</v>
      </c>
      <c r="D471" s="459" t="s">
        <v>21</v>
      </c>
      <c r="E471" s="304" t="s">
        <v>192</v>
      </c>
      <c r="F471"/>
      <c r="G471" s="454">
        <v>5000</v>
      </c>
      <c r="H471" s="919">
        <f t="shared" si="31"/>
        <v>-435</v>
      </c>
      <c r="I471" s="649" t="s">
        <v>1072</v>
      </c>
      <c r="L471" s="284" t="s">
        <v>48</v>
      </c>
      <c r="M471" s="284"/>
      <c r="N471" s="284" t="s">
        <v>48</v>
      </c>
      <c r="O471" s="284" t="s">
        <v>48</v>
      </c>
      <c r="T471" s="290">
        <f>2500+2935</f>
        <v>5435</v>
      </c>
      <c r="U471" s="290" t="s">
        <v>55</v>
      </c>
      <c r="V471" s="285" t="s">
        <v>1109</v>
      </c>
    </row>
    <row r="472" spans="1:23">
      <c r="A472" s="15" t="s">
        <v>636</v>
      </c>
      <c r="B472" s="3">
        <v>5331</v>
      </c>
      <c r="C472" s="338">
        <v>42465</v>
      </c>
      <c r="D472" s="15" t="s">
        <v>177</v>
      </c>
      <c r="E472" s="15" t="s">
        <v>920</v>
      </c>
      <c r="F472"/>
      <c r="G472" s="46">
        <v>1000</v>
      </c>
      <c r="H472" s="894">
        <f t="shared" si="31"/>
        <v>-4</v>
      </c>
      <c r="I472" s="59" t="s">
        <v>60</v>
      </c>
      <c r="L472" s="4" t="s">
        <v>47</v>
      </c>
      <c r="M472" s="4"/>
      <c r="N472" s="4" t="s">
        <v>48</v>
      </c>
      <c r="O472" s="4" t="s">
        <v>48</v>
      </c>
      <c r="T472" s="5">
        <f>109+125+150+150+260+210</f>
        <v>1004</v>
      </c>
      <c r="U472" s="5" t="s">
        <v>56</v>
      </c>
      <c r="V472" s="43"/>
    </row>
    <row r="473" spans="1:23">
      <c r="A473" s="15" t="s">
        <v>636</v>
      </c>
      <c r="B473" s="3">
        <v>5331</v>
      </c>
      <c r="C473" s="338">
        <v>42465</v>
      </c>
      <c r="D473" s="15" t="s">
        <v>177</v>
      </c>
      <c r="E473" s="15" t="s">
        <v>920</v>
      </c>
      <c r="F473"/>
      <c r="G473" s="46">
        <v>1000</v>
      </c>
      <c r="H473" s="894">
        <f t="shared" si="31"/>
        <v>500</v>
      </c>
      <c r="I473" s="59" t="s">
        <v>151</v>
      </c>
      <c r="L473" s="4" t="s">
        <v>47</v>
      </c>
      <c r="M473" s="4"/>
      <c r="N473" s="4" t="s">
        <v>48</v>
      </c>
      <c r="O473" s="4" t="s">
        <v>48</v>
      </c>
      <c r="T473" s="5">
        <f>280+220</f>
        <v>500</v>
      </c>
      <c r="U473" s="5" t="s">
        <v>56</v>
      </c>
      <c r="V473" s="43"/>
    </row>
    <row r="474" spans="1:23">
      <c r="A474" s="15" t="s">
        <v>636</v>
      </c>
      <c r="B474" s="3">
        <v>5331</v>
      </c>
      <c r="C474" s="338">
        <v>42465</v>
      </c>
      <c r="D474" s="15" t="s">
        <v>177</v>
      </c>
      <c r="E474" s="15" t="s">
        <v>920</v>
      </c>
      <c r="F474"/>
      <c r="G474" s="46">
        <v>500</v>
      </c>
      <c r="H474" s="894">
        <f t="shared" si="31"/>
        <v>500</v>
      </c>
      <c r="I474" s="59" t="s">
        <v>433</v>
      </c>
      <c r="L474" s="4" t="s">
        <v>45</v>
      </c>
      <c r="M474" s="4"/>
      <c r="N474" s="4" t="s">
        <v>48</v>
      </c>
      <c r="O474" s="4" t="s">
        <v>48</v>
      </c>
      <c r="T474" s="5"/>
      <c r="U474" s="5" t="s">
        <v>56</v>
      </c>
      <c r="V474" s="43"/>
    </row>
    <row r="475" spans="1:23">
      <c r="A475" s="15" t="s">
        <v>636</v>
      </c>
      <c r="B475" s="3">
        <v>5332</v>
      </c>
      <c r="C475" s="338">
        <v>42467</v>
      </c>
      <c r="D475" s="15" t="s">
        <v>3</v>
      </c>
      <c r="E475" s="15" t="s">
        <v>699</v>
      </c>
      <c r="F475"/>
      <c r="G475" s="46">
        <v>400</v>
      </c>
      <c r="H475" s="894">
        <f t="shared" ref="H475:H506" si="32">G475-T475</f>
        <v>400</v>
      </c>
      <c r="I475" s="253"/>
      <c r="L475" s="4" t="s">
        <v>47</v>
      </c>
      <c r="M475" s="4"/>
      <c r="N475" s="4" t="s">
        <v>48</v>
      </c>
      <c r="O475" s="4" t="s">
        <v>48</v>
      </c>
      <c r="T475" s="5"/>
      <c r="U475" s="5" t="s">
        <v>56</v>
      </c>
      <c r="V475" s="43"/>
    </row>
    <row r="476" spans="1:23" hidden="1">
      <c r="A476" s="304" t="s">
        <v>636</v>
      </c>
      <c r="B476" s="301">
        <v>5332</v>
      </c>
      <c r="C476" s="458">
        <v>42467</v>
      </c>
      <c r="D476" s="304" t="s">
        <v>3</v>
      </c>
      <c r="E476" s="304" t="s">
        <v>646</v>
      </c>
      <c r="F476"/>
      <c r="G476" s="454">
        <v>70</v>
      </c>
      <c r="H476" s="893">
        <f t="shared" si="32"/>
        <v>0</v>
      </c>
      <c r="I476" s="297"/>
      <c r="L476" s="284" t="s">
        <v>45</v>
      </c>
      <c r="M476" s="284"/>
      <c r="N476" s="284" t="s">
        <v>48</v>
      </c>
      <c r="O476" s="284" t="s">
        <v>48</v>
      </c>
      <c r="T476" s="290">
        <v>70</v>
      </c>
      <c r="U476" s="290" t="s">
        <v>55</v>
      </c>
      <c r="V476" s="285" t="s">
        <v>1013</v>
      </c>
    </row>
    <row r="477" spans="1:23">
      <c r="A477" s="15" t="s">
        <v>636</v>
      </c>
      <c r="B477" s="3">
        <v>5332</v>
      </c>
      <c r="C477" s="338">
        <v>42467</v>
      </c>
      <c r="D477" s="15" t="s">
        <v>3</v>
      </c>
      <c r="E477" s="15" t="s">
        <v>456</v>
      </c>
      <c r="F477"/>
      <c r="G477" s="46">
        <v>2000</v>
      </c>
      <c r="H477" s="894">
        <f t="shared" si="32"/>
        <v>1820</v>
      </c>
      <c r="I477" s="253"/>
      <c r="L477" s="4" t="s">
        <v>47</v>
      </c>
      <c r="M477" s="4"/>
      <c r="N477" s="4" t="s">
        <v>48</v>
      </c>
      <c r="O477" s="4" t="s">
        <v>48</v>
      </c>
      <c r="T477" s="5">
        <v>180</v>
      </c>
      <c r="U477" s="5" t="s">
        <v>56</v>
      </c>
      <c r="V477" s="43"/>
    </row>
    <row r="478" spans="1:23">
      <c r="A478" s="4" t="s">
        <v>49</v>
      </c>
      <c r="B478" s="3">
        <v>4732</v>
      </c>
      <c r="C478" s="278">
        <v>41213</v>
      </c>
      <c r="D478" s="2" t="s">
        <v>3</v>
      </c>
      <c r="E478" s="4" t="s">
        <v>456</v>
      </c>
      <c r="F478" s="785"/>
      <c r="G478" s="46">
        <v>815</v>
      </c>
      <c r="H478" s="28">
        <f t="shared" si="32"/>
        <v>815</v>
      </c>
      <c r="I478" s="252"/>
      <c r="J478" s="791">
        <f ca="1">TODAY()-C478</f>
        <v>1332</v>
      </c>
      <c r="K478" s="632" t="str">
        <f ca="1">IF(I478="","Sin fecha",((I478-TODAY())))</f>
        <v>Sin fecha</v>
      </c>
      <c r="L478" s="2" t="s">
        <v>47</v>
      </c>
      <c r="M478" s="46"/>
      <c r="N478" s="2" t="s">
        <v>48</v>
      </c>
      <c r="O478" s="2" t="s">
        <v>48</v>
      </c>
      <c r="P478" s="39" t="s">
        <v>48</v>
      </c>
      <c r="Q478" s="39" t="s">
        <v>48</v>
      </c>
      <c r="R478" s="39" t="s">
        <v>48</v>
      </c>
      <c r="S478" s="39" t="s">
        <v>48</v>
      </c>
      <c r="T478" s="5"/>
      <c r="U478" s="5" t="s">
        <v>56</v>
      </c>
      <c r="V478" s="4"/>
      <c r="W478" s="33"/>
    </row>
    <row r="479" spans="1:23" hidden="1">
      <c r="A479" s="284" t="s">
        <v>49</v>
      </c>
      <c r="B479" s="301">
        <v>5175</v>
      </c>
      <c r="C479" s="446">
        <v>42088</v>
      </c>
      <c r="D479" s="301" t="s">
        <v>3</v>
      </c>
      <c r="E479" s="304" t="s">
        <v>1036</v>
      </c>
      <c r="F479" s="785"/>
      <c r="G479" s="454">
        <f>850-152</f>
        <v>698</v>
      </c>
      <c r="H479" s="51">
        <f t="shared" si="32"/>
        <v>0</v>
      </c>
      <c r="I479" s="447"/>
      <c r="J479" s="791">
        <f ca="1">TODAY()-C479</f>
        <v>457</v>
      </c>
      <c r="K479" s="632" t="str">
        <f ca="1">IF(I479="","Sin fecha",((I479-TODAY())))</f>
        <v>Sin fecha</v>
      </c>
      <c r="L479" s="301" t="s">
        <v>47</v>
      </c>
      <c r="M479" s="301"/>
      <c r="N479" s="301" t="s">
        <v>48</v>
      </c>
      <c r="O479" s="301" t="s">
        <v>48</v>
      </c>
      <c r="P479" s="39" t="s">
        <v>48</v>
      </c>
      <c r="Q479" s="39" t="s">
        <v>48</v>
      </c>
      <c r="R479" s="39" t="s">
        <v>48</v>
      </c>
      <c r="S479" s="39" t="s">
        <v>48</v>
      </c>
      <c r="T479" s="290">
        <f>150+20+280+248</f>
        <v>698</v>
      </c>
      <c r="U479" s="290" t="s">
        <v>55</v>
      </c>
      <c r="V479" s="284" t="s">
        <v>1013</v>
      </c>
      <c r="W479" s="33"/>
    </row>
    <row r="480" spans="1:23" hidden="1">
      <c r="A480" s="4" t="s">
        <v>453</v>
      </c>
      <c r="B480" s="43" t="s">
        <v>48</v>
      </c>
      <c r="C480" s="278">
        <v>42106</v>
      </c>
      <c r="D480" s="4" t="s">
        <v>3</v>
      </c>
      <c r="E480" s="4" t="s">
        <v>456</v>
      </c>
      <c r="G480" s="40">
        <v>175</v>
      </c>
      <c r="H480" s="28">
        <f t="shared" si="32"/>
        <v>0</v>
      </c>
      <c r="I480" s="253"/>
      <c r="L480" s="4" t="s">
        <v>47</v>
      </c>
      <c r="M480" s="4"/>
      <c r="N480" s="4" t="s">
        <v>48</v>
      </c>
      <c r="O480" s="4" t="s">
        <v>48</v>
      </c>
      <c r="T480" s="5">
        <f>1+174</f>
        <v>175</v>
      </c>
      <c r="U480" s="5" t="s">
        <v>55</v>
      </c>
      <c r="V480" s="43" t="s">
        <v>1217</v>
      </c>
    </row>
    <row r="481" spans="1:22" hidden="1">
      <c r="A481" s="15" t="s">
        <v>648</v>
      </c>
      <c r="B481" s="67">
        <v>5245</v>
      </c>
      <c r="C481" s="338">
        <v>42489</v>
      </c>
      <c r="D481" s="67" t="s">
        <v>21</v>
      </c>
      <c r="E481" s="15" t="s">
        <v>1149</v>
      </c>
      <c r="F481"/>
      <c r="G481" s="59">
        <v>373</v>
      </c>
      <c r="H481" s="917"/>
      <c r="I481" s="253"/>
      <c r="L481" s="4" t="s">
        <v>48</v>
      </c>
      <c r="M481" s="4"/>
      <c r="N481" s="4" t="s">
        <v>48</v>
      </c>
      <c r="O481" s="4" t="s">
        <v>48</v>
      </c>
      <c r="T481" s="5">
        <v>373</v>
      </c>
      <c r="U481" s="5" t="s">
        <v>55</v>
      </c>
      <c r="V481" s="43" t="s">
        <v>1109</v>
      </c>
    </row>
    <row r="482" spans="1:22" hidden="1">
      <c r="A482" s="15" t="s">
        <v>94</v>
      </c>
      <c r="B482" s="5">
        <v>5249</v>
      </c>
      <c r="C482" s="338">
        <v>42506</v>
      </c>
      <c r="D482" s="67" t="s">
        <v>21</v>
      </c>
      <c r="E482" s="15" t="s">
        <v>1155</v>
      </c>
      <c r="F482" s="344" t="s">
        <v>1155</v>
      </c>
      <c r="G482" s="921">
        <v>1000</v>
      </c>
      <c r="H482" s="841">
        <f t="shared" ref="H482:H509" si="33">G482-T482</f>
        <v>-215</v>
      </c>
      <c r="I482" s="253"/>
      <c r="L482" s="4" t="s">
        <v>48</v>
      </c>
      <c r="M482" s="4"/>
      <c r="N482" s="4" t="s">
        <v>48</v>
      </c>
      <c r="O482" s="4" t="s">
        <v>48</v>
      </c>
      <c r="T482" s="5">
        <v>1215</v>
      </c>
      <c r="U482" s="5" t="s">
        <v>1171</v>
      </c>
      <c r="V482" s="43" t="s">
        <v>1109</v>
      </c>
    </row>
    <row r="483" spans="1:22" hidden="1">
      <c r="A483" s="15" t="s">
        <v>94</v>
      </c>
      <c r="B483" s="5">
        <v>5249</v>
      </c>
      <c r="C483" s="338">
        <v>42506</v>
      </c>
      <c r="D483" s="67" t="s">
        <v>21</v>
      </c>
      <c r="E483" s="862" t="s">
        <v>1156</v>
      </c>
      <c r="F483" s="344" t="s">
        <v>1156</v>
      </c>
      <c r="G483" s="59">
        <v>100</v>
      </c>
      <c r="H483" s="917">
        <f t="shared" si="33"/>
        <v>-23</v>
      </c>
      <c r="I483" s="253"/>
      <c r="L483" s="4" t="s">
        <v>48</v>
      </c>
      <c r="M483" s="4"/>
      <c r="N483" s="4" t="s">
        <v>48</v>
      </c>
      <c r="O483" s="4" t="s">
        <v>48</v>
      </c>
      <c r="T483" s="5">
        <v>123</v>
      </c>
      <c r="U483" s="5" t="s">
        <v>1171</v>
      </c>
      <c r="V483" s="43" t="s">
        <v>1109</v>
      </c>
    </row>
    <row r="484" spans="1:22" hidden="1">
      <c r="A484" s="15" t="s">
        <v>94</v>
      </c>
      <c r="B484" s="5">
        <v>5249</v>
      </c>
      <c r="C484" s="338">
        <v>42506</v>
      </c>
      <c r="D484" s="67" t="s">
        <v>21</v>
      </c>
      <c r="E484" s="862" t="s">
        <v>1157</v>
      </c>
      <c r="F484" s="344" t="s">
        <v>1157</v>
      </c>
      <c r="G484" s="59">
        <v>550</v>
      </c>
      <c r="H484" s="917">
        <f t="shared" si="33"/>
        <v>50</v>
      </c>
      <c r="I484" s="253"/>
      <c r="L484" s="4" t="s">
        <v>48</v>
      </c>
      <c r="M484" s="4"/>
      <c r="N484" s="4" t="s">
        <v>48</v>
      </c>
      <c r="O484" s="4" t="s">
        <v>48</v>
      </c>
      <c r="T484" s="5">
        <v>500</v>
      </c>
      <c r="U484" s="5" t="s">
        <v>1171</v>
      </c>
      <c r="V484" s="43" t="s">
        <v>1109</v>
      </c>
    </row>
    <row r="485" spans="1:22" hidden="1">
      <c r="A485" s="15" t="s">
        <v>94</v>
      </c>
      <c r="B485" s="5">
        <v>5249</v>
      </c>
      <c r="C485" s="338">
        <v>42506</v>
      </c>
      <c r="D485" s="67" t="s">
        <v>21</v>
      </c>
      <c r="E485" s="31" t="s">
        <v>1158</v>
      </c>
      <c r="F485" s="344" t="s">
        <v>1158</v>
      </c>
      <c r="G485" s="921">
        <v>1300</v>
      </c>
      <c r="H485" s="917">
        <f t="shared" si="33"/>
        <v>18</v>
      </c>
      <c r="I485" s="253"/>
      <c r="L485" s="4" t="s">
        <v>48</v>
      </c>
      <c r="M485" s="4"/>
      <c r="N485" s="4" t="s">
        <v>48</v>
      </c>
      <c r="O485" s="4" t="s">
        <v>48</v>
      </c>
      <c r="T485" s="5">
        <f>782+500</f>
        <v>1282</v>
      </c>
      <c r="U485" s="5" t="s">
        <v>55</v>
      </c>
      <c r="V485" s="43" t="s">
        <v>1217</v>
      </c>
    </row>
    <row r="486" spans="1:22" hidden="1">
      <c r="A486" s="15" t="s">
        <v>636</v>
      </c>
      <c r="B486" s="2">
        <v>5334</v>
      </c>
      <c r="C486" s="338">
        <v>42473</v>
      </c>
      <c r="D486" s="15" t="s">
        <v>13</v>
      </c>
      <c r="E486" s="15" t="s">
        <v>22</v>
      </c>
      <c r="F486"/>
      <c r="G486" s="46">
        <v>200</v>
      </c>
      <c r="H486" s="869">
        <f t="shared" si="33"/>
        <v>0</v>
      </c>
      <c r="I486" s="253"/>
      <c r="L486" s="4" t="s">
        <v>47</v>
      </c>
      <c r="M486" s="4"/>
      <c r="N486" s="4" t="s">
        <v>1</v>
      </c>
      <c r="O486" s="4" t="s">
        <v>1</v>
      </c>
      <c r="T486" s="5">
        <v>200</v>
      </c>
      <c r="U486" s="5" t="s">
        <v>55</v>
      </c>
      <c r="V486" s="43" t="s">
        <v>1109</v>
      </c>
    </row>
    <row r="487" spans="1:22" hidden="1">
      <c r="A487" s="15" t="s">
        <v>636</v>
      </c>
      <c r="B487" s="2">
        <v>5335</v>
      </c>
      <c r="C487" s="338">
        <v>42480</v>
      </c>
      <c r="D487" s="15" t="s">
        <v>13</v>
      </c>
      <c r="E487" s="15" t="s">
        <v>22</v>
      </c>
      <c r="F487"/>
      <c r="G487" s="46">
        <v>338</v>
      </c>
      <c r="H487" s="869">
        <f t="shared" si="33"/>
        <v>-7</v>
      </c>
      <c r="I487" s="253"/>
      <c r="L487" s="4" t="s">
        <v>47</v>
      </c>
      <c r="M487" s="4"/>
      <c r="N487" s="4" t="s">
        <v>1</v>
      </c>
      <c r="O487" s="4" t="s">
        <v>1</v>
      </c>
      <c r="T487" s="5">
        <f>60+285</f>
        <v>345</v>
      </c>
      <c r="U487" s="5" t="s">
        <v>55</v>
      </c>
      <c r="V487" s="43" t="s">
        <v>1109</v>
      </c>
    </row>
    <row r="488" spans="1:22" hidden="1">
      <c r="A488" s="15" t="s">
        <v>636</v>
      </c>
      <c r="B488" s="2">
        <v>5336</v>
      </c>
      <c r="C488" s="338">
        <v>42480</v>
      </c>
      <c r="D488" s="15" t="s">
        <v>13</v>
      </c>
      <c r="E488" s="15" t="s">
        <v>36</v>
      </c>
      <c r="F488"/>
      <c r="G488" s="46">
        <v>300</v>
      </c>
      <c r="H488" s="869">
        <f t="shared" si="33"/>
        <v>0</v>
      </c>
      <c r="I488" s="253"/>
      <c r="L488" s="4" t="s">
        <v>47</v>
      </c>
      <c r="M488" s="4"/>
      <c r="N488" s="4" t="s">
        <v>1</v>
      </c>
      <c r="O488" s="4" t="s">
        <v>48</v>
      </c>
      <c r="T488" s="5">
        <v>300</v>
      </c>
      <c r="U488" s="5" t="s">
        <v>55</v>
      </c>
      <c r="V488" s="43" t="s">
        <v>1109</v>
      </c>
    </row>
    <row r="489" spans="1:22" hidden="1">
      <c r="A489" s="15" t="s">
        <v>636</v>
      </c>
      <c r="B489" s="2">
        <v>5336</v>
      </c>
      <c r="C489" s="338">
        <v>42480</v>
      </c>
      <c r="D489" s="15" t="s">
        <v>13</v>
      </c>
      <c r="E489" s="15" t="s">
        <v>102</v>
      </c>
      <c r="F489"/>
      <c r="G489" s="46">
        <v>200</v>
      </c>
      <c r="H489" s="869">
        <f t="shared" si="33"/>
        <v>0</v>
      </c>
      <c r="I489" s="253"/>
      <c r="L489" s="4" t="s">
        <v>47</v>
      </c>
      <c r="M489" s="4"/>
      <c r="N489" s="4" t="s">
        <v>1</v>
      </c>
      <c r="O489" s="4" t="s">
        <v>1</v>
      </c>
      <c r="T489" s="5">
        <v>200</v>
      </c>
      <c r="U489" s="5" t="s">
        <v>55</v>
      </c>
      <c r="V489" s="43" t="s">
        <v>1109</v>
      </c>
    </row>
    <row r="490" spans="1:22">
      <c r="A490" s="15" t="s">
        <v>193</v>
      </c>
      <c r="B490" s="925">
        <v>5252</v>
      </c>
      <c r="C490" s="338">
        <v>42517</v>
      </c>
      <c r="D490" s="67" t="s">
        <v>21</v>
      </c>
      <c r="E490" s="15" t="s">
        <v>1207</v>
      </c>
      <c r="F490"/>
      <c r="G490" s="67">
        <v>6000</v>
      </c>
      <c r="H490" s="917">
        <f t="shared" si="33"/>
        <v>-2380</v>
      </c>
      <c r="I490" s="59" t="s">
        <v>1208</v>
      </c>
      <c r="L490" s="4" t="s">
        <v>48</v>
      </c>
      <c r="M490" s="4"/>
      <c r="N490" s="4" t="s">
        <v>48</v>
      </c>
      <c r="O490" s="4" t="s">
        <v>48</v>
      </c>
      <c r="T490" s="5">
        <f>2000+2000+1910+2470</f>
        <v>8380</v>
      </c>
      <c r="U490" s="924" t="s">
        <v>56</v>
      </c>
      <c r="V490" s="43"/>
    </row>
    <row r="491" spans="1:22" hidden="1">
      <c r="A491" s="304" t="s">
        <v>193</v>
      </c>
      <c r="B491" s="905">
        <v>5252</v>
      </c>
      <c r="C491" s="458">
        <v>42517</v>
      </c>
      <c r="D491" s="649" t="s">
        <v>21</v>
      </c>
      <c r="E491" s="304" t="s">
        <v>1209</v>
      </c>
      <c r="F491" s="59"/>
      <c r="G491" s="649">
        <v>3000</v>
      </c>
      <c r="H491" s="919">
        <f t="shared" si="33"/>
        <v>-934</v>
      </c>
      <c r="I491" s="459" t="s">
        <v>1210</v>
      </c>
      <c r="L491" s="284" t="s">
        <v>48</v>
      </c>
      <c r="M491" s="284"/>
      <c r="N491" s="284" t="s">
        <v>48</v>
      </c>
      <c r="O491" s="284" t="s">
        <v>48</v>
      </c>
      <c r="T491" s="290">
        <f>2500+1434</f>
        <v>3934</v>
      </c>
      <c r="U491" s="290" t="s">
        <v>1171</v>
      </c>
      <c r="V491" s="285" t="s">
        <v>1217</v>
      </c>
    </row>
    <row r="492" spans="1:22" hidden="1">
      <c r="A492" s="15" t="s">
        <v>94</v>
      </c>
      <c r="B492" s="67">
        <v>5253</v>
      </c>
      <c r="C492" s="338">
        <v>42517</v>
      </c>
      <c r="D492" s="67" t="s">
        <v>21</v>
      </c>
      <c r="E492" s="31" t="s">
        <v>1211</v>
      </c>
      <c r="F492" s="663"/>
      <c r="G492" s="67">
        <v>1000</v>
      </c>
      <c r="H492" s="917">
        <f t="shared" si="33"/>
        <v>-36</v>
      </c>
      <c r="I492" s="253"/>
      <c r="L492" s="4" t="s">
        <v>47</v>
      </c>
      <c r="M492" s="4"/>
      <c r="N492" s="4" t="s">
        <v>48</v>
      </c>
      <c r="O492" s="4" t="s">
        <v>48</v>
      </c>
      <c r="T492" s="5">
        <v>1036</v>
      </c>
      <c r="U492" s="5" t="s">
        <v>55</v>
      </c>
      <c r="V492" s="43" t="s">
        <v>1217</v>
      </c>
    </row>
    <row r="493" spans="1:22" hidden="1">
      <c r="A493" s="15" t="s">
        <v>94</v>
      </c>
      <c r="B493" s="67">
        <v>5253</v>
      </c>
      <c r="C493" s="338">
        <v>42517</v>
      </c>
      <c r="D493" s="67" t="s">
        <v>21</v>
      </c>
      <c r="E493" s="31" t="s">
        <v>1212</v>
      </c>
      <c r="F493" s="59"/>
      <c r="G493" s="67">
        <v>1000</v>
      </c>
      <c r="H493" s="917">
        <f t="shared" si="33"/>
        <v>-57</v>
      </c>
      <c r="I493" s="253"/>
      <c r="L493" s="4" t="s">
        <v>48</v>
      </c>
      <c r="M493" s="4"/>
      <c r="N493" s="4" t="s">
        <v>48</v>
      </c>
      <c r="O493" s="4" t="s">
        <v>48</v>
      </c>
      <c r="T493" s="5">
        <f>314+350+393</f>
        <v>1057</v>
      </c>
      <c r="U493" s="5" t="s">
        <v>55</v>
      </c>
      <c r="V493" s="43" t="s">
        <v>1217</v>
      </c>
    </row>
    <row r="494" spans="1:22" hidden="1">
      <c r="A494" s="304" t="s">
        <v>94</v>
      </c>
      <c r="B494" s="649">
        <v>5253</v>
      </c>
      <c r="C494" s="458">
        <v>42517</v>
      </c>
      <c r="D494" s="649" t="s">
        <v>21</v>
      </c>
      <c r="E494" s="942" t="s">
        <v>1213</v>
      </c>
      <c r="F494" s="59"/>
      <c r="G494" s="649">
        <v>300</v>
      </c>
      <c r="H494" s="919">
        <f t="shared" si="33"/>
        <v>-28</v>
      </c>
      <c r="I494" s="297"/>
      <c r="L494" s="284" t="s">
        <v>47</v>
      </c>
      <c r="M494" s="284"/>
      <c r="N494" s="284" t="s">
        <v>48</v>
      </c>
      <c r="O494" s="284" t="s">
        <v>48</v>
      </c>
      <c r="T494" s="290">
        <v>328</v>
      </c>
      <c r="U494" s="290" t="s">
        <v>55</v>
      </c>
      <c r="V494" s="285" t="s">
        <v>1217</v>
      </c>
    </row>
    <row r="495" spans="1:22" hidden="1">
      <c r="A495" s="15" t="s">
        <v>94</v>
      </c>
      <c r="B495" s="67">
        <v>5253</v>
      </c>
      <c r="C495" s="338">
        <v>42517</v>
      </c>
      <c r="D495" s="67" t="s">
        <v>21</v>
      </c>
      <c r="E495" s="31" t="s">
        <v>1214</v>
      </c>
      <c r="F495" s="663"/>
      <c r="G495" s="67">
        <v>300</v>
      </c>
      <c r="H495" s="894">
        <f t="shared" si="33"/>
        <v>-66</v>
      </c>
      <c r="I495" s="253"/>
      <c r="L495" s="4" t="s">
        <v>47</v>
      </c>
      <c r="M495" s="4"/>
      <c r="N495" s="4" t="s">
        <v>48</v>
      </c>
      <c r="O495" s="4" t="s">
        <v>48</v>
      </c>
      <c r="T495" s="5">
        <v>366</v>
      </c>
      <c r="U495" s="5" t="s">
        <v>55</v>
      </c>
      <c r="V495" s="43" t="s">
        <v>1217</v>
      </c>
    </row>
    <row r="496" spans="1:22">
      <c r="A496" s="15" t="s">
        <v>94</v>
      </c>
      <c r="B496" s="925">
        <v>5253</v>
      </c>
      <c r="C496" s="338">
        <v>42517</v>
      </c>
      <c r="D496" s="67" t="s">
        <v>21</v>
      </c>
      <c r="E496" s="15" t="s">
        <v>1215</v>
      </c>
      <c r="F496" s="663"/>
      <c r="G496" s="67">
        <v>1300</v>
      </c>
      <c r="H496" s="917">
        <f t="shared" si="33"/>
        <v>60</v>
      </c>
      <c r="I496" s="253"/>
      <c r="L496" s="4" t="s">
        <v>48</v>
      </c>
      <c r="M496" s="4"/>
      <c r="N496" s="4" t="s">
        <v>48</v>
      </c>
      <c r="O496" s="4" t="s">
        <v>48</v>
      </c>
      <c r="T496" s="5">
        <f>350+450+440</f>
        <v>1240</v>
      </c>
      <c r="U496" s="924" t="s">
        <v>56</v>
      </c>
      <c r="V496" s="43"/>
    </row>
    <row r="497" spans="1:22">
      <c r="A497" s="15" t="s">
        <v>94</v>
      </c>
      <c r="B497" s="925">
        <v>5253</v>
      </c>
      <c r="C497" s="338">
        <v>42517</v>
      </c>
      <c r="D497" s="67" t="s">
        <v>21</v>
      </c>
      <c r="E497" s="15" t="s">
        <v>1253</v>
      </c>
      <c r="F497" s="663"/>
      <c r="G497" s="67">
        <v>2000</v>
      </c>
      <c r="H497" s="894">
        <f t="shared" si="33"/>
        <v>857</v>
      </c>
      <c r="I497" s="253"/>
      <c r="L497" s="4" t="s">
        <v>48</v>
      </c>
      <c r="M497" s="4"/>
      <c r="N497" s="4" t="s">
        <v>48</v>
      </c>
      <c r="O497" s="4" t="s">
        <v>48</v>
      </c>
      <c r="T497" s="5">
        <v>1143</v>
      </c>
      <c r="U497" s="5" t="s">
        <v>56</v>
      </c>
      <c r="V497" s="43"/>
    </row>
    <row r="498" spans="1:22" hidden="1">
      <c r="A498" s="15" t="s">
        <v>94</v>
      </c>
      <c r="B498" s="67">
        <v>5253</v>
      </c>
      <c r="C498" s="338">
        <v>42517</v>
      </c>
      <c r="D498" s="67" t="s">
        <v>21</v>
      </c>
      <c r="E498" s="15" t="s">
        <v>1216</v>
      </c>
      <c r="F498" s="663"/>
      <c r="G498" s="67">
        <v>2000</v>
      </c>
      <c r="H498" s="917">
        <f t="shared" si="33"/>
        <v>2000</v>
      </c>
      <c r="I498" s="253"/>
      <c r="L498" s="4" t="s">
        <v>48</v>
      </c>
      <c r="M498" s="4"/>
      <c r="N498" s="4" t="s">
        <v>48</v>
      </c>
      <c r="O498" s="4" t="s">
        <v>48</v>
      </c>
      <c r="T498" s="5"/>
      <c r="U498" s="5" t="s">
        <v>55</v>
      </c>
      <c r="V498" s="43" t="s">
        <v>679</v>
      </c>
    </row>
    <row r="499" spans="1:22">
      <c r="A499" s="15" t="s">
        <v>94</v>
      </c>
      <c r="B499" s="926">
        <v>5258</v>
      </c>
      <c r="C499" s="338">
        <v>42529</v>
      </c>
      <c r="D499" s="67" t="s">
        <v>21</v>
      </c>
      <c r="E499" s="15" t="s">
        <v>1254</v>
      </c>
      <c r="F499" s="663"/>
      <c r="G499" s="921">
        <v>2000</v>
      </c>
      <c r="H499" s="917">
        <f t="shared" si="33"/>
        <v>2000</v>
      </c>
      <c r="I499" s="253"/>
      <c r="L499" s="4" t="s">
        <v>48</v>
      </c>
      <c r="M499" s="4"/>
      <c r="N499" s="4" t="s">
        <v>48</v>
      </c>
      <c r="O499" s="4" t="s">
        <v>48</v>
      </c>
      <c r="T499" s="5"/>
      <c r="U499" s="5" t="s">
        <v>56</v>
      </c>
      <c r="V499" s="43"/>
    </row>
    <row r="500" spans="1:22">
      <c r="A500" s="15" t="s">
        <v>94</v>
      </c>
      <c r="B500" s="926">
        <v>5259</v>
      </c>
      <c r="C500" s="338">
        <v>42530</v>
      </c>
      <c r="D500" s="67" t="s">
        <v>21</v>
      </c>
      <c r="E500" s="15" t="s">
        <v>1240</v>
      </c>
      <c r="F500"/>
      <c r="G500" s="921">
        <v>140</v>
      </c>
      <c r="H500" s="917">
        <f t="shared" si="33"/>
        <v>140</v>
      </c>
      <c r="I500" s="253"/>
      <c r="L500" s="4" t="s">
        <v>48</v>
      </c>
      <c r="M500" s="4"/>
      <c r="N500" s="4" t="s">
        <v>48</v>
      </c>
      <c r="O500" s="4" t="s">
        <v>48</v>
      </c>
      <c r="T500" s="5"/>
      <c r="U500" s="5" t="s">
        <v>56</v>
      </c>
      <c r="V500" s="43"/>
    </row>
    <row r="501" spans="1:22">
      <c r="A501" s="15" t="s">
        <v>193</v>
      </c>
      <c r="B501" s="926">
        <v>5260</v>
      </c>
      <c r="C501" s="338">
        <v>42534</v>
      </c>
      <c r="D501" s="67" t="s">
        <v>21</v>
      </c>
      <c r="E501" s="15" t="s">
        <v>1241</v>
      </c>
      <c r="F501"/>
      <c r="G501" s="921">
        <v>1000</v>
      </c>
      <c r="H501" s="917">
        <f t="shared" si="33"/>
        <v>1000</v>
      </c>
      <c r="I501" s="253"/>
      <c r="L501" s="4" t="s">
        <v>48</v>
      </c>
      <c r="M501" s="4"/>
      <c r="N501" s="4" t="s">
        <v>48</v>
      </c>
      <c r="O501" s="4" t="s">
        <v>48</v>
      </c>
      <c r="T501" s="5"/>
      <c r="U501" s="5" t="s">
        <v>56</v>
      </c>
      <c r="V501" s="43"/>
    </row>
    <row r="502" spans="1:22">
      <c r="A502" s="15" t="s">
        <v>193</v>
      </c>
      <c r="B502" s="926">
        <v>5260</v>
      </c>
      <c r="C502" s="338">
        <v>42534</v>
      </c>
      <c r="D502" s="67" t="s">
        <v>21</v>
      </c>
      <c r="E502" s="15" t="s">
        <v>1242</v>
      </c>
      <c r="F502"/>
      <c r="G502" s="921">
        <v>2000</v>
      </c>
      <c r="H502" s="917">
        <f t="shared" si="33"/>
        <v>2000</v>
      </c>
      <c r="I502" s="253"/>
      <c r="L502" s="4" t="s">
        <v>48</v>
      </c>
      <c r="M502" s="4"/>
      <c r="N502" s="4" t="s">
        <v>48</v>
      </c>
      <c r="O502" s="4" t="s">
        <v>48</v>
      </c>
      <c r="T502" s="5"/>
      <c r="U502" s="5" t="s">
        <v>56</v>
      </c>
      <c r="V502" s="43"/>
    </row>
    <row r="503" spans="1:22" hidden="1">
      <c r="A503" s="15" t="s">
        <v>1105</v>
      </c>
      <c r="B503" s="67">
        <v>5242</v>
      </c>
      <c r="C503" s="338">
        <v>42482</v>
      </c>
      <c r="D503" s="67" t="s">
        <v>3</v>
      </c>
      <c r="E503" s="15" t="s">
        <v>1106</v>
      </c>
      <c r="F503" s="663"/>
      <c r="G503" s="59"/>
      <c r="H503" s="867">
        <f t="shared" si="33"/>
        <v>0</v>
      </c>
      <c r="I503" s="253"/>
      <c r="L503" s="4" t="s">
        <v>48</v>
      </c>
      <c r="M503" s="4"/>
      <c r="N503" s="4" t="s">
        <v>48</v>
      </c>
      <c r="O503" s="4" t="s">
        <v>48</v>
      </c>
      <c r="T503" s="5"/>
      <c r="U503" s="5" t="s">
        <v>55</v>
      </c>
      <c r="V503" s="43" t="s">
        <v>959</v>
      </c>
    </row>
    <row r="504" spans="1:22" hidden="1">
      <c r="A504" s="15" t="s">
        <v>1105</v>
      </c>
      <c r="B504" s="67">
        <v>5243</v>
      </c>
      <c r="C504" s="338">
        <v>42488</v>
      </c>
      <c r="D504" s="67" t="s">
        <v>3</v>
      </c>
      <c r="E504" s="15" t="s">
        <v>1147</v>
      </c>
      <c r="F504" s="663"/>
      <c r="G504" s="59"/>
      <c r="H504" s="867">
        <f t="shared" si="33"/>
        <v>0</v>
      </c>
      <c r="I504" s="253"/>
      <c r="L504" s="4" t="s">
        <v>48</v>
      </c>
      <c r="M504" s="4"/>
      <c r="N504" s="4" t="s">
        <v>48</v>
      </c>
      <c r="O504" s="4" t="s">
        <v>48</v>
      </c>
      <c r="T504" s="5"/>
      <c r="U504" s="5" t="s">
        <v>55</v>
      </c>
      <c r="V504" s="43" t="s">
        <v>959</v>
      </c>
    </row>
    <row r="505" spans="1:22" hidden="1">
      <c r="A505" s="842" t="s">
        <v>1105</v>
      </c>
      <c r="B505" s="649">
        <v>5243</v>
      </c>
      <c r="C505" s="458">
        <v>42488</v>
      </c>
      <c r="D505" s="649" t="s">
        <v>3</v>
      </c>
      <c r="E505" s="304" t="s">
        <v>1148</v>
      </c>
      <c r="F505" s="663"/>
      <c r="G505" s="459"/>
      <c r="H505" s="893">
        <f t="shared" si="33"/>
        <v>0</v>
      </c>
      <c r="I505" s="297"/>
      <c r="L505" s="284" t="s">
        <v>48</v>
      </c>
      <c r="M505" s="284"/>
      <c r="N505" s="284" t="s">
        <v>48</v>
      </c>
      <c r="O505" s="284" t="s">
        <v>48</v>
      </c>
      <c r="T505" s="290"/>
      <c r="U505" s="290" t="s">
        <v>55</v>
      </c>
      <c r="V505" s="285" t="s">
        <v>959</v>
      </c>
    </row>
    <row r="506" spans="1:22">
      <c r="A506" s="4" t="s">
        <v>636</v>
      </c>
      <c r="B506" s="5" t="s">
        <v>37</v>
      </c>
      <c r="C506" s="338">
        <v>42493</v>
      </c>
      <c r="D506" s="4" t="s">
        <v>111</v>
      </c>
      <c r="E506" s="4" t="s">
        <v>41</v>
      </c>
      <c r="G506" s="40">
        <f>100+91</f>
        <v>191</v>
      </c>
      <c r="H506" s="894">
        <f t="shared" si="33"/>
        <v>91</v>
      </c>
      <c r="I506" s="253"/>
      <c r="L506" s="4" t="s">
        <v>48</v>
      </c>
      <c r="M506" s="4"/>
      <c r="N506" s="4" t="s">
        <v>48</v>
      </c>
      <c r="O506" s="4" t="s">
        <v>48</v>
      </c>
      <c r="T506" s="5">
        <v>100</v>
      </c>
      <c r="U506" s="5" t="s">
        <v>56</v>
      </c>
      <c r="V506" s="43"/>
    </row>
    <row r="507" spans="1:22">
      <c r="A507" s="4" t="s">
        <v>636</v>
      </c>
      <c r="B507" s="5" t="s">
        <v>37</v>
      </c>
      <c r="C507" s="338">
        <v>42493</v>
      </c>
      <c r="D507" s="4" t="s">
        <v>111</v>
      </c>
      <c r="E507" s="4" t="s">
        <v>36</v>
      </c>
      <c r="G507" s="40">
        <v>178</v>
      </c>
      <c r="H507" s="894">
        <f t="shared" si="33"/>
        <v>178</v>
      </c>
      <c r="I507" s="253"/>
      <c r="L507" s="4" t="s">
        <v>48</v>
      </c>
      <c r="M507" s="4"/>
      <c r="N507" s="4" t="s">
        <v>48</v>
      </c>
      <c r="O507" s="4" t="s">
        <v>48</v>
      </c>
      <c r="T507" s="5"/>
      <c r="U507" s="5" t="s">
        <v>56</v>
      </c>
      <c r="V507" s="43"/>
    </row>
    <row r="508" spans="1:22" ht="15.75" customHeight="1">
      <c r="A508" s="304" t="s">
        <v>193</v>
      </c>
      <c r="B508" s="815">
        <v>5260</v>
      </c>
      <c r="C508" s="458">
        <v>42534</v>
      </c>
      <c r="D508" s="649" t="s">
        <v>21</v>
      </c>
      <c r="E508" s="304" t="s">
        <v>969</v>
      </c>
      <c r="F508"/>
      <c r="G508" s="815">
        <v>2000</v>
      </c>
      <c r="H508" s="919">
        <f t="shared" si="33"/>
        <v>2000</v>
      </c>
      <c r="I508" s="297"/>
      <c r="L508" s="284" t="s">
        <v>48</v>
      </c>
      <c r="M508" s="284"/>
      <c r="N508" s="284" t="s">
        <v>48</v>
      </c>
      <c r="O508" s="284" t="s">
        <v>48</v>
      </c>
      <c r="T508" s="290"/>
      <c r="U508" s="290" t="s">
        <v>56</v>
      </c>
      <c r="V508" s="285"/>
    </row>
    <row r="509" spans="1:22" ht="17.25" hidden="1" customHeight="1">
      <c r="A509" s="15" t="s">
        <v>1105</v>
      </c>
      <c r="B509" s="67">
        <v>5246</v>
      </c>
      <c r="C509" s="338">
        <v>42500</v>
      </c>
      <c r="D509" s="67" t="s">
        <v>177</v>
      </c>
      <c r="E509" s="713" t="s">
        <v>1142</v>
      </c>
      <c r="F509"/>
      <c r="G509" s="46"/>
      <c r="H509" s="894">
        <f t="shared" si="33"/>
        <v>0</v>
      </c>
      <c r="I509" s="253"/>
      <c r="L509" s="4" t="s">
        <v>48</v>
      </c>
      <c r="M509" s="4"/>
      <c r="N509" s="4" t="s">
        <v>48</v>
      </c>
      <c r="O509" s="4" t="s">
        <v>48</v>
      </c>
      <c r="T509" s="5"/>
      <c r="U509" s="5" t="s">
        <v>55</v>
      </c>
      <c r="V509" s="43" t="s">
        <v>679</v>
      </c>
    </row>
    <row r="510" spans="1:22" hidden="1">
      <c r="A510" s="15" t="s">
        <v>1105</v>
      </c>
      <c r="B510" s="67">
        <v>5243</v>
      </c>
      <c r="C510" s="338">
        <v>42488</v>
      </c>
      <c r="D510" s="67" t="s">
        <v>3</v>
      </c>
      <c r="E510" s="15" t="s">
        <v>1107</v>
      </c>
      <c r="F510" s="663"/>
      <c r="G510" s="894">
        <v>0</v>
      </c>
      <c r="H510" s="253"/>
      <c r="I510" s="4" t="s">
        <v>48</v>
      </c>
      <c r="J510" s="633"/>
      <c r="K510" s="660" t="s">
        <v>48</v>
      </c>
      <c r="L510" s="4" t="s">
        <v>48</v>
      </c>
      <c r="M510" s="5"/>
      <c r="N510" s="5" t="s">
        <v>56</v>
      </c>
      <c r="O510" s="43"/>
      <c r="T510" s="5"/>
      <c r="U510" s="5" t="s">
        <v>55</v>
      </c>
      <c r="V510" s="43" t="s">
        <v>679</v>
      </c>
    </row>
    <row r="511" spans="1:22" hidden="1">
      <c r="A511" s="15" t="s">
        <v>1105</v>
      </c>
      <c r="B511" s="67">
        <v>5243</v>
      </c>
      <c r="C511" s="338">
        <v>42488</v>
      </c>
      <c r="D511" s="67" t="s">
        <v>3</v>
      </c>
      <c r="E511" s="15" t="s">
        <v>1108</v>
      </c>
      <c r="F511" s="663"/>
      <c r="G511" s="894">
        <v>0</v>
      </c>
      <c r="H511" s="253"/>
      <c r="I511" s="4" t="s">
        <v>48</v>
      </c>
      <c r="J511" s="633"/>
      <c r="K511" s="660" t="s">
        <v>48</v>
      </c>
      <c r="L511" s="4" t="s">
        <v>48</v>
      </c>
      <c r="M511" s="5"/>
      <c r="N511" s="5" t="s">
        <v>56</v>
      </c>
      <c r="O511" s="43"/>
      <c r="T511" s="5"/>
      <c r="U511" s="5" t="s">
        <v>55</v>
      </c>
      <c r="V511" s="43" t="s">
        <v>679</v>
      </c>
    </row>
    <row r="512" spans="1:22" hidden="1">
      <c r="A512" s="15" t="s">
        <v>636</v>
      </c>
      <c r="B512" s="5">
        <v>5247</v>
      </c>
      <c r="C512" s="338">
        <v>42502</v>
      </c>
      <c r="D512" s="67" t="s">
        <v>13</v>
      </c>
      <c r="E512" s="15" t="s">
        <v>36</v>
      </c>
      <c r="F512"/>
      <c r="G512" s="907">
        <v>500</v>
      </c>
      <c r="H512" s="906">
        <f t="shared" ref="H512:H543" si="34">G512-T512</f>
        <v>0</v>
      </c>
      <c r="I512" s="253"/>
      <c r="L512" s="4" t="s">
        <v>45</v>
      </c>
      <c r="M512" s="4"/>
      <c r="N512" s="4" t="s">
        <v>1</v>
      </c>
      <c r="O512" s="4" t="s">
        <v>48</v>
      </c>
      <c r="T512" s="5">
        <v>500</v>
      </c>
      <c r="U512" s="5" t="s">
        <v>55</v>
      </c>
      <c r="V512" s="43" t="s">
        <v>1217</v>
      </c>
    </row>
    <row r="513" spans="1:22" hidden="1">
      <c r="A513" s="304" t="s">
        <v>636</v>
      </c>
      <c r="B513" s="290">
        <v>5247</v>
      </c>
      <c r="C513" s="458">
        <v>42502</v>
      </c>
      <c r="D513" s="649" t="s">
        <v>13</v>
      </c>
      <c r="E513" s="304" t="s">
        <v>102</v>
      </c>
      <c r="F513"/>
      <c r="G513" s="459">
        <v>250</v>
      </c>
      <c r="H513" s="884">
        <f t="shared" si="34"/>
        <v>0</v>
      </c>
      <c r="I513" s="297"/>
      <c r="L513" s="284" t="s">
        <v>45</v>
      </c>
      <c r="M513" s="284"/>
      <c r="N513" s="284" t="s">
        <v>1</v>
      </c>
      <c r="O513" s="284" t="s">
        <v>1</v>
      </c>
      <c r="T513" s="290">
        <v>250</v>
      </c>
      <c r="U513" s="290" t="s">
        <v>1171</v>
      </c>
      <c r="V513" s="285" t="s">
        <v>1109</v>
      </c>
    </row>
    <row r="514" spans="1:22">
      <c r="A514" s="15" t="s">
        <v>636</v>
      </c>
      <c r="B514" s="5">
        <v>5248</v>
      </c>
      <c r="C514" s="338">
        <v>42502</v>
      </c>
      <c r="D514" s="67" t="s">
        <v>24</v>
      </c>
      <c r="E514" s="15" t="s">
        <v>264</v>
      </c>
      <c r="F514"/>
      <c r="G514" s="59">
        <v>238</v>
      </c>
      <c r="H514" s="894">
        <f t="shared" si="34"/>
        <v>36</v>
      </c>
      <c r="I514" s="253"/>
      <c r="L514" s="4" t="s">
        <v>47</v>
      </c>
      <c r="M514" s="4"/>
      <c r="N514" s="4" t="s">
        <v>1</v>
      </c>
      <c r="O514" s="4" t="s">
        <v>48</v>
      </c>
      <c r="T514" s="5">
        <v>202</v>
      </c>
      <c r="U514" s="5" t="s">
        <v>56</v>
      </c>
      <c r="V514" s="43"/>
    </row>
    <row r="515" spans="1:22" hidden="1">
      <c r="A515" s="4" t="s">
        <v>193</v>
      </c>
      <c r="B515" s="43">
        <v>5256</v>
      </c>
      <c r="C515" s="338" t="s">
        <v>712</v>
      </c>
      <c r="D515" s="4" t="s">
        <v>21</v>
      </c>
      <c r="E515" s="4" t="s">
        <v>562</v>
      </c>
      <c r="F515" s="918"/>
      <c r="G515" s="40">
        <v>4000</v>
      </c>
      <c r="H515" s="917">
        <f t="shared" si="34"/>
        <v>-122</v>
      </c>
      <c r="I515" s="253" t="s">
        <v>713</v>
      </c>
      <c r="J515" s="29">
        <f ca="1">TODAY()-C515</f>
        <v>284</v>
      </c>
      <c r="K515" s="632" t="e">
        <f ca="1">IF(#REF!="","Sin fecha",((#REF!-TODAY())))</f>
        <v>#REF!</v>
      </c>
      <c r="L515" s="4" t="s">
        <v>48</v>
      </c>
      <c r="M515" s="4"/>
      <c r="N515" s="4" t="s">
        <v>48</v>
      </c>
      <c r="O515" s="4" t="s">
        <v>48</v>
      </c>
      <c r="P515" s="39" t="s">
        <v>48</v>
      </c>
      <c r="Q515" s="39" t="s">
        <v>48</v>
      </c>
      <c r="R515" s="39" t="s">
        <v>48</v>
      </c>
      <c r="S515" s="39" t="s">
        <v>48</v>
      </c>
      <c r="T515" s="5">
        <f>2000+2122</f>
        <v>4122</v>
      </c>
      <c r="U515" s="5" t="s">
        <v>55</v>
      </c>
      <c r="V515" s="43" t="s">
        <v>436</v>
      </c>
    </row>
    <row r="516" spans="1:22" hidden="1">
      <c r="A516" s="4" t="s">
        <v>94</v>
      </c>
      <c r="B516" s="429">
        <v>5231</v>
      </c>
      <c r="C516" s="338" t="s">
        <v>616</v>
      </c>
      <c r="D516" s="4" t="s">
        <v>21</v>
      </c>
      <c r="E516" s="4" t="s">
        <v>617</v>
      </c>
      <c r="F516" s="918">
        <v>1000</v>
      </c>
      <c r="G516" s="40">
        <v>1005</v>
      </c>
      <c r="H516" s="917">
        <f t="shared" si="34"/>
        <v>0</v>
      </c>
      <c r="I516" s="253"/>
      <c r="J516" s="791">
        <f ca="1">TODAY()-C516</f>
        <v>345</v>
      </c>
      <c r="K516" s="632" t="str">
        <f ca="1">IF(I516="","Sin fecha",((I516-TODAY())))</f>
        <v>Sin fecha</v>
      </c>
      <c r="L516" s="4" t="s">
        <v>45</v>
      </c>
      <c r="M516" s="4"/>
      <c r="N516" s="4" t="s">
        <v>48</v>
      </c>
      <c r="O516" s="4" t="s">
        <v>48</v>
      </c>
      <c r="P516" s="39" t="s">
        <v>48</v>
      </c>
      <c r="Q516" s="39" t="s">
        <v>48</v>
      </c>
      <c r="R516" s="39" t="s">
        <v>48</v>
      </c>
      <c r="S516" s="39" t="s">
        <v>48</v>
      </c>
      <c r="T516" s="5">
        <v>1005</v>
      </c>
      <c r="U516" s="5" t="s">
        <v>55</v>
      </c>
      <c r="V516" s="43" t="s">
        <v>434</v>
      </c>
    </row>
    <row r="517" spans="1:22" hidden="1">
      <c r="A517" s="284" t="s">
        <v>94</v>
      </c>
      <c r="B517" s="941">
        <v>5231</v>
      </c>
      <c r="C517" s="458" t="s">
        <v>616</v>
      </c>
      <c r="D517" s="284" t="s">
        <v>21</v>
      </c>
      <c r="E517" s="284" t="s">
        <v>618</v>
      </c>
      <c r="F517" s="918">
        <v>600</v>
      </c>
      <c r="G517" s="296">
        <v>677</v>
      </c>
      <c r="H517" s="919">
        <f t="shared" si="34"/>
        <v>0</v>
      </c>
      <c r="I517" s="297"/>
      <c r="J517" s="791">
        <f ca="1">TODAY()-C517</f>
        <v>345</v>
      </c>
      <c r="K517" s="632" t="str">
        <f ca="1">IF(I517="","Sin fecha",((I517-TODAY())))</f>
        <v>Sin fecha</v>
      </c>
      <c r="L517" s="284" t="s">
        <v>45</v>
      </c>
      <c r="M517" s="284"/>
      <c r="N517" s="284" t="s">
        <v>48</v>
      </c>
      <c r="O517" s="284" t="s">
        <v>48</v>
      </c>
      <c r="P517" s="39" t="s">
        <v>48</v>
      </c>
      <c r="Q517" s="39" t="s">
        <v>48</v>
      </c>
      <c r="R517" s="39" t="s">
        <v>48</v>
      </c>
      <c r="S517" s="39" t="s">
        <v>48</v>
      </c>
      <c r="T517" s="290">
        <v>677</v>
      </c>
      <c r="U517" s="290" t="s">
        <v>55</v>
      </c>
      <c r="V517" s="285" t="s">
        <v>434</v>
      </c>
    </row>
    <row r="518" spans="1:22" hidden="1">
      <c r="A518" s="4" t="s">
        <v>94</v>
      </c>
      <c r="B518" s="2">
        <v>5232</v>
      </c>
      <c r="C518" s="338" t="s">
        <v>619</v>
      </c>
      <c r="D518" s="4" t="s">
        <v>21</v>
      </c>
      <c r="E518" s="4" t="s">
        <v>423</v>
      </c>
      <c r="F518" s="682"/>
      <c r="G518" s="40">
        <v>3000</v>
      </c>
      <c r="H518" s="917">
        <f t="shared" si="34"/>
        <v>26</v>
      </c>
      <c r="I518" s="253"/>
      <c r="J518" s="29">
        <f ca="1">TODAY()-C518</f>
        <v>343</v>
      </c>
      <c r="K518" s="632" t="str">
        <f ca="1">IF(I518="","Sin fecha",((I518-TODAY())))</f>
        <v>Sin fecha</v>
      </c>
      <c r="L518" s="4" t="s">
        <v>48</v>
      </c>
      <c r="M518" s="4"/>
      <c r="N518" s="4" t="s">
        <v>48</v>
      </c>
      <c r="O518" s="4" t="s">
        <v>48</v>
      </c>
      <c r="P518" s="39" t="s">
        <v>48</v>
      </c>
      <c r="Q518" s="39" t="s">
        <v>48</v>
      </c>
      <c r="R518" s="39" t="s">
        <v>48</v>
      </c>
      <c r="S518" s="39" t="s">
        <v>48</v>
      </c>
      <c r="T518" s="5">
        <f>594+600+580+600+600</f>
        <v>2974</v>
      </c>
      <c r="U518" s="5" t="s">
        <v>55</v>
      </c>
      <c r="V518" s="43" t="s">
        <v>435</v>
      </c>
    </row>
    <row r="519" spans="1:22" ht="15" hidden="1" customHeight="1">
      <c r="A519" s="304" t="s">
        <v>636</v>
      </c>
      <c r="B519" s="290">
        <v>5250</v>
      </c>
      <c r="C519" s="458">
        <v>42513</v>
      </c>
      <c r="D519" s="649" t="s">
        <v>5</v>
      </c>
      <c r="E519" s="304" t="s">
        <v>264</v>
      </c>
      <c r="F519" s="663"/>
      <c r="G519" s="893">
        <v>50</v>
      </c>
      <c r="H519" s="893">
        <f t="shared" si="34"/>
        <v>0</v>
      </c>
      <c r="I519" s="297"/>
      <c r="L519" s="284" t="s">
        <v>47</v>
      </c>
      <c r="M519" s="284"/>
      <c r="N519" s="284" t="s">
        <v>69</v>
      </c>
      <c r="O519" s="284" t="s">
        <v>48</v>
      </c>
      <c r="T519" s="290">
        <v>50</v>
      </c>
      <c r="U519" s="290" t="s">
        <v>1171</v>
      </c>
      <c r="V519" s="285" t="s">
        <v>1109</v>
      </c>
    </row>
    <row r="520" spans="1:22" ht="15" customHeight="1">
      <c r="A520" s="15" t="s">
        <v>636</v>
      </c>
      <c r="B520" s="5">
        <v>5250</v>
      </c>
      <c r="C520" s="338">
        <v>42513</v>
      </c>
      <c r="D520" s="67" t="s">
        <v>5</v>
      </c>
      <c r="E520" s="15" t="s">
        <v>664</v>
      </c>
      <c r="F520" s="663"/>
      <c r="G520" s="894">
        <v>50</v>
      </c>
      <c r="H520" s="894">
        <f t="shared" si="34"/>
        <v>50</v>
      </c>
      <c r="I520" s="253"/>
      <c r="L520" s="4" t="s">
        <v>45</v>
      </c>
      <c r="M520" s="4"/>
      <c r="N520" s="4" t="s">
        <v>48</v>
      </c>
      <c r="O520" s="4" t="s">
        <v>48</v>
      </c>
      <c r="T520" s="5"/>
      <c r="U520" s="5" t="s">
        <v>56</v>
      </c>
      <c r="V520" s="43"/>
    </row>
    <row r="521" spans="1:22" ht="15" customHeight="1">
      <c r="A521" s="15" t="s">
        <v>636</v>
      </c>
      <c r="B521" s="5">
        <v>5250</v>
      </c>
      <c r="C521" s="338">
        <v>42513</v>
      </c>
      <c r="D521" s="67" t="s">
        <v>5</v>
      </c>
      <c r="E521" s="15" t="s">
        <v>1185</v>
      </c>
      <c r="F521" s="663"/>
      <c r="G521" s="894">
        <v>50</v>
      </c>
      <c r="H521" s="894">
        <f t="shared" si="34"/>
        <v>50</v>
      </c>
      <c r="I521" s="253"/>
      <c r="L521" s="4" t="s">
        <v>45</v>
      </c>
      <c r="M521" s="4"/>
      <c r="N521" s="4" t="s">
        <v>48</v>
      </c>
      <c r="O521" s="4" t="s">
        <v>48</v>
      </c>
      <c r="T521" s="5"/>
      <c r="U521" s="5" t="s">
        <v>56</v>
      </c>
      <c r="V521" s="43"/>
    </row>
    <row r="522" spans="1:22">
      <c r="A522" s="15" t="s">
        <v>636</v>
      </c>
      <c r="B522" s="5">
        <v>5251</v>
      </c>
      <c r="C522" s="338">
        <v>42510</v>
      </c>
      <c r="D522" s="67" t="s">
        <v>13</v>
      </c>
      <c r="E522" s="15" t="s">
        <v>36</v>
      </c>
      <c r="F522"/>
      <c r="G522" s="906">
        <v>303</v>
      </c>
      <c r="H522" s="906">
        <f t="shared" si="34"/>
        <v>15</v>
      </c>
      <c r="I522" s="253"/>
      <c r="L522" s="4" t="s">
        <v>45</v>
      </c>
      <c r="M522" s="4"/>
      <c r="N522" s="4" t="s">
        <v>1</v>
      </c>
      <c r="O522" s="4" t="s">
        <v>48</v>
      </c>
      <c r="T522" s="5">
        <f>100+188</f>
        <v>288</v>
      </c>
      <c r="U522" s="5" t="s">
        <v>56</v>
      </c>
      <c r="V522" s="43"/>
    </row>
    <row r="523" spans="1:22">
      <c r="A523" s="15" t="s">
        <v>636</v>
      </c>
      <c r="B523" s="5">
        <v>5251</v>
      </c>
      <c r="C523" s="338">
        <v>42510</v>
      </c>
      <c r="D523" s="67" t="s">
        <v>13</v>
      </c>
      <c r="E523" s="15" t="s">
        <v>41</v>
      </c>
      <c r="F523"/>
      <c r="G523" s="906">
        <v>200</v>
      </c>
      <c r="H523" s="906">
        <f t="shared" si="34"/>
        <v>200</v>
      </c>
      <c r="I523" s="253"/>
      <c r="L523" s="4" t="s">
        <v>45</v>
      </c>
      <c r="M523" s="4"/>
      <c r="N523" s="4" t="s">
        <v>1</v>
      </c>
      <c r="O523" s="35" t="s">
        <v>69</v>
      </c>
      <c r="T523" s="5"/>
      <c r="U523" s="5" t="s">
        <v>56</v>
      </c>
      <c r="V523" s="43"/>
    </row>
    <row r="524" spans="1:22">
      <c r="A524" s="15" t="s">
        <v>636</v>
      </c>
      <c r="B524" s="5">
        <v>5251</v>
      </c>
      <c r="C524" s="338">
        <v>42510</v>
      </c>
      <c r="D524" s="67" t="s">
        <v>13</v>
      </c>
      <c r="E524" s="15" t="s">
        <v>22</v>
      </c>
      <c r="F524"/>
      <c r="G524" s="906">
        <v>602</v>
      </c>
      <c r="H524" s="906">
        <f t="shared" si="34"/>
        <v>602</v>
      </c>
      <c r="I524" s="253"/>
      <c r="L524" s="4" t="s">
        <v>45</v>
      </c>
      <c r="M524" s="4"/>
      <c r="N524" s="4" t="s">
        <v>1</v>
      </c>
      <c r="O524" s="35" t="s">
        <v>69</v>
      </c>
      <c r="T524" s="5"/>
      <c r="U524" s="5" t="s">
        <v>56</v>
      </c>
      <c r="V524" s="43"/>
    </row>
    <row r="525" spans="1:22" hidden="1">
      <c r="A525" s="15" t="s">
        <v>636</v>
      </c>
      <c r="B525" s="2">
        <v>5258</v>
      </c>
      <c r="C525" s="921" t="s">
        <v>727</v>
      </c>
      <c r="D525" s="15" t="s">
        <v>21</v>
      </c>
      <c r="E525" s="15" t="s">
        <v>650</v>
      </c>
      <c r="F525" s="663"/>
      <c r="G525" s="46">
        <v>3000</v>
      </c>
      <c r="H525" s="917">
        <f t="shared" si="34"/>
        <v>-15</v>
      </c>
      <c r="I525" s="525" t="s">
        <v>728</v>
      </c>
      <c r="J525" s="791">
        <f t="shared" ref="J525:J532" ca="1" si="35">TODAY()-C525</f>
        <v>277</v>
      </c>
      <c r="K525" s="632">
        <f ca="1">IF(I525="","Sin fecha",((I525-TODAY())))</f>
        <v>-247</v>
      </c>
      <c r="L525" s="4" t="s">
        <v>48</v>
      </c>
      <c r="M525" s="4"/>
      <c r="N525" s="4" t="s">
        <v>48</v>
      </c>
      <c r="O525" s="4" t="s">
        <v>48</v>
      </c>
      <c r="P525" s="39" t="s">
        <v>48</v>
      </c>
      <c r="Q525" s="39" t="s">
        <v>48</v>
      </c>
      <c r="R525" s="1" t="s">
        <v>48</v>
      </c>
      <c r="S525" s="1" t="s">
        <v>48</v>
      </c>
      <c r="T525" s="5">
        <v>3015</v>
      </c>
      <c r="U525" s="5" t="s">
        <v>55</v>
      </c>
      <c r="V525" s="43" t="s">
        <v>436</v>
      </c>
    </row>
    <row r="526" spans="1:22" hidden="1">
      <c r="A526" s="304" t="s">
        <v>636</v>
      </c>
      <c r="B526" s="301">
        <v>5258</v>
      </c>
      <c r="C526" s="815" t="s">
        <v>727</v>
      </c>
      <c r="D526" s="304" t="s">
        <v>21</v>
      </c>
      <c r="E526" s="304" t="s">
        <v>600</v>
      </c>
      <c r="F526" s="663"/>
      <c r="G526" s="454">
        <v>1000</v>
      </c>
      <c r="H526" s="919">
        <f t="shared" si="34"/>
        <v>-86</v>
      </c>
      <c r="I526" s="947" t="s">
        <v>728</v>
      </c>
      <c r="J526" s="791">
        <f t="shared" ca="1" si="35"/>
        <v>277</v>
      </c>
      <c r="K526" s="632">
        <f ca="1">IF(I526="","Sin fecha",((I526-TODAY())))</f>
        <v>-247</v>
      </c>
      <c r="L526" s="284" t="s">
        <v>48</v>
      </c>
      <c r="M526" s="284"/>
      <c r="N526" s="284" t="s">
        <v>48</v>
      </c>
      <c r="O526" s="284" t="s">
        <v>48</v>
      </c>
      <c r="P526" s="39" t="s">
        <v>48</v>
      </c>
      <c r="Q526" s="39" t="s">
        <v>48</v>
      </c>
      <c r="R526" s="1" t="s">
        <v>48</v>
      </c>
      <c r="S526" s="1" t="s">
        <v>48</v>
      </c>
      <c r="T526" s="290">
        <v>1086</v>
      </c>
      <c r="U526" s="290" t="s">
        <v>55</v>
      </c>
      <c r="V526" s="285" t="s">
        <v>436</v>
      </c>
    </row>
    <row r="527" spans="1:22" hidden="1">
      <c r="A527" s="15" t="s">
        <v>636</v>
      </c>
      <c r="B527" s="2">
        <v>5258</v>
      </c>
      <c r="C527" s="921" t="s">
        <v>727</v>
      </c>
      <c r="D527" s="15" t="s">
        <v>21</v>
      </c>
      <c r="E527" s="15" t="s">
        <v>601</v>
      </c>
      <c r="F527" s="663"/>
      <c r="G527" s="46">
        <v>2000</v>
      </c>
      <c r="H527" s="917">
        <f t="shared" si="34"/>
        <v>-1</v>
      </c>
      <c r="I527" s="525" t="s">
        <v>728</v>
      </c>
      <c r="J527" s="791">
        <f t="shared" ca="1" si="35"/>
        <v>277</v>
      </c>
      <c r="K527" s="632">
        <f ca="1">IF(I527="","Sin fecha",((I527-TODAY())))</f>
        <v>-247</v>
      </c>
      <c r="L527" s="4" t="s">
        <v>48</v>
      </c>
      <c r="M527" s="4"/>
      <c r="N527" s="4" t="s">
        <v>48</v>
      </c>
      <c r="O527" s="4" t="s">
        <v>48</v>
      </c>
      <c r="P527" s="39" t="s">
        <v>48</v>
      </c>
      <c r="Q527" s="39" t="s">
        <v>48</v>
      </c>
      <c r="R527" s="1" t="s">
        <v>48</v>
      </c>
      <c r="S527" s="1" t="s">
        <v>48</v>
      </c>
      <c r="T527" s="5">
        <v>2001</v>
      </c>
      <c r="U527" s="5" t="s">
        <v>55</v>
      </c>
      <c r="V527" s="43" t="s">
        <v>436</v>
      </c>
    </row>
    <row r="528" spans="1:22" hidden="1">
      <c r="A528" s="4" t="s">
        <v>193</v>
      </c>
      <c r="B528" s="43">
        <v>5204</v>
      </c>
      <c r="C528" s="278" t="s">
        <v>560</v>
      </c>
      <c r="D528" s="4" t="s">
        <v>21</v>
      </c>
      <c r="E528" s="4" t="s">
        <v>481</v>
      </c>
      <c r="F528" s="682">
        <v>4000</v>
      </c>
      <c r="G528" s="40">
        <v>3980</v>
      </c>
      <c r="H528" s="921">
        <f t="shared" si="34"/>
        <v>0</v>
      </c>
      <c r="I528" s="253"/>
      <c r="J528" s="791">
        <f t="shared" ca="1" si="35"/>
        <v>398</v>
      </c>
      <c r="K528" s="632" t="str">
        <f ca="1">IF(I528="","Sin fecha",((I528-TODAY())))</f>
        <v>Sin fecha</v>
      </c>
      <c r="L528" s="2" t="s">
        <v>48</v>
      </c>
      <c r="M528" s="4" t="s">
        <v>48</v>
      </c>
      <c r="N528" s="221" t="s">
        <v>48</v>
      </c>
      <c r="O528" s="221" t="s">
        <v>48</v>
      </c>
      <c r="P528" s="39" t="s">
        <v>48</v>
      </c>
      <c r="Q528" s="39" t="s">
        <v>48</v>
      </c>
      <c r="R528" s="39" t="s">
        <v>48</v>
      </c>
      <c r="S528" s="39" t="s">
        <v>48</v>
      </c>
      <c r="T528" s="3">
        <f>2500+1480</f>
        <v>3980</v>
      </c>
      <c r="U528" s="3" t="s">
        <v>55</v>
      </c>
      <c r="V528" s="43" t="s">
        <v>433</v>
      </c>
    </row>
    <row r="529" spans="1:22" hidden="1">
      <c r="A529" s="4" t="s">
        <v>193</v>
      </c>
      <c r="B529" s="43">
        <v>5204</v>
      </c>
      <c r="C529" s="278" t="s">
        <v>560</v>
      </c>
      <c r="D529" s="4" t="s">
        <v>21</v>
      </c>
      <c r="E529" s="4" t="s">
        <v>482</v>
      </c>
      <c r="F529" s="682">
        <v>2000</v>
      </c>
      <c r="G529" s="40">
        <v>1295</v>
      </c>
      <c r="H529" s="921">
        <f t="shared" si="34"/>
        <v>0</v>
      </c>
      <c r="I529" s="253"/>
      <c r="J529" s="791">
        <f t="shared" ca="1" si="35"/>
        <v>398</v>
      </c>
      <c r="K529" s="632" t="str">
        <f ca="1">IF(I529="","Sin fecha",((I529-TODAY())))</f>
        <v>Sin fecha</v>
      </c>
      <c r="L529" s="2" t="s">
        <v>48</v>
      </c>
      <c r="M529" s="4" t="s">
        <v>48</v>
      </c>
      <c r="N529" s="221" t="s">
        <v>48</v>
      </c>
      <c r="O529" s="221" t="s">
        <v>48</v>
      </c>
      <c r="P529" s="39" t="s">
        <v>48</v>
      </c>
      <c r="Q529" s="39" t="s">
        <v>48</v>
      </c>
      <c r="R529" s="39" t="s">
        <v>48</v>
      </c>
      <c r="S529" s="39" t="s">
        <v>48</v>
      </c>
      <c r="T529" s="3">
        <v>1295</v>
      </c>
      <c r="U529" s="3" t="s">
        <v>55</v>
      </c>
      <c r="V529" s="43" t="s">
        <v>433</v>
      </c>
    </row>
    <row r="530" spans="1:22" hidden="1">
      <c r="A530" s="15" t="s">
        <v>193</v>
      </c>
      <c r="B530" s="2">
        <v>5248</v>
      </c>
      <c r="C530" s="921" t="s">
        <v>688</v>
      </c>
      <c r="D530" s="15" t="s">
        <v>21</v>
      </c>
      <c r="E530" s="63" t="s">
        <v>650</v>
      </c>
      <c r="F530" s="663">
        <v>3000</v>
      </c>
      <c r="G530" s="59">
        <v>3140</v>
      </c>
      <c r="H530" s="921">
        <f t="shared" si="34"/>
        <v>0</v>
      </c>
      <c r="I530" s="59" t="s">
        <v>689</v>
      </c>
      <c r="J530" s="29">
        <f t="shared" ca="1" si="35"/>
        <v>301</v>
      </c>
      <c r="K530" s="632" t="e">
        <f ca="1">IF(#REF!="","Sin fecha",((#REF!-TODAY())))</f>
        <v>#REF!</v>
      </c>
      <c r="L530" s="4" t="s">
        <v>48</v>
      </c>
      <c r="M530" s="4"/>
      <c r="N530" s="4" t="s">
        <v>48</v>
      </c>
      <c r="O530" s="4" t="s">
        <v>48</v>
      </c>
      <c r="P530" s="39" t="s">
        <v>48</v>
      </c>
      <c r="Q530" s="39" t="s">
        <v>48</v>
      </c>
      <c r="R530" s="39" t="s">
        <v>48</v>
      </c>
      <c r="S530" s="39" t="s">
        <v>48</v>
      </c>
      <c r="T530" s="5">
        <v>3140</v>
      </c>
      <c r="U530" s="5" t="s">
        <v>55</v>
      </c>
      <c r="V530" s="43" t="s">
        <v>436</v>
      </c>
    </row>
    <row r="531" spans="1:22" hidden="1">
      <c r="A531" s="15" t="s">
        <v>193</v>
      </c>
      <c r="B531" s="2">
        <v>5248</v>
      </c>
      <c r="C531" s="921" t="s">
        <v>688</v>
      </c>
      <c r="D531" s="15" t="s">
        <v>21</v>
      </c>
      <c r="E531" s="63" t="s">
        <v>600</v>
      </c>
      <c r="F531" s="663"/>
      <c r="G531" s="59">
        <v>2000</v>
      </c>
      <c r="H531" s="921">
        <f t="shared" si="34"/>
        <v>96</v>
      </c>
      <c r="I531" s="59" t="s">
        <v>689</v>
      </c>
      <c r="J531" s="29">
        <f t="shared" ca="1" si="35"/>
        <v>301</v>
      </c>
      <c r="K531" s="632" t="e">
        <f ca="1">IF(#REF!="","Sin fecha",((#REF!-TODAY())))</f>
        <v>#REF!</v>
      </c>
      <c r="L531" s="4" t="s">
        <v>48</v>
      </c>
      <c r="M531" s="4"/>
      <c r="N531" s="4" t="s">
        <v>48</v>
      </c>
      <c r="O531" s="4" t="s">
        <v>48</v>
      </c>
      <c r="P531" s="39" t="s">
        <v>48</v>
      </c>
      <c r="Q531" s="39" t="s">
        <v>48</v>
      </c>
      <c r="R531" s="39" t="s">
        <v>48</v>
      </c>
      <c r="S531" s="39" t="s">
        <v>48</v>
      </c>
      <c r="T531" s="5">
        <v>1904</v>
      </c>
      <c r="U531" s="5" t="s">
        <v>55</v>
      </c>
      <c r="V531" s="43" t="s">
        <v>436</v>
      </c>
    </row>
    <row r="532" spans="1:22" hidden="1">
      <c r="A532" s="15" t="s">
        <v>193</v>
      </c>
      <c r="B532" s="2">
        <v>5248</v>
      </c>
      <c r="C532" s="921" t="s">
        <v>688</v>
      </c>
      <c r="D532" s="15" t="s">
        <v>21</v>
      </c>
      <c r="E532" s="63" t="s">
        <v>601</v>
      </c>
      <c r="F532" s="663"/>
      <c r="G532" s="59">
        <v>1000</v>
      </c>
      <c r="H532" s="921">
        <f t="shared" si="34"/>
        <v>195</v>
      </c>
      <c r="I532" s="59" t="s">
        <v>689</v>
      </c>
      <c r="J532" s="29">
        <f t="shared" ca="1" si="35"/>
        <v>301</v>
      </c>
      <c r="K532" s="632" t="e">
        <f ca="1">IF(#REF!="","Sin fecha",((#REF!-TODAY())))</f>
        <v>#REF!</v>
      </c>
      <c r="L532" s="4" t="s">
        <v>48</v>
      </c>
      <c r="M532" s="4"/>
      <c r="N532" s="4" t="s">
        <v>48</v>
      </c>
      <c r="O532" s="4" t="s">
        <v>48</v>
      </c>
      <c r="P532" s="39" t="s">
        <v>48</v>
      </c>
      <c r="Q532" s="39" t="s">
        <v>48</v>
      </c>
      <c r="R532" s="39" t="s">
        <v>48</v>
      </c>
      <c r="S532" s="39" t="s">
        <v>48</v>
      </c>
      <c r="T532" s="5">
        <v>805</v>
      </c>
      <c r="U532" s="5" t="s">
        <v>55</v>
      </c>
      <c r="V532" s="43" t="s">
        <v>436</v>
      </c>
    </row>
    <row r="533" spans="1:22" hidden="1">
      <c r="A533" s="4" t="s">
        <v>94</v>
      </c>
      <c r="B533" s="2">
        <v>5278</v>
      </c>
      <c r="C533" s="338" t="s">
        <v>832</v>
      </c>
      <c r="D533" s="15" t="s">
        <v>21</v>
      </c>
      <c r="E533" s="15" t="s">
        <v>833</v>
      </c>
      <c r="F533" s="663"/>
      <c r="G533" s="46">
        <v>300</v>
      </c>
      <c r="H533" s="28">
        <f t="shared" si="34"/>
        <v>-42</v>
      </c>
      <c r="I533" s="253"/>
      <c r="L533" s="4" t="s">
        <v>48</v>
      </c>
      <c r="M533" s="4"/>
      <c r="N533" s="4" t="s">
        <v>48</v>
      </c>
      <c r="O533" s="4" t="s">
        <v>48</v>
      </c>
      <c r="T533" s="5">
        <v>342</v>
      </c>
      <c r="U533" s="5" t="s">
        <v>55</v>
      </c>
      <c r="V533" s="43" t="s">
        <v>775</v>
      </c>
    </row>
    <row r="534" spans="1:22" ht="15.75" hidden="1">
      <c r="A534" s="15" t="s">
        <v>94</v>
      </c>
      <c r="B534" s="67">
        <v>5254</v>
      </c>
      <c r="C534" s="338">
        <v>42522</v>
      </c>
      <c r="D534" s="67" t="s">
        <v>868</v>
      </c>
      <c r="E534" s="908" t="s">
        <v>1226</v>
      </c>
      <c r="F534" s="663"/>
      <c r="G534" s="67">
        <v>648</v>
      </c>
      <c r="H534" s="898">
        <f t="shared" si="34"/>
        <v>-72</v>
      </c>
      <c r="I534" s="253"/>
      <c r="L534" s="4" t="s">
        <v>48</v>
      </c>
      <c r="M534" s="4"/>
      <c r="N534" s="4" t="s">
        <v>48</v>
      </c>
      <c r="O534" s="4" t="s">
        <v>48</v>
      </c>
      <c r="T534" s="5">
        <v>720</v>
      </c>
      <c r="U534" s="5" t="s">
        <v>55</v>
      </c>
      <c r="V534" s="43" t="s">
        <v>1217</v>
      </c>
    </row>
    <row r="535" spans="1:22" ht="15.75">
      <c r="A535" s="15" t="s">
        <v>193</v>
      </c>
      <c r="B535" s="925">
        <v>5255</v>
      </c>
      <c r="C535" s="338">
        <v>42528</v>
      </c>
      <c r="D535" s="67" t="s">
        <v>1227</v>
      </c>
      <c r="E535" s="908" t="s">
        <v>1228</v>
      </c>
      <c r="F535" s="663"/>
      <c r="G535" s="59"/>
      <c r="H535" s="898">
        <f t="shared" si="34"/>
        <v>0</v>
      </c>
      <c r="I535" s="253"/>
      <c r="L535" s="4" t="s">
        <v>48</v>
      </c>
      <c r="M535" s="4"/>
      <c r="N535" s="4" t="s">
        <v>48</v>
      </c>
      <c r="O535" s="4" t="s">
        <v>48</v>
      </c>
      <c r="T535" s="5"/>
      <c r="U535" s="5" t="s">
        <v>56</v>
      </c>
      <c r="V535" s="43"/>
    </row>
    <row r="536" spans="1:22">
      <c r="A536" s="15" t="s">
        <v>636</v>
      </c>
      <c r="B536" s="925">
        <v>5256</v>
      </c>
      <c r="C536" s="338">
        <v>42529</v>
      </c>
      <c r="D536" s="67" t="s">
        <v>177</v>
      </c>
      <c r="E536" s="15" t="s">
        <v>1229</v>
      </c>
      <c r="F536"/>
      <c r="G536" s="67">
        <v>1000</v>
      </c>
      <c r="H536" s="898">
        <f t="shared" si="34"/>
        <v>1000</v>
      </c>
      <c r="I536" s="253"/>
      <c r="L536" s="4" t="s">
        <v>45</v>
      </c>
      <c r="M536" s="4"/>
      <c r="N536" s="4" t="s">
        <v>48</v>
      </c>
      <c r="O536" s="4" t="s">
        <v>48</v>
      </c>
      <c r="T536" s="5"/>
      <c r="U536" s="5" t="s">
        <v>56</v>
      </c>
      <c r="V536" s="43"/>
    </row>
    <row r="537" spans="1:22">
      <c r="A537" s="15" t="s">
        <v>636</v>
      </c>
      <c r="B537" s="5">
        <v>5257</v>
      </c>
      <c r="C537" s="338">
        <v>42527</v>
      </c>
      <c r="D537" s="67" t="s">
        <v>13</v>
      </c>
      <c r="E537" s="15" t="s">
        <v>41</v>
      </c>
      <c r="F537"/>
      <c r="G537" s="906">
        <v>300</v>
      </c>
      <c r="H537" s="906">
        <f t="shared" si="34"/>
        <v>300</v>
      </c>
      <c r="I537" s="253"/>
      <c r="L537" s="4" t="s">
        <v>45</v>
      </c>
      <c r="M537" s="4"/>
      <c r="N537" s="4" t="s">
        <v>1</v>
      </c>
      <c r="O537" s="35" t="s">
        <v>1</v>
      </c>
      <c r="T537" s="5"/>
      <c r="U537" s="5" t="s">
        <v>56</v>
      </c>
      <c r="V537" s="43"/>
    </row>
    <row r="538" spans="1:22">
      <c r="A538" s="15" t="s">
        <v>636</v>
      </c>
      <c r="B538" s="5" t="s">
        <v>37</v>
      </c>
      <c r="C538" s="338">
        <v>42531</v>
      </c>
      <c r="D538" s="4" t="s">
        <v>867</v>
      </c>
      <c r="E538" s="15" t="s">
        <v>1193</v>
      </c>
      <c r="G538" s="40">
        <v>65</v>
      </c>
      <c r="H538" s="913">
        <f t="shared" si="34"/>
        <v>0</v>
      </c>
      <c r="I538" s="253"/>
      <c r="L538" s="4" t="s">
        <v>47</v>
      </c>
      <c r="M538" s="4"/>
      <c r="N538" s="4" t="s">
        <v>48</v>
      </c>
      <c r="O538" s="4" t="s">
        <v>48</v>
      </c>
      <c r="T538" s="5">
        <v>65</v>
      </c>
      <c r="U538" s="5" t="s">
        <v>56</v>
      </c>
      <c r="V538" s="43"/>
    </row>
    <row r="539" spans="1:22" hidden="1">
      <c r="A539" s="15" t="s">
        <v>193</v>
      </c>
      <c r="B539" s="2">
        <v>5240</v>
      </c>
      <c r="C539" s="440" t="s">
        <v>588</v>
      </c>
      <c r="D539" s="15" t="s">
        <v>21</v>
      </c>
      <c r="E539" s="63" t="s">
        <v>650</v>
      </c>
      <c r="F539" s="663"/>
      <c r="G539" s="917">
        <v>2000</v>
      </c>
      <c r="H539" s="921">
        <f t="shared" si="34"/>
        <v>2000</v>
      </c>
      <c r="I539" s="253" t="s">
        <v>651</v>
      </c>
      <c r="J539" s="29">
        <f ca="1">TODAY()-C539</f>
        <v>330</v>
      </c>
      <c r="K539" s="632" t="e">
        <f ca="1">IF(#REF!="","Sin fecha",((#REF!-TODAY())))</f>
        <v>#REF!</v>
      </c>
      <c r="L539" s="4" t="s">
        <v>48</v>
      </c>
      <c r="M539" s="4"/>
      <c r="N539" s="4" t="s">
        <v>48</v>
      </c>
      <c r="O539" s="4" t="s">
        <v>48</v>
      </c>
      <c r="P539" s="39" t="s">
        <v>48</v>
      </c>
      <c r="Q539" s="39" t="s">
        <v>48</v>
      </c>
      <c r="R539" s="39" t="s">
        <v>48</v>
      </c>
      <c r="S539" s="39" t="s">
        <v>48</v>
      </c>
      <c r="T539" s="5"/>
      <c r="U539" s="5" t="s">
        <v>55</v>
      </c>
      <c r="V539" s="43" t="s">
        <v>679</v>
      </c>
    </row>
    <row r="540" spans="1:22" hidden="1">
      <c r="A540" s="15" t="s">
        <v>94</v>
      </c>
      <c r="B540" s="2">
        <v>5235</v>
      </c>
      <c r="C540" s="338" t="s">
        <v>588</v>
      </c>
      <c r="D540" s="15" t="s">
        <v>21</v>
      </c>
      <c r="E540" s="63" t="s">
        <v>637</v>
      </c>
      <c r="F540" s="663">
        <v>500</v>
      </c>
      <c r="G540" s="921">
        <v>513</v>
      </c>
      <c r="H540" s="921">
        <f t="shared" si="34"/>
        <v>0</v>
      </c>
      <c r="I540" s="253"/>
      <c r="J540" s="29">
        <f ca="1">TODAY()-C540</f>
        <v>330</v>
      </c>
      <c r="K540" s="632" t="str">
        <f ca="1">IF(I540="","Sin fecha",((I540-TODAY())))</f>
        <v>Sin fecha</v>
      </c>
      <c r="L540" s="4" t="s">
        <v>48</v>
      </c>
      <c r="M540" s="4"/>
      <c r="N540" s="4" t="s">
        <v>48</v>
      </c>
      <c r="O540" s="4" t="s">
        <v>48</v>
      </c>
      <c r="P540" s="950" t="s">
        <v>48</v>
      </c>
      <c r="Q540" s="950" t="s">
        <v>48</v>
      </c>
      <c r="R540" s="950" t="s">
        <v>48</v>
      </c>
      <c r="S540" s="950" t="s">
        <v>48</v>
      </c>
      <c r="T540" s="5">
        <v>513</v>
      </c>
      <c r="U540" s="5" t="s">
        <v>55</v>
      </c>
      <c r="V540" s="43" t="s">
        <v>435</v>
      </c>
    </row>
    <row r="541" spans="1:22" hidden="1">
      <c r="A541" s="15" t="s">
        <v>94</v>
      </c>
      <c r="B541" s="2">
        <v>5235</v>
      </c>
      <c r="C541" s="338" t="s">
        <v>588</v>
      </c>
      <c r="D541" s="15" t="s">
        <v>21</v>
      </c>
      <c r="E541" s="63" t="s">
        <v>638</v>
      </c>
      <c r="F541" s="663">
        <v>600</v>
      </c>
      <c r="G541" s="921">
        <v>611</v>
      </c>
      <c r="H541" s="921">
        <f t="shared" si="34"/>
        <v>0</v>
      </c>
      <c r="I541" s="253"/>
      <c r="J541" s="29">
        <f ca="1">TODAY()-C541</f>
        <v>330</v>
      </c>
      <c r="K541" s="632" t="str">
        <f ca="1">IF(I541="","Sin fecha",((I541-TODAY())))</f>
        <v>Sin fecha</v>
      </c>
      <c r="L541" s="4" t="s">
        <v>48</v>
      </c>
      <c r="M541" s="4"/>
      <c r="N541" s="4" t="s">
        <v>48</v>
      </c>
      <c r="O541" s="4" t="s">
        <v>48</v>
      </c>
      <c r="P541" s="39" t="s">
        <v>48</v>
      </c>
      <c r="Q541" s="39" t="s">
        <v>48</v>
      </c>
      <c r="R541" s="39" t="s">
        <v>48</v>
      </c>
      <c r="S541" s="39" t="s">
        <v>48</v>
      </c>
      <c r="T541" s="5">
        <v>611</v>
      </c>
      <c r="U541" s="5" t="s">
        <v>55</v>
      </c>
      <c r="V541" s="43" t="s">
        <v>435</v>
      </c>
    </row>
    <row r="542" spans="1:22" hidden="1">
      <c r="A542" s="15" t="s">
        <v>193</v>
      </c>
      <c r="B542" s="2">
        <v>5240</v>
      </c>
      <c r="C542" s="440" t="s">
        <v>588</v>
      </c>
      <c r="D542" s="15" t="s">
        <v>21</v>
      </c>
      <c r="E542" s="63" t="s">
        <v>652</v>
      </c>
      <c r="F542" s="663"/>
      <c r="G542" s="67">
        <v>2000</v>
      </c>
      <c r="H542" s="921">
        <f t="shared" si="34"/>
        <v>44</v>
      </c>
      <c r="I542" s="253" t="s">
        <v>653</v>
      </c>
      <c r="J542" s="29">
        <f ca="1">TODAY()-C542</f>
        <v>330</v>
      </c>
      <c r="K542" s="632" t="e">
        <f ca="1">IF(#REF!="","Sin fecha",((#REF!-TODAY())))</f>
        <v>#REF!</v>
      </c>
      <c r="L542" s="4" t="s">
        <v>48</v>
      </c>
      <c r="M542" s="4"/>
      <c r="N542" s="4" t="s">
        <v>48</v>
      </c>
      <c r="O542" s="4" t="s">
        <v>48</v>
      </c>
      <c r="P542" s="39" t="s">
        <v>48</v>
      </c>
      <c r="Q542" s="39" t="s">
        <v>48</v>
      </c>
      <c r="R542" s="39" t="s">
        <v>48</v>
      </c>
      <c r="S542" s="39" t="s">
        <v>48</v>
      </c>
      <c r="T542" s="5">
        <v>1956</v>
      </c>
      <c r="U542" s="5" t="s">
        <v>55</v>
      </c>
      <c r="V542" s="43" t="s">
        <v>435</v>
      </c>
    </row>
    <row r="543" spans="1:22" hidden="1">
      <c r="A543" s="4" t="s">
        <v>193</v>
      </c>
      <c r="B543" s="43" t="s">
        <v>37</v>
      </c>
      <c r="C543" s="338" t="s">
        <v>640</v>
      </c>
      <c r="D543" s="4" t="s">
        <v>21</v>
      </c>
      <c r="E543" s="4" t="s">
        <v>641</v>
      </c>
      <c r="F543" s="682"/>
      <c r="G543" s="40">
        <v>1480</v>
      </c>
      <c r="H543" s="917">
        <f t="shared" si="34"/>
        <v>0</v>
      </c>
      <c r="I543" s="253"/>
      <c r="J543" s="29">
        <f ca="1">TODAY()-C543</f>
        <v>330</v>
      </c>
      <c r="K543" s="632" t="str">
        <f ca="1">IF(I543="","Sin fecha",((I543-TODAY())))</f>
        <v>Sin fecha</v>
      </c>
      <c r="L543" s="4" t="s">
        <v>48</v>
      </c>
      <c r="M543" s="4"/>
      <c r="N543" s="4" t="s">
        <v>48</v>
      </c>
      <c r="O543" s="4" t="s">
        <v>48</v>
      </c>
      <c r="P543" s="950" t="s">
        <v>48</v>
      </c>
      <c r="Q543" s="950" t="s">
        <v>48</v>
      </c>
      <c r="R543" s="950" t="s">
        <v>48</v>
      </c>
      <c r="S543" s="950" t="s">
        <v>48</v>
      </c>
      <c r="T543" s="5">
        <v>1480</v>
      </c>
      <c r="U543" s="5" t="s">
        <v>55</v>
      </c>
      <c r="V543" s="43" t="s">
        <v>435</v>
      </c>
    </row>
    <row r="544" spans="1:22">
      <c r="A544" s="15" t="s">
        <v>636</v>
      </c>
      <c r="B544" s="926">
        <v>5261</v>
      </c>
      <c r="C544" s="338">
        <v>42536</v>
      </c>
      <c r="D544" s="67" t="s">
        <v>177</v>
      </c>
      <c r="E544" s="15" t="s">
        <v>920</v>
      </c>
      <c r="F544" s="663"/>
      <c r="G544" s="914">
        <v>1000</v>
      </c>
      <c r="H544" s="913">
        <f t="shared" ref="H544:H546" si="36">G544-T544</f>
        <v>1000</v>
      </c>
      <c r="I544" s="914" t="s">
        <v>434</v>
      </c>
      <c r="L544" s="4" t="s">
        <v>45</v>
      </c>
      <c r="M544" s="4"/>
      <c r="N544" s="4" t="s">
        <v>48</v>
      </c>
      <c r="O544" s="4" t="s">
        <v>48</v>
      </c>
      <c r="T544" s="5"/>
      <c r="U544" s="5" t="s">
        <v>56</v>
      </c>
      <c r="V544" s="43"/>
    </row>
    <row r="545" spans="1:22">
      <c r="A545" s="15" t="s">
        <v>636</v>
      </c>
      <c r="B545" s="926">
        <v>5261</v>
      </c>
      <c r="C545" s="338">
        <v>42536</v>
      </c>
      <c r="D545" s="67" t="s">
        <v>177</v>
      </c>
      <c r="E545" s="15" t="s">
        <v>920</v>
      </c>
      <c r="F545" s="663"/>
      <c r="G545" s="914">
        <v>1000</v>
      </c>
      <c r="H545" s="913">
        <f t="shared" si="36"/>
        <v>1000</v>
      </c>
      <c r="I545" s="914" t="s">
        <v>435</v>
      </c>
      <c r="L545" s="4" t="s">
        <v>45</v>
      </c>
      <c r="M545" s="4"/>
      <c r="N545" s="4" t="s">
        <v>48</v>
      </c>
      <c r="O545" s="4" t="s">
        <v>48</v>
      </c>
      <c r="T545" s="5"/>
      <c r="U545" s="5" t="s">
        <v>56</v>
      </c>
      <c r="V545" s="43"/>
    </row>
    <row r="546" spans="1:22" ht="15.75" hidden="1">
      <c r="A546" s="15" t="s">
        <v>636</v>
      </c>
      <c r="B546" s="914">
        <v>5262</v>
      </c>
      <c r="C546" s="338">
        <v>42536</v>
      </c>
      <c r="D546" s="67" t="s">
        <v>5</v>
      </c>
      <c r="E546" s="908" t="s">
        <v>1243</v>
      </c>
      <c r="F546" s="663"/>
      <c r="G546" s="914">
        <v>50</v>
      </c>
      <c r="H546" s="913">
        <f t="shared" si="36"/>
        <v>0</v>
      </c>
      <c r="I546" s="253"/>
      <c r="L546" s="4" t="s">
        <v>47</v>
      </c>
      <c r="M546" s="4"/>
      <c r="N546" s="4" t="s">
        <v>48</v>
      </c>
      <c r="O546" s="4" t="s">
        <v>48</v>
      </c>
      <c r="T546" s="5">
        <v>50</v>
      </c>
      <c r="U546" s="5" t="s">
        <v>55</v>
      </c>
      <c r="V546" s="43" t="s">
        <v>1217</v>
      </c>
    </row>
    <row r="547" spans="1:22" ht="15.75">
      <c r="A547" s="15" t="s">
        <v>636</v>
      </c>
      <c r="B547" s="927">
        <v>5263</v>
      </c>
      <c r="C547" s="338">
        <v>42543</v>
      </c>
      <c r="D547" s="325" t="s">
        <v>13</v>
      </c>
      <c r="E547" s="928" t="s">
        <v>714</v>
      </c>
      <c r="F547"/>
      <c r="G547" s="922">
        <v>200</v>
      </c>
      <c r="I547" s="923">
        <v>42467</v>
      </c>
      <c r="L547" s="1" t="s">
        <v>45</v>
      </c>
      <c r="N547" s="1" t="s">
        <v>48</v>
      </c>
      <c r="O547" s="1" t="s">
        <v>48</v>
      </c>
      <c r="U547" s="16" t="s">
        <v>56</v>
      </c>
    </row>
    <row r="548" spans="1:22" ht="15.75">
      <c r="A548" s="15" t="s">
        <v>636</v>
      </c>
      <c r="B548" s="927">
        <v>5263</v>
      </c>
      <c r="C548" s="338">
        <v>42543</v>
      </c>
      <c r="D548" s="325" t="s">
        <v>13</v>
      </c>
      <c r="E548" s="928" t="s">
        <v>19</v>
      </c>
      <c r="F548"/>
      <c r="G548" s="922">
        <v>200</v>
      </c>
      <c r="I548" s="923">
        <v>42467</v>
      </c>
      <c r="L548" s="1" t="s">
        <v>45</v>
      </c>
      <c r="N548" s="1" t="s">
        <v>48</v>
      </c>
      <c r="O548" s="1" t="s">
        <v>48</v>
      </c>
      <c r="U548" s="16" t="s">
        <v>56</v>
      </c>
    </row>
  </sheetData>
  <autoFilter ref="A6:W548">
    <filterColumn colId="0"/>
    <filterColumn colId="1"/>
    <filterColumn colId="3"/>
    <filterColumn colId="4"/>
    <filterColumn colId="11"/>
    <filterColumn colId="15" showButton="0"/>
    <filterColumn colId="16" showButton="0"/>
    <filterColumn colId="17" showButton="0"/>
    <filterColumn colId="18" showButton="0"/>
    <filterColumn colId="20">
      <filters>
        <filter val="NO"/>
      </filters>
    </filterColumn>
    <filterColumn colId="21"/>
    <sortState ref="A9:W543">
      <sortCondition ref="C6:C548"/>
    </sortState>
  </autoFilter>
  <mergeCells count="2">
    <mergeCell ref="AA123:AF123"/>
    <mergeCell ref="B1:E1"/>
  </mergeCells>
  <conditionalFormatting sqref="I510:L511 Y140:Y148 X94:X148 Y94:Y123 N105:O121 L95:M104 M106:M107 N125:O128 M1:O5 M7:O93 L1:L94 L105:L1048576 M149:O509 M512:O1048576">
    <cfRule type="cellIs" dxfId="8" priority="146" operator="equal">
      <formula>"PARCIAL"</formula>
    </cfRule>
    <cfRule type="cellIs" dxfId="7" priority="151" operator="equal">
      <formula>"PROGRAMADA"</formula>
    </cfRule>
    <cfRule type="cellIs" dxfId="6" priority="152" operator="equal">
      <formula>"OK"</formula>
    </cfRule>
  </conditionalFormatting>
  <conditionalFormatting sqref="M512:M1048576 J510:J511 M1:M509">
    <cfRule type="cellIs" dxfId="5" priority="100" operator="greaterThan">
      <formula>0</formula>
    </cfRule>
  </conditionalFormatting>
  <conditionalFormatting sqref="K322:K336 K272:K274 K149:K263 K276:K281 K302 K7:K146">
    <cfRule type="cellIs" dxfId="4" priority="62" operator="greaterThan">
      <formula>1</formula>
    </cfRule>
    <cfRule type="cellIs" dxfId="3" priority="63" operator="lessThan">
      <formula>0</formula>
    </cfRule>
  </conditionalFormatting>
  <conditionalFormatting sqref="K322:K336 K272:K274 K149:K263 K276:K281 K302 K7:K146">
    <cfRule type="cellIs" dxfId="2" priority="58" operator="equal">
      <formula>"Sin fecha"</formula>
    </cfRule>
  </conditionalFormatting>
  <pageMargins left="0.13" right="0.13" top="0.14000000000000001" bottom="0.13" header="0.15" footer="0.13"/>
  <pageSetup paperSize="9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7"/>
  <sheetViews>
    <sheetView topLeftCell="A12" workbookViewId="0">
      <selection activeCell="D35" sqref="D35"/>
    </sheetView>
  </sheetViews>
  <sheetFormatPr baseColWidth="10" defaultRowHeight="15"/>
  <cols>
    <col min="1" max="1" width="15.7109375" style="58" customWidth="1"/>
    <col min="2" max="3" width="11.42578125" style="58"/>
    <col min="4" max="4" width="20.42578125" style="58" customWidth="1"/>
    <col min="5" max="5" width="11.42578125" style="58"/>
    <col min="6" max="6" width="11.42578125" style="261"/>
  </cols>
  <sheetData>
    <row r="1" spans="1:7" ht="19.5">
      <c r="A1" s="1140" t="s">
        <v>461</v>
      </c>
      <c r="B1" s="1141"/>
      <c r="C1" s="1141"/>
      <c r="D1" s="1141"/>
      <c r="E1" s="1141"/>
      <c r="F1" s="1142"/>
    </row>
    <row r="2" spans="1:7" ht="15.75">
      <c r="A2" s="262"/>
      <c r="B2" s="262"/>
      <c r="C2" s="262"/>
      <c r="D2" s="262"/>
      <c r="E2" s="262"/>
      <c r="F2" s="263"/>
    </row>
    <row r="3" spans="1:7" ht="15.75">
      <c r="A3" s="264"/>
      <c r="B3" s="264" t="s">
        <v>459</v>
      </c>
      <c r="C3" s="265" t="s">
        <v>458</v>
      </c>
      <c r="D3" s="265" t="s">
        <v>460</v>
      </c>
      <c r="E3" s="265" t="s">
        <v>457</v>
      </c>
      <c r="F3" s="266" t="s">
        <v>393</v>
      </c>
      <c r="G3" s="275"/>
    </row>
    <row r="4" spans="1:7" ht="15.75">
      <c r="A4" s="267" t="s">
        <v>38</v>
      </c>
      <c r="B4" s="267"/>
      <c r="C4" s="268">
        <v>308</v>
      </c>
      <c r="D4" s="265">
        <v>500</v>
      </c>
      <c r="E4" s="265">
        <v>4.0999999999999996</v>
      </c>
      <c r="F4" s="266">
        <f>D4*E4</f>
        <v>2050</v>
      </c>
    </row>
    <row r="5" spans="1:7" ht="15.75">
      <c r="A5" s="267" t="s">
        <v>22</v>
      </c>
      <c r="B5" s="267"/>
      <c r="C5" s="265"/>
      <c r="D5" s="265">
        <v>1000</v>
      </c>
      <c r="E5" s="265">
        <v>5</v>
      </c>
      <c r="F5" s="266">
        <f t="shared" ref="F5:F13" si="0">D5*E5</f>
        <v>5000</v>
      </c>
    </row>
    <row r="6" spans="1:7" ht="15.75">
      <c r="A6" s="267" t="s">
        <v>41</v>
      </c>
      <c r="B6" s="267"/>
      <c r="C6" s="1137">
        <v>237</v>
      </c>
      <c r="D6" s="1143">
        <v>500</v>
      </c>
      <c r="E6" s="1143">
        <v>4.0999999999999996</v>
      </c>
      <c r="F6" s="1146">
        <f t="shared" si="0"/>
        <v>2050</v>
      </c>
    </row>
    <row r="7" spans="1:7" ht="15.75">
      <c r="A7" s="267" t="s">
        <v>83</v>
      </c>
      <c r="B7" s="267"/>
      <c r="C7" s="1138"/>
      <c r="D7" s="1144"/>
      <c r="E7" s="1144"/>
      <c r="F7" s="1147"/>
    </row>
    <row r="8" spans="1:7" ht="15.75">
      <c r="A8" s="267" t="s">
        <v>84</v>
      </c>
      <c r="B8" s="267"/>
      <c r="C8" s="1139"/>
      <c r="D8" s="1145"/>
      <c r="E8" s="1145"/>
      <c r="F8" s="1148"/>
    </row>
    <row r="9" spans="1:7" ht="15.75">
      <c r="A9" s="267" t="s">
        <v>14</v>
      </c>
      <c r="B9" s="267"/>
      <c r="C9" s="265"/>
      <c r="D9" s="265">
        <v>500</v>
      </c>
      <c r="E9" s="265">
        <v>4.6399999999999997</v>
      </c>
      <c r="F9" s="266">
        <f t="shared" si="0"/>
        <v>2320</v>
      </c>
    </row>
    <row r="10" spans="1:7" ht="15.75">
      <c r="A10" s="267" t="s">
        <v>86</v>
      </c>
      <c r="B10" s="267"/>
      <c r="C10" s="265"/>
      <c r="D10" s="265">
        <v>200</v>
      </c>
      <c r="E10" s="265">
        <v>3.89</v>
      </c>
      <c r="F10" s="266">
        <f t="shared" si="0"/>
        <v>778</v>
      </c>
    </row>
    <row r="11" spans="1:7" ht="15.75">
      <c r="A11" s="267" t="s">
        <v>17</v>
      </c>
      <c r="B11" s="267"/>
      <c r="C11" s="265"/>
      <c r="D11" s="265">
        <v>200</v>
      </c>
      <c r="E11" s="265">
        <v>3</v>
      </c>
      <c r="F11" s="266">
        <f t="shared" si="0"/>
        <v>600</v>
      </c>
    </row>
    <row r="12" spans="1:7" ht="15.75">
      <c r="A12" s="267" t="s">
        <v>73</v>
      </c>
      <c r="B12" s="267"/>
      <c r="C12" s="265"/>
      <c r="D12" s="265">
        <v>500</v>
      </c>
      <c r="E12" s="265">
        <v>2.1</v>
      </c>
      <c r="F12" s="266">
        <f t="shared" si="0"/>
        <v>1050</v>
      </c>
    </row>
    <row r="13" spans="1:7" ht="16.5" thickBot="1">
      <c r="A13" s="267" t="s">
        <v>40</v>
      </c>
      <c r="B13" s="267"/>
      <c r="C13" s="265"/>
      <c r="D13" s="265">
        <v>200</v>
      </c>
      <c r="E13" s="265">
        <v>2</v>
      </c>
      <c r="F13" s="269">
        <f t="shared" si="0"/>
        <v>400</v>
      </c>
    </row>
    <row r="14" spans="1:7" ht="16.5" thickBot="1">
      <c r="A14" s="270"/>
      <c r="B14" s="270"/>
      <c r="C14" s="271"/>
      <c r="D14" s="271"/>
      <c r="E14" s="272"/>
      <c r="F14" s="273">
        <f>SUM(F4:F13)</f>
        <v>14248</v>
      </c>
    </row>
    <row r="15" spans="1:7" ht="15.75">
      <c r="A15" s="270"/>
      <c r="B15" s="270"/>
      <c r="C15" s="274"/>
      <c r="D15" s="274"/>
      <c r="E15" s="262"/>
      <c r="F15" s="263"/>
    </row>
    <row r="16" spans="1:7">
      <c r="A16" s="29"/>
      <c r="B16" s="29"/>
      <c r="C16" s="29"/>
      <c r="D16" s="29"/>
    </row>
    <row r="17" spans="1:6">
      <c r="A17" s="29"/>
      <c r="B17" s="29"/>
      <c r="C17" s="29"/>
      <c r="D17" s="29"/>
    </row>
    <row r="18" spans="1:6">
      <c r="A18" s="29"/>
      <c r="B18" s="29"/>
      <c r="C18" s="29"/>
      <c r="D18" s="29"/>
    </row>
    <row r="19" spans="1:6">
      <c r="A19" s="29"/>
      <c r="B19" s="29"/>
      <c r="C19" s="29"/>
      <c r="D19" s="29"/>
    </row>
    <row r="25" spans="1:6">
      <c r="A25" s="754"/>
    </row>
    <row r="26" spans="1:6">
      <c r="A26" s="754" t="s">
        <v>408</v>
      </c>
      <c r="B26" s="754" t="s">
        <v>244</v>
      </c>
      <c r="C26" s="755">
        <v>42047</v>
      </c>
      <c r="D26" s="754" t="s">
        <v>895</v>
      </c>
      <c r="E26" s="754" t="s">
        <v>706</v>
      </c>
      <c r="F26" s="261" t="s">
        <v>896</v>
      </c>
    </row>
    <row r="27" spans="1:6">
      <c r="A27" s="754" t="s">
        <v>408</v>
      </c>
      <c r="B27" s="754" t="s">
        <v>897</v>
      </c>
      <c r="C27" s="755">
        <v>42259</v>
      </c>
      <c r="D27" s="754" t="s">
        <v>403</v>
      </c>
      <c r="E27" s="754" t="s">
        <v>706</v>
      </c>
      <c r="F27" s="261" t="s">
        <v>898</v>
      </c>
    </row>
  </sheetData>
  <mergeCells count="5">
    <mergeCell ref="C6:C8"/>
    <mergeCell ref="A1:F1"/>
    <mergeCell ref="D6:D8"/>
    <mergeCell ref="E6:E8"/>
    <mergeCell ref="F6:F8"/>
  </mergeCells>
  <pageMargins left="0.70866141732283472" right="0.70866141732283472" top="0.74803149606299213" bottom="0.74803149606299213" header="0.31496062992125984" footer="0.31496062992125984"/>
  <pageSetup scale="86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F3" sqref="F3"/>
    </sheetView>
  </sheetViews>
  <sheetFormatPr baseColWidth="10" defaultRowHeight="15"/>
  <cols>
    <col min="2" max="2" width="22.85546875" bestFit="1" customWidth="1"/>
  </cols>
  <sheetData>
    <row r="1" spans="1:7" ht="23.25">
      <c r="A1" s="1151" t="s">
        <v>934</v>
      </c>
      <c r="B1" s="1151"/>
      <c r="C1" s="1151"/>
      <c r="D1" s="1151"/>
      <c r="E1" s="1151"/>
      <c r="F1" s="1151"/>
    </row>
    <row r="2" spans="1:7" ht="15.75" thickBot="1">
      <c r="A2" s="435" t="s">
        <v>106</v>
      </c>
      <c r="B2" s="435" t="s">
        <v>614</v>
      </c>
      <c r="C2" s="435" t="s">
        <v>92</v>
      </c>
      <c r="D2" s="435" t="s">
        <v>626</v>
      </c>
      <c r="E2" s="435" t="s">
        <v>615</v>
      </c>
      <c r="F2" s="436" t="s">
        <v>393</v>
      </c>
    </row>
    <row r="3" spans="1:7">
      <c r="A3" s="1149" t="s">
        <v>933</v>
      </c>
      <c r="B3" t="s">
        <v>612</v>
      </c>
      <c r="C3" s="58">
        <v>1</v>
      </c>
      <c r="D3" s="58">
        <v>12339</v>
      </c>
      <c r="E3" s="58">
        <f>D3/9.14</f>
        <v>1350</v>
      </c>
      <c r="F3" s="431">
        <f t="shared" ref="F3:F9" si="0">C3*D3</f>
        <v>12339</v>
      </c>
      <c r="G3" s="434"/>
    </row>
    <row r="4" spans="1:7" ht="15.75" thickBot="1">
      <c r="A4" s="1149"/>
      <c r="B4" t="s">
        <v>613</v>
      </c>
      <c r="C4" s="58">
        <v>1</v>
      </c>
      <c r="D4" s="58">
        <v>4204.3999999999996</v>
      </c>
      <c r="E4" s="58">
        <f>D4/9.14</f>
        <v>459.99999999999994</v>
      </c>
      <c r="F4" s="432">
        <f t="shared" si="0"/>
        <v>4204.3999999999996</v>
      </c>
      <c r="G4" s="434"/>
    </row>
    <row r="5" spans="1:7">
      <c r="A5" s="1149" t="s">
        <v>627</v>
      </c>
      <c r="B5" t="s">
        <v>623</v>
      </c>
      <c r="C5" s="58">
        <v>519</v>
      </c>
      <c r="D5" s="58">
        <v>15.59</v>
      </c>
      <c r="E5" s="58"/>
      <c r="F5" s="431">
        <f t="shared" si="0"/>
        <v>8091.21</v>
      </c>
    </row>
    <row r="6" spans="1:7">
      <c r="A6" s="1149"/>
      <c r="B6" t="s">
        <v>624</v>
      </c>
      <c r="C6" s="58">
        <v>510</v>
      </c>
      <c r="D6" s="58">
        <v>16.059999999999999</v>
      </c>
      <c r="E6" s="58"/>
      <c r="F6" s="433">
        <f t="shared" si="0"/>
        <v>8190.5999999999995</v>
      </c>
    </row>
    <row r="7" spans="1:7" ht="15.75" thickBot="1">
      <c r="A7" s="1149"/>
      <c r="B7" t="s">
        <v>625</v>
      </c>
      <c r="C7" s="58">
        <v>1</v>
      </c>
      <c r="D7" s="58">
        <v>165</v>
      </c>
      <c r="E7" s="58"/>
      <c r="F7" s="432">
        <f t="shared" si="0"/>
        <v>165</v>
      </c>
    </row>
    <row r="8" spans="1:7">
      <c r="A8" s="1150">
        <v>42522</v>
      </c>
      <c r="B8" t="s">
        <v>932</v>
      </c>
      <c r="C8" s="767">
        <v>1189</v>
      </c>
      <c r="D8">
        <v>18.38</v>
      </c>
      <c r="F8" s="768">
        <f t="shared" si="0"/>
        <v>21853.82</v>
      </c>
    </row>
    <row r="9" spans="1:7">
      <c r="A9" s="1150"/>
      <c r="B9" t="s">
        <v>625</v>
      </c>
      <c r="C9" s="767">
        <v>1</v>
      </c>
      <c r="D9" s="767">
        <v>165</v>
      </c>
      <c r="F9" s="768">
        <f t="shared" si="0"/>
        <v>165</v>
      </c>
    </row>
    <row r="24" ht="15.75" customHeight="1"/>
  </sheetData>
  <mergeCells count="4">
    <mergeCell ref="A5:A7"/>
    <mergeCell ref="A3:A4"/>
    <mergeCell ref="A8:A9"/>
    <mergeCell ref="A1:F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J49"/>
  <sheetViews>
    <sheetView workbookViewId="0">
      <selection activeCell="A11" sqref="A11"/>
    </sheetView>
  </sheetViews>
  <sheetFormatPr baseColWidth="10" defaultRowHeight="15"/>
  <cols>
    <col min="2" max="2" width="23.28515625" bestFit="1" customWidth="1"/>
    <col min="7" max="7" width="23.42578125" bestFit="1" customWidth="1"/>
  </cols>
  <sheetData>
    <row r="1" spans="1:10">
      <c r="I1" t="s">
        <v>747</v>
      </c>
      <c r="J1" t="s">
        <v>748</v>
      </c>
    </row>
    <row r="2" spans="1:10">
      <c r="G2" s="59" t="s">
        <v>741</v>
      </c>
      <c r="H2" s="59">
        <v>2335</v>
      </c>
    </row>
    <row r="3" spans="1:10">
      <c r="G3" s="59" t="s">
        <v>742</v>
      </c>
      <c r="H3" s="59">
        <v>239</v>
      </c>
    </row>
    <row r="4" spans="1:10">
      <c r="G4" s="59" t="s">
        <v>745</v>
      </c>
      <c r="H4" s="59">
        <v>380</v>
      </c>
    </row>
    <row r="5" spans="1:10">
      <c r="G5" s="59" t="s">
        <v>746</v>
      </c>
      <c r="H5" s="59">
        <v>303</v>
      </c>
    </row>
    <row r="6" spans="1:10">
      <c r="G6" s="59" t="s">
        <v>34</v>
      </c>
      <c r="H6" s="59">
        <v>1239</v>
      </c>
    </row>
    <row r="7" spans="1:10">
      <c r="G7" s="59" t="s">
        <v>743</v>
      </c>
      <c r="H7" s="59">
        <v>1200</v>
      </c>
    </row>
    <row r="8" spans="1:10">
      <c r="G8" s="59" t="s">
        <v>744</v>
      </c>
      <c r="H8" s="59">
        <v>150</v>
      </c>
    </row>
    <row r="9" spans="1:10">
      <c r="G9" s="59" t="s">
        <v>35</v>
      </c>
      <c r="H9" s="59">
        <v>1008</v>
      </c>
    </row>
    <row r="10" spans="1:10">
      <c r="A10" s="1152" t="s">
        <v>740</v>
      </c>
      <c r="B10" s="1152"/>
      <c r="C10" s="1152"/>
      <c r="G10" s="59" t="s">
        <v>686</v>
      </c>
      <c r="H10" s="59">
        <v>470</v>
      </c>
    </row>
    <row r="11" spans="1:10">
      <c r="A11" s="530" t="s">
        <v>1</v>
      </c>
      <c r="B11" s="530" t="s">
        <v>51</v>
      </c>
      <c r="C11" s="530" t="s">
        <v>92</v>
      </c>
    </row>
    <row r="12" spans="1:10" hidden="1">
      <c r="A12" s="2" t="s">
        <v>111</v>
      </c>
      <c r="B12" s="2" t="s">
        <v>14</v>
      </c>
      <c r="C12" s="4">
        <v>100</v>
      </c>
    </row>
    <row r="13" spans="1:10" hidden="1">
      <c r="A13" s="2" t="s">
        <v>24</v>
      </c>
      <c r="B13" s="2" t="s">
        <v>87</v>
      </c>
      <c r="C13" s="4">
        <v>39</v>
      </c>
    </row>
    <row r="14" spans="1:10" hidden="1">
      <c r="A14" s="2" t="s">
        <v>3</v>
      </c>
      <c r="B14" s="2" t="s">
        <v>26</v>
      </c>
      <c r="C14" s="4">
        <v>150</v>
      </c>
    </row>
    <row r="15" spans="1:10">
      <c r="A15" s="2" t="s">
        <v>5</v>
      </c>
      <c r="B15" s="2" t="s">
        <v>29</v>
      </c>
      <c r="C15" s="4">
        <v>40</v>
      </c>
    </row>
    <row r="16" spans="1:10" hidden="1">
      <c r="A16" s="15" t="s">
        <v>13</v>
      </c>
      <c r="B16" s="257" t="s">
        <v>14</v>
      </c>
      <c r="C16" s="4">
        <v>100</v>
      </c>
    </row>
    <row r="17" spans="1:3" ht="22.5" hidden="1" customHeight="1">
      <c r="A17" s="15" t="s">
        <v>27</v>
      </c>
      <c r="B17" s="218" t="s">
        <v>380</v>
      </c>
      <c r="C17" s="4">
        <v>380</v>
      </c>
    </row>
    <row r="18" spans="1:3" ht="12" hidden="1" customHeight="1">
      <c r="A18" s="15" t="s">
        <v>27</v>
      </c>
      <c r="B18" s="218" t="s">
        <v>381</v>
      </c>
      <c r="C18" s="4">
        <v>303</v>
      </c>
    </row>
    <row r="19" spans="1:3" ht="17.25" hidden="1" customHeight="1">
      <c r="A19" s="4" t="s">
        <v>34</v>
      </c>
      <c r="B19" s="15" t="s">
        <v>431</v>
      </c>
      <c r="C19" s="4">
        <v>253</v>
      </c>
    </row>
    <row r="20" spans="1:3" ht="16.5" hidden="1" customHeight="1">
      <c r="A20" s="4" t="s">
        <v>34</v>
      </c>
      <c r="B20" s="15" t="s">
        <v>431</v>
      </c>
      <c r="C20" s="4">
        <v>616</v>
      </c>
    </row>
    <row r="21" spans="1:3" hidden="1">
      <c r="A21" s="4" t="s">
        <v>24</v>
      </c>
      <c r="B21" s="4" t="s">
        <v>22</v>
      </c>
      <c r="C21" s="4">
        <v>29</v>
      </c>
    </row>
    <row r="22" spans="1:3">
      <c r="A22" s="4" t="s">
        <v>24</v>
      </c>
      <c r="B22" s="4" t="s">
        <v>29</v>
      </c>
      <c r="C22" s="4">
        <v>50</v>
      </c>
    </row>
    <row r="23" spans="1:3" hidden="1">
      <c r="A23" s="4" t="s">
        <v>13</v>
      </c>
      <c r="B23" s="369" t="s">
        <v>264</v>
      </c>
      <c r="C23" s="4">
        <v>178</v>
      </c>
    </row>
    <row r="24" spans="1:3" hidden="1">
      <c r="A24" s="4" t="s">
        <v>13</v>
      </c>
      <c r="B24" s="369" t="s">
        <v>14</v>
      </c>
      <c r="C24" s="4">
        <v>110</v>
      </c>
    </row>
    <row r="25" spans="1:3" hidden="1">
      <c r="A25" s="2" t="s">
        <v>111</v>
      </c>
      <c r="B25" s="15" t="s">
        <v>14</v>
      </c>
      <c r="C25" s="4">
        <v>100</v>
      </c>
    </row>
    <row r="26" spans="1:3">
      <c r="A26" s="2" t="s">
        <v>111</v>
      </c>
      <c r="B26" s="15" t="s">
        <v>29</v>
      </c>
      <c r="C26" s="4">
        <v>102</v>
      </c>
    </row>
    <row r="27" spans="1:3" hidden="1">
      <c r="A27" s="4" t="s">
        <v>111</v>
      </c>
      <c r="B27" s="15" t="s">
        <v>14</v>
      </c>
      <c r="C27" s="4">
        <v>10</v>
      </c>
    </row>
    <row r="28" spans="1:3" hidden="1">
      <c r="A28" s="4" t="s">
        <v>111</v>
      </c>
      <c r="B28" s="15" t="s">
        <v>22</v>
      </c>
      <c r="C28" s="4">
        <v>123</v>
      </c>
    </row>
    <row r="29" spans="1:3" hidden="1">
      <c r="A29" s="4" t="s">
        <v>111</v>
      </c>
      <c r="B29" s="15" t="s">
        <v>31</v>
      </c>
      <c r="C29" s="4">
        <v>50</v>
      </c>
    </row>
    <row r="30" spans="1:3" hidden="1">
      <c r="A30" s="4" t="s">
        <v>111</v>
      </c>
      <c r="B30" s="15" t="s">
        <v>17</v>
      </c>
      <c r="C30" s="4">
        <v>50</v>
      </c>
    </row>
    <row r="31" spans="1:3" hidden="1">
      <c r="A31" s="4" t="s">
        <v>111</v>
      </c>
      <c r="B31" s="15" t="s">
        <v>41</v>
      </c>
      <c r="C31" s="4">
        <v>165</v>
      </c>
    </row>
    <row r="32" spans="1:3" hidden="1">
      <c r="A32" s="4" t="s">
        <v>111</v>
      </c>
      <c r="B32" s="15" t="s">
        <v>75</v>
      </c>
      <c r="C32" s="4">
        <v>91</v>
      </c>
    </row>
    <row r="33" spans="1:3" hidden="1">
      <c r="A33" s="4" t="s">
        <v>111</v>
      </c>
      <c r="B33" s="63" t="s">
        <v>102</v>
      </c>
      <c r="C33" s="4">
        <v>101</v>
      </c>
    </row>
    <row r="34" spans="1:3" hidden="1">
      <c r="A34" s="4" t="s">
        <v>111</v>
      </c>
      <c r="B34" s="15" t="s">
        <v>87</v>
      </c>
      <c r="C34" s="4">
        <v>50</v>
      </c>
    </row>
    <row r="35" spans="1:3" hidden="1">
      <c r="A35" s="4" t="s">
        <v>111</v>
      </c>
      <c r="B35" s="15" t="s">
        <v>264</v>
      </c>
      <c r="C35" s="4">
        <v>150</v>
      </c>
    </row>
    <row r="36" spans="1:3" hidden="1">
      <c r="A36" s="4" t="s">
        <v>13</v>
      </c>
      <c r="B36" s="369" t="s">
        <v>22</v>
      </c>
      <c r="C36" s="4">
        <v>300</v>
      </c>
    </row>
    <row r="37" spans="1:3" hidden="1">
      <c r="A37" s="369" t="s">
        <v>34</v>
      </c>
      <c r="B37" s="43">
        <v>1870</v>
      </c>
      <c r="C37" s="4">
        <v>370</v>
      </c>
    </row>
    <row r="38" spans="1:3" hidden="1">
      <c r="A38" s="369" t="s">
        <v>13</v>
      </c>
      <c r="B38" s="4" t="s">
        <v>264</v>
      </c>
      <c r="C38" s="4">
        <v>294</v>
      </c>
    </row>
    <row r="39" spans="1:3" hidden="1">
      <c r="A39" s="15" t="s">
        <v>5</v>
      </c>
      <c r="B39" s="63" t="s">
        <v>264</v>
      </c>
      <c r="C39" s="4">
        <v>50</v>
      </c>
    </row>
    <row r="40" spans="1:3" hidden="1">
      <c r="A40" s="15" t="s">
        <v>24</v>
      </c>
      <c r="B40" s="63" t="s">
        <v>578</v>
      </c>
      <c r="C40" s="4">
        <v>60</v>
      </c>
    </row>
    <row r="41" spans="1:3" hidden="1">
      <c r="A41" s="15" t="s">
        <v>24</v>
      </c>
      <c r="B41" s="63" t="s">
        <v>35</v>
      </c>
      <c r="C41" s="4">
        <v>200</v>
      </c>
    </row>
    <row r="42" spans="1:3" hidden="1">
      <c r="A42" s="15" t="s">
        <v>13</v>
      </c>
      <c r="B42" s="63" t="s">
        <v>102</v>
      </c>
      <c r="C42" s="4">
        <v>37</v>
      </c>
    </row>
    <row r="43" spans="1:3" hidden="1">
      <c r="A43" s="15" t="s">
        <v>13</v>
      </c>
      <c r="B43" s="63" t="s">
        <v>36</v>
      </c>
      <c r="C43" s="4">
        <v>98</v>
      </c>
    </row>
    <row r="44" spans="1:3" hidden="1">
      <c r="A44" s="15" t="s">
        <v>3</v>
      </c>
      <c r="B44" s="63" t="s">
        <v>676</v>
      </c>
      <c r="C44" s="4">
        <v>1200</v>
      </c>
    </row>
    <row r="45" spans="1:3">
      <c r="A45" s="4" t="s">
        <v>111</v>
      </c>
      <c r="B45" s="4" t="s">
        <v>19</v>
      </c>
      <c r="C45" s="4">
        <v>47</v>
      </c>
    </row>
    <row r="46" spans="1:3" hidden="1">
      <c r="A46" s="4" t="s">
        <v>686</v>
      </c>
      <c r="B46" s="4" t="s">
        <v>687</v>
      </c>
      <c r="C46" s="4">
        <v>470</v>
      </c>
    </row>
    <row r="47" spans="1:3" hidden="1">
      <c r="A47" s="4" t="s">
        <v>111</v>
      </c>
      <c r="B47" s="4" t="s">
        <v>35</v>
      </c>
      <c r="C47" s="4">
        <v>424</v>
      </c>
    </row>
    <row r="48" spans="1:3" hidden="1">
      <c r="A48" s="4" t="s">
        <v>111</v>
      </c>
      <c r="B48" s="4" t="s">
        <v>35</v>
      </c>
      <c r="C48" s="4">
        <v>384</v>
      </c>
    </row>
    <row r="49" spans="1:3" hidden="1">
      <c r="A49" s="4" t="s">
        <v>24</v>
      </c>
      <c r="B49" s="4" t="s">
        <v>23</v>
      </c>
      <c r="C49" s="4">
        <v>50</v>
      </c>
    </row>
  </sheetData>
  <autoFilter ref="A11:C49">
    <filterColumn colId="0">
      <filters>
        <filter val="ADR"/>
        <filter val="FASD"/>
        <filter val="STACO"/>
        <filter val="VASCO"/>
      </filters>
    </filterColumn>
    <filterColumn colId="1">
      <filters>
        <filter val="GOL"/>
        <filter val="PALIO"/>
      </filters>
    </filterColumn>
  </autoFilter>
  <mergeCells count="1">
    <mergeCell ref="A10:C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H9" sqref="H9"/>
    </sheetView>
  </sheetViews>
  <sheetFormatPr baseColWidth="10" defaultRowHeight="15"/>
  <cols>
    <col min="1" max="1" width="8" customWidth="1"/>
    <col min="2" max="2" width="8" bestFit="1" customWidth="1"/>
    <col min="5" max="5" width="16.28515625" bestFit="1" customWidth="1"/>
    <col min="8" max="8" width="37.85546875" bestFit="1" customWidth="1"/>
  </cols>
  <sheetData>
    <row r="1" spans="1:10">
      <c r="B1" s="19" t="s">
        <v>2</v>
      </c>
      <c r="C1" s="277" t="s">
        <v>0</v>
      </c>
      <c r="D1" s="19" t="s">
        <v>1</v>
      </c>
      <c r="E1" s="19" t="s">
        <v>51</v>
      </c>
      <c r="F1" s="20" t="s">
        <v>44</v>
      </c>
      <c r="G1" s="19" t="s">
        <v>43</v>
      </c>
      <c r="H1" s="21" t="s">
        <v>132</v>
      </c>
    </row>
    <row r="2" spans="1:10" ht="15" customHeight="1">
      <c r="A2" s="1157" t="s">
        <v>913</v>
      </c>
      <c r="B2" s="2">
        <v>5255</v>
      </c>
      <c r="C2" s="338">
        <v>42258</v>
      </c>
      <c r="D2" s="4" t="s">
        <v>111</v>
      </c>
      <c r="E2" s="15" t="s">
        <v>76</v>
      </c>
      <c r="F2" s="40">
        <v>100</v>
      </c>
      <c r="G2" s="5"/>
      <c r="H2" s="59" t="s">
        <v>917</v>
      </c>
      <c r="I2" s="1158">
        <v>349</v>
      </c>
      <c r="J2" s="1153" t="s">
        <v>908</v>
      </c>
    </row>
    <row r="3" spans="1:10">
      <c r="A3" s="1157"/>
      <c r="B3" s="2">
        <v>5255</v>
      </c>
      <c r="C3" s="338">
        <v>42258</v>
      </c>
      <c r="D3" s="4" t="s">
        <v>111</v>
      </c>
      <c r="E3" s="15" t="s">
        <v>31</v>
      </c>
      <c r="F3" s="40">
        <v>100</v>
      </c>
      <c r="G3" s="5">
        <f>3+6</f>
        <v>9</v>
      </c>
      <c r="H3" s="59" t="s">
        <v>907</v>
      </c>
      <c r="I3" s="1158"/>
      <c r="J3" s="1153"/>
    </row>
    <row r="4" spans="1:10">
      <c r="A4" s="1157"/>
      <c r="B4" s="2">
        <v>5255</v>
      </c>
      <c r="C4" s="338">
        <v>42258</v>
      </c>
      <c r="D4" s="4" t="s">
        <v>111</v>
      </c>
      <c r="E4" s="15" t="s">
        <v>264</v>
      </c>
      <c r="F4" s="40">
        <v>150</v>
      </c>
      <c r="G4" s="5">
        <f>9+105</f>
        <v>114</v>
      </c>
      <c r="H4" s="59" t="s">
        <v>906</v>
      </c>
      <c r="I4" s="1158"/>
      <c r="J4" s="1153"/>
    </row>
    <row r="5" spans="1:10">
      <c r="A5" s="1157"/>
      <c r="B5" s="2">
        <v>5255</v>
      </c>
      <c r="C5" s="338">
        <v>42258</v>
      </c>
      <c r="D5" s="4" t="s">
        <v>111</v>
      </c>
      <c r="E5" s="15" t="s">
        <v>17</v>
      </c>
      <c r="F5" s="40">
        <v>100</v>
      </c>
      <c r="G5" s="5"/>
      <c r="H5" s="59" t="s">
        <v>905</v>
      </c>
      <c r="I5" s="1158"/>
      <c r="J5" s="1153"/>
    </row>
    <row r="6" spans="1:10" ht="15" customHeight="1">
      <c r="A6" s="1157" t="s">
        <v>914</v>
      </c>
      <c r="B6" s="43">
        <v>5284</v>
      </c>
      <c r="C6" s="338">
        <v>42321</v>
      </c>
      <c r="D6" s="4" t="s">
        <v>111</v>
      </c>
      <c r="E6" s="15" t="s">
        <v>577</v>
      </c>
      <c r="F6" s="40">
        <v>150</v>
      </c>
      <c r="G6" s="59"/>
      <c r="H6" s="67" t="s">
        <v>910</v>
      </c>
    </row>
    <row r="7" spans="1:10">
      <c r="A7" s="1157"/>
      <c r="B7" s="43">
        <v>5284</v>
      </c>
      <c r="C7" s="338">
        <v>42321</v>
      </c>
      <c r="D7" s="4" t="s">
        <v>111</v>
      </c>
      <c r="E7" s="15" t="s">
        <v>75</v>
      </c>
      <c r="F7" s="40">
        <v>300</v>
      </c>
      <c r="G7" s="59"/>
      <c r="H7" s="59" t="s">
        <v>909</v>
      </c>
    </row>
    <row r="8" spans="1:10">
      <c r="A8" s="1157"/>
      <c r="B8" s="43">
        <v>5284</v>
      </c>
      <c r="C8" s="338">
        <v>42321</v>
      </c>
      <c r="D8" s="4" t="s">
        <v>111</v>
      </c>
      <c r="E8" s="15" t="s">
        <v>41</v>
      </c>
      <c r="F8" s="40">
        <v>250</v>
      </c>
      <c r="G8" s="59"/>
      <c r="H8" s="59"/>
    </row>
    <row r="9" spans="1:10">
      <c r="A9" s="1157"/>
      <c r="B9" s="43">
        <v>5284</v>
      </c>
      <c r="C9" s="338">
        <v>42321</v>
      </c>
      <c r="D9" s="4" t="s">
        <v>111</v>
      </c>
      <c r="E9" s="15" t="s">
        <v>264</v>
      </c>
      <c r="F9" s="40">
        <v>150</v>
      </c>
      <c r="G9" s="59"/>
      <c r="H9" s="59" t="s">
        <v>911</v>
      </c>
    </row>
    <row r="10" spans="1:10">
      <c r="A10" s="1157"/>
      <c r="B10" s="43">
        <v>5284</v>
      </c>
      <c r="C10" s="338">
        <v>42321</v>
      </c>
      <c r="D10" s="4" t="s">
        <v>111</v>
      </c>
      <c r="E10" s="15" t="s">
        <v>899</v>
      </c>
      <c r="F10" s="40">
        <v>100</v>
      </c>
      <c r="G10" s="59"/>
      <c r="H10" s="59"/>
    </row>
    <row r="11" spans="1:10">
      <c r="A11" s="1157"/>
      <c r="B11" s="43">
        <v>5284</v>
      </c>
      <c r="C11" s="338">
        <v>42321</v>
      </c>
      <c r="D11" s="4" t="s">
        <v>111</v>
      </c>
      <c r="E11" s="15" t="s">
        <v>40</v>
      </c>
      <c r="F11" s="40">
        <v>100</v>
      </c>
      <c r="G11" s="59"/>
      <c r="H11" s="59"/>
    </row>
    <row r="12" spans="1:10">
      <c r="A12" s="1157"/>
      <c r="B12" s="43">
        <v>5284</v>
      </c>
      <c r="C12" s="338">
        <v>42321</v>
      </c>
      <c r="D12" s="4" t="s">
        <v>111</v>
      </c>
      <c r="E12" s="15" t="s">
        <v>22</v>
      </c>
      <c r="F12" s="40">
        <v>200</v>
      </c>
      <c r="G12" s="59"/>
      <c r="H12" s="59"/>
    </row>
    <row r="13" spans="1:10">
      <c r="A13" s="1157"/>
      <c r="B13" s="43">
        <v>5284</v>
      </c>
      <c r="C13" s="338">
        <v>42321</v>
      </c>
      <c r="D13" s="4" t="s">
        <v>111</v>
      </c>
      <c r="E13" s="15" t="s">
        <v>862</v>
      </c>
      <c r="F13" s="40">
        <v>100</v>
      </c>
      <c r="G13" s="59"/>
      <c r="H13" s="59" t="s">
        <v>916</v>
      </c>
    </row>
    <row r="14" spans="1:10">
      <c r="A14" s="1157"/>
      <c r="B14" s="43">
        <v>5284</v>
      </c>
      <c r="C14" s="338">
        <v>42321</v>
      </c>
      <c r="D14" s="4" t="s">
        <v>111</v>
      </c>
      <c r="E14" s="15" t="s">
        <v>35</v>
      </c>
      <c r="F14" s="40">
        <v>1500</v>
      </c>
      <c r="G14" s="5">
        <v>500</v>
      </c>
      <c r="H14" s="59" t="s">
        <v>912</v>
      </c>
    </row>
    <row r="15" spans="1:10">
      <c r="E15" s="1154" t="s">
        <v>915</v>
      </c>
      <c r="F15" s="1155">
        <f>SUM(F2:F13)-G3-G4</f>
        <v>1677</v>
      </c>
    </row>
    <row r="16" spans="1:10">
      <c r="E16" s="1153"/>
      <c r="F16" s="1156"/>
    </row>
  </sheetData>
  <autoFilter ref="B1:G1"/>
  <mergeCells count="6">
    <mergeCell ref="J2:J5"/>
    <mergeCell ref="E15:E16"/>
    <mergeCell ref="F15:F16"/>
    <mergeCell ref="A2:A5"/>
    <mergeCell ref="A6:A14"/>
    <mergeCell ref="I2:I5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C12" sqref="C12"/>
    </sheetView>
  </sheetViews>
  <sheetFormatPr baseColWidth="10" defaultRowHeight="15"/>
  <cols>
    <col min="1" max="1" width="16" bestFit="1" customWidth="1"/>
    <col min="3" max="3" width="55.85546875" customWidth="1"/>
  </cols>
  <sheetData>
    <row r="1" spans="1:16" ht="26.25">
      <c r="A1" s="1159" t="s">
        <v>1008</v>
      </c>
      <c r="B1" s="1159"/>
      <c r="C1" s="115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</row>
    <row r="2" spans="1:16" ht="26.25">
      <c r="A2" s="751" t="s">
        <v>891</v>
      </c>
      <c r="B2" s="751" t="s">
        <v>131</v>
      </c>
      <c r="C2" s="751" t="s">
        <v>892</v>
      </c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</row>
    <row r="3" spans="1:16" ht="35.1" customHeight="1">
      <c r="A3" s="710" t="s">
        <v>36</v>
      </c>
      <c r="B3" s="706">
        <v>1162</v>
      </c>
      <c r="C3" s="59"/>
    </row>
    <row r="4" spans="1:16" ht="35.1" customHeight="1">
      <c r="A4" s="752" t="s">
        <v>697</v>
      </c>
      <c r="B4" s="706">
        <v>895</v>
      </c>
      <c r="C4" s="59"/>
    </row>
    <row r="5" spans="1:16" ht="35.1" customHeight="1">
      <c r="A5" s="710" t="s">
        <v>22</v>
      </c>
      <c r="B5" s="706">
        <v>349</v>
      </c>
      <c r="C5" s="59"/>
    </row>
    <row r="6" spans="1:16" ht="35.1" customHeight="1">
      <c r="A6" s="710" t="s">
        <v>82</v>
      </c>
      <c r="B6" s="959">
        <v>619</v>
      </c>
      <c r="C6" s="59"/>
    </row>
    <row r="7" spans="1:16" ht="35.1" customHeight="1">
      <c r="A7" s="710" t="s">
        <v>83</v>
      </c>
      <c r="B7" s="959"/>
      <c r="C7" s="59"/>
    </row>
    <row r="8" spans="1:16" ht="35.1" customHeight="1">
      <c r="A8" s="710" t="s">
        <v>84</v>
      </c>
      <c r="B8" s="959"/>
      <c r="C8" s="59"/>
    </row>
    <row r="9" spans="1:16" ht="35.1" customHeight="1">
      <c r="A9" s="710" t="s">
        <v>85</v>
      </c>
      <c r="B9" s="706">
        <v>97</v>
      </c>
      <c r="C9" s="59"/>
    </row>
    <row r="10" spans="1:16" ht="35.1" customHeight="1">
      <c r="A10" s="710" t="s">
        <v>86</v>
      </c>
      <c r="B10" s="706">
        <v>541</v>
      </c>
      <c r="C10" s="59"/>
    </row>
    <row r="11" spans="1:16" ht="35.1" customHeight="1">
      <c r="A11" s="710" t="s">
        <v>17</v>
      </c>
      <c r="B11" s="706">
        <v>347</v>
      </c>
      <c r="C11" s="59"/>
    </row>
    <row r="12" spans="1:16" ht="35.1" customHeight="1">
      <c r="A12" s="710" t="s">
        <v>73</v>
      </c>
      <c r="B12" s="706">
        <v>296</v>
      </c>
      <c r="C12" s="59"/>
    </row>
    <row r="13" spans="1:16" ht="35.1" customHeight="1">
      <c r="A13" s="710" t="s">
        <v>87</v>
      </c>
      <c r="B13" s="706">
        <v>325</v>
      </c>
      <c r="C13" s="59"/>
    </row>
    <row r="14" spans="1:16" ht="35.1" customHeight="1">
      <c r="A14" s="750" t="s">
        <v>698</v>
      </c>
      <c r="B14" s="706">
        <v>651</v>
      </c>
      <c r="C14" s="59"/>
    </row>
    <row r="15" spans="1:16" ht="35.1" customHeight="1">
      <c r="A15" s="710" t="s">
        <v>40</v>
      </c>
      <c r="B15" s="706">
        <v>294</v>
      </c>
      <c r="C15" s="59"/>
    </row>
  </sheetData>
  <mergeCells count="2">
    <mergeCell ref="B6:B8"/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A4" sqref="A4:A5"/>
    </sheetView>
  </sheetViews>
  <sheetFormatPr baseColWidth="10" defaultRowHeight="15"/>
  <cols>
    <col min="1" max="3" width="11.42578125" style="612"/>
    <col min="4" max="4" width="12.85546875" style="612" bestFit="1" customWidth="1"/>
    <col min="5" max="5" width="16.140625" style="612" bestFit="1" customWidth="1"/>
    <col min="6" max="6" width="27.28515625" style="612" bestFit="1" customWidth="1"/>
    <col min="7" max="7" width="17" style="612" bestFit="1" customWidth="1"/>
    <col min="8" max="16384" width="11.42578125" style="612"/>
  </cols>
  <sheetData>
    <row r="1" spans="1:12">
      <c r="A1" s="67" t="s">
        <v>0</v>
      </c>
      <c r="B1" s="865" t="s">
        <v>1110</v>
      </c>
      <c r="C1" s="865" t="s">
        <v>1114</v>
      </c>
      <c r="D1" s="865" t="s">
        <v>1112</v>
      </c>
      <c r="E1" s="865" t="s">
        <v>829</v>
      </c>
      <c r="K1" s="873" t="s">
        <v>1125</v>
      </c>
      <c r="L1" s="873"/>
    </row>
    <row r="2" spans="1:12">
      <c r="A2" s="67" t="s">
        <v>1113</v>
      </c>
      <c r="B2" s="863" t="s">
        <v>41</v>
      </c>
      <c r="C2" s="863">
        <v>160</v>
      </c>
      <c r="D2" s="864">
        <f>98+62</f>
        <v>160</v>
      </c>
      <c r="E2" s="67"/>
      <c r="K2" s="873" t="s">
        <v>802</v>
      </c>
      <c r="L2" s="873">
        <v>139</v>
      </c>
    </row>
    <row r="3" spans="1:12">
      <c r="A3" s="67" t="s">
        <v>1113</v>
      </c>
      <c r="B3" s="863" t="s">
        <v>36</v>
      </c>
      <c r="C3" s="863">
        <v>416</v>
      </c>
      <c r="D3" s="864">
        <f>150+175+88</f>
        <v>413</v>
      </c>
      <c r="E3" s="67" t="s">
        <v>1111</v>
      </c>
      <c r="F3" s="612" t="s">
        <v>1115</v>
      </c>
      <c r="K3" s="873" t="s">
        <v>1126</v>
      </c>
      <c r="L3" s="873">
        <v>302</v>
      </c>
    </row>
    <row r="4" spans="1:12">
      <c r="A4" s="980"/>
      <c r="B4" s="863" t="s">
        <v>41</v>
      </c>
      <c r="C4" s="863">
        <v>416</v>
      </c>
      <c r="D4" s="863"/>
      <c r="E4" s="67"/>
      <c r="K4" s="873" t="s">
        <v>36</v>
      </c>
      <c r="L4" s="873">
        <v>192</v>
      </c>
    </row>
    <row r="5" spans="1:12">
      <c r="A5" s="981"/>
      <c r="B5" s="67" t="s">
        <v>36</v>
      </c>
      <c r="C5" s="67">
        <v>96</v>
      </c>
      <c r="D5" s="863">
        <v>37</v>
      </c>
      <c r="E5" s="67"/>
      <c r="F5" s="612">
        <f>C5-D5</f>
        <v>59</v>
      </c>
      <c r="K5" s="873" t="s">
        <v>14</v>
      </c>
      <c r="L5" s="873">
        <v>204</v>
      </c>
    </row>
    <row r="6" spans="1:12">
      <c r="A6" s="67"/>
      <c r="B6" s="863" t="s">
        <v>14</v>
      </c>
      <c r="C6" s="863">
        <v>288</v>
      </c>
      <c r="D6" s="863"/>
      <c r="E6" s="67"/>
      <c r="F6" s="868" t="s">
        <v>1116</v>
      </c>
      <c r="G6" s="612" t="s">
        <v>1120</v>
      </c>
    </row>
    <row r="7" spans="1:12">
      <c r="A7" s="1160"/>
      <c r="B7" s="67" t="s">
        <v>802</v>
      </c>
      <c r="C7" s="67">
        <v>20</v>
      </c>
      <c r="D7" s="863"/>
      <c r="E7" s="67"/>
    </row>
    <row r="8" spans="1:12">
      <c r="A8" s="981"/>
      <c r="B8" s="863" t="s">
        <v>36</v>
      </c>
      <c r="C8" s="863">
        <v>360</v>
      </c>
      <c r="D8" s="865"/>
      <c r="E8" s="67" t="s">
        <v>1145</v>
      </c>
    </row>
    <row r="9" spans="1:12">
      <c r="A9" s="1160">
        <v>42618</v>
      </c>
      <c r="B9" s="863" t="s">
        <v>36</v>
      </c>
      <c r="C9" s="863">
        <v>352</v>
      </c>
      <c r="D9" s="865"/>
      <c r="E9" s="67"/>
    </row>
    <row r="10" spans="1:12">
      <c r="A10" s="981"/>
      <c r="B10" s="863" t="s">
        <v>802</v>
      </c>
      <c r="C10" s="863">
        <v>192</v>
      </c>
      <c r="D10" s="865"/>
      <c r="E10" s="67"/>
    </row>
    <row r="11" spans="1:12">
      <c r="A11" s="978" t="s">
        <v>1138</v>
      </c>
      <c r="B11" s="863" t="s">
        <v>1137</v>
      </c>
      <c r="C11" s="863">
        <v>416</v>
      </c>
      <c r="D11" s="865"/>
      <c r="E11" s="67"/>
    </row>
    <row r="12" spans="1:12">
      <c r="A12" s="979"/>
      <c r="B12" s="863" t="s">
        <v>36</v>
      </c>
      <c r="C12" s="863">
        <v>96</v>
      </c>
      <c r="D12" s="865"/>
      <c r="E12" s="67" t="s">
        <v>1144</v>
      </c>
    </row>
    <row r="13" spans="1:12">
      <c r="A13" s="1161" t="s">
        <v>1138</v>
      </c>
      <c r="B13" s="863" t="s">
        <v>1137</v>
      </c>
      <c r="C13" s="863">
        <v>160</v>
      </c>
      <c r="D13" s="865"/>
      <c r="E13" s="67"/>
    </row>
    <row r="14" spans="1:12">
      <c r="A14" s="1161"/>
      <c r="B14" s="863" t="s">
        <v>964</v>
      </c>
      <c r="C14" s="863">
        <v>320</v>
      </c>
      <c r="D14" s="865"/>
      <c r="E14" s="67"/>
    </row>
    <row r="15" spans="1:12">
      <c r="A15" s="350" t="s">
        <v>1138</v>
      </c>
      <c r="B15" s="863" t="s">
        <v>264</v>
      </c>
      <c r="C15" s="863">
        <v>288</v>
      </c>
      <c r="D15" s="67"/>
      <c r="E15" s="67"/>
    </row>
    <row r="16" spans="1:12">
      <c r="A16" s="350" t="s">
        <v>1138</v>
      </c>
      <c r="B16" s="863" t="s">
        <v>264</v>
      </c>
      <c r="C16" s="863">
        <v>288</v>
      </c>
      <c r="D16" s="67"/>
      <c r="E16" s="67"/>
    </row>
    <row r="19" spans="2:11">
      <c r="B19" s="874" t="s">
        <v>1110</v>
      </c>
      <c r="C19" s="874" t="s">
        <v>1127</v>
      </c>
      <c r="D19" s="874" t="s">
        <v>701</v>
      </c>
      <c r="E19" s="874" t="s">
        <v>1128</v>
      </c>
      <c r="F19" s="874" t="s">
        <v>1129</v>
      </c>
      <c r="G19" s="874" t="s">
        <v>1130</v>
      </c>
      <c r="H19" s="874" t="s">
        <v>1131</v>
      </c>
      <c r="I19" s="874" t="s">
        <v>91</v>
      </c>
    </row>
    <row r="20" spans="2:11">
      <c r="B20" s="612" t="s">
        <v>41</v>
      </c>
      <c r="C20" s="875">
        <f>C2+C4</f>
        <v>576</v>
      </c>
      <c r="D20" s="875">
        <f>L3</f>
        <v>302</v>
      </c>
      <c r="E20" s="875">
        <f>C20+D20</f>
        <v>878</v>
      </c>
      <c r="F20" s="875">
        <v>484</v>
      </c>
      <c r="G20" s="612">
        <f>E20-F20</f>
        <v>394</v>
      </c>
      <c r="H20" s="612">
        <v>300</v>
      </c>
      <c r="I20" s="868">
        <f>G20-H20</f>
        <v>94</v>
      </c>
      <c r="J20" s="876" t="s">
        <v>1133</v>
      </c>
    </row>
    <row r="21" spans="2:11">
      <c r="B21" s="612" t="s">
        <v>36</v>
      </c>
      <c r="C21" s="875">
        <f>C3+C5+C8</f>
        <v>872</v>
      </c>
      <c r="D21" s="875">
        <f>L4</f>
        <v>192</v>
      </c>
      <c r="E21" s="875">
        <f t="shared" ref="E21:E23" si="0">C21+D21</f>
        <v>1064</v>
      </c>
      <c r="F21" s="875">
        <v>647</v>
      </c>
      <c r="G21" s="612">
        <f t="shared" ref="G21:G23" si="1">E21-F21</f>
        <v>417</v>
      </c>
      <c r="H21" s="612">
        <v>653</v>
      </c>
      <c r="I21" s="868">
        <f>G21-H21</f>
        <v>-236</v>
      </c>
      <c r="J21" s="612" t="s">
        <v>1135</v>
      </c>
      <c r="K21" s="612" t="s">
        <v>1136</v>
      </c>
    </row>
    <row r="22" spans="2:11">
      <c r="B22" s="612" t="s">
        <v>14</v>
      </c>
      <c r="C22" s="875">
        <f>C6</f>
        <v>288</v>
      </c>
      <c r="D22" s="875">
        <f>L5</f>
        <v>204</v>
      </c>
      <c r="E22" s="875">
        <f t="shared" si="0"/>
        <v>492</v>
      </c>
      <c r="F22" s="875">
        <v>306</v>
      </c>
      <c r="G22" s="612">
        <f t="shared" si="1"/>
        <v>186</v>
      </c>
      <c r="H22" s="612">
        <v>0</v>
      </c>
      <c r="I22" s="868">
        <f t="shared" ref="I22:I26" si="2">G22-H22</f>
        <v>186</v>
      </c>
      <c r="J22" s="876" t="s">
        <v>1134</v>
      </c>
    </row>
    <row r="23" spans="2:11">
      <c r="B23" s="612" t="s">
        <v>802</v>
      </c>
      <c r="C23" s="875">
        <f>C7</f>
        <v>20</v>
      </c>
      <c r="D23" s="875">
        <f>L2</f>
        <v>139</v>
      </c>
      <c r="E23" s="875">
        <f t="shared" si="0"/>
        <v>159</v>
      </c>
      <c r="G23" s="612">
        <f t="shared" si="1"/>
        <v>159</v>
      </c>
      <c r="H23" s="612">
        <v>300</v>
      </c>
      <c r="I23" s="868">
        <f t="shared" si="2"/>
        <v>-141</v>
      </c>
      <c r="J23" s="612" t="s">
        <v>1135</v>
      </c>
      <c r="K23" s="612" t="s">
        <v>1136</v>
      </c>
    </row>
    <row r="24" spans="2:11">
      <c r="B24" s="612" t="s">
        <v>264</v>
      </c>
      <c r="C24" s="875">
        <f>I22</f>
        <v>186</v>
      </c>
      <c r="D24" s="875">
        <v>0</v>
      </c>
      <c r="E24" s="875">
        <f>C24+D24</f>
        <v>186</v>
      </c>
      <c r="G24" s="612">
        <f>E24-F24</f>
        <v>186</v>
      </c>
      <c r="H24" s="612">
        <v>600</v>
      </c>
      <c r="I24" s="868">
        <f t="shared" si="2"/>
        <v>-414</v>
      </c>
      <c r="J24" s="612" t="s">
        <v>1135</v>
      </c>
    </row>
    <row r="25" spans="2:11">
      <c r="B25" s="612" t="s">
        <v>1132</v>
      </c>
      <c r="C25" s="875">
        <f>I20</f>
        <v>94</v>
      </c>
      <c r="D25" s="875">
        <v>0</v>
      </c>
      <c r="E25" s="875">
        <f>C25+D25</f>
        <v>94</v>
      </c>
      <c r="G25" s="612">
        <f>E25-F25</f>
        <v>94</v>
      </c>
      <c r="H25" s="612">
        <v>430</v>
      </c>
      <c r="I25" s="868">
        <f t="shared" si="2"/>
        <v>-336</v>
      </c>
      <c r="J25" s="612" t="s">
        <v>1135</v>
      </c>
    </row>
    <row r="26" spans="2:11">
      <c r="B26" s="612" t="s">
        <v>532</v>
      </c>
      <c r="C26" s="875">
        <v>0</v>
      </c>
      <c r="D26" s="875">
        <v>0</v>
      </c>
      <c r="E26" s="875">
        <v>0</v>
      </c>
      <c r="H26" s="612">
        <v>320</v>
      </c>
      <c r="I26" s="868">
        <f t="shared" si="2"/>
        <v>-320</v>
      </c>
      <c r="J26" s="612" t="s">
        <v>1135</v>
      </c>
    </row>
  </sheetData>
  <mergeCells count="5">
    <mergeCell ref="A7:A8"/>
    <mergeCell ref="A4:A5"/>
    <mergeCell ref="A9:A10"/>
    <mergeCell ref="A11:A12"/>
    <mergeCell ref="A13:A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P34"/>
  <sheetViews>
    <sheetView zoomScale="110" zoomScaleNormal="110" workbookViewId="0">
      <pane ySplit="2" topLeftCell="A15" activePane="bottomLeft" state="frozen"/>
      <selection pane="bottomLeft" activeCell="A21" sqref="A21"/>
    </sheetView>
  </sheetViews>
  <sheetFormatPr baseColWidth="10" defaultRowHeight="12.75"/>
  <cols>
    <col min="1" max="1" width="27.28515625" style="54" bestFit="1" customWidth="1"/>
    <col min="2" max="2" width="11.42578125" style="54"/>
    <col min="3" max="3" width="7.7109375" style="54" customWidth="1"/>
    <col min="4" max="12" width="11.42578125" style="54"/>
    <col min="13" max="13" width="7.85546875" style="54" customWidth="1"/>
    <col min="14" max="16384" width="11.42578125" style="54"/>
  </cols>
  <sheetData>
    <row r="2" spans="1:16" ht="36.75" customHeight="1">
      <c r="A2" s="55"/>
      <c r="B2" s="710" t="s">
        <v>36</v>
      </c>
      <c r="C2" s="710" t="s">
        <v>697</v>
      </c>
      <c r="D2" s="710" t="s">
        <v>22</v>
      </c>
      <c r="E2" s="710" t="s">
        <v>82</v>
      </c>
      <c r="F2" s="710" t="s">
        <v>83</v>
      </c>
      <c r="G2" s="710" t="s">
        <v>84</v>
      </c>
      <c r="H2" s="710" t="s">
        <v>85</v>
      </c>
      <c r="I2" s="710" t="s">
        <v>86</v>
      </c>
      <c r="J2" s="710" t="s">
        <v>17</v>
      </c>
      <c r="K2" s="710" t="s">
        <v>73</v>
      </c>
      <c r="L2" s="710" t="s">
        <v>87</v>
      </c>
      <c r="M2" s="710" t="s">
        <v>698</v>
      </c>
      <c r="N2" s="710" t="s">
        <v>40</v>
      </c>
      <c r="O2" s="711" t="s">
        <v>88</v>
      </c>
      <c r="P2" s="711" t="s">
        <v>89</v>
      </c>
    </row>
    <row r="3" spans="1:16" ht="45" customHeight="1">
      <c r="A3" s="501" t="s">
        <v>701</v>
      </c>
      <c r="B3" s="705">
        <v>373</v>
      </c>
      <c r="C3" s="705">
        <v>2387</v>
      </c>
      <c r="D3" s="705">
        <v>597</v>
      </c>
      <c r="E3" s="959">
        <v>481</v>
      </c>
      <c r="F3" s="959"/>
      <c r="G3" s="959"/>
      <c r="H3" s="705">
        <v>491</v>
      </c>
      <c r="I3" s="705">
        <v>341</v>
      </c>
      <c r="J3" s="705">
        <v>243</v>
      </c>
      <c r="K3" s="705">
        <v>552</v>
      </c>
      <c r="L3" s="705">
        <v>483</v>
      </c>
      <c r="M3" s="705">
        <v>775</v>
      </c>
      <c r="N3" s="705">
        <v>387</v>
      </c>
      <c r="O3" s="705">
        <v>2</v>
      </c>
      <c r="P3" s="500">
        <v>135</v>
      </c>
    </row>
    <row r="4" spans="1:16" ht="45" customHeight="1">
      <c r="A4" s="501" t="s">
        <v>702</v>
      </c>
      <c r="B4" s="705"/>
      <c r="C4" s="705"/>
      <c r="D4" s="705">
        <v>282</v>
      </c>
      <c r="E4" s="959"/>
      <c r="F4" s="959"/>
      <c r="G4" s="959"/>
      <c r="H4" s="705"/>
      <c r="I4" s="705"/>
      <c r="J4" s="705"/>
      <c r="K4" s="705"/>
      <c r="L4" s="705"/>
      <c r="M4" s="705"/>
      <c r="N4" s="705"/>
      <c r="O4" s="705"/>
      <c r="P4" s="500"/>
    </row>
    <row r="5" spans="1:16" ht="45" customHeight="1">
      <c r="A5" s="501" t="s">
        <v>703</v>
      </c>
      <c r="B5" s="705">
        <v>207</v>
      </c>
      <c r="C5" s="705"/>
      <c r="D5" s="705">
        <v>202</v>
      </c>
      <c r="E5" s="959">
        <v>302</v>
      </c>
      <c r="F5" s="959"/>
      <c r="G5" s="959"/>
      <c r="H5" s="705"/>
      <c r="I5" s="705"/>
      <c r="J5" s="705"/>
      <c r="K5" s="705"/>
      <c r="L5" s="705"/>
      <c r="M5" s="705"/>
      <c r="N5" s="705"/>
      <c r="O5" s="705"/>
      <c r="P5" s="500"/>
    </row>
    <row r="6" spans="1:16" ht="45" customHeight="1">
      <c r="A6" s="501" t="s">
        <v>704</v>
      </c>
      <c r="B6" s="706">
        <f>238+B5</f>
        <v>445</v>
      </c>
      <c r="C6" s="502"/>
      <c r="D6" s="55">
        <f>1+D4+D5</f>
        <v>485</v>
      </c>
      <c r="E6" s="956">
        <f>743+E5</f>
        <v>1045</v>
      </c>
      <c r="F6" s="956"/>
      <c r="G6" s="956"/>
      <c r="H6" s="55">
        <v>1095</v>
      </c>
      <c r="I6" s="55">
        <f>I3</f>
        <v>341</v>
      </c>
      <c r="J6" s="502">
        <f>J3-178</f>
        <v>65</v>
      </c>
      <c r="K6" s="55">
        <f>K3</f>
        <v>552</v>
      </c>
      <c r="L6" s="502">
        <f>L3-158</f>
        <v>325</v>
      </c>
      <c r="M6" s="55">
        <f>M3</f>
        <v>775</v>
      </c>
      <c r="N6" s="55">
        <f>N3</f>
        <v>387</v>
      </c>
      <c r="O6" s="55">
        <v>0</v>
      </c>
      <c r="P6" s="55">
        <f>P3</f>
        <v>135</v>
      </c>
    </row>
    <row r="7" spans="1:16" ht="45" customHeight="1">
      <c r="A7" s="55" t="s">
        <v>715</v>
      </c>
      <c r="B7" s="55"/>
      <c r="C7" s="55"/>
      <c r="D7" s="55"/>
      <c r="E7" s="956">
        <f>152+172+179+174</f>
        <v>677</v>
      </c>
      <c r="F7" s="956"/>
      <c r="G7" s="956"/>
      <c r="H7" s="55"/>
      <c r="I7" s="55"/>
      <c r="J7" s="55"/>
      <c r="K7" s="55"/>
      <c r="L7" s="55"/>
      <c r="M7" s="55"/>
      <c r="N7" s="55"/>
      <c r="O7" s="55"/>
      <c r="P7" s="55"/>
    </row>
    <row r="8" spans="1:16" ht="45" customHeight="1">
      <c r="A8" s="55" t="s">
        <v>731</v>
      </c>
      <c r="B8" s="55"/>
      <c r="C8" s="55"/>
      <c r="D8" s="55"/>
      <c r="E8" s="956">
        <f>E6-E7</f>
        <v>368</v>
      </c>
      <c r="F8" s="956"/>
      <c r="G8" s="956"/>
      <c r="H8" s="55"/>
      <c r="I8" s="55"/>
      <c r="J8" s="55"/>
      <c r="K8" s="55"/>
      <c r="L8" s="55"/>
      <c r="M8" s="55"/>
      <c r="N8" s="55"/>
      <c r="O8" s="55"/>
      <c r="P8" s="55"/>
    </row>
    <row r="9" spans="1:16" ht="45" customHeight="1">
      <c r="A9" s="55" t="s">
        <v>751</v>
      </c>
      <c r="B9" s="55"/>
      <c r="C9" s="55"/>
      <c r="D9" s="55"/>
      <c r="E9" s="956">
        <f>188+167</f>
        <v>355</v>
      </c>
      <c r="F9" s="956"/>
      <c r="G9" s="956"/>
      <c r="H9" s="55"/>
      <c r="I9" s="55"/>
      <c r="J9" s="55"/>
      <c r="K9" s="55"/>
      <c r="L9" s="55"/>
      <c r="M9" s="55"/>
      <c r="N9" s="55"/>
      <c r="O9" s="55"/>
      <c r="P9" s="55"/>
    </row>
    <row r="10" spans="1:16" ht="45" customHeight="1">
      <c r="A10" s="55" t="s">
        <v>750</v>
      </c>
      <c r="B10" s="55"/>
      <c r="C10" s="55"/>
      <c r="D10" s="55"/>
      <c r="E10" s="956">
        <f>E8-E9</f>
        <v>13</v>
      </c>
      <c r="F10" s="956"/>
      <c r="G10" s="956"/>
      <c r="H10" s="55"/>
      <c r="I10" s="55"/>
      <c r="J10" s="55"/>
      <c r="K10" s="55"/>
      <c r="L10" s="55"/>
      <c r="M10" s="55"/>
      <c r="N10" s="55"/>
      <c r="O10" s="55"/>
      <c r="P10" s="55"/>
    </row>
    <row r="11" spans="1:16" ht="45" customHeight="1">
      <c r="A11" s="55" t="s">
        <v>749</v>
      </c>
      <c r="B11" s="55"/>
      <c r="C11" s="55"/>
      <c r="D11" s="55">
        <v>519</v>
      </c>
      <c r="E11" s="956">
        <v>123</v>
      </c>
      <c r="F11" s="956"/>
      <c r="G11" s="956"/>
      <c r="H11" s="55">
        <v>579</v>
      </c>
      <c r="I11" s="55"/>
      <c r="J11" s="55"/>
      <c r="K11" s="55"/>
      <c r="L11" s="55"/>
      <c r="M11" s="55"/>
      <c r="N11" s="55"/>
      <c r="O11" s="55"/>
      <c r="P11" s="55"/>
    </row>
    <row r="12" spans="1:16" ht="45" customHeight="1">
      <c r="A12" s="55" t="s">
        <v>752</v>
      </c>
      <c r="B12" s="55"/>
      <c r="C12" s="55"/>
      <c r="D12" s="55">
        <f>D6+D11</f>
        <v>1004</v>
      </c>
      <c r="E12" s="956">
        <f>E10+E11</f>
        <v>136</v>
      </c>
      <c r="F12" s="956"/>
      <c r="G12" s="956"/>
      <c r="H12" s="55">
        <f>H6+H11</f>
        <v>1674</v>
      </c>
      <c r="I12" s="55"/>
      <c r="J12" s="55"/>
      <c r="K12" s="55"/>
      <c r="L12" s="55"/>
      <c r="M12" s="55"/>
      <c r="N12" s="55"/>
      <c r="O12" s="55"/>
      <c r="P12" s="55"/>
    </row>
    <row r="13" spans="1:16" s="664" customFormat="1" ht="45" customHeight="1">
      <c r="A13" s="712" t="s">
        <v>834</v>
      </c>
      <c r="B13" s="712">
        <f>200+980+204</f>
        <v>1384</v>
      </c>
      <c r="C13" s="712">
        <f>625+200</f>
        <v>825</v>
      </c>
      <c r="D13" s="712">
        <f>85+100+374+10</f>
        <v>569</v>
      </c>
      <c r="E13" s="958">
        <f>223+567+18-200-140-44-140-25-175-15</f>
        <v>69</v>
      </c>
      <c r="F13" s="958"/>
      <c r="G13" s="958"/>
      <c r="H13" s="712">
        <f>557+39+40</f>
        <v>636</v>
      </c>
      <c r="I13" s="712">
        <f>200+341</f>
        <v>541</v>
      </c>
      <c r="J13" s="712">
        <v>500</v>
      </c>
      <c r="K13" s="712">
        <f>250+46</f>
        <v>296</v>
      </c>
      <c r="L13" s="712">
        <v>325</v>
      </c>
      <c r="M13" s="712">
        <v>651</v>
      </c>
      <c r="N13" s="712">
        <v>294</v>
      </c>
      <c r="O13" s="712"/>
      <c r="P13" s="712"/>
    </row>
    <row r="14" spans="1:16" ht="45" customHeight="1">
      <c r="A14" s="55" t="s">
        <v>877</v>
      </c>
      <c r="B14" s="55"/>
      <c r="C14" s="55"/>
      <c r="D14" s="55">
        <v>510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</row>
    <row r="15" spans="1:16" ht="45" customHeight="1">
      <c r="A15" s="55" t="s">
        <v>879</v>
      </c>
      <c r="B15" s="55"/>
      <c r="C15" s="55"/>
      <c r="D15" s="55"/>
      <c r="E15" s="956">
        <v>1017</v>
      </c>
      <c r="F15" s="956"/>
      <c r="G15" s="956"/>
      <c r="H15" s="55"/>
      <c r="I15" s="55"/>
      <c r="J15" s="55"/>
      <c r="K15" s="55"/>
      <c r="L15" s="55"/>
      <c r="M15" s="55"/>
      <c r="N15" s="55"/>
      <c r="O15" s="55"/>
      <c r="P15" s="55"/>
    </row>
    <row r="16" spans="1:16">
      <c r="A16" s="55" t="s">
        <v>878</v>
      </c>
      <c r="B16" s="55">
        <f>B13</f>
        <v>1384</v>
      </c>
      <c r="C16" s="55">
        <f>C13</f>
        <v>825</v>
      </c>
      <c r="D16" s="55">
        <f>D13+D14-514</f>
        <v>565</v>
      </c>
      <c r="E16" s="956">
        <f>E15+E13</f>
        <v>1086</v>
      </c>
      <c r="F16" s="956"/>
      <c r="G16" s="956"/>
      <c r="H16" s="55">
        <f>H13</f>
        <v>636</v>
      </c>
      <c r="I16" s="55">
        <f t="shared" ref="I16:P16" si="0">I13</f>
        <v>541</v>
      </c>
      <c r="J16" s="55">
        <f t="shared" si="0"/>
        <v>500</v>
      </c>
      <c r="K16" s="55">
        <f t="shared" si="0"/>
        <v>296</v>
      </c>
      <c r="L16" s="55">
        <f t="shared" si="0"/>
        <v>325</v>
      </c>
      <c r="M16" s="55">
        <f t="shared" si="0"/>
        <v>651</v>
      </c>
      <c r="N16" s="55">
        <f t="shared" si="0"/>
        <v>294</v>
      </c>
      <c r="O16" s="55">
        <f t="shared" si="0"/>
        <v>0</v>
      </c>
      <c r="P16" s="55">
        <f t="shared" si="0"/>
        <v>0</v>
      </c>
    </row>
    <row r="17" spans="1:16">
      <c r="A17" s="55" t="s">
        <v>967</v>
      </c>
      <c r="B17" s="55"/>
      <c r="C17" s="55"/>
      <c r="D17" s="55">
        <v>461</v>
      </c>
      <c r="E17" s="956"/>
      <c r="F17" s="956"/>
      <c r="G17" s="956"/>
      <c r="H17" s="55"/>
      <c r="I17" s="55"/>
      <c r="J17" s="55"/>
      <c r="K17" s="55"/>
      <c r="L17" s="55"/>
      <c r="M17" s="55"/>
      <c r="N17" s="55">
        <v>300</v>
      </c>
      <c r="O17" s="55"/>
      <c r="P17" s="55"/>
    </row>
    <row r="18" spans="1:16">
      <c r="A18" s="55" t="s">
        <v>971</v>
      </c>
      <c r="B18" s="55">
        <v>400</v>
      </c>
      <c r="C18" s="55"/>
      <c r="D18" s="55"/>
      <c r="E18" s="956">
        <v>302</v>
      </c>
      <c r="F18" s="956"/>
      <c r="G18" s="956"/>
      <c r="H18" s="55"/>
      <c r="I18" s="55"/>
      <c r="J18" s="55"/>
      <c r="K18" s="55"/>
      <c r="L18" s="55"/>
      <c r="M18" s="55"/>
      <c r="N18" s="55"/>
      <c r="O18" s="55"/>
      <c r="P18" s="55"/>
    </row>
    <row r="19" spans="1:16">
      <c r="A19" s="55" t="s">
        <v>972</v>
      </c>
      <c r="B19" s="55">
        <v>512</v>
      </c>
      <c r="C19" s="55"/>
      <c r="D19" s="55"/>
      <c r="E19" s="888"/>
      <c r="F19" s="888"/>
      <c r="G19" s="888"/>
      <c r="H19" s="55"/>
      <c r="I19" s="55"/>
      <c r="J19" s="55"/>
      <c r="K19" s="55"/>
      <c r="L19" s="55"/>
      <c r="M19" s="55"/>
      <c r="N19" s="55"/>
      <c r="O19" s="55"/>
      <c r="P19" s="55"/>
    </row>
    <row r="20" spans="1:16">
      <c r="A20" s="55" t="s">
        <v>975</v>
      </c>
      <c r="B20" s="55"/>
      <c r="C20" s="55"/>
      <c r="D20" s="55"/>
      <c r="E20" s="888"/>
      <c r="F20" s="888"/>
      <c r="G20" s="888"/>
      <c r="H20" s="55"/>
      <c r="I20" s="55"/>
      <c r="J20" s="55"/>
      <c r="K20" s="55"/>
      <c r="L20" s="55"/>
      <c r="M20" s="55"/>
      <c r="N20" s="55">
        <v>202</v>
      </c>
      <c r="O20" s="55"/>
      <c r="P20" s="55"/>
    </row>
    <row r="21" spans="1:16">
      <c r="A21" s="55" t="s">
        <v>970</v>
      </c>
      <c r="B21" s="797">
        <f>B18+B19</f>
        <v>912</v>
      </c>
      <c r="C21" s="797">
        <v>0</v>
      </c>
      <c r="D21" s="797">
        <v>461</v>
      </c>
      <c r="E21" s="955">
        <f>E16+E18-769</f>
        <v>619</v>
      </c>
      <c r="F21" s="955"/>
      <c r="G21" s="955"/>
      <c r="H21" s="797">
        <f>H16-213</f>
        <v>423</v>
      </c>
      <c r="I21" s="797">
        <f>I16</f>
        <v>541</v>
      </c>
      <c r="J21" s="797">
        <f>J16</f>
        <v>500</v>
      </c>
      <c r="K21" s="797">
        <f>K16</f>
        <v>296</v>
      </c>
      <c r="L21" s="889">
        <f>L16</f>
        <v>325</v>
      </c>
      <c r="M21" s="797">
        <f>M16</f>
        <v>651</v>
      </c>
      <c r="N21" s="797">
        <f>N16+N17+N20-647</f>
        <v>149</v>
      </c>
      <c r="O21" s="797">
        <v>0</v>
      </c>
      <c r="P21" s="797">
        <v>0</v>
      </c>
    </row>
    <row r="22" spans="1:16">
      <c r="A22" s="55" t="s">
        <v>994</v>
      </c>
      <c r="B22" s="55">
        <v>250</v>
      </c>
      <c r="C22" s="55"/>
      <c r="D22" s="55">
        <v>506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6">
      <c r="A23" s="55" t="s">
        <v>996</v>
      </c>
      <c r="B23" s="55"/>
      <c r="C23" s="55">
        <v>895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6">
      <c r="A24" s="55" t="s">
        <v>995</v>
      </c>
      <c r="B24" s="797">
        <f>B21+B22</f>
        <v>1162</v>
      </c>
      <c r="C24" s="797">
        <f>C23</f>
        <v>895</v>
      </c>
      <c r="D24" s="797">
        <f>D21+D22</f>
        <v>967</v>
      </c>
      <c r="E24" s="955">
        <f>E21</f>
        <v>619</v>
      </c>
      <c r="F24" s="955"/>
      <c r="G24" s="955"/>
      <c r="H24" s="797">
        <f>H21</f>
        <v>423</v>
      </c>
      <c r="I24" s="797">
        <f>I21</f>
        <v>541</v>
      </c>
      <c r="J24" s="797">
        <v>0</v>
      </c>
      <c r="K24" s="797">
        <f>K21</f>
        <v>296</v>
      </c>
      <c r="L24" s="797">
        <f>L21</f>
        <v>325</v>
      </c>
      <c r="M24" s="797">
        <f>M21</f>
        <v>651</v>
      </c>
      <c r="N24" s="797">
        <f>N21</f>
        <v>149</v>
      </c>
      <c r="O24" s="797"/>
      <c r="P24" s="797"/>
    </row>
    <row r="25" spans="1:16" s="811" customFormat="1">
      <c r="A25" s="57" t="s">
        <v>1005</v>
      </c>
      <c r="B25" s="57"/>
      <c r="C25" s="57"/>
      <c r="D25" s="57"/>
      <c r="E25" s="890"/>
      <c r="F25" s="890"/>
      <c r="G25" s="890"/>
      <c r="H25" s="57"/>
      <c r="I25" s="57"/>
      <c r="J25" s="57">
        <v>347</v>
      </c>
      <c r="K25" s="57"/>
      <c r="L25" s="57"/>
      <c r="M25" s="57"/>
      <c r="N25" s="57"/>
      <c r="O25" s="57"/>
      <c r="P25" s="57"/>
    </row>
    <row r="26" spans="1:16" s="811" customFormat="1">
      <c r="A26" s="57" t="s">
        <v>1006</v>
      </c>
      <c r="B26" s="57"/>
      <c r="C26" s="57"/>
      <c r="D26" s="57"/>
      <c r="E26" s="890"/>
      <c r="F26" s="890"/>
      <c r="G26" s="890"/>
      <c r="H26" s="57">
        <v>326</v>
      </c>
      <c r="I26" s="57"/>
      <c r="J26" s="57"/>
      <c r="K26" s="57"/>
      <c r="L26" s="57"/>
      <c r="M26" s="57"/>
      <c r="N26" s="57"/>
      <c r="O26" s="57"/>
      <c r="P26" s="57"/>
    </row>
    <row r="27" spans="1:16">
      <c r="A27" s="55" t="s">
        <v>1003</v>
      </c>
      <c r="B27" s="55"/>
      <c r="C27" s="55"/>
      <c r="D27" s="55">
        <v>618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>
      <c r="A28" s="55" t="s">
        <v>1004</v>
      </c>
      <c r="B28" s="797">
        <f>B24</f>
        <v>1162</v>
      </c>
      <c r="C28" s="797">
        <f>C24</f>
        <v>895</v>
      </c>
      <c r="D28" s="797">
        <f>D24-D27</f>
        <v>349</v>
      </c>
      <c r="E28" s="797"/>
      <c r="F28" s="797">
        <f>E24</f>
        <v>619</v>
      </c>
      <c r="G28" s="797"/>
      <c r="H28" s="797">
        <f>H24-H26</f>
        <v>97</v>
      </c>
      <c r="I28" s="797">
        <f>I24</f>
        <v>541</v>
      </c>
      <c r="J28" s="797">
        <f>J25</f>
        <v>347</v>
      </c>
      <c r="K28" s="797">
        <f>K24</f>
        <v>296</v>
      </c>
      <c r="L28" s="797">
        <f>L24</f>
        <v>325</v>
      </c>
      <c r="M28" s="797">
        <f>M24</f>
        <v>651</v>
      </c>
      <c r="N28" s="797">
        <f>N24</f>
        <v>149</v>
      </c>
      <c r="O28" s="797"/>
      <c r="P28" s="797"/>
    </row>
    <row r="29" spans="1:16">
      <c r="A29" s="55" t="s">
        <v>1007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4" spans="1:7">
      <c r="A34" s="800"/>
      <c r="E34" s="957"/>
      <c r="F34" s="957"/>
      <c r="G34" s="957"/>
    </row>
  </sheetData>
  <mergeCells count="18">
    <mergeCell ref="E15:G15"/>
    <mergeCell ref="E13:G13"/>
    <mergeCell ref="E7:G7"/>
    <mergeCell ref="E3:G3"/>
    <mergeCell ref="E4:G4"/>
    <mergeCell ref="E5:G5"/>
    <mergeCell ref="E6:G6"/>
    <mergeCell ref="E9:G9"/>
    <mergeCell ref="E10:G10"/>
    <mergeCell ref="E11:G11"/>
    <mergeCell ref="E12:G12"/>
    <mergeCell ref="E8:G8"/>
    <mergeCell ref="E21:G21"/>
    <mergeCell ref="E18:G18"/>
    <mergeCell ref="E17:G17"/>
    <mergeCell ref="E34:G34"/>
    <mergeCell ref="E16:G16"/>
    <mergeCell ref="E24:G24"/>
  </mergeCells>
  <printOptions horizontalCentered="1" verticalCentered="1"/>
  <pageMargins left="0.42" right="0.38" top="0.19685039370078741" bottom="0.19685039370078741" header="0.31496062992125984" footer="0.31496062992125984"/>
  <pageSetup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9"/>
  <sheetViews>
    <sheetView topLeftCell="S1" workbookViewId="0">
      <selection activeCell="AJ8" sqref="AJ8"/>
    </sheetView>
  </sheetViews>
  <sheetFormatPr baseColWidth="10" defaultRowHeight="15"/>
  <cols>
    <col min="1" max="1" width="19.140625" bestFit="1" customWidth="1"/>
    <col min="2" max="2" width="18.5703125" hidden="1" customWidth="1"/>
    <col min="3" max="3" width="19.140625" hidden="1" customWidth="1"/>
    <col min="4" max="4" width="11.42578125" customWidth="1"/>
    <col min="5" max="5" width="12.85546875" customWidth="1"/>
    <col min="6" max="6" width="11.5703125" customWidth="1"/>
    <col min="7" max="7" width="0" hidden="1" customWidth="1"/>
    <col min="8" max="8" width="14.140625" hidden="1" customWidth="1"/>
    <col min="9" max="9" width="11.85546875" style="58" hidden="1" customWidth="1"/>
    <col min="10" max="10" width="16.5703125" style="58" hidden="1" customWidth="1"/>
    <col min="11" max="13" width="0" hidden="1" customWidth="1"/>
    <col min="14" max="14" width="17.85546875" hidden="1" customWidth="1"/>
    <col min="15" max="15" width="13.28515625" customWidth="1"/>
    <col min="16" max="16" width="58.5703125" customWidth="1"/>
    <col min="17" max="17" width="27.85546875" customWidth="1"/>
    <col min="21" max="23" width="11.42578125" style="58"/>
    <col min="24" max="24" width="11.42578125" style="846"/>
    <col min="25" max="27" width="11.42578125" style="58"/>
    <col min="29" max="31" width="11.42578125" style="58"/>
  </cols>
  <sheetData>
    <row r="1" spans="1:37" ht="27" thickBot="1">
      <c r="A1" s="965" t="s">
        <v>886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</row>
    <row r="2" spans="1:37" ht="27" thickBot="1">
      <c r="A2" s="735"/>
      <c r="B2" s="735"/>
      <c r="C2" s="735"/>
      <c r="D2" s="967" t="s">
        <v>887</v>
      </c>
      <c r="E2" s="968"/>
      <c r="F2" s="969" t="s">
        <v>888</v>
      </c>
      <c r="G2" s="970"/>
      <c r="H2" s="970"/>
      <c r="I2" s="970"/>
      <c r="J2" s="970"/>
      <c r="K2" s="970"/>
      <c r="L2" s="970"/>
      <c r="M2" s="970"/>
      <c r="N2" s="970"/>
      <c r="O2" s="971"/>
      <c r="P2" s="735"/>
      <c r="U2" s="709"/>
      <c r="V2" s="709"/>
      <c r="W2" s="709"/>
      <c r="Y2" s="709"/>
      <c r="Z2" s="709"/>
      <c r="AA2" s="709"/>
      <c r="AC2" s="709"/>
      <c r="AD2" s="859" t="s">
        <v>1088</v>
      </c>
      <c r="AE2" s="709">
        <v>6</v>
      </c>
      <c r="AF2">
        <v>7</v>
      </c>
      <c r="AG2">
        <v>8</v>
      </c>
      <c r="AH2">
        <v>5</v>
      </c>
      <c r="AI2">
        <v>2</v>
      </c>
      <c r="AJ2">
        <v>3</v>
      </c>
      <c r="AK2">
        <v>4</v>
      </c>
    </row>
    <row r="3" spans="1:37" ht="47.25" thickBot="1">
      <c r="A3" s="740"/>
      <c r="B3" s="719" t="s">
        <v>835</v>
      </c>
      <c r="C3" s="717" t="s">
        <v>836</v>
      </c>
      <c r="D3" s="743" t="s">
        <v>889</v>
      </c>
      <c r="E3" s="744" t="s">
        <v>890</v>
      </c>
      <c r="F3" s="743" t="s">
        <v>889</v>
      </c>
      <c r="G3" s="747" t="s">
        <v>385</v>
      </c>
      <c r="H3" s="747" t="s">
        <v>103</v>
      </c>
      <c r="I3" s="747" t="s">
        <v>97</v>
      </c>
      <c r="J3" s="747" t="s">
        <v>98</v>
      </c>
      <c r="K3" s="748" t="s">
        <v>93</v>
      </c>
      <c r="L3" s="748" t="s">
        <v>92</v>
      </c>
      <c r="M3" s="748" t="s">
        <v>91</v>
      </c>
      <c r="N3" s="748" t="s">
        <v>90</v>
      </c>
      <c r="O3" s="744" t="s">
        <v>890</v>
      </c>
      <c r="P3" s="728" t="s">
        <v>829</v>
      </c>
      <c r="T3" s="339" t="s">
        <v>570</v>
      </c>
      <c r="U3" s="5" t="s">
        <v>592</v>
      </c>
      <c r="V3" s="5" t="s">
        <v>564</v>
      </c>
      <c r="W3" s="5" t="s">
        <v>565</v>
      </c>
      <c r="X3" s="853" t="s">
        <v>1078</v>
      </c>
      <c r="Y3" s="974" t="s">
        <v>569</v>
      </c>
      <c r="Z3" s="975"/>
      <c r="AA3" s="3" t="s">
        <v>1077</v>
      </c>
      <c r="AB3" s="341" t="s">
        <v>571</v>
      </c>
      <c r="AC3" s="341"/>
      <c r="AD3" s="858" t="s">
        <v>1079</v>
      </c>
      <c r="AE3" s="858" t="s">
        <v>1080</v>
      </c>
      <c r="AF3" s="858" t="s">
        <v>1081</v>
      </c>
      <c r="AG3" s="858" t="s">
        <v>1082</v>
      </c>
      <c r="AH3" s="858" t="s">
        <v>1083</v>
      </c>
      <c r="AI3" s="858" t="s">
        <v>1084</v>
      </c>
      <c r="AJ3" s="858" t="s">
        <v>1085</v>
      </c>
      <c r="AK3" s="858" t="s">
        <v>1086</v>
      </c>
    </row>
    <row r="4" spans="1:37" ht="35.1" customHeight="1">
      <c r="A4" s="736" t="s">
        <v>76</v>
      </c>
      <c r="B4" s="720">
        <v>79</v>
      </c>
      <c r="C4" s="198"/>
      <c r="D4" s="741">
        <v>88</v>
      </c>
      <c r="E4" s="742"/>
      <c r="F4" s="741"/>
      <c r="G4" s="745"/>
      <c r="H4" s="745"/>
      <c r="I4" s="708">
        <v>79</v>
      </c>
      <c r="J4" s="708"/>
      <c r="K4" s="474"/>
      <c r="L4" s="474"/>
      <c r="M4" s="474"/>
      <c r="N4" s="474"/>
      <c r="O4" s="746"/>
      <c r="P4" s="729"/>
      <c r="T4" s="370" t="s">
        <v>101</v>
      </c>
      <c r="U4" s="338"/>
      <c r="V4" s="5"/>
      <c r="W4" s="5">
        <v>600</v>
      </c>
      <c r="X4" s="5">
        <v>50</v>
      </c>
      <c r="Y4" s="340">
        <f t="shared" ref="Y4:Y10" si="0">SUM(V4:W4)</f>
        <v>600</v>
      </c>
      <c r="Z4" s="976">
        <f>Y4+Y5+X4+X5</f>
        <v>1200</v>
      </c>
      <c r="AA4" s="973">
        <v>302</v>
      </c>
      <c r="AB4" s="978">
        <f>Z4-AA4</f>
        <v>898</v>
      </c>
      <c r="AC4" s="977"/>
      <c r="AD4" s="961">
        <v>160</v>
      </c>
      <c r="AE4" s="961"/>
      <c r="AF4" s="856"/>
      <c r="AG4" s="856"/>
      <c r="AH4" s="856"/>
      <c r="AI4" s="961">
        <v>416</v>
      </c>
      <c r="AJ4" s="961">
        <v>160</v>
      </c>
      <c r="AK4" s="961">
        <v>160</v>
      </c>
    </row>
    <row r="5" spans="1:37" ht="35.1" customHeight="1">
      <c r="A5" s="737" t="s">
        <v>36</v>
      </c>
      <c r="B5" s="720">
        <v>152</v>
      </c>
      <c r="C5" s="198">
        <v>12</v>
      </c>
      <c r="D5" s="722"/>
      <c r="E5" s="723"/>
      <c r="F5" s="722"/>
      <c r="G5" s="57"/>
      <c r="H5" s="57"/>
      <c r="I5" s="973">
        <v>32</v>
      </c>
      <c r="J5" s="707"/>
      <c r="K5" s="67"/>
      <c r="L5" s="67"/>
      <c r="M5" s="67"/>
      <c r="N5" s="67"/>
      <c r="O5" s="730"/>
      <c r="P5" s="729"/>
      <c r="T5" s="371" t="s">
        <v>567</v>
      </c>
      <c r="U5" s="338"/>
      <c r="V5" s="5"/>
      <c r="W5" s="5">
        <v>500</v>
      </c>
      <c r="X5" s="5">
        <v>50</v>
      </c>
      <c r="Y5" s="340">
        <f t="shared" si="0"/>
        <v>500</v>
      </c>
      <c r="Z5" s="976"/>
      <c r="AA5" s="973"/>
      <c r="AB5" s="979"/>
      <c r="AC5" s="977"/>
      <c r="AD5" s="961"/>
      <c r="AE5" s="961"/>
      <c r="AF5" s="856"/>
      <c r="AG5" s="856"/>
      <c r="AH5" s="856"/>
      <c r="AI5" s="961"/>
      <c r="AJ5" s="961"/>
      <c r="AK5" s="961"/>
    </row>
    <row r="6" spans="1:37" ht="35.1" customHeight="1">
      <c r="A6" s="737" t="s">
        <v>102</v>
      </c>
      <c r="B6" s="720"/>
      <c r="C6" s="198"/>
      <c r="D6" s="722"/>
      <c r="E6" s="723">
        <v>31</v>
      </c>
      <c r="F6" s="722">
        <v>37</v>
      </c>
      <c r="G6" s="56"/>
      <c r="H6" s="56"/>
      <c r="I6" s="973"/>
      <c r="J6" s="707">
        <v>21</v>
      </c>
      <c r="K6" s="67"/>
      <c r="L6" s="67"/>
      <c r="M6" s="67"/>
      <c r="N6" s="67"/>
      <c r="O6" s="730"/>
      <c r="P6" s="729"/>
      <c r="T6" s="371" t="s">
        <v>263</v>
      </c>
      <c r="U6" s="5"/>
      <c r="V6" s="5"/>
      <c r="W6" s="5">
        <v>1000</v>
      </c>
      <c r="X6" s="5">
        <v>100</v>
      </c>
      <c r="Y6" s="340">
        <f t="shared" si="0"/>
        <v>1000</v>
      </c>
      <c r="Z6" s="976">
        <f>Y6+Y7+X6</f>
        <v>1400</v>
      </c>
      <c r="AA6" s="973">
        <v>192</v>
      </c>
      <c r="AB6" s="978">
        <f>Z6-AA6</f>
        <v>1208</v>
      </c>
      <c r="AC6" s="977"/>
      <c r="AD6" s="961">
        <v>416</v>
      </c>
      <c r="AE6" s="961"/>
      <c r="AF6" s="856"/>
      <c r="AG6" s="856"/>
      <c r="AH6" s="960">
        <v>352</v>
      </c>
      <c r="AI6" s="960">
        <v>96</v>
      </c>
      <c r="AJ6" s="960">
        <v>416</v>
      </c>
      <c r="AK6" s="856"/>
    </row>
    <row r="7" spans="1:37" ht="35.1" customHeight="1">
      <c r="A7" s="737" t="s">
        <v>95</v>
      </c>
      <c r="B7" s="720"/>
      <c r="C7" s="198"/>
      <c r="D7" s="722">
        <v>33</v>
      </c>
      <c r="E7" s="723">
        <v>6</v>
      </c>
      <c r="F7" s="722"/>
      <c r="G7" s="972"/>
      <c r="H7" s="56"/>
      <c r="I7" s="707">
        <v>22</v>
      </c>
      <c r="J7" s="707">
        <v>5</v>
      </c>
      <c r="K7" s="67"/>
      <c r="L7" s="67"/>
      <c r="M7" s="67"/>
      <c r="N7" s="67"/>
      <c r="O7" s="730"/>
      <c r="P7" s="729"/>
      <c r="T7" s="371" t="s">
        <v>566</v>
      </c>
      <c r="U7" s="5"/>
      <c r="V7" s="5"/>
      <c r="W7" s="5">
        <v>300</v>
      </c>
      <c r="X7" s="5"/>
      <c r="Y7" s="340">
        <f t="shared" si="0"/>
        <v>300</v>
      </c>
      <c r="Z7" s="976"/>
      <c r="AA7" s="973"/>
      <c r="AB7" s="979"/>
      <c r="AC7" s="977"/>
      <c r="AD7" s="961"/>
      <c r="AE7" s="961"/>
      <c r="AF7" s="856"/>
      <c r="AG7" s="856"/>
      <c r="AH7" s="960"/>
      <c r="AI7" s="960"/>
      <c r="AJ7" s="960"/>
      <c r="AK7" s="856"/>
    </row>
    <row r="8" spans="1:37" ht="35.1" customHeight="1">
      <c r="A8" s="737" t="s">
        <v>22</v>
      </c>
      <c r="B8" s="962">
        <v>14</v>
      </c>
      <c r="C8" s="963">
        <v>91</v>
      </c>
      <c r="D8" s="964">
        <v>40</v>
      </c>
      <c r="E8" s="723"/>
      <c r="F8" s="850">
        <f>53+21</f>
        <v>74</v>
      </c>
      <c r="G8" s="972"/>
      <c r="H8" s="972"/>
      <c r="I8" s="973">
        <f>383+227+20</f>
        <v>630</v>
      </c>
      <c r="J8" s="707"/>
      <c r="K8" s="67"/>
      <c r="L8" s="67"/>
      <c r="M8" s="67"/>
      <c r="N8" s="67"/>
      <c r="O8" s="851">
        <v>42</v>
      </c>
      <c r="P8" s="729"/>
      <c r="T8" s="371" t="s">
        <v>532</v>
      </c>
      <c r="U8" s="338"/>
      <c r="V8" s="5"/>
      <c r="W8" s="5">
        <v>200</v>
      </c>
      <c r="X8" s="5">
        <v>120</v>
      </c>
      <c r="Y8" s="976">
        <f>SUM(V8:W8)+X8</f>
        <v>320</v>
      </c>
      <c r="Z8" s="976"/>
      <c r="AA8" s="843"/>
      <c r="AB8" s="350">
        <f>Y8</f>
        <v>320</v>
      </c>
      <c r="AC8" s="418"/>
      <c r="AD8" s="857"/>
      <c r="AE8" s="857"/>
      <c r="AF8" s="856"/>
      <c r="AG8" s="856"/>
      <c r="AH8" s="856"/>
      <c r="AI8" s="856"/>
      <c r="AJ8" s="856"/>
      <c r="AK8" s="856">
        <v>320</v>
      </c>
    </row>
    <row r="9" spans="1:37" ht="35.1" customHeight="1">
      <c r="A9" s="737" t="s">
        <v>82</v>
      </c>
      <c r="B9" s="962"/>
      <c r="C9" s="963"/>
      <c r="D9" s="964"/>
      <c r="E9" s="849">
        <f>59+27</f>
        <v>86</v>
      </c>
      <c r="F9" s="850">
        <v>30</v>
      </c>
      <c r="G9" s="972"/>
      <c r="H9" s="972"/>
      <c r="I9" s="973"/>
      <c r="J9" s="707">
        <v>58</v>
      </c>
      <c r="K9" s="67"/>
      <c r="L9" s="67"/>
      <c r="M9" s="67"/>
      <c r="N9" s="67"/>
      <c r="O9" s="730"/>
      <c r="P9" s="729"/>
      <c r="R9" t="s">
        <v>605</v>
      </c>
      <c r="T9" s="371" t="s">
        <v>100</v>
      </c>
      <c r="U9" s="338"/>
      <c r="V9" s="5"/>
      <c r="W9" s="5"/>
      <c r="X9" s="5"/>
      <c r="Y9" s="976">
        <f t="shared" si="0"/>
        <v>0</v>
      </c>
      <c r="Z9" s="976"/>
      <c r="AA9" s="843"/>
      <c r="AB9" s="843"/>
      <c r="AC9" s="418"/>
      <c r="AD9" s="857"/>
      <c r="AE9" s="857"/>
      <c r="AF9" s="856"/>
      <c r="AG9" s="856"/>
      <c r="AH9" s="856"/>
      <c r="AI9" s="856"/>
      <c r="AJ9" s="856"/>
      <c r="AK9" s="856"/>
    </row>
    <row r="10" spans="1:37" ht="35.1" customHeight="1">
      <c r="A10" s="737" t="s">
        <v>85</v>
      </c>
      <c r="B10" s="720"/>
      <c r="C10" s="198">
        <v>64</v>
      </c>
      <c r="D10" s="722"/>
      <c r="E10" s="723"/>
      <c r="F10" s="722"/>
      <c r="G10" s="972"/>
      <c r="H10" s="56"/>
      <c r="I10" s="707"/>
      <c r="J10" s="707">
        <v>4</v>
      </c>
      <c r="K10" s="67"/>
      <c r="L10" s="67"/>
      <c r="M10" s="67"/>
      <c r="N10" s="67"/>
      <c r="O10" s="730"/>
      <c r="P10" s="729"/>
      <c r="T10" s="371" t="s">
        <v>568</v>
      </c>
      <c r="U10" s="338"/>
      <c r="V10" s="5"/>
      <c r="W10" s="5"/>
      <c r="X10" s="5"/>
      <c r="Y10" s="976">
        <f t="shared" si="0"/>
        <v>0</v>
      </c>
      <c r="Z10" s="976"/>
      <c r="AA10" s="843"/>
      <c r="AB10" s="843"/>
      <c r="AC10" s="418"/>
      <c r="AD10" s="857"/>
      <c r="AE10" s="857"/>
      <c r="AF10" s="856"/>
      <c r="AG10" s="856"/>
      <c r="AH10" s="856"/>
      <c r="AI10" s="856"/>
      <c r="AJ10" s="856"/>
      <c r="AK10" s="856"/>
    </row>
    <row r="11" spans="1:37" ht="35.1" customHeight="1">
      <c r="A11" s="737" t="s">
        <v>96</v>
      </c>
      <c r="B11" s="720"/>
      <c r="C11" s="198"/>
      <c r="D11" s="722">
        <v>22</v>
      </c>
      <c r="E11" s="723"/>
      <c r="F11" s="850">
        <v>40</v>
      </c>
      <c r="G11" s="972"/>
      <c r="H11" s="56"/>
      <c r="I11" s="707"/>
      <c r="J11" s="707"/>
      <c r="K11" s="67"/>
      <c r="L11" s="67"/>
      <c r="M11" s="67"/>
      <c r="N11" s="67"/>
      <c r="O11" s="730"/>
      <c r="P11" s="729"/>
      <c r="T11" s="371" t="s">
        <v>342</v>
      </c>
      <c r="U11" s="338"/>
      <c r="V11" s="5"/>
      <c r="W11" s="5">
        <v>300</v>
      </c>
      <c r="X11" s="5">
        <v>100</v>
      </c>
      <c r="Y11" s="976">
        <f>SUM(V11:W11)+X11</f>
        <v>400</v>
      </c>
      <c r="Z11" s="976"/>
      <c r="AA11" s="980">
        <v>204</v>
      </c>
      <c r="AB11" s="978">
        <f>(Y11+Y12)-AA11</f>
        <v>896</v>
      </c>
      <c r="AC11" s="977"/>
      <c r="AD11" s="961"/>
      <c r="AE11" s="961">
        <v>288</v>
      </c>
      <c r="AF11" s="961">
        <v>288</v>
      </c>
      <c r="AG11" s="961">
        <v>288</v>
      </c>
      <c r="AH11" s="856"/>
      <c r="AI11" s="856"/>
      <c r="AJ11" s="856"/>
      <c r="AK11" s="856"/>
    </row>
    <row r="12" spans="1:37" ht="35.1" customHeight="1">
      <c r="A12" s="737" t="s">
        <v>83</v>
      </c>
      <c r="B12" s="720">
        <v>102</v>
      </c>
      <c r="C12" s="198"/>
      <c r="D12" s="850">
        <v>164</v>
      </c>
      <c r="E12" s="849">
        <v>28</v>
      </c>
      <c r="F12" s="850">
        <f>22+43</f>
        <v>65</v>
      </c>
      <c r="G12" s="56"/>
      <c r="H12" s="56"/>
      <c r="I12" s="707">
        <f>160+39</f>
        <v>199</v>
      </c>
      <c r="J12" s="707"/>
      <c r="K12" s="67"/>
      <c r="L12" s="67"/>
      <c r="M12" s="67"/>
      <c r="N12" s="67"/>
      <c r="O12" s="851">
        <v>43</v>
      </c>
      <c r="P12" s="729"/>
      <c r="T12" s="371" t="s">
        <v>505</v>
      </c>
      <c r="U12" s="338"/>
      <c r="V12" s="5"/>
      <c r="W12" s="5">
        <v>600</v>
      </c>
      <c r="X12" s="5">
        <v>100</v>
      </c>
      <c r="Y12" s="976">
        <f>SUM(V12:W12)+X12</f>
        <v>700</v>
      </c>
      <c r="Z12" s="976"/>
      <c r="AA12" s="981"/>
      <c r="AB12" s="979"/>
      <c r="AC12" s="977"/>
      <c r="AD12" s="961"/>
      <c r="AE12" s="961"/>
      <c r="AF12" s="961"/>
      <c r="AG12" s="961"/>
      <c r="AH12" s="856"/>
      <c r="AI12" s="856"/>
      <c r="AJ12" s="856"/>
      <c r="AK12" s="856"/>
    </row>
    <row r="13" spans="1:37" ht="35.1" customHeight="1">
      <c r="A13" s="737" t="s">
        <v>84</v>
      </c>
      <c r="B13" s="720">
        <v>32</v>
      </c>
      <c r="C13" s="198"/>
      <c r="D13" s="850">
        <v>36</v>
      </c>
      <c r="E13" s="723"/>
      <c r="F13" s="722"/>
      <c r="G13" s="56"/>
      <c r="H13" s="56"/>
      <c r="I13" s="707">
        <v>2</v>
      </c>
      <c r="J13" s="707"/>
      <c r="K13" s="67"/>
      <c r="L13" s="67"/>
      <c r="M13" s="67"/>
      <c r="N13" s="67"/>
      <c r="O13" s="730"/>
      <c r="P13" s="729"/>
      <c r="T13" s="372" t="s">
        <v>593</v>
      </c>
      <c r="U13" s="368"/>
      <c r="V13" s="3"/>
      <c r="W13" s="368">
        <v>300</v>
      </c>
      <c r="X13" s="844">
        <v>50</v>
      </c>
      <c r="Y13" s="976">
        <f>SUM(V13:W13)+X13</f>
        <v>350</v>
      </c>
      <c r="Z13" s="976"/>
      <c r="AA13" s="843">
        <v>139</v>
      </c>
      <c r="AB13" s="350">
        <f>Y13-AA13</f>
        <v>211</v>
      </c>
      <c r="AC13" s="845"/>
      <c r="AD13" s="857"/>
      <c r="AE13" s="857"/>
      <c r="AF13" s="856"/>
      <c r="AG13" s="856"/>
      <c r="AH13" s="860">
        <v>192</v>
      </c>
      <c r="AI13" s="856"/>
      <c r="AJ13" s="856"/>
      <c r="AK13" s="856"/>
    </row>
    <row r="14" spans="1:37" ht="35.1" customHeight="1">
      <c r="A14" s="737" t="s">
        <v>86</v>
      </c>
      <c r="B14" s="720"/>
      <c r="C14" s="198"/>
      <c r="D14" s="722"/>
      <c r="E14" s="723"/>
      <c r="F14" s="722"/>
      <c r="G14" s="56"/>
      <c r="H14" s="56"/>
      <c r="I14" s="707"/>
      <c r="J14" s="707">
        <v>3</v>
      </c>
      <c r="K14" s="67"/>
      <c r="L14" s="67"/>
      <c r="M14" s="67"/>
      <c r="N14" s="67"/>
      <c r="O14" s="730"/>
      <c r="P14" s="729"/>
      <c r="T14" s="372" t="s">
        <v>594</v>
      </c>
      <c r="U14" s="368"/>
      <c r="V14" s="3"/>
      <c r="W14" s="368"/>
      <c r="X14" s="844"/>
      <c r="Y14" s="976">
        <f>SUM(V14:W14)</f>
        <v>0</v>
      </c>
      <c r="Z14" s="976"/>
      <c r="AA14" s="843"/>
      <c r="AB14" s="843"/>
      <c r="AC14" s="845"/>
      <c r="AD14" s="857"/>
      <c r="AE14" s="857"/>
      <c r="AF14" s="856"/>
      <c r="AG14" s="856"/>
      <c r="AH14" s="856"/>
      <c r="AI14" s="856"/>
      <c r="AJ14" s="856"/>
      <c r="AK14" s="856"/>
    </row>
    <row r="15" spans="1:37" ht="35.1" customHeight="1">
      <c r="A15" s="737" t="s">
        <v>17</v>
      </c>
      <c r="B15" s="962">
        <v>13</v>
      </c>
      <c r="C15" s="198"/>
      <c r="D15" s="722">
        <v>19</v>
      </c>
      <c r="E15" s="723">
        <v>5</v>
      </c>
      <c r="F15" s="731">
        <f>52</f>
        <v>52</v>
      </c>
      <c r="G15" s="972"/>
      <c r="H15" s="972"/>
      <c r="I15" s="973"/>
      <c r="J15" s="707">
        <v>3</v>
      </c>
      <c r="K15" s="67"/>
      <c r="L15" s="67"/>
      <c r="M15" s="67"/>
      <c r="N15" s="67"/>
      <c r="O15" s="851">
        <v>56</v>
      </c>
      <c r="P15" s="729"/>
      <c r="R15" t="s">
        <v>605</v>
      </c>
      <c r="T15" s="372" t="s">
        <v>334</v>
      </c>
      <c r="U15" s="408"/>
      <c r="V15" s="408"/>
      <c r="W15" s="408"/>
      <c r="X15" s="844"/>
      <c r="Y15" s="976">
        <f>SUM(V15:W15)</f>
        <v>0</v>
      </c>
      <c r="Z15" s="976"/>
      <c r="AA15" s="843"/>
      <c r="AB15" s="843"/>
      <c r="AC15" s="845"/>
      <c r="AD15" s="857"/>
      <c r="AE15" s="857"/>
      <c r="AF15" s="856"/>
      <c r="AG15" s="856"/>
      <c r="AH15" s="856"/>
      <c r="AI15" s="856"/>
      <c r="AJ15" s="856"/>
      <c r="AK15" s="856"/>
    </row>
    <row r="16" spans="1:37" ht="35.1" customHeight="1">
      <c r="A16" s="737" t="s">
        <v>73</v>
      </c>
      <c r="B16" s="962"/>
      <c r="C16" s="198"/>
      <c r="D16" s="722">
        <v>39</v>
      </c>
      <c r="E16" s="723"/>
      <c r="F16" s="731"/>
      <c r="G16" s="972"/>
      <c r="H16" s="972"/>
      <c r="I16" s="973"/>
      <c r="J16" s="707"/>
      <c r="K16" s="67"/>
      <c r="L16" s="67"/>
      <c r="M16" s="67"/>
      <c r="N16" s="67"/>
      <c r="O16" s="730"/>
      <c r="P16" s="729"/>
      <c r="T16" s="372" t="s">
        <v>260</v>
      </c>
      <c r="U16" s="844"/>
      <c r="V16" s="844"/>
      <c r="W16" s="844"/>
      <c r="X16" s="844"/>
      <c r="Y16" s="976">
        <f>SUM(V16:W16)</f>
        <v>0</v>
      </c>
      <c r="Z16" s="976"/>
      <c r="AA16" s="844"/>
      <c r="AB16" s="59"/>
      <c r="AC16" s="844"/>
      <c r="AD16" s="857"/>
      <c r="AE16" s="857"/>
      <c r="AF16" s="856"/>
      <c r="AG16" s="856"/>
      <c r="AH16" s="856"/>
      <c r="AI16" s="856"/>
      <c r="AJ16" s="856"/>
      <c r="AK16" s="856"/>
    </row>
    <row r="17" spans="1:38" ht="35.1" customHeight="1">
      <c r="A17" s="738" t="s">
        <v>40</v>
      </c>
      <c r="B17" s="721"/>
      <c r="C17" s="718"/>
      <c r="D17" s="852">
        <v>35</v>
      </c>
      <c r="E17" s="725"/>
      <c r="F17" s="724"/>
      <c r="G17" s="714"/>
      <c r="H17" s="714"/>
      <c r="I17" s="707">
        <v>3</v>
      </c>
      <c r="J17" s="707">
        <v>33</v>
      </c>
      <c r="K17" s="67"/>
      <c r="L17" s="67"/>
      <c r="M17" s="67"/>
      <c r="N17" s="67"/>
      <c r="O17" s="730"/>
      <c r="P17" s="729"/>
      <c r="AD17" s="854">
        <v>51</v>
      </c>
      <c r="AE17" s="854">
        <v>187</v>
      </c>
      <c r="AF17" s="855">
        <v>187</v>
      </c>
      <c r="AG17" s="855">
        <v>187</v>
      </c>
      <c r="AH17" s="855">
        <v>9</v>
      </c>
      <c r="AI17" s="855">
        <v>27</v>
      </c>
      <c r="AJ17" s="855">
        <v>51</v>
      </c>
      <c r="AK17" s="855">
        <v>35</v>
      </c>
      <c r="AL17" s="855" t="s">
        <v>1087</v>
      </c>
    </row>
    <row r="18" spans="1:38" ht="19.5" customHeight="1" thickBot="1">
      <c r="A18" s="739" t="s">
        <v>88</v>
      </c>
      <c r="B18" s="720"/>
      <c r="C18" s="198"/>
      <c r="D18" s="726"/>
      <c r="E18" s="727"/>
      <c r="F18" s="726"/>
      <c r="G18" s="732"/>
      <c r="H18" s="732"/>
      <c r="I18" s="733">
        <v>2</v>
      </c>
      <c r="J18" s="733"/>
      <c r="K18" s="732"/>
      <c r="L18" s="732"/>
      <c r="M18" s="732"/>
      <c r="N18" s="732"/>
      <c r="O18" s="734"/>
      <c r="P18" s="729"/>
    </row>
    <row r="19" spans="1:38">
      <c r="B19" s="662"/>
      <c r="C19" s="662"/>
      <c r="D19" s="709"/>
      <c r="E19" s="709"/>
      <c r="F19" s="709"/>
    </row>
  </sheetData>
  <mergeCells count="50">
    <mergeCell ref="Y16:Z16"/>
    <mergeCell ref="AE4:AE5"/>
    <mergeCell ref="AE6:AE7"/>
    <mergeCell ref="Y15:Z15"/>
    <mergeCell ref="AD4:AD5"/>
    <mergeCell ref="AD6:AD7"/>
    <mergeCell ref="AD11:AD12"/>
    <mergeCell ref="Y13:Z13"/>
    <mergeCell ref="Y14:Z14"/>
    <mergeCell ref="AC4:AC5"/>
    <mergeCell ref="AC6:AC7"/>
    <mergeCell ref="AB11:AB12"/>
    <mergeCell ref="AA11:AA12"/>
    <mergeCell ref="AC11:AC12"/>
    <mergeCell ref="AB4:AB5"/>
    <mergeCell ref="AB6:AB7"/>
    <mergeCell ref="Y3:Z3"/>
    <mergeCell ref="AA4:AA5"/>
    <mergeCell ref="AA6:AA7"/>
    <mergeCell ref="Y11:Z11"/>
    <mergeCell ref="Y12:Z12"/>
    <mergeCell ref="Z4:Z5"/>
    <mergeCell ref="Y8:Z8"/>
    <mergeCell ref="Y9:Z9"/>
    <mergeCell ref="Y10:Z10"/>
    <mergeCell ref="Z6:Z7"/>
    <mergeCell ref="B15:B16"/>
    <mergeCell ref="B8:B9"/>
    <mergeCell ref="C8:C9"/>
    <mergeCell ref="D8:D9"/>
    <mergeCell ref="A1:P1"/>
    <mergeCell ref="D2:E2"/>
    <mergeCell ref="F2:O2"/>
    <mergeCell ref="G10:G11"/>
    <mergeCell ref="G15:G16"/>
    <mergeCell ref="H15:H16"/>
    <mergeCell ref="G7:G9"/>
    <mergeCell ref="H8:H9"/>
    <mergeCell ref="I8:I9"/>
    <mergeCell ref="I15:I16"/>
    <mergeCell ref="I5:I6"/>
    <mergeCell ref="AJ6:AJ7"/>
    <mergeCell ref="AJ4:AJ5"/>
    <mergeCell ref="AK4:AK5"/>
    <mergeCell ref="AF11:AF12"/>
    <mergeCell ref="AE11:AE12"/>
    <mergeCell ref="AG11:AG12"/>
    <mergeCell ref="AH6:AH7"/>
    <mergeCell ref="AI4:AI5"/>
    <mergeCell ref="AI6:AI7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A35" sqref="A35"/>
    </sheetView>
  </sheetViews>
  <sheetFormatPr baseColWidth="10" defaultRowHeight="15"/>
  <cols>
    <col min="1" max="1" width="12" style="58" bestFit="1" customWidth="1"/>
    <col min="2" max="2" width="11.5703125" customWidth="1"/>
    <col min="3" max="3" width="16.85546875" customWidth="1"/>
    <col min="4" max="4" width="11.5703125" style="58" customWidth="1"/>
    <col min="5" max="5" width="47.42578125" customWidth="1"/>
    <col min="6" max="6" width="11.42578125" style="58"/>
  </cols>
  <sheetData>
    <row r="1" spans="1:6">
      <c r="A1" s="42" t="s">
        <v>104</v>
      </c>
      <c r="B1" s="42" t="s">
        <v>105</v>
      </c>
      <c r="C1" s="42" t="s">
        <v>1</v>
      </c>
      <c r="D1" s="42" t="s">
        <v>106</v>
      </c>
      <c r="E1" s="42" t="s">
        <v>81</v>
      </c>
      <c r="F1" s="197" t="s">
        <v>390</v>
      </c>
    </row>
    <row r="2" spans="1:6">
      <c r="A2" s="42" t="s">
        <v>107</v>
      </c>
      <c r="B2" s="60" t="s">
        <v>113</v>
      </c>
      <c r="C2" s="59" t="s">
        <v>34</v>
      </c>
      <c r="D2" s="62">
        <v>42121</v>
      </c>
      <c r="E2" s="59" t="s">
        <v>115</v>
      </c>
      <c r="F2" s="196"/>
    </row>
    <row r="3" spans="1:6">
      <c r="A3" s="42" t="s">
        <v>107</v>
      </c>
      <c r="B3" s="60" t="s">
        <v>113</v>
      </c>
      <c r="C3" s="59" t="s">
        <v>111</v>
      </c>
      <c r="D3" s="62">
        <v>42121</v>
      </c>
      <c r="E3" s="59" t="s">
        <v>114</v>
      </c>
      <c r="F3" s="196"/>
    </row>
    <row r="4" spans="1:6">
      <c r="A4" s="42" t="s">
        <v>107</v>
      </c>
      <c r="B4" s="60" t="s">
        <v>108</v>
      </c>
      <c r="C4" s="61" t="s">
        <v>13</v>
      </c>
      <c r="D4" s="62">
        <v>42128</v>
      </c>
      <c r="E4" s="59" t="s">
        <v>109</v>
      </c>
      <c r="F4" s="196"/>
    </row>
    <row r="5" spans="1:6">
      <c r="A5" s="42" t="s">
        <v>107</v>
      </c>
      <c r="B5" s="59" t="s">
        <v>110</v>
      </c>
      <c r="C5" s="59" t="s">
        <v>111</v>
      </c>
      <c r="D5" s="62">
        <v>42128</v>
      </c>
      <c r="E5" s="59" t="s">
        <v>112</v>
      </c>
      <c r="F5" s="196"/>
    </row>
    <row r="6" spans="1:6">
      <c r="A6" s="42" t="s">
        <v>148</v>
      </c>
      <c r="B6" s="59" t="s">
        <v>149</v>
      </c>
      <c r="C6" s="59" t="s">
        <v>24</v>
      </c>
      <c r="D6" s="62">
        <v>42130</v>
      </c>
      <c r="E6" s="59" t="s">
        <v>150</v>
      </c>
      <c r="F6" s="196"/>
    </row>
    <row r="7" spans="1:6">
      <c r="A7" s="195" t="s">
        <v>107</v>
      </c>
      <c r="B7" s="59" t="s">
        <v>391</v>
      </c>
      <c r="C7" s="59" t="s">
        <v>183</v>
      </c>
      <c r="D7" s="62">
        <v>42135</v>
      </c>
      <c r="E7" s="59" t="s">
        <v>392</v>
      </c>
      <c r="F7" s="324">
        <v>5183</v>
      </c>
    </row>
    <row r="8" spans="1:6">
      <c r="A8" s="195" t="s">
        <v>107</v>
      </c>
      <c r="B8" s="59" t="s">
        <v>396</v>
      </c>
      <c r="C8" s="59" t="s">
        <v>111</v>
      </c>
      <c r="D8" s="62">
        <v>42135</v>
      </c>
      <c r="E8" s="59" t="s">
        <v>398</v>
      </c>
      <c r="F8" s="196">
        <v>5173</v>
      </c>
    </row>
    <row r="9" spans="1:6">
      <c r="A9" s="196" t="s">
        <v>107</v>
      </c>
      <c r="B9" s="59" t="s">
        <v>397</v>
      </c>
      <c r="C9" s="59" t="s">
        <v>13</v>
      </c>
      <c r="D9" s="62">
        <v>42136</v>
      </c>
      <c r="E9" s="59" t="s">
        <v>399</v>
      </c>
      <c r="F9" s="196" t="s">
        <v>401</v>
      </c>
    </row>
    <row r="10" spans="1:6">
      <c r="A10" s="196" t="s">
        <v>107</v>
      </c>
      <c r="B10" s="59" t="s">
        <v>400</v>
      </c>
      <c r="C10" s="59" t="s">
        <v>111</v>
      </c>
      <c r="D10" s="62">
        <v>42136</v>
      </c>
      <c r="E10" s="59" t="s">
        <v>22</v>
      </c>
      <c r="F10" s="196">
        <v>5173</v>
      </c>
    </row>
    <row r="11" spans="1:6">
      <c r="A11" s="196" t="s">
        <v>107</v>
      </c>
      <c r="B11" s="59" t="s">
        <v>454</v>
      </c>
      <c r="C11" s="59" t="s">
        <v>13</v>
      </c>
      <c r="D11" s="62">
        <v>42139</v>
      </c>
      <c r="E11" s="59" t="s">
        <v>399</v>
      </c>
      <c r="F11" s="196">
        <v>5147</v>
      </c>
    </row>
    <row r="12" spans="1:6">
      <c r="A12" s="245" t="s">
        <v>107</v>
      </c>
      <c r="B12" s="59" t="s">
        <v>455</v>
      </c>
      <c r="C12" s="59" t="s">
        <v>3</v>
      </c>
      <c r="D12" s="62">
        <v>42139</v>
      </c>
      <c r="E12" s="59" t="s">
        <v>456</v>
      </c>
      <c r="F12" s="58">
        <v>4732</v>
      </c>
    </row>
    <row r="13" spans="1:6">
      <c r="A13" s="245" t="s">
        <v>107</v>
      </c>
      <c r="B13" s="59" t="s">
        <v>462</v>
      </c>
      <c r="C13" s="59" t="s">
        <v>5</v>
      </c>
      <c r="D13" s="324" t="s">
        <v>463</v>
      </c>
      <c r="E13" s="59" t="s">
        <v>464</v>
      </c>
      <c r="F13" s="196">
        <v>5190</v>
      </c>
    </row>
    <row r="14" spans="1:6">
      <c r="A14" s="299" t="s">
        <v>107</v>
      </c>
      <c r="B14" s="59" t="s">
        <v>471</v>
      </c>
      <c r="C14" s="59" t="s">
        <v>472</v>
      </c>
      <c r="D14" s="299" t="s">
        <v>463</v>
      </c>
      <c r="E14" s="59" t="s">
        <v>473</v>
      </c>
      <c r="F14" s="299"/>
    </row>
    <row r="15" spans="1:6">
      <c r="A15" s="299" t="s">
        <v>107</v>
      </c>
      <c r="B15" s="59" t="s">
        <v>465</v>
      </c>
      <c r="C15" s="59" t="s">
        <v>21</v>
      </c>
      <c r="D15" s="299" t="s">
        <v>466</v>
      </c>
      <c r="E15" s="59" t="s">
        <v>467</v>
      </c>
      <c r="F15" s="299" t="s">
        <v>468</v>
      </c>
    </row>
    <row r="16" spans="1:6">
      <c r="A16" s="299" t="s">
        <v>107</v>
      </c>
      <c r="B16" s="59" t="s">
        <v>469</v>
      </c>
      <c r="C16" s="59" t="s">
        <v>13</v>
      </c>
      <c r="D16" s="299" t="s">
        <v>466</v>
      </c>
      <c r="E16" s="59" t="s">
        <v>470</v>
      </c>
      <c r="F16" s="299">
        <v>5186</v>
      </c>
    </row>
    <row r="17" spans="1:6">
      <c r="A17" s="299" t="s">
        <v>107</v>
      </c>
      <c r="B17" s="59" t="s">
        <v>494</v>
      </c>
      <c r="C17" s="67" t="s">
        <v>21</v>
      </c>
      <c r="D17" s="299" t="s">
        <v>495</v>
      </c>
      <c r="E17" s="67" t="s">
        <v>496</v>
      </c>
      <c r="F17" s="299"/>
    </row>
    <row r="18" spans="1:6">
      <c r="A18" s="299" t="s">
        <v>107</v>
      </c>
      <c r="B18" s="59" t="s">
        <v>486</v>
      </c>
      <c r="C18" s="67" t="s">
        <v>488</v>
      </c>
      <c r="D18" s="62">
        <v>42152</v>
      </c>
      <c r="E18" s="67" t="s">
        <v>489</v>
      </c>
      <c r="F18" s="299"/>
    </row>
    <row r="19" spans="1:6">
      <c r="A19" s="299" t="s">
        <v>107</v>
      </c>
      <c r="B19" s="59" t="s">
        <v>487</v>
      </c>
      <c r="C19" s="67" t="s">
        <v>111</v>
      </c>
      <c r="D19" s="62">
        <v>42152</v>
      </c>
      <c r="E19" s="67" t="s">
        <v>490</v>
      </c>
      <c r="F19" s="299"/>
    </row>
    <row r="20" spans="1:6">
      <c r="A20" s="299" t="s">
        <v>107</v>
      </c>
      <c r="B20" s="59" t="s">
        <v>497</v>
      </c>
      <c r="C20" s="67" t="s">
        <v>3</v>
      </c>
      <c r="D20" s="299" t="s">
        <v>491</v>
      </c>
      <c r="E20" s="67" t="s">
        <v>456</v>
      </c>
      <c r="F20" s="299"/>
    </row>
    <row r="21" spans="1:6">
      <c r="A21" s="299" t="s">
        <v>107</v>
      </c>
      <c r="B21" s="59" t="s">
        <v>498</v>
      </c>
      <c r="C21" s="67" t="s">
        <v>21</v>
      </c>
      <c r="D21" s="299" t="s">
        <v>502</v>
      </c>
      <c r="E21" s="67" t="s">
        <v>499</v>
      </c>
      <c r="F21" s="299"/>
    </row>
    <row r="22" spans="1:6">
      <c r="A22" s="299" t="s">
        <v>107</v>
      </c>
      <c r="B22" s="59" t="s">
        <v>500</v>
      </c>
      <c r="C22" s="67" t="s">
        <v>21</v>
      </c>
      <c r="D22" s="299" t="s">
        <v>502</v>
      </c>
      <c r="E22" s="67" t="s">
        <v>501</v>
      </c>
      <c r="F22" s="299"/>
    </row>
    <row r="23" spans="1:6">
      <c r="A23" s="299" t="s">
        <v>107</v>
      </c>
      <c r="B23" s="59" t="s">
        <v>503</v>
      </c>
      <c r="C23" s="67" t="s">
        <v>111</v>
      </c>
      <c r="D23" s="299" t="s">
        <v>502</v>
      </c>
      <c r="E23" s="67" t="s">
        <v>501</v>
      </c>
      <c r="F23" s="299"/>
    </row>
    <row r="24" spans="1:6">
      <c r="A24" s="299" t="s">
        <v>107</v>
      </c>
      <c r="B24" s="59" t="s">
        <v>507</v>
      </c>
      <c r="C24" s="67" t="s">
        <v>472</v>
      </c>
      <c r="D24" s="318">
        <v>42156</v>
      </c>
      <c r="E24" s="67" t="s">
        <v>510</v>
      </c>
      <c r="F24" s="299"/>
    </row>
    <row r="25" spans="1:6">
      <c r="A25" s="300" t="s">
        <v>107</v>
      </c>
      <c r="B25" s="59" t="s">
        <v>508</v>
      </c>
      <c r="C25" s="67" t="s">
        <v>13</v>
      </c>
      <c r="D25" s="318">
        <v>42156</v>
      </c>
      <c r="E25" s="67" t="s">
        <v>22</v>
      </c>
      <c r="F25" s="300"/>
    </row>
    <row r="26" spans="1:6">
      <c r="A26" s="300" t="s">
        <v>107</v>
      </c>
      <c r="B26" s="59" t="s">
        <v>509</v>
      </c>
      <c r="C26" s="67" t="s">
        <v>111</v>
      </c>
      <c r="D26" s="318">
        <v>42156</v>
      </c>
      <c r="E26" s="67" t="s">
        <v>14</v>
      </c>
      <c r="F26" s="300"/>
    </row>
    <row r="27" spans="1:6">
      <c r="A27" s="322" t="s">
        <v>107</v>
      </c>
      <c r="B27" s="59" t="s">
        <v>511</v>
      </c>
      <c r="C27" s="59" t="s">
        <v>111</v>
      </c>
      <c r="D27" s="318">
        <v>42156</v>
      </c>
      <c r="E27" s="59" t="s">
        <v>512</v>
      </c>
      <c r="F27" s="322"/>
    </row>
    <row r="28" spans="1:6">
      <c r="A28" s="322" t="s">
        <v>107</v>
      </c>
      <c r="B28" s="59" t="s">
        <v>513</v>
      </c>
      <c r="C28" s="59" t="s">
        <v>111</v>
      </c>
      <c r="D28" s="318">
        <v>42156</v>
      </c>
      <c r="E28" s="59" t="s">
        <v>514</v>
      </c>
      <c r="F28" s="322"/>
    </row>
    <row r="29" spans="1:6">
      <c r="A29" s="322" t="s">
        <v>107</v>
      </c>
      <c r="B29" s="59" t="s">
        <v>515</v>
      </c>
      <c r="C29" s="67" t="s">
        <v>34</v>
      </c>
      <c r="D29" s="318">
        <v>42156</v>
      </c>
      <c r="E29" s="67" t="s">
        <v>518</v>
      </c>
      <c r="F29" s="322"/>
    </row>
    <row r="30" spans="1:6">
      <c r="A30" s="322" t="s">
        <v>107</v>
      </c>
      <c r="B30" s="59" t="s">
        <v>516</v>
      </c>
      <c r="C30" s="67" t="s">
        <v>42</v>
      </c>
      <c r="D30" s="318">
        <v>42157</v>
      </c>
      <c r="E30" s="67" t="s">
        <v>519</v>
      </c>
      <c r="F30" s="322"/>
    </row>
    <row r="31" spans="1:6">
      <c r="A31" s="322" t="s">
        <v>107</v>
      </c>
      <c r="B31" s="59" t="s">
        <v>517</v>
      </c>
      <c r="C31" s="67" t="s">
        <v>3</v>
      </c>
      <c r="D31" s="318">
        <v>42157</v>
      </c>
      <c r="E31" s="67" t="s">
        <v>520</v>
      </c>
      <c r="F31" s="322"/>
    </row>
    <row r="32" spans="1:6">
      <c r="A32" s="322" t="s">
        <v>387</v>
      </c>
      <c r="B32" s="59" t="s">
        <v>388</v>
      </c>
      <c r="C32" s="59" t="s">
        <v>57</v>
      </c>
      <c r="D32" s="62">
        <v>42132</v>
      </c>
      <c r="E32" s="59" t="s">
        <v>389</v>
      </c>
      <c r="F32" s="3">
        <v>5185</v>
      </c>
    </row>
    <row r="33" spans="1:6">
      <c r="A33" s="753" t="s">
        <v>107</v>
      </c>
      <c r="B33" s="59" t="s">
        <v>523</v>
      </c>
      <c r="C33" s="67" t="s">
        <v>5</v>
      </c>
      <c r="D33" s="62">
        <v>42158</v>
      </c>
      <c r="E33" s="67" t="s">
        <v>524</v>
      </c>
      <c r="F33" s="753"/>
    </row>
    <row r="34" spans="1:6">
      <c r="A34" s="753" t="s">
        <v>107</v>
      </c>
      <c r="B34" s="59" t="s">
        <v>534</v>
      </c>
      <c r="C34" s="67" t="s">
        <v>472</v>
      </c>
      <c r="D34" s="62">
        <v>42163</v>
      </c>
      <c r="E34" s="67" t="s">
        <v>533</v>
      </c>
      <c r="F34" s="753"/>
    </row>
  </sheetData>
  <autoFilter ref="A1:F1">
    <sortState ref="A2:F32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26" sqref="C26"/>
    </sheetView>
  </sheetViews>
  <sheetFormatPr baseColWidth="10" defaultRowHeight="15"/>
  <cols>
    <col min="2" max="2" width="33.42578125" bestFit="1" customWidth="1"/>
    <col min="4" max="4" width="20" bestFit="1" customWidth="1"/>
    <col min="5" max="5" width="19" bestFit="1" customWidth="1"/>
  </cols>
  <sheetData>
    <row r="1" spans="1:8" ht="19.5">
      <c r="A1" s="982" t="s">
        <v>144</v>
      </c>
      <c r="B1" s="982"/>
      <c r="C1" s="982"/>
      <c r="D1" s="982"/>
    </row>
    <row r="2" spans="1:8">
      <c r="E2" s="910"/>
    </row>
    <row r="3" spans="1:8">
      <c r="A3" s="59" t="s">
        <v>130</v>
      </c>
      <c r="B3" s="59" t="s">
        <v>51</v>
      </c>
      <c r="C3" s="59" t="s">
        <v>131</v>
      </c>
      <c r="D3" s="59" t="s">
        <v>132</v>
      </c>
      <c r="E3" s="910"/>
    </row>
    <row r="4" spans="1:8">
      <c r="A4" s="64"/>
      <c r="B4" s="59" t="s">
        <v>125</v>
      </c>
      <c r="C4" s="59">
        <v>390</v>
      </c>
      <c r="D4" s="59" t="s">
        <v>126</v>
      </c>
      <c r="E4" s="910"/>
      <c r="F4">
        <f>C4*E4</f>
        <v>0</v>
      </c>
    </row>
    <row r="5" spans="1:8">
      <c r="A5" s="64"/>
      <c r="B5" s="59" t="s">
        <v>127</v>
      </c>
      <c r="C5" s="59">
        <v>257</v>
      </c>
      <c r="D5" s="59" t="s">
        <v>126</v>
      </c>
      <c r="E5" s="910">
        <v>58</v>
      </c>
      <c r="F5">
        <f t="shared" ref="F5:F29" si="0">C5*E5</f>
        <v>14906</v>
      </c>
    </row>
    <row r="6" spans="1:8">
      <c r="A6" s="64"/>
      <c r="B6" s="59" t="s">
        <v>128</v>
      </c>
      <c r="C6" s="59">
        <v>123</v>
      </c>
      <c r="D6" s="59" t="s">
        <v>126</v>
      </c>
      <c r="E6" s="910">
        <v>50</v>
      </c>
      <c r="F6">
        <f t="shared" si="0"/>
        <v>6150</v>
      </c>
    </row>
    <row r="7" spans="1:8">
      <c r="A7" s="64"/>
      <c r="B7" s="59" t="s">
        <v>129</v>
      </c>
      <c r="C7" s="59"/>
      <c r="D7" s="59"/>
      <c r="E7" s="910"/>
      <c r="F7">
        <f t="shared" si="0"/>
        <v>0</v>
      </c>
    </row>
    <row r="8" spans="1:8">
      <c r="A8" s="67"/>
      <c r="B8" s="713" t="s">
        <v>137</v>
      </c>
      <c r="C8" s="59">
        <v>44</v>
      </c>
      <c r="D8" s="59" t="s">
        <v>138</v>
      </c>
      <c r="E8" s="910">
        <v>29</v>
      </c>
      <c r="F8">
        <f t="shared" si="0"/>
        <v>1276</v>
      </c>
    </row>
    <row r="9" spans="1:8">
      <c r="A9" s="66"/>
      <c r="B9" s="716" t="s">
        <v>141</v>
      </c>
      <c r="C9" s="715">
        <v>100</v>
      </c>
      <c r="D9" s="67" t="s">
        <v>139</v>
      </c>
      <c r="E9" s="910">
        <v>145</v>
      </c>
      <c r="F9">
        <f t="shared" si="0"/>
        <v>14500</v>
      </c>
    </row>
    <row r="10" spans="1:8">
      <c r="A10" s="891"/>
      <c r="B10" s="891" t="s">
        <v>142</v>
      </c>
      <c r="C10" s="892">
        <v>62</v>
      </c>
      <c r="D10" s="891" t="s">
        <v>140</v>
      </c>
      <c r="E10" s="910">
        <v>151</v>
      </c>
      <c r="F10">
        <f t="shared" si="0"/>
        <v>9362</v>
      </c>
    </row>
    <row r="11" spans="1:8">
      <c r="A11" s="891"/>
      <c r="B11" s="891" t="s">
        <v>143</v>
      </c>
      <c r="C11" s="892">
        <v>56</v>
      </c>
      <c r="D11" s="891" t="s">
        <v>126</v>
      </c>
      <c r="E11" s="910">
        <v>156</v>
      </c>
      <c r="F11">
        <f t="shared" si="0"/>
        <v>8736</v>
      </c>
    </row>
    <row r="12" spans="1:8">
      <c r="A12" s="68"/>
      <c r="B12" s="59" t="s">
        <v>145</v>
      </c>
      <c r="C12" s="59">
        <v>100</v>
      </c>
      <c r="D12" s="59" t="s">
        <v>147</v>
      </c>
      <c r="E12" s="910">
        <v>136</v>
      </c>
      <c r="F12">
        <f t="shared" si="0"/>
        <v>13600</v>
      </c>
    </row>
    <row r="13" spans="1:8">
      <c r="A13" s="68"/>
      <c r="B13" s="59" t="s">
        <v>146</v>
      </c>
      <c r="C13" s="59">
        <v>100</v>
      </c>
      <c r="D13" s="59" t="s">
        <v>147</v>
      </c>
      <c r="E13" s="910">
        <v>136</v>
      </c>
      <c r="F13">
        <f t="shared" si="0"/>
        <v>13600</v>
      </c>
    </row>
    <row r="14" spans="1:8">
      <c r="A14" s="65"/>
      <c r="B14" s="67" t="s">
        <v>882</v>
      </c>
      <c r="C14" s="28">
        <f>90+90</f>
        <v>180</v>
      </c>
      <c r="D14" s="67" t="s">
        <v>883</v>
      </c>
      <c r="E14" s="29">
        <v>39</v>
      </c>
      <c r="F14">
        <f t="shared" si="0"/>
        <v>7020</v>
      </c>
      <c r="H14">
        <f>0.185+0.055</f>
        <v>0.24</v>
      </c>
    </row>
    <row r="15" spans="1:8">
      <c r="A15" s="65"/>
      <c r="B15" s="67" t="s">
        <v>884</v>
      </c>
      <c r="C15" s="350">
        <v>137</v>
      </c>
      <c r="D15" s="67" t="s">
        <v>881</v>
      </c>
      <c r="E15" s="349"/>
    </row>
    <row r="16" spans="1:8">
      <c r="A16" s="65"/>
      <c r="B16" s="67" t="s">
        <v>885</v>
      </c>
      <c r="C16" s="28">
        <f>151+151</f>
        <v>302</v>
      </c>
      <c r="D16" s="67" t="s">
        <v>883</v>
      </c>
      <c r="E16" s="349">
        <v>25.89</v>
      </c>
      <c r="F16">
        <f t="shared" si="0"/>
        <v>7818.78</v>
      </c>
      <c r="H16">
        <v>0.157</v>
      </c>
    </row>
    <row r="17" spans="1:9">
      <c r="A17" s="65"/>
      <c r="B17" s="59" t="s">
        <v>133</v>
      </c>
      <c r="C17" s="28">
        <v>59</v>
      </c>
      <c r="D17" s="59" t="s">
        <v>134</v>
      </c>
      <c r="E17" s="29"/>
      <c r="F17">
        <f t="shared" si="0"/>
        <v>0</v>
      </c>
    </row>
    <row r="18" spans="1:9">
      <c r="A18" s="65"/>
      <c r="B18" s="59" t="s">
        <v>135</v>
      </c>
      <c r="C18" s="28">
        <v>129</v>
      </c>
      <c r="D18" s="59" t="s">
        <v>136</v>
      </c>
      <c r="E18" s="349">
        <v>50</v>
      </c>
      <c r="F18">
        <f t="shared" si="0"/>
        <v>6450</v>
      </c>
    </row>
    <row r="19" spans="1:9">
      <c r="A19" s="65"/>
      <c r="B19" s="59" t="s">
        <v>880</v>
      </c>
      <c r="C19" s="28">
        <v>117</v>
      </c>
      <c r="D19" s="59" t="s">
        <v>881</v>
      </c>
      <c r="E19" s="349"/>
      <c r="F19">
        <f t="shared" si="0"/>
        <v>0</v>
      </c>
    </row>
    <row r="20" spans="1:9">
      <c r="A20" s="65"/>
      <c r="B20" s="59" t="s">
        <v>163</v>
      </c>
      <c r="C20" s="28">
        <v>117</v>
      </c>
      <c r="D20" s="59" t="s">
        <v>1179</v>
      </c>
      <c r="E20" s="29">
        <v>45</v>
      </c>
      <c r="F20">
        <f t="shared" si="0"/>
        <v>5265</v>
      </c>
    </row>
    <row r="21" spans="1:9">
      <c r="A21" s="65"/>
      <c r="B21" s="59" t="s">
        <v>162</v>
      </c>
      <c r="C21" s="28">
        <v>131</v>
      </c>
      <c r="D21" s="59" t="s">
        <v>1179</v>
      </c>
      <c r="E21" s="29">
        <v>50</v>
      </c>
      <c r="F21">
        <f t="shared" si="0"/>
        <v>6550</v>
      </c>
    </row>
    <row r="22" spans="1:9">
      <c r="A22" s="67"/>
      <c r="B22" s="67" t="s">
        <v>1002</v>
      </c>
      <c r="C22" s="951">
        <v>220</v>
      </c>
      <c r="D22" s="67" t="s">
        <v>1001</v>
      </c>
      <c r="E22" s="910">
        <v>156</v>
      </c>
      <c r="F22">
        <f t="shared" si="0"/>
        <v>34320</v>
      </c>
    </row>
    <row r="23" spans="1:9">
      <c r="A23" s="59"/>
      <c r="B23" s="67" t="s">
        <v>29</v>
      </c>
      <c r="C23" s="59"/>
      <c r="D23" s="59"/>
      <c r="E23" s="910">
        <v>198</v>
      </c>
      <c r="F23">
        <f t="shared" si="0"/>
        <v>0</v>
      </c>
    </row>
    <row r="24" spans="1:9">
      <c r="A24" s="59"/>
      <c r="B24" s="67" t="s">
        <v>1177</v>
      </c>
      <c r="C24" s="872">
        <v>178</v>
      </c>
      <c r="D24" s="866">
        <v>42434</v>
      </c>
      <c r="E24" s="910">
        <v>130</v>
      </c>
      <c r="F24">
        <f t="shared" si="0"/>
        <v>23140</v>
      </c>
    </row>
    <row r="25" spans="1:9">
      <c r="A25" s="59"/>
      <c r="B25" s="67" t="s">
        <v>1176</v>
      </c>
      <c r="C25" s="872">
        <v>41</v>
      </c>
      <c r="D25" s="866" t="s">
        <v>580</v>
      </c>
      <c r="E25" s="910">
        <v>188.58</v>
      </c>
      <c r="F25">
        <f t="shared" si="0"/>
        <v>7731.7800000000007</v>
      </c>
    </row>
    <row r="26" spans="1:9">
      <c r="A26" s="59"/>
      <c r="B26" s="67" t="s">
        <v>1000</v>
      </c>
      <c r="C26" s="872">
        <v>91</v>
      </c>
      <c r="D26" s="866" t="s">
        <v>580</v>
      </c>
      <c r="E26" s="910">
        <v>88.75</v>
      </c>
      <c r="F26">
        <f t="shared" si="0"/>
        <v>8076.25</v>
      </c>
    </row>
    <row r="27" spans="1:9">
      <c r="A27" s="59"/>
      <c r="B27" s="67" t="s">
        <v>1205</v>
      </c>
      <c r="C27" s="67">
        <v>23</v>
      </c>
      <c r="D27" s="866">
        <v>42522</v>
      </c>
      <c r="F27">
        <f t="shared" si="0"/>
        <v>0</v>
      </c>
    </row>
    <row r="28" spans="1:9">
      <c r="A28" s="59"/>
      <c r="B28" s="67" t="s">
        <v>1206</v>
      </c>
      <c r="C28" s="67">
        <v>363</v>
      </c>
      <c r="D28" s="900" t="s">
        <v>1174</v>
      </c>
      <c r="F28">
        <f t="shared" si="0"/>
        <v>0</v>
      </c>
      <c r="I28">
        <v>237</v>
      </c>
    </row>
    <row r="29" spans="1:9">
      <c r="A29" s="59"/>
      <c r="B29" s="67" t="s">
        <v>1230</v>
      </c>
      <c r="C29" s="67">
        <f>886+37</f>
        <v>923</v>
      </c>
      <c r="D29" s="901">
        <v>42529</v>
      </c>
      <c r="F29">
        <f t="shared" si="0"/>
        <v>0</v>
      </c>
    </row>
    <row r="30" spans="1:9">
      <c r="F30" s="912">
        <f>SUM(F4:F29)</f>
        <v>188501.81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W90"/>
  <sheetViews>
    <sheetView zoomScale="85" zoomScaleNormal="85" workbookViewId="0">
      <pane xSplit="66" ySplit="5" topLeftCell="KD6" activePane="bottomRight" state="frozen"/>
      <selection pane="topRight" activeCell="BP1" sqref="BP1"/>
      <selection pane="bottomLeft" activeCell="A6" sqref="A6"/>
      <selection pane="bottomRight" activeCell="KU23" sqref="KU23"/>
    </sheetView>
  </sheetViews>
  <sheetFormatPr baseColWidth="10" defaultColWidth="3.7109375" defaultRowHeight="12.75"/>
  <cols>
    <col min="1" max="1" width="10.7109375" style="70" customWidth="1"/>
    <col min="2" max="2" width="26.42578125" style="71" bestFit="1" customWidth="1"/>
    <col min="3" max="3" width="9.5703125" style="72" customWidth="1"/>
    <col min="4" max="4" width="6.140625" style="72" customWidth="1"/>
    <col min="5" max="5" width="7.7109375" style="225" customWidth="1"/>
    <col min="6" max="6" width="5.7109375" style="72" customWidth="1"/>
    <col min="7" max="7" width="4.85546875" style="71" bestFit="1" customWidth="1"/>
    <col min="8" max="9" width="5.42578125" style="71" customWidth="1"/>
    <col min="10" max="10" width="4.85546875" style="71" bestFit="1" customWidth="1"/>
    <col min="11" max="11" width="4.85546875" style="71" customWidth="1"/>
    <col min="12" max="12" width="5.7109375" style="71" bestFit="1" customWidth="1"/>
    <col min="13" max="13" width="5.7109375" style="71" customWidth="1"/>
    <col min="14" max="14" width="10.85546875" style="72" customWidth="1"/>
    <col min="15" max="19" width="3" style="70" hidden="1" customWidth="1"/>
    <col min="20" max="20" width="3.140625" style="70" hidden="1" customWidth="1"/>
    <col min="21" max="22" width="4" style="70" hidden="1" customWidth="1"/>
    <col min="23" max="25" width="3.5703125" style="70" hidden="1" customWidth="1"/>
    <col min="26" max="26" width="4" style="70" hidden="1" customWidth="1"/>
    <col min="27" max="27" width="3.85546875" style="70" hidden="1" customWidth="1"/>
    <col min="28" max="29" width="4" style="70" hidden="1" customWidth="1"/>
    <col min="30" max="34" width="3.5703125" style="70" hidden="1" customWidth="1"/>
    <col min="35" max="35" width="0.140625" style="70" hidden="1" customWidth="1"/>
    <col min="36" max="49" width="3.140625" style="70" hidden="1" customWidth="1"/>
    <col min="50" max="65" width="0" style="70" hidden="1" customWidth="1"/>
    <col min="66" max="66" width="3.85546875" style="70" hidden="1" customWidth="1"/>
    <col min="67" max="159" width="0" style="70" hidden="1" customWidth="1"/>
    <col min="160" max="160" width="4.140625" style="70" hidden="1" customWidth="1"/>
    <col min="161" max="187" width="0" style="70" hidden="1" customWidth="1"/>
    <col min="188" max="188" width="3.7109375" style="70" hidden="1" customWidth="1"/>
    <col min="189" max="189" width="4.42578125" style="70" hidden="1" customWidth="1"/>
    <col min="190" max="190" width="4.7109375" style="70" hidden="1" customWidth="1"/>
    <col min="191" max="208" width="0" style="70" hidden="1" customWidth="1"/>
    <col min="209" max="209" width="4.140625" style="70" hidden="1" customWidth="1"/>
    <col min="210" max="219" width="0" style="70" hidden="1" customWidth="1"/>
    <col min="220" max="220" width="4.140625" style="70" hidden="1" customWidth="1"/>
    <col min="221" max="222" width="0" style="70" hidden="1" customWidth="1"/>
    <col min="223" max="223" width="4.140625" style="70" hidden="1" customWidth="1"/>
    <col min="224" max="224" width="0" style="70" hidden="1" customWidth="1"/>
    <col min="225" max="225" width="4.140625" style="70" hidden="1" customWidth="1"/>
    <col min="226" max="228" width="0" style="70" hidden="1" customWidth="1"/>
    <col min="229" max="229" width="4.140625" style="70" hidden="1" customWidth="1"/>
    <col min="230" max="245" width="0" style="70" hidden="1" customWidth="1"/>
    <col min="246" max="246" width="3.42578125" style="70" hidden="1" customWidth="1"/>
    <col min="247" max="266" width="3.140625" style="70" hidden="1" customWidth="1"/>
    <col min="267" max="268" width="3.5703125" style="70" hidden="1" customWidth="1"/>
    <col min="269" max="273" width="3" style="70" hidden="1" customWidth="1"/>
    <col min="274" max="274" width="3.140625" style="70" hidden="1" customWidth="1"/>
    <col min="275" max="289" width="3.5703125" style="70" hidden="1" customWidth="1"/>
    <col min="290" max="303" width="3.140625" style="70" bestFit="1" customWidth="1"/>
    <col min="304" max="497" width="3.7109375" style="70"/>
    <col min="498" max="498" width="15.7109375" style="70" customWidth="1"/>
    <col min="499" max="499" width="23.5703125" style="70" customWidth="1"/>
    <col min="500" max="500" width="10.140625" style="70" customWidth="1"/>
    <col min="501" max="501" width="9.42578125" style="70" bestFit="1" customWidth="1"/>
    <col min="502" max="502" width="9.7109375" style="70" customWidth="1"/>
    <col min="503" max="508" width="3.140625" style="70" bestFit="1" customWidth="1"/>
    <col min="509" max="522" width="3.140625" style="70" customWidth="1"/>
    <col min="523" max="524" width="3.5703125" style="70" bestFit="1" customWidth="1"/>
    <col min="525" max="529" width="3" style="70" bestFit="1" customWidth="1"/>
    <col min="530" max="530" width="3.140625" style="70" bestFit="1" customWidth="1"/>
    <col min="531" max="545" width="3.5703125" style="70" bestFit="1" customWidth="1"/>
    <col min="546" max="559" width="3.140625" style="70" bestFit="1" customWidth="1"/>
    <col min="560" max="753" width="3.7109375" style="70"/>
    <col min="754" max="754" width="15.7109375" style="70" customWidth="1"/>
    <col min="755" max="755" width="23.5703125" style="70" customWidth="1"/>
    <col min="756" max="756" width="10.140625" style="70" customWidth="1"/>
    <col min="757" max="757" width="9.42578125" style="70" bestFit="1" customWidth="1"/>
    <col min="758" max="758" width="9.7109375" style="70" customWidth="1"/>
    <col min="759" max="764" width="3.140625" style="70" bestFit="1" customWidth="1"/>
    <col min="765" max="778" width="3.140625" style="70" customWidth="1"/>
    <col min="779" max="780" width="3.5703125" style="70" bestFit="1" customWidth="1"/>
    <col min="781" max="785" width="3" style="70" bestFit="1" customWidth="1"/>
    <col min="786" max="786" width="3.140625" style="70" bestFit="1" customWidth="1"/>
    <col min="787" max="801" width="3.5703125" style="70" bestFit="1" customWidth="1"/>
    <col min="802" max="815" width="3.140625" style="70" bestFit="1" customWidth="1"/>
    <col min="816" max="1009" width="3.7109375" style="70"/>
    <col min="1010" max="1010" width="15.7109375" style="70" customWidth="1"/>
    <col min="1011" max="1011" width="23.5703125" style="70" customWidth="1"/>
    <col min="1012" max="1012" width="10.140625" style="70" customWidth="1"/>
    <col min="1013" max="1013" width="9.42578125" style="70" bestFit="1" customWidth="1"/>
    <col min="1014" max="1014" width="9.7109375" style="70" customWidth="1"/>
    <col min="1015" max="1020" width="3.140625" style="70" bestFit="1" customWidth="1"/>
    <col min="1021" max="1034" width="3.140625" style="70" customWidth="1"/>
    <col min="1035" max="1036" width="3.5703125" style="70" bestFit="1" customWidth="1"/>
    <col min="1037" max="1041" width="3" style="70" bestFit="1" customWidth="1"/>
    <col min="1042" max="1042" width="3.140625" style="70" bestFit="1" customWidth="1"/>
    <col min="1043" max="1057" width="3.5703125" style="70" bestFit="1" customWidth="1"/>
    <col min="1058" max="1071" width="3.140625" style="70" bestFit="1" customWidth="1"/>
    <col min="1072" max="1265" width="3.7109375" style="70"/>
    <col min="1266" max="1266" width="15.7109375" style="70" customWidth="1"/>
    <col min="1267" max="1267" width="23.5703125" style="70" customWidth="1"/>
    <col min="1268" max="1268" width="10.140625" style="70" customWidth="1"/>
    <col min="1269" max="1269" width="9.42578125" style="70" bestFit="1" customWidth="1"/>
    <col min="1270" max="1270" width="9.7109375" style="70" customWidth="1"/>
    <col min="1271" max="1276" width="3.140625" style="70" bestFit="1" customWidth="1"/>
    <col min="1277" max="1290" width="3.140625" style="70" customWidth="1"/>
    <col min="1291" max="1292" width="3.5703125" style="70" bestFit="1" customWidth="1"/>
    <col min="1293" max="1297" width="3" style="70" bestFit="1" customWidth="1"/>
    <col min="1298" max="1298" width="3.140625" style="70" bestFit="1" customWidth="1"/>
    <col min="1299" max="1313" width="3.5703125" style="70" bestFit="1" customWidth="1"/>
    <col min="1314" max="1327" width="3.140625" style="70" bestFit="1" customWidth="1"/>
    <col min="1328" max="1521" width="3.7109375" style="70"/>
    <col min="1522" max="1522" width="15.7109375" style="70" customWidth="1"/>
    <col min="1523" max="1523" width="23.5703125" style="70" customWidth="1"/>
    <col min="1524" max="1524" width="10.140625" style="70" customWidth="1"/>
    <col min="1525" max="1525" width="9.42578125" style="70" bestFit="1" customWidth="1"/>
    <col min="1526" max="1526" width="9.7109375" style="70" customWidth="1"/>
    <col min="1527" max="1532" width="3.140625" style="70" bestFit="1" customWidth="1"/>
    <col min="1533" max="1546" width="3.140625" style="70" customWidth="1"/>
    <col min="1547" max="1548" width="3.5703125" style="70" bestFit="1" customWidth="1"/>
    <col min="1549" max="1553" width="3" style="70" bestFit="1" customWidth="1"/>
    <col min="1554" max="1554" width="3.140625" style="70" bestFit="1" customWidth="1"/>
    <col min="1555" max="1569" width="3.5703125" style="70" bestFit="1" customWidth="1"/>
    <col min="1570" max="1583" width="3.140625" style="70" bestFit="1" customWidth="1"/>
    <col min="1584" max="1777" width="3.7109375" style="70"/>
    <col min="1778" max="1778" width="15.7109375" style="70" customWidth="1"/>
    <col min="1779" max="1779" width="23.5703125" style="70" customWidth="1"/>
    <col min="1780" max="1780" width="10.140625" style="70" customWidth="1"/>
    <col min="1781" max="1781" width="9.42578125" style="70" bestFit="1" customWidth="1"/>
    <col min="1782" max="1782" width="9.7109375" style="70" customWidth="1"/>
    <col min="1783" max="1788" width="3.140625" style="70" bestFit="1" customWidth="1"/>
    <col min="1789" max="1802" width="3.140625" style="70" customWidth="1"/>
    <col min="1803" max="1804" width="3.5703125" style="70" bestFit="1" customWidth="1"/>
    <col min="1805" max="1809" width="3" style="70" bestFit="1" customWidth="1"/>
    <col min="1810" max="1810" width="3.140625" style="70" bestFit="1" customWidth="1"/>
    <col min="1811" max="1825" width="3.5703125" style="70" bestFit="1" customWidth="1"/>
    <col min="1826" max="1839" width="3.140625" style="70" bestFit="1" customWidth="1"/>
    <col min="1840" max="2033" width="3.7109375" style="70"/>
    <col min="2034" max="2034" width="15.7109375" style="70" customWidth="1"/>
    <col min="2035" max="2035" width="23.5703125" style="70" customWidth="1"/>
    <col min="2036" max="2036" width="10.140625" style="70" customWidth="1"/>
    <col min="2037" max="2037" width="9.42578125" style="70" bestFit="1" customWidth="1"/>
    <col min="2038" max="2038" width="9.7109375" style="70" customWidth="1"/>
    <col min="2039" max="2044" width="3.140625" style="70" bestFit="1" customWidth="1"/>
    <col min="2045" max="2058" width="3.140625" style="70" customWidth="1"/>
    <col min="2059" max="2060" width="3.5703125" style="70" bestFit="1" customWidth="1"/>
    <col min="2061" max="2065" width="3" style="70" bestFit="1" customWidth="1"/>
    <col min="2066" max="2066" width="3.140625" style="70" bestFit="1" customWidth="1"/>
    <col min="2067" max="2081" width="3.5703125" style="70" bestFit="1" customWidth="1"/>
    <col min="2082" max="2095" width="3.140625" style="70" bestFit="1" customWidth="1"/>
    <col min="2096" max="2289" width="3.7109375" style="70"/>
    <col min="2290" max="2290" width="15.7109375" style="70" customWidth="1"/>
    <col min="2291" max="2291" width="23.5703125" style="70" customWidth="1"/>
    <col min="2292" max="2292" width="10.140625" style="70" customWidth="1"/>
    <col min="2293" max="2293" width="9.42578125" style="70" bestFit="1" customWidth="1"/>
    <col min="2294" max="2294" width="9.7109375" style="70" customWidth="1"/>
    <col min="2295" max="2300" width="3.140625" style="70" bestFit="1" customWidth="1"/>
    <col min="2301" max="2314" width="3.140625" style="70" customWidth="1"/>
    <col min="2315" max="2316" width="3.5703125" style="70" bestFit="1" customWidth="1"/>
    <col min="2317" max="2321" width="3" style="70" bestFit="1" customWidth="1"/>
    <col min="2322" max="2322" width="3.140625" style="70" bestFit="1" customWidth="1"/>
    <col min="2323" max="2337" width="3.5703125" style="70" bestFit="1" customWidth="1"/>
    <col min="2338" max="2351" width="3.140625" style="70" bestFit="1" customWidth="1"/>
    <col min="2352" max="2545" width="3.7109375" style="70"/>
    <col min="2546" max="2546" width="15.7109375" style="70" customWidth="1"/>
    <col min="2547" max="2547" width="23.5703125" style="70" customWidth="1"/>
    <col min="2548" max="2548" width="10.140625" style="70" customWidth="1"/>
    <col min="2549" max="2549" width="9.42578125" style="70" bestFit="1" customWidth="1"/>
    <col min="2550" max="2550" width="9.7109375" style="70" customWidth="1"/>
    <col min="2551" max="2556" width="3.140625" style="70" bestFit="1" customWidth="1"/>
    <col min="2557" max="2570" width="3.140625" style="70" customWidth="1"/>
    <col min="2571" max="2572" width="3.5703125" style="70" bestFit="1" customWidth="1"/>
    <col min="2573" max="2577" width="3" style="70" bestFit="1" customWidth="1"/>
    <col min="2578" max="2578" width="3.140625" style="70" bestFit="1" customWidth="1"/>
    <col min="2579" max="2593" width="3.5703125" style="70" bestFit="1" customWidth="1"/>
    <col min="2594" max="2607" width="3.140625" style="70" bestFit="1" customWidth="1"/>
    <col min="2608" max="2801" width="3.7109375" style="70"/>
    <col min="2802" max="2802" width="15.7109375" style="70" customWidth="1"/>
    <col min="2803" max="2803" width="23.5703125" style="70" customWidth="1"/>
    <col min="2804" max="2804" width="10.140625" style="70" customWidth="1"/>
    <col min="2805" max="2805" width="9.42578125" style="70" bestFit="1" customWidth="1"/>
    <col min="2806" max="2806" width="9.7109375" style="70" customWidth="1"/>
    <col min="2807" max="2812" width="3.140625" style="70" bestFit="1" customWidth="1"/>
    <col min="2813" max="2826" width="3.140625" style="70" customWidth="1"/>
    <col min="2827" max="2828" width="3.5703125" style="70" bestFit="1" customWidth="1"/>
    <col min="2829" max="2833" width="3" style="70" bestFit="1" customWidth="1"/>
    <col min="2834" max="2834" width="3.140625" style="70" bestFit="1" customWidth="1"/>
    <col min="2835" max="2849" width="3.5703125" style="70" bestFit="1" customWidth="1"/>
    <col min="2850" max="2863" width="3.140625" style="70" bestFit="1" customWidth="1"/>
    <col min="2864" max="3057" width="3.7109375" style="70"/>
    <col min="3058" max="3058" width="15.7109375" style="70" customWidth="1"/>
    <col min="3059" max="3059" width="23.5703125" style="70" customWidth="1"/>
    <col min="3060" max="3060" width="10.140625" style="70" customWidth="1"/>
    <col min="3061" max="3061" width="9.42578125" style="70" bestFit="1" customWidth="1"/>
    <col min="3062" max="3062" width="9.7109375" style="70" customWidth="1"/>
    <col min="3063" max="3068" width="3.140625" style="70" bestFit="1" customWidth="1"/>
    <col min="3069" max="3082" width="3.140625" style="70" customWidth="1"/>
    <col min="3083" max="3084" width="3.5703125" style="70" bestFit="1" customWidth="1"/>
    <col min="3085" max="3089" width="3" style="70" bestFit="1" customWidth="1"/>
    <col min="3090" max="3090" width="3.140625" style="70" bestFit="1" customWidth="1"/>
    <col min="3091" max="3105" width="3.5703125" style="70" bestFit="1" customWidth="1"/>
    <col min="3106" max="3119" width="3.140625" style="70" bestFit="1" customWidth="1"/>
    <col min="3120" max="3313" width="3.7109375" style="70"/>
    <col min="3314" max="3314" width="15.7109375" style="70" customWidth="1"/>
    <col min="3315" max="3315" width="23.5703125" style="70" customWidth="1"/>
    <col min="3316" max="3316" width="10.140625" style="70" customWidth="1"/>
    <col min="3317" max="3317" width="9.42578125" style="70" bestFit="1" customWidth="1"/>
    <col min="3318" max="3318" width="9.7109375" style="70" customWidth="1"/>
    <col min="3319" max="3324" width="3.140625" style="70" bestFit="1" customWidth="1"/>
    <col min="3325" max="3338" width="3.140625" style="70" customWidth="1"/>
    <col min="3339" max="3340" width="3.5703125" style="70" bestFit="1" customWidth="1"/>
    <col min="3341" max="3345" width="3" style="70" bestFit="1" customWidth="1"/>
    <col min="3346" max="3346" width="3.140625" style="70" bestFit="1" customWidth="1"/>
    <col min="3347" max="3361" width="3.5703125" style="70" bestFit="1" customWidth="1"/>
    <col min="3362" max="3375" width="3.140625" style="70" bestFit="1" customWidth="1"/>
    <col min="3376" max="3569" width="3.7109375" style="70"/>
    <col min="3570" max="3570" width="15.7109375" style="70" customWidth="1"/>
    <col min="3571" max="3571" width="23.5703125" style="70" customWidth="1"/>
    <col min="3572" max="3572" width="10.140625" style="70" customWidth="1"/>
    <col min="3573" max="3573" width="9.42578125" style="70" bestFit="1" customWidth="1"/>
    <col min="3574" max="3574" width="9.7109375" style="70" customWidth="1"/>
    <col min="3575" max="3580" width="3.140625" style="70" bestFit="1" customWidth="1"/>
    <col min="3581" max="3594" width="3.140625" style="70" customWidth="1"/>
    <col min="3595" max="3596" width="3.5703125" style="70" bestFit="1" customWidth="1"/>
    <col min="3597" max="3601" width="3" style="70" bestFit="1" customWidth="1"/>
    <col min="3602" max="3602" width="3.140625" style="70" bestFit="1" customWidth="1"/>
    <col min="3603" max="3617" width="3.5703125" style="70" bestFit="1" customWidth="1"/>
    <col min="3618" max="3631" width="3.140625" style="70" bestFit="1" customWidth="1"/>
    <col min="3632" max="3825" width="3.7109375" style="70"/>
    <col min="3826" max="3826" width="15.7109375" style="70" customWidth="1"/>
    <col min="3827" max="3827" width="23.5703125" style="70" customWidth="1"/>
    <col min="3828" max="3828" width="10.140625" style="70" customWidth="1"/>
    <col min="3829" max="3829" width="9.42578125" style="70" bestFit="1" customWidth="1"/>
    <col min="3830" max="3830" width="9.7109375" style="70" customWidth="1"/>
    <col min="3831" max="3836" width="3.140625" style="70" bestFit="1" customWidth="1"/>
    <col min="3837" max="3850" width="3.140625" style="70" customWidth="1"/>
    <col min="3851" max="3852" width="3.5703125" style="70" bestFit="1" customWidth="1"/>
    <col min="3853" max="3857" width="3" style="70" bestFit="1" customWidth="1"/>
    <col min="3858" max="3858" width="3.140625" style="70" bestFit="1" customWidth="1"/>
    <col min="3859" max="3873" width="3.5703125" style="70" bestFit="1" customWidth="1"/>
    <col min="3874" max="3887" width="3.140625" style="70" bestFit="1" customWidth="1"/>
    <col min="3888" max="4081" width="3.7109375" style="70"/>
    <col min="4082" max="4082" width="15.7109375" style="70" customWidth="1"/>
    <col min="4083" max="4083" width="23.5703125" style="70" customWidth="1"/>
    <col min="4084" max="4084" width="10.140625" style="70" customWidth="1"/>
    <col min="4085" max="4085" width="9.42578125" style="70" bestFit="1" customWidth="1"/>
    <col min="4086" max="4086" width="9.7109375" style="70" customWidth="1"/>
    <col min="4087" max="4092" width="3.140625" style="70" bestFit="1" customWidth="1"/>
    <col min="4093" max="4106" width="3.140625" style="70" customWidth="1"/>
    <col min="4107" max="4108" width="3.5703125" style="70" bestFit="1" customWidth="1"/>
    <col min="4109" max="4113" width="3" style="70" bestFit="1" customWidth="1"/>
    <col min="4114" max="4114" width="3.140625" style="70" bestFit="1" customWidth="1"/>
    <col min="4115" max="4129" width="3.5703125" style="70" bestFit="1" customWidth="1"/>
    <col min="4130" max="4143" width="3.140625" style="70" bestFit="1" customWidth="1"/>
    <col min="4144" max="4337" width="3.7109375" style="70"/>
    <col min="4338" max="4338" width="15.7109375" style="70" customWidth="1"/>
    <col min="4339" max="4339" width="23.5703125" style="70" customWidth="1"/>
    <col min="4340" max="4340" width="10.140625" style="70" customWidth="1"/>
    <col min="4341" max="4341" width="9.42578125" style="70" bestFit="1" customWidth="1"/>
    <col min="4342" max="4342" width="9.7109375" style="70" customWidth="1"/>
    <col min="4343" max="4348" width="3.140625" style="70" bestFit="1" customWidth="1"/>
    <col min="4349" max="4362" width="3.140625" style="70" customWidth="1"/>
    <col min="4363" max="4364" width="3.5703125" style="70" bestFit="1" customWidth="1"/>
    <col min="4365" max="4369" width="3" style="70" bestFit="1" customWidth="1"/>
    <col min="4370" max="4370" width="3.140625" style="70" bestFit="1" customWidth="1"/>
    <col min="4371" max="4385" width="3.5703125" style="70" bestFit="1" customWidth="1"/>
    <col min="4386" max="4399" width="3.140625" style="70" bestFit="1" customWidth="1"/>
    <col min="4400" max="4593" width="3.7109375" style="70"/>
    <col min="4594" max="4594" width="15.7109375" style="70" customWidth="1"/>
    <col min="4595" max="4595" width="23.5703125" style="70" customWidth="1"/>
    <col min="4596" max="4596" width="10.140625" style="70" customWidth="1"/>
    <col min="4597" max="4597" width="9.42578125" style="70" bestFit="1" customWidth="1"/>
    <col min="4598" max="4598" width="9.7109375" style="70" customWidth="1"/>
    <col min="4599" max="4604" width="3.140625" style="70" bestFit="1" customWidth="1"/>
    <col min="4605" max="4618" width="3.140625" style="70" customWidth="1"/>
    <col min="4619" max="4620" width="3.5703125" style="70" bestFit="1" customWidth="1"/>
    <col min="4621" max="4625" width="3" style="70" bestFit="1" customWidth="1"/>
    <col min="4626" max="4626" width="3.140625" style="70" bestFit="1" customWidth="1"/>
    <col min="4627" max="4641" width="3.5703125" style="70" bestFit="1" customWidth="1"/>
    <col min="4642" max="4655" width="3.140625" style="70" bestFit="1" customWidth="1"/>
    <col min="4656" max="4849" width="3.7109375" style="70"/>
    <col min="4850" max="4850" width="15.7109375" style="70" customWidth="1"/>
    <col min="4851" max="4851" width="23.5703125" style="70" customWidth="1"/>
    <col min="4852" max="4852" width="10.140625" style="70" customWidth="1"/>
    <col min="4853" max="4853" width="9.42578125" style="70" bestFit="1" customWidth="1"/>
    <col min="4854" max="4854" width="9.7109375" style="70" customWidth="1"/>
    <col min="4855" max="4860" width="3.140625" style="70" bestFit="1" customWidth="1"/>
    <col min="4861" max="4874" width="3.140625" style="70" customWidth="1"/>
    <col min="4875" max="4876" width="3.5703125" style="70" bestFit="1" customWidth="1"/>
    <col min="4877" max="4881" width="3" style="70" bestFit="1" customWidth="1"/>
    <col min="4882" max="4882" width="3.140625" style="70" bestFit="1" customWidth="1"/>
    <col min="4883" max="4897" width="3.5703125" style="70" bestFit="1" customWidth="1"/>
    <col min="4898" max="4911" width="3.140625" style="70" bestFit="1" customWidth="1"/>
    <col min="4912" max="5105" width="3.7109375" style="70"/>
    <col min="5106" max="5106" width="15.7109375" style="70" customWidth="1"/>
    <col min="5107" max="5107" width="23.5703125" style="70" customWidth="1"/>
    <col min="5108" max="5108" width="10.140625" style="70" customWidth="1"/>
    <col min="5109" max="5109" width="9.42578125" style="70" bestFit="1" customWidth="1"/>
    <col min="5110" max="5110" width="9.7109375" style="70" customWidth="1"/>
    <col min="5111" max="5116" width="3.140625" style="70" bestFit="1" customWidth="1"/>
    <col min="5117" max="5130" width="3.140625" style="70" customWidth="1"/>
    <col min="5131" max="5132" width="3.5703125" style="70" bestFit="1" customWidth="1"/>
    <col min="5133" max="5137" width="3" style="70" bestFit="1" customWidth="1"/>
    <col min="5138" max="5138" width="3.140625" style="70" bestFit="1" customWidth="1"/>
    <col min="5139" max="5153" width="3.5703125" style="70" bestFit="1" customWidth="1"/>
    <col min="5154" max="5167" width="3.140625" style="70" bestFit="1" customWidth="1"/>
    <col min="5168" max="5361" width="3.7109375" style="70"/>
    <col min="5362" max="5362" width="15.7109375" style="70" customWidth="1"/>
    <col min="5363" max="5363" width="23.5703125" style="70" customWidth="1"/>
    <col min="5364" max="5364" width="10.140625" style="70" customWidth="1"/>
    <col min="5365" max="5365" width="9.42578125" style="70" bestFit="1" customWidth="1"/>
    <col min="5366" max="5366" width="9.7109375" style="70" customWidth="1"/>
    <col min="5367" max="5372" width="3.140625" style="70" bestFit="1" customWidth="1"/>
    <col min="5373" max="5386" width="3.140625" style="70" customWidth="1"/>
    <col min="5387" max="5388" width="3.5703125" style="70" bestFit="1" customWidth="1"/>
    <col min="5389" max="5393" width="3" style="70" bestFit="1" customWidth="1"/>
    <col min="5394" max="5394" width="3.140625" style="70" bestFit="1" customWidth="1"/>
    <col min="5395" max="5409" width="3.5703125" style="70" bestFit="1" customWidth="1"/>
    <col min="5410" max="5423" width="3.140625" style="70" bestFit="1" customWidth="1"/>
    <col min="5424" max="5617" width="3.7109375" style="70"/>
    <col min="5618" max="5618" width="15.7109375" style="70" customWidth="1"/>
    <col min="5619" max="5619" width="23.5703125" style="70" customWidth="1"/>
    <col min="5620" max="5620" width="10.140625" style="70" customWidth="1"/>
    <col min="5621" max="5621" width="9.42578125" style="70" bestFit="1" customWidth="1"/>
    <col min="5622" max="5622" width="9.7109375" style="70" customWidth="1"/>
    <col min="5623" max="5628" width="3.140625" style="70" bestFit="1" customWidth="1"/>
    <col min="5629" max="5642" width="3.140625" style="70" customWidth="1"/>
    <col min="5643" max="5644" width="3.5703125" style="70" bestFit="1" customWidth="1"/>
    <col min="5645" max="5649" width="3" style="70" bestFit="1" customWidth="1"/>
    <col min="5650" max="5650" width="3.140625" style="70" bestFit="1" customWidth="1"/>
    <col min="5651" max="5665" width="3.5703125" style="70" bestFit="1" customWidth="1"/>
    <col min="5666" max="5679" width="3.140625" style="70" bestFit="1" customWidth="1"/>
    <col min="5680" max="5873" width="3.7109375" style="70"/>
    <col min="5874" max="5874" width="15.7109375" style="70" customWidth="1"/>
    <col min="5875" max="5875" width="23.5703125" style="70" customWidth="1"/>
    <col min="5876" max="5876" width="10.140625" style="70" customWidth="1"/>
    <col min="5877" max="5877" width="9.42578125" style="70" bestFit="1" customWidth="1"/>
    <col min="5878" max="5878" width="9.7109375" style="70" customWidth="1"/>
    <col min="5879" max="5884" width="3.140625" style="70" bestFit="1" customWidth="1"/>
    <col min="5885" max="5898" width="3.140625" style="70" customWidth="1"/>
    <col min="5899" max="5900" width="3.5703125" style="70" bestFit="1" customWidth="1"/>
    <col min="5901" max="5905" width="3" style="70" bestFit="1" customWidth="1"/>
    <col min="5906" max="5906" width="3.140625" style="70" bestFit="1" customWidth="1"/>
    <col min="5907" max="5921" width="3.5703125" style="70" bestFit="1" customWidth="1"/>
    <col min="5922" max="5935" width="3.140625" style="70" bestFit="1" customWidth="1"/>
    <col min="5936" max="6129" width="3.7109375" style="70"/>
    <col min="6130" max="6130" width="15.7109375" style="70" customWidth="1"/>
    <col min="6131" max="6131" width="23.5703125" style="70" customWidth="1"/>
    <col min="6132" max="6132" width="10.140625" style="70" customWidth="1"/>
    <col min="6133" max="6133" width="9.42578125" style="70" bestFit="1" customWidth="1"/>
    <col min="6134" max="6134" width="9.7109375" style="70" customWidth="1"/>
    <col min="6135" max="6140" width="3.140625" style="70" bestFit="1" customWidth="1"/>
    <col min="6141" max="6154" width="3.140625" style="70" customWidth="1"/>
    <col min="6155" max="6156" width="3.5703125" style="70" bestFit="1" customWidth="1"/>
    <col min="6157" max="6161" width="3" style="70" bestFit="1" customWidth="1"/>
    <col min="6162" max="6162" width="3.140625" style="70" bestFit="1" customWidth="1"/>
    <col min="6163" max="6177" width="3.5703125" style="70" bestFit="1" customWidth="1"/>
    <col min="6178" max="6191" width="3.140625" style="70" bestFit="1" customWidth="1"/>
    <col min="6192" max="6385" width="3.7109375" style="70"/>
    <col min="6386" max="6386" width="15.7109375" style="70" customWidth="1"/>
    <col min="6387" max="6387" width="23.5703125" style="70" customWidth="1"/>
    <col min="6388" max="6388" width="10.140625" style="70" customWidth="1"/>
    <col min="6389" max="6389" width="9.42578125" style="70" bestFit="1" customWidth="1"/>
    <col min="6390" max="6390" width="9.7109375" style="70" customWidth="1"/>
    <col min="6391" max="6396" width="3.140625" style="70" bestFit="1" customWidth="1"/>
    <col min="6397" max="6410" width="3.140625" style="70" customWidth="1"/>
    <col min="6411" max="6412" width="3.5703125" style="70" bestFit="1" customWidth="1"/>
    <col min="6413" max="6417" width="3" style="70" bestFit="1" customWidth="1"/>
    <col min="6418" max="6418" width="3.140625" style="70" bestFit="1" customWidth="1"/>
    <col min="6419" max="6433" width="3.5703125" style="70" bestFit="1" customWidth="1"/>
    <col min="6434" max="6447" width="3.140625" style="70" bestFit="1" customWidth="1"/>
    <col min="6448" max="6641" width="3.7109375" style="70"/>
    <col min="6642" max="6642" width="15.7109375" style="70" customWidth="1"/>
    <col min="6643" max="6643" width="23.5703125" style="70" customWidth="1"/>
    <col min="6644" max="6644" width="10.140625" style="70" customWidth="1"/>
    <col min="6645" max="6645" width="9.42578125" style="70" bestFit="1" customWidth="1"/>
    <col min="6646" max="6646" width="9.7109375" style="70" customWidth="1"/>
    <col min="6647" max="6652" width="3.140625" style="70" bestFit="1" customWidth="1"/>
    <col min="6653" max="6666" width="3.140625" style="70" customWidth="1"/>
    <col min="6667" max="6668" width="3.5703125" style="70" bestFit="1" customWidth="1"/>
    <col min="6669" max="6673" width="3" style="70" bestFit="1" customWidth="1"/>
    <col min="6674" max="6674" width="3.140625" style="70" bestFit="1" customWidth="1"/>
    <col min="6675" max="6689" width="3.5703125" style="70" bestFit="1" customWidth="1"/>
    <col min="6690" max="6703" width="3.140625" style="70" bestFit="1" customWidth="1"/>
    <col min="6704" max="6897" width="3.7109375" style="70"/>
    <col min="6898" max="6898" width="15.7109375" style="70" customWidth="1"/>
    <col min="6899" max="6899" width="23.5703125" style="70" customWidth="1"/>
    <col min="6900" max="6900" width="10.140625" style="70" customWidth="1"/>
    <col min="6901" max="6901" width="9.42578125" style="70" bestFit="1" customWidth="1"/>
    <col min="6902" max="6902" width="9.7109375" style="70" customWidth="1"/>
    <col min="6903" max="6908" width="3.140625" style="70" bestFit="1" customWidth="1"/>
    <col min="6909" max="6922" width="3.140625" style="70" customWidth="1"/>
    <col min="6923" max="6924" width="3.5703125" style="70" bestFit="1" customWidth="1"/>
    <col min="6925" max="6929" width="3" style="70" bestFit="1" customWidth="1"/>
    <col min="6930" max="6930" width="3.140625" style="70" bestFit="1" customWidth="1"/>
    <col min="6931" max="6945" width="3.5703125" style="70" bestFit="1" customWidth="1"/>
    <col min="6946" max="6959" width="3.140625" style="70" bestFit="1" customWidth="1"/>
    <col min="6960" max="7153" width="3.7109375" style="70"/>
    <col min="7154" max="7154" width="15.7109375" style="70" customWidth="1"/>
    <col min="7155" max="7155" width="23.5703125" style="70" customWidth="1"/>
    <col min="7156" max="7156" width="10.140625" style="70" customWidth="1"/>
    <col min="7157" max="7157" width="9.42578125" style="70" bestFit="1" customWidth="1"/>
    <col min="7158" max="7158" width="9.7109375" style="70" customWidth="1"/>
    <col min="7159" max="7164" width="3.140625" style="70" bestFit="1" customWidth="1"/>
    <col min="7165" max="7178" width="3.140625" style="70" customWidth="1"/>
    <col min="7179" max="7180" width="3.5703125" style="70" bestFit="1" customWidth="1"/>
    <col min="7181" max="7185" width="3" style="70" bestFit="1" customWidth="1"/>
    <col min="7186" max="7186" width="3.140625" style="70" bestFit="1" customWidth="1"/>
    <col min="7187" max="7201" width="3.5703125" style="70" bestFit="1" customWidth="1"/>
    <col min="7202" max="7215" width="3.140625" style="70" bestFit="1" customWidth="1"/>
    <col min="7216" max="7409" width="3.7109375" style="70"/>
    <col min="7410" max="7410" width="15.7109375" style="70" customWidth="1"/>
    <col min="7411" max="7411" width="23.5703125" style="70" customWidth="1"/>
    <col min="7412" max="7412" width="10.140625" style="70" customWidth="1"/>
    <col min="7413" max="7413" width="9.42578125" style="70" bestFit="1" customWidth="1"/>
    <col min="7414" max="7414" width="9.7109375" style="70" customWidth="1"/>
    <col min="7415" max="7420" width="3.140625" style="70" bestFit="1" customWidth="1"/>
    <col min="7421" max="7434" width="3.140625" style="70" customWidth="1"/>
    <col min="7435" max="7436" width="3.5703125" style="70" bestFit="1" customWidth="1"/>
    <col min="7437" max="7441" width="3" style="70" bestFit="1" customWidth="1"/>
    <col min="7442" max="7442" width="3.140625" style="70" bestFit="1" customWidth="1"/>
    <col min="7443" max="7457" width="3.5703125" style="70" bestFit="1" customWidth="1"/>
    <col min="7458" max="7471" width="3.140625" style="70" bestFit="1" customWidth="1"/>
    <col min="7472" max="7665" width="3.7109375" style="70"/>
    <col min="7666" max="7666" width="15.7109375" style="70" customWidth="1"/>
    <col min="7667" max="7667" width="23.5703125" style="70" customWidth="1"/>
    <col min="7668" max="7668" width="10.140625" style="70" customWidth="1"/>
    <col min="7669" max="7669" width="9.42578125" style="70" bestFit="1" customWidth="1"/>
    <col min="7670" max="7670" width="9.7109375" style="70" customWidth="1"/>
    <col min="7671" max="7676" width="3.140625" style="70" bestFit="1" customWidth="1"/>
    <col min="7677" max="7690" width="3.140625" style="70" customWidth="1"/>
    <col min="7691" max="7692" width="3.5703125" style="70" bestFit="1" customWidth="1"/>
    <col min="7693" max="7697" width="3" style="70" bestFit="1" customWidth="1"/>
    <col min="7698" max="7698" width="3.140625" style="70" bestFit="1" customWidth="1"/>
    <col min="7699" max="7713" width="3.5703125" style="70" bestFit="1" customWidth="1"/>
    <col min="7714" max="7727" width="3.140625" style="70" bestFit="1" customWidth="1"/>
    <col min="7728" max="7921" width="3.7109375" style="70"/>
    <col min="7922" max="7922" width="15.7109375" style="70" customWidth="1"/>
    <col min="7923" max="7923" width="23.5703125" style="70" customWidth="1"/>
    <col min="7924" max="7924" width="10.140625" style="70" customWidth="1"/>
    <col min="7925" max="7925" width="9.42578125" style="70" bestFit="1" customWidth="1"/>
    <col min="7926" max="7926" width="9.7109375" style="70" customWidth="1"/>
    <col min="7927" max="7932" width="3.140625" style="70" bestFit="1" customWidth="1"/>
    <col min="7933" max="7946" width="3.140625" style="70" customWidth="1"/>
    <col min="7947" max="7948" width="3.5703125" style="70" bestFit="1" customWidth="1"/>
    <col min="7949" max="7953" width="3" style="70" bestFit="1" customWidth="1"/>
    <col min="7954" max="7954" width="3.140625" style="70" bestFit="1" customWidth="1"/>
    <col min="7955" max="7969" width="3.5703125" style="70" bestFit="1" customWidth="1"/>
    <col min="7970" max="7983" width="3.140625" style="70" bestFit="1" customWidth="1"/>
    <col min="7984" max="8177" width="3.7109375" style="70"/>
    <col min="8178" max="8178" width="15.7109375" style="70" customWidth="1"/>
    <col min="8179" max="8179" width="23.5703125" style="70" customWidth="1"/>
    <col min="8180" max="8180" width="10.140625" style="70" customWidth="1"/>
    <col min="8181" max="8181" width="9.42578125" style="70" bestFit="1" customWidth="1"/>
    <col min="8182" max="8182" width="9.7109375" style="70" customWidth="1"/>
    <col min="8183" max="8188" width="3.140625" style="70" bestFit="1" customWidth="1"/>
    <col min="8189" max="8202" width="3.140625" style="70" customWidth="1"/>
    <col min="8203" max="8204" width="3.5703125" style="70" bestFit="1" customWidth="1"/>
    <col min="8205" max="8209" width="3" style="70" bestFit="1" customWidth="1"/>
    <col min="8210" max="8210" width="3.140625" style="70" bestFit="1" customWidth="1"/>
    <col min="8211" max="8225" width="3.5703125" style="70" bestFit="1" customWidth="1"/>
    <col min="8226" max="8239" width="3.140625" style="70" bestFit="1" customWidth="1"/>
    <col min="8240" max="8433" width="3.7109375" style="70"/>
    <col min="8434" max="8434" width="15.7109375" style="70" customWidth="1"/>
    <col min="8435" max="8435" width="23.5703125" style="70" customWidth="1"/>
    <col min="8436" max="8436" width="10.140625" style="70" customWidth="1"/>
    <col min="8437" max="8437" width="9.42578125" style="70" bestFit="1" customWidth="1"/>
    <col min="8438" max="8438" width="9.7109375" style="70" customWidth="1"/>
    <col min="8439" max="8444" width="3.140625" style="70" bestFit="1" customWidth="1"/>
    <col min="8445" max="8458" width="3.140625" style="70" customWidth="1"/>
    <col min="8459" max="8460" width="3.5703125" style="70" bestFit="1" customWidth="1"/>
    <col min="8461" max="8465" width="3" style="70" bestFit="1" customWidth="1"/>
    <col min="8466" max="8466" width="3.140625" style="70" bestFit="1" customWidth="1"/>
    <col min="8467" max="8481" width="3.5703125" style="70" bestFit="1" customWidth="1"/>
    <col min="8482" max="8495" width="3.140625" style="70" bestFit="1" customWidth="1"/>
    <col min="8496" max="8689" width="3.7109375" style="70"/>
    <col min="8690" max="8690" width="15.7109375" style="70" customWidth="1"/>
    <col min="8691" max="8691" width="23.5703125" style="70" customWidth="1"/>
    <col min="8692" max="8692" width="10.140625" style="70" customWidth="1"/>
    <col min="8693" max="8693" width="9.42578125" style="70" bestFit="1" customWidth="1"/>
    <col min="8694" max="8694" width="9.7109375" style="70" customWidth="1"/>
    <col min="8695" max="8700" width="3.140625" style="70" bestFit="1" customWidth="1"/>
    <col min="8701" max="8714" width="3.140625" style="70" customWidth="1"/>
    <col min="8715" max="8716" width="3.5703125" style="70" bestFit="1" customWidth="1"/>
    <col min="8717" max="8721" width="3" style="70" bestFit="1" customWidth="1"/>
    <col min="8722" max="8722" width="3.140625" style="70" bestFit="1" customWidth="1"/>
    <col min="8723" max="8737" width="3.5703125" style="70" bestFit="1" customWidth="1"/>
    <col min="8738" max="8751" width="3.140625" style="70" bestFit="1" customWidth="1"/>
    <col min="8752" max="8945" width="3.7109375" style="70"/>
    <col min="8946" max="8946" width="15.7109375" style="70" customWidth="1"/>
    <col min="8947" max="8947" width="23.5703125" style="70" customWidth="1"/>
    <col min="8948" max="8948" width="10.140625" style="70" customWidth="1"/>
    <col min="8949" max="8949" width="9.42578125" style="70" bestFit="1" customWidth="1"/>
    <col min="8950" max="8950" width="9.7109375" style="70" customWidth="1"/>
    <col min="8951" max="8956" width="3.140625" style="70" bestFit="1" customWidth="1"/>
    <col min="8957" max="8970" width="3.140625" style="70" customWidth="1"/>
    <col min="8971" max="8972" width="3.5703125" style="70" bestFit="1" customWidth="1"/>
    <col min="8973" max="8977" width="3" style="70" bestFit="1" customWidth="1"/>
    <col min="8978" max="8978" width="3.140625" style="70" bestFit="1" customWidth="1"/>
    <col min="8979" max="8993" width="3.5703125" style="70" bestFit="1" customWidth="1"/>
    <col min="8994" max="9007" width="3.140625" style="70" bestFit="1" customWidth="1"/>
    <col min="9008" max="9201" width="3.7109375" style="70"/>
    <col min="9202" max="9202" width="15.7109375" style="70" customWidth="1"/>
    <col min="9203" max="9203" width="23.5703125" style="70" customWidth="1"/>
    <col min="9204" max="9204" width="10.140625" style="70" customWidth="1"/>
    <col min="9205" max="9205" width="9.42578125" style="70" bestFit="1" customWidth="1"/>
    <col min="9206" max="9206" width="9.7109375" style="70" customWidth="1"/>
    <col min="9207" max="9212" width="3.140625" style="70" bestFit="1" customWidth="1"/>
    <col min="9213" max="9226" width="3.140625" style="70" customWidth="1"/>
    <col min="9227" max="9228" width="3.5703125" style="70" bestFit="1" customWidth="1"/>
    <col min="9229" max="9233" width="3" style="70" bestFit="1" customWidth="1"/>
    <col min="9234" max="9234" width="3.140625" style="70" bestFit="1" customWidth="1"/>
    <col min="9235" max="9249" width="3.5703125" style="70" bestFit="1" customWidth="1"/>
    <col min="9250" max="9263" width="3.140625" style="70" bestFit="1" customWidth="1"/>
    <col min="9264" max="9457" width="3.7109375" style="70"/>
    <col min="9458" max="9458" width="15.7109375" style="70" customWidth="1"/>
    <col min="9459" max="9459" width="23.5703125" style="70" customWidth="1"/>
    <col min="9460" max="9460" width="10.140625" style="70" customWidth="1"/>
    <col min="9461" max="9461" width="9.42578125" style="70" bestFit="1" customWidth="1"/>
    <col min="9462" max="9462" width="9.7109375" style="70" customWidth="1"/>
    <col min="9463" max="9468" width="3.140625" style="70" bestFit="1" customWidth="1"/>
    <col min="9469" max="9482" width="3.140625" style="70" customWidth="1"/>
    <col min="9483" max="9484" width="3.5703125" style="70" bestFit="1" customWidth="1"/>
    <col min="9485" max="9489" width="3" style="70" bestFit="1" customWidth="1"/>
    <col min="9490" max="9490" width="3.140625" style="70" bestFit="1" customWidth="1"/>
    <col min="9491" max="9505" width="3.5703125" style="70" bestFit="1" customWidth="1"/>
    <col min="9506" max="9519" width="3.140625" style="70" bestFit="1" customWidth="1"/>
    <col min="9520" max="9713" width="3.7109375" style="70"/>
    <col min="9714" max="9714" width="15.7109375" style="70" customWidth="1"/>
    <col min="9715" max="9715" width="23.5703125" style="70" customWidth="1"/>
    <col min="9716" max="9716" width="10.140625" style="70" customWidth="1"/>
    <col min="9717" max="9717" width="9.42578125" style="70" bestFit="1" customWidth="1"/>
    <col min="9718" max="9718" width="9.7109375" style="70" customWidth="1"/>
    <col min="9719" max="9724" width="3.140625" style="70" bestFit="1" customWidth="1"/>
    <col min="9725" max="9738" width="3.140625" style="70" customWidth="1"/>
    <col min="9739" max="9740" width="3.5703125" style="70" bestFit="1" customWidth="1"/>
    <col min="9741" max="9745" width="3" style="70" bestFit="1" customWidth="1"/>
    <col min="9746" max="9746" width="3.140625" style="70" bestFit="1" customWidth="1"/>
    <col min="9747" max="9761" width="3.5703125" style="70" bestFit="1" customWidth="1"/>
    <col min="9762" max="9775" width="3.140625" style="70" bestFit="1" customWidth="1"/>
    <col min="9776" max="9969" width="3.7109375" style="70"/>
    <col min="9970" max="9970" width="15.7109375" style="70" customWidth="1"/>
    <col min="9971" max="9971" width="23.5703125" style="70" customWidth="1"/>
    <col min="9972" max="9972" width="10.140625" style="70" customWidth="1"/>
    <col min="9973" max="9973" width="9.42578125" style="70" bestFit="1" customWidth="1"/>
    <col min="9974" max="9974" width="9.7109375" style="70" customWidth="1"/>
    <col min="9975" max="9980" width="3.140625" style="70" bestFit="1" customWidth="1"/>
    <col min="9981" max="9994" width="3.140625" style="70" customWidth="1"/>
    <col min="9995" max="9996" width="3.5703125" style="70" bestFit="1" customWidth="1"/>
    <col min="9997" max="10001" width="3" style="70" bestFit="1" customWidth="1"/>
    <col min="10002" max="10002" width="3.140625" style="70" bestFit="1" customWidth="1"/>
    <col min="10003" max="10017" width="3.5703125" style="70" bestFit="1" customWidth="1"/>
    <col min="10018" max="10031" width="3.140625" style="70" bestFit="1" customWidth="1"/>
    <col min="10032" max="10225" width="3.7109375" style="70"/>
    <col min="10226" max="10226" width="15.7109375" style="70" customWidth="1"/>
    <col min="10227" max="10227" width="23.5703125" style="70" customWidth="1"/>
    <col min="10228" max="10228" width="10.140625" style="70" customWidth="1"/>
    <col min="10229" max="10229" width="9.42578125" style="70" bestFit="1" customWidth="1"/>
    <col min="10230" max="10230" width="9.7109375" style="70" customWidth="1"/>
    <col min="10231" max="10236" width="3.140625" style="70" bestFit="1" customWidth="1"/>
    <col min="10237" max="10250" width="3.140625" style="70" customWidth="1"/>
    <col min="10251" max="10252" width="3.5703125" style="70" bestFit="1" customWidth="1"/>
    <col min="10253" max="10257" width="3" style="70" bestFit="1" customWidth="1"/>
    <col min="10258" max="10258" width="3.140625" style="70" bestFit="1" customWidth="1"/>
    <col min="10259" max="10273" width="3.5703125" style="70" bestFit="1" customWidth="1"/>
    <col min="10274" max="10287" width="3.140625" style="70" bestFit="1" customWidth="1"/>
    <col min="10288" max="10481" width="3.7109375" style="70"/>
    <col min="10482" max="10482" width="15.7109375" style="70" customWidth="1"/>
    <col min="10483" max="10483" width="23.5703125" style="70" customWidth="1"/>
    <col min="10484" max="10484" width="10.140625" style="70" customWidth="1"/>
    <col min="10485" max="10485" width="9.42578125" style="70" bestFit="1" customWidth="1"/>
    <col min="10486" max="10486" width="9.7109375" style="70" customWidth="1"/>
    <col min="10487" max="10492" width="3.140625" style="70" bestFit="1" customWidth="1"/>
    <col min="10493" max="10506" width="3.140625" style="70" customWidth="1"/>
    <col min="10507" max="10508" width="3.5703125" style="70" bestFit="1" customWidth="1"/>
    <col min="10509" max="10513" width="3" style="70" bestFit="1" customWidth="1"/>
    <col min="10514" max="10514" width="3.140625" style="70" bestFit="1" customWidth="1"/>
    <col min="10515" max="10529" width="3.5703125" style="70" bestFit="1" customWidth="1"/>
    <col min="10530" max="10543" width="3.140625" style="70" bestFit="1" customWidth="1"/>
    <col min="10544" max="10737" width="3.7109375" style="70"/>
    <col min="10738" max="10738" width="15.7109375" style="70" customWidth="1"/>
    <col min="10739" max="10739" width="23.5703125" style="70" customWidth="1"/>
    <col min="10740" max="10740" width="10.140625" style="70" customWidth="1"/>
    <col min="10741" max="10741" width="9.42578125" style="70" bestFit="1" customWidth="1"/>
    <col min="10742" max="10742" width="9.7109375" style="70" customWidth="1"/>
    <col min="10743" max="10748" width="3.140625" style="70" bestFit="1" customWidth="1"/>
    <col min="10749" max="10762" width="3.140625" style="70" customWidth="1"/>
    <col min="10763" max="10764" width="3.5703125" style="70" bestFit="1" customWidth="1"/>
    <col min="10765" max="10769" width="3" style="70" bestFit="1" customWidth="1"/>
    <col min="10770" max="10770" width="3.140625" style="70" bestFit="1" customWidth="1"/>
    <col min="10771" max="10785" width="3.5703125" style="70" bestFit="1" customWidth="1"/>
    <col min="10786" max="10799" width="3.140625" style="70" bestFit="1" customWidth="1"/>
    <col min="10800" max="10993" width="3.7109375" style="70"/>
    <col min="10994" max="10994" width="15.7109375" style="70" customWidth="1"/>
    <col min="10995" max="10995" width="23.5703125" style="70" customWidth="1"/>
    <col min="10996" max="10996" width="10.140625" style="70" customWidth="1"/>
    <col min="10997" max="10997" width="9.42578125" style="70" bestFit="1" customWidth="1"/>
    <col min="10998" max="10998" width="9.7109375" style="70" customWidth="1"/>
    <col min="10999" max="11004" width="3.140625" style="70" bestFit="1" customWidth="1"/>
    <col min="11005" max="11018" width="3.140625" style="70" customWidth="1"/>
    <col min="11019" max="11020" width="3.5703125" style="70" bestFit="1" customWidth="1"/>
    <col min="11021" max="11025" width="3" style="70" bestFit="1" customWidth="1"/>
    <col min="11026" max="11026" width="3.140625" style="70" bestFit="1" customWidth="1"/>
    <col min="11027" max="11041" width="3.5703125" style="70" bestFit="1" customWidth="1"/>
    <col min="11042" max="11055" width="3.140625" style="70" bestFit="1" customWidth="1"/>
    <col min="11056" max="11249" width="3.7109375" style="70"/>
    <col min="11250" max="11250" width="15.7109375" style="70" customWidth="1"/>
    <col min="11251" max="11251" width="23.5703125" style="70" customWidth="1"/>
    <col min="11252" max="11252" width="10.140625" style="70" customWidth="1"/>
    <col min="11253" max="11253" width="9.42578125" style="70" bestFit="1" customWidth="1"/>
    <col min="11254" max="11254" width="9.7109375" style="70" customWidth="1"/>
    <col min="11255" max="11260" width="3.140625" style="70" bestFit="1" customWidth="1"/>
    <col min="11261" max="11274" width="3.140625" style="70" customWidth="1"/>
    <col min="11275" max="11276" width="3.5703125" style="70" bestFit="1" customWidth="1"/>
    <col min="11277" max="11281" width="3" style="70" bestFit="1" customWidth="1"/>
    <col min="11282" max="11282" width="3.140625" style="70" bestFit="1" customWidth="1"/>
    <col min="11283" max="11297" width="3.5703125" style="70" bestFit="1" customWidth="1"/>
    <col min="11298" max="11311" width="3.140625" style="70" bestFit="1" customWidth="1"/>
    <col min="11312" max="11505" width="3.7109375" style="70"/>
    <col min="11506" max="11506" width="15.7109375" style="70" customWidth="1"/>
    <col min="11507" max="11507" width="23.5703125" style="70" customWidth="1"/>
    <col min="11508" max="11508" width="10.140625" style="70" customWidth="1"/>
    <col min="11509" max="11509" width="9.42578125" style="70" bestFit="1" customWidth="1"/>
    <col min="11510" max="11510" width="9.7109375" style="70" customWidth="1"/>
    <col min="11511" max="11516" width="3.140625" style="70" bestFit="1" customWidth="1"/>
    <col min="11517" max="11530" width="3.140625" style="70" customWidth="1"/>
    <col min="11531" max="11532" width="3.5703125" style="70" bestFit="1" customWidth="1"/>
    <col min="11533" max="11537" width="3" style="70" bestFit="1" customWidth="1"/>
    <col min="11538" max="11538" width="3.140625" style="70" bestFit="1" customWidth="1"/>
    <col min="11539" max="11553" width="3.5703125" style="70" bestFit="1" customWidth="1"/>
    <col min="11554" max="11567" width="3.140625" style="70" bestFit="1" customWidth="1"/>
    <col min="11568" max="11761" width="3.7109375" style="70"/>
    <col min="11762" max="11762" width="15.7109375" style="70" customWidth="1"/>
    <col min="11763" max="11763" width="23.5703125" style="70" customWidth="1"/>
    <col min="11764" max="11764" width="10.140625" style="70" customWidth="1"/>
    <col min="11765" max="11765" width="9.42578125" style="70" bestFit="1" customWidth="1"/>
    <col min="11766" max="11766" width="9.7109375" style="70" customWidth="1"/>
    <col min="11767" max="11772" width="3.140625" style="70" bestFit="1" customWidth="1"/>
    <col min="11773" max="11786" width="3.140625" style="70" customWidth="1"/>
    <col min="11787" max="11788" width="3.5703125" style="70" bestFit="1" customWidth="1"/>
    <col min="11789" max="11793" width="3" style="70" bestFit="1" customWidth="1"/>
    <col min="11794" max="11794" width="3.140625" style="70" bestFit="1" customWidth="1"/>
    <col min="11795" max="11809" width="3.5703125" style="70" bestFit="1" customWidth="1"/>
    <col min="11810" max="11823" width="3.140625" style="70" bestFit="1" customWidth="1"/>
    <col min="11824" max="12017" width="3.7109375" style="70"/>
    <col min="12018" max="12018" width="15.7109375" style="70" customWidth="1"/>
    <col min="12019" max="12019" width="23.5703125" style="70" customWidth="1"/>
    <col min="12020" max="12020" width="10.140625" style="70" customWidth="1"/>
    <col min="12021" max="12021" width="9.42578125" style="70" bestFit="1" customWidth="1"/>
    <col min="12022" max="12022" width="9.7109375" style="70" customWidth="1"/>
    <col min="12023" max="12028" width="3.140625" style="70" bestFit="1" customWidth="1"/>
    <col min="12029" max="12042" width="3.140625" style="70" customWidth="1"/>
    <col min="12043" max="12044" width="3.5703125" style="70" bestFit="1" customWidth="1"/>
    <col min="12045" max="12049" width="3" style="70" bestFit="1" customWidth="1"/>
    <col min="12050" max="12050" width="3.140625" style="70" bestFit="1" customWidth="1"/>
    <col min="12051" max="12065" width="3.5703125" style="70" bestFit="1" customWidth="1"/>
    <col min="12066" max="12079" width="3.140625" style="70" bestFit="1" customWidth="1"/>
    <col min="12080" max="12273" width="3.7109375" style="70"/>
    <col min="12274" max="12274" width="15.7109375" style="70" customWidth="1"/>
    <col min="12275" max="12275" width="23.5703125" style="70" customWidth="1"/>
    <col min="12276" max="12276" width="10.140625" style="70" customWidth="1"/>
    <col min="12277" max="12277" width="9.42578125" style="70" bestFit="1" customWidth="1"/>
    <col min="12278" max="12278" width="9.7109375" style="70" customWidth="1"/>
    <col min="12279" max="12284" width="3.140625" style="70" bestFit="1" customWidth="1"/>
    <col min="12285" max="12298" width="3.140625" style="70" customWidth="1"/>
    <col min="12299" max="12300" width="3.5703125" style="70" bestFit="1" customWidth="1"/>
    <col min="12301" max="12305" width="3" style="70" bestFit="1" customWidth="1"/>
    <col min="12306" max="12306" width="3.140625" style="70" bestFit="1" customWidth="1"/>
    <col min="12307" max="12321" width="3.5703125" style="70" bestFit="1" customWidth="1"/>
    <col min="12322" max="12335" width="3.140625" style="70" bestFit="1" customWidth="1"/>
    <col min="12336" max="12529" width="3.7109375" style="70"/>
    <col min="12530" max="12530" width="15.7109375" style="70" customWidth="1"/>
    <col min="12531" max="12531" width="23.5703125" style="70" customWidth="1"/>
    <col min="12532" max="12532" width="10.140625" style="70" customWidth="1"/>
    <col min="12533" max="12533" width="9.42578125" style="70" bestFit="1" customWidth="1"/>
    <col min="12534" max="12534" width="9.7109375" style="70" customWidth="1"/>
    <col min="12535" max="12540" width="3.140625" style="70" bestFit="1" customWidth="1"/>
    <col min="12541" max="12554" width="3.140625" style="70" customWidth="1"/>
    <col min="12555" max="12556" width="3.5703125" style="70" bestFit="1" customWidth="1"/>
    <col min="12557" max="12561" width="3" style="70" bestFit="1" customWidth="1"/>
    <col min="12562" max="12562" width="3.140625" style="70" bestFit="1" customWidth="1"/>
    <col min="12563" max="12577" width="3.5703125" style="70" bestFit="1" customWidth="1"/>
    <col min="12578" max="12591" width="3.140625" style="70" bestFit="1" customWidth="1"/>
    <col min="12592" max="12785" width="3.7109375" style="70"/>
    <col min="12786" max="12786" width="15.7109375" style="70" customWidth="1"/>
    <col min="12787" max="12787" width="23.5703125" style="70" customWidth="1"/>
    <col min="12788" max="12788" width="10.140625" style="70" customWidth="1"/>
    <col min="12789" max="12789" width="9.42578125" style="70" bestFit="1" customWidth="1"/>
    <col min="12790" max="12790" width="9.7109375" style="70" customWidth="1"/>
    <col min="12791" max="12796" width="3.140625" style="70" bestFit="1" customWidth="1"/>
    <col min="12797" max="12810" width="3.140625" style="70" customWidth="1"/>
    <col min="12811" max="12812" width="3.5703125" style="70" bestFit="1" customWidth="1"/>
    <col min="12813" max="12817" width="3" style="70" bestFit="1" customWidth="1"/>
    <col min="12818" max="12818" width="3.140625" style="70" bestFit="1" customWidth="1"/>
    <col min="12819" max="12833" width="3.5703125" style="70" bestFit="1" customWidth="1"/>
    <col min="12834" max="12847" width="3.140625" style="70" bestFit="1" customWidth="1"/>
    <col min="12848" max="13041" width="3.7109375" style="70"/>
    <col min="13042" max="13042" width="15.7109375" style="70" customWidth="1"/>
    <col min="13043" max="13043" width="23.5703125" style="70" customWidth="1"/>
    <col min="13044" max="13044" width="10.140625" style="70" customWidth="1"/>
    <col min="13045" max="13045" width="9.42578125" style="70" bestFit="1" customWidth="1"/>
    <col min="13046" max="13046" width="9.7109375" style="70" customWidth="1"/>
    <col min="13047" max="13052" width="3.140625" style="70" bestFit="1" customWidth="1"/>
    <col min="13053" max="13066" width="3.140625" style="70" customWidth="1"/>
    <col min="13067" max="13068" width="3.5703125" style="70" bestFit="1" customWidth="1"/>
    <col min="13069" max="13073" width="3" style="70" bestFit="1" customWidth="1"/>
    <col min="13074" max="13074" width="3.140625" style="70" bestFit="1" customWidth="1"/>
    <col min="13075" max="13089" width="3.5703125" style="70" bestFit="1" customWidth="1"/>
    <col min="13090" max="13103" width="3.140625" style="70" bestFit="1" customWidth="1"/>
    <col min="13104" max="13297" width="3.7109375" style="70"/>
    <col min="13298" max="13298" width="15.7109375" style="70" customWidth="1"/>
    <col min="13299" max="13299" width="23.5703125" style="70" customWidth="1"/>
    <col min="13300" max="13300" width="10.140625" style="70" customWidth="1"/>
    <col min="13301" max="13301" width="9.42578125" style="70" bestFit="1" customWidth="1"/>
    <col min="13302" max="13302" width="9.7109375" style="70" customWidth="1"/>
    <col min="13303" max="13308" width="3.140625" style="70" bestFit="1" customWidth="1"/>
    <col min="13309" max="13322" width="3.140625" style="70" customWidth="1"/>
    <col min="13323" max="13324" width="3.5703125" style="70" bestFit="1" customWidth="1"/>
    <col min="13325" max="13329" width="3" style="70" bestFit="1" customWidth="1"/>
    <col min="13330" max="13330" width="3.140625" style="70" bestFit="1" customWidth="1"/>
    <col min="13331" max="13345" width="3.5703125" style="70" bestFit="1" customWidth="1"/>
    <col min="13346" max="13359" width="3.140625" style="70" bestFit="1" customWidth="1"/>
    <col min="13360" max="13553" width="3.7109375" style="70"/>
    <col min="13554" max="13554" width="15.7109375" style="70" customWidth="1"/>
    <col min="13555" max="13555" width="23.5703125" style="70" customWidth="1"/>
    <col min="13556" max="13556" width="10.140625" style="70" customWidth="1"/>
    <col min="13557" max="13557" width="9.42578125" style="70" bestFit="1" customWidth="1"/>
    <col min="13558" max="13558" width="9.7109375" style="70" customWidth="1"/>
    <col min="13559" max="13564" width="3.140625" style="70" bestFit="1" customWidth="1"/>
    <col min="13565" max="13578" width="3.140625" style="70" customWidth="1"/>
    <col min="13579" max="13580" width="3.5703125" style="70" bestFit="1" customWidth="1"/>
    <col min="13581" max="13585" width="3" style="70" bestFit="1" customWidth="1"/>
    <col min="13586" max="13586" width="3.140625" style="70" bestFit="1" customWidth="1"/>
    <col min="13587" max="13601" width="3.5703125" style="70" bestFit="1" customWidth="1"/>
    <col min="13602" max="13615" width="3.140625" style="70" bestFit="1" customWidth="1"/>
    <col min="13616" max="13809" width="3.7109375" style="70"/>
    <col min="13810" max="13810" width="15.7109375" style="70" customWidth="1"/>
    <col min="13811" max="13811" width="23.5703125" style="70" customWidth="1"/>
    <col min="13812" max="13812" width="10.140625" style="70" customWidth="1"/>
    <col min="13813" max="13813" width="9.42578125" style="70" bestFit="1" customWidth="1"/>
    <col min="13814" max="13814" width="9.7109375" style="70" customWidth="1"/>
    <col min="13815" max="13820" width="3.140625" style="70" bestFit="1" customWidth="1"/>
    <col min="13821" max="13834" width="3.140625" style="70" customWidth="1"/>
    <col min="13835" max="13836" width="3.5703125" style="70" bestFit="1" customWidth="1"/>
    <col min="13837" max="13841" width="3" style="70" bestFit="1" customWidth="1"/>
    <col min="13842" max="13842" width="3.140625" style="70" bestFit="1" customWidth="1"/>
    <col min="13843" max="13857" width="3.5703125" style="70" bestFit="1" customWidth="1"/>
    <col min="13858" max="13871" width="3.140625" style="70" bestFit="1" customWidth="1"/>
    <col min="13872" max="14065" width="3.7109375" style="70"/>
    <col min="14066" max="14066" width="15.7109375" style="70" customWidth="1"/>
    <col min="14067" max="14067" width="23.5703125" style="70" customWidth="1"/>
    <col min="14068" max="14068" width="10.140625" style="70" customWidth="1"/>
    <col min="14069" max="14069" width="9.42578125" style="70" bestFit="1" customWidth="1"/>
    <col min="14070" max="14070" width="9.7109375" style="70" customWidth="1"/>
    <col min="14071" max="14076" width="3.140625" style="70" bestFit="1" customWidth="1"/>
    <col min="14077" max="14090" width="3.140625" style="70" customWidth="1"/>
    <col min="14091" max="14092" width="3.5703125" style="70" bestFit="1" customWidth="1"/>
    <col min="14093" max="14097" width="3" style="70" bestFit="1" customWidth="1"/>
    <col min="14098" max="14098" width="3.140625" style="70" bestFit="1" customWidth="1"/>
    <col min="14099" max="14113" width="3.5703125" style="70" bestFit="1" customWidth="1"/>
    <col min="14114" max="14127" width="3.140625" style="70" bestFit="1" customWidth="1"/>
    <col min="14128" max="14321" width="3.7109375" style="70"/>
    <col min="14322" max="14322" width="15.7109375" style="70" customWidth="1"/>
    <col min="14323" max="14323" width="23.5703125" style="70" customWidth="1"/>
    <col min="14324" max="14324" width="10.140625" style="70" customWidth="1"/>
    <col min="14325" max="14325" width="9.42578125" style="70" bestFit="1" customWidth="1"/>
    <col min="14326" max="14326" width="9.7109375" style="70" customWidth="1"/>
    <col min="14327" max="14332" width="3.140625" style="70" bestFit="1" customWidth="1"/>
    <col min="14333" max="14346" width="3.140625" style="70" customWidth="1"/>
    <col min="14347" max="14348" width="3.5703125" style="70" bestFit="1" customWidth="1"/>
    <col min="14349" max="14353" width="3" style="70" bestFit="1" customWidth="1"/>
    <col min="14354" max="14354" width="3.140625" style="70" bestFit="1" customWidth="1"/>
    <col min="14355" max="14369" width="3.5703125" style="70" bestFit="1" customWidth="1"/>
    <col min="14370" max="14383" width="3.140625" style="70" bestFit="1" customWidth="1"/>
    <col min="14384" max="14577" width="3.7109375" style="70"/>
    <col min="14578" max="14578" width="15.7109375" style="70" customWidth="1"/>
    <col min="14579" max="14579" width="23.5703125" style="70" customWidth="1"/>
    <col min="14580" max="14580" width="10.140625" style="70" customWidth="1"/>
    <col min="14581" max="14581" width="9.42578125" style="70" bestFit="1" customWidth="1"/>
    <col min="14582" max="14582" width="9.7109375" style="70" customWidth="1"/>
    <col min="14583" max="14588" width="3.140625" style="70" bestFit="1" customWidth="1"/>
    <col min="14589" max="14602" width="3.140625" style="70" customWidth="1"/>
    <col min="14603" max="14604" width="3.5703125" style="70" bestFit="1" customWidth="1"/>
    <col min="14605" max="14609" width="3" style="70" bestFit="1" customWidth="1"/>
    <col min="14610" max="14610" width="3.140625" style="70" bestFit="1" customWidth="1"/>
    <col min="14611" max="14625" width="3.5703125" style="70" bestFit="1" customWidth="1"/>
    <col min="14626" max="14639" width="3.140625" style="70" bestFit="1" customWidth="1"/>
    <col min="14640" max="14833" width="3.7109375" style="70"/>
    <col min="14834" max="14834" width="15.7109375" style="70" customWidth="1"/>
    <col min="14835" max="14835" width="23.5703125" style="70" customWidth="1"/>
    <col min="14836" max="14836" width="10.140625" style="70" customWidth="1"/>
    <col min="14837" max="14837" width="9.42578125" style="70" bestFit="1" customWidth="1"/>
    <col min="14838" max="14838" width="9.7109375" style="70" customWidth="1"/>
    <col min="14839" max="14844" width="3.140625" style="70" bestFit="1" customWidth="1"/>
    <col min="14845" max="14858" width="3.140625" style="70" customWidth="1"/>
    <col min="14859" max="14860" width="3.5703125" style="70" bestFit="1" customWidth="1"/>
    <col min="14861" max="14865" width="3" style="70" bestFit="1" customWidth="1"/>
    <col min="14866" max="14866" width="3.140625" style="70" bestFit="1" customWidth="1"/>
    <col min="14867" max="14881" width="3.5703125" style="70" bestFit="1" customWidth="1"/>
    <col min="14882" max="14895" width="3.140625" style="70" bestFit="1" customWidth="1"/>
    <col min="14896" max="15089" width="3.7109375" style="70"/>
    <col min="15090" max="15090" width="15.7109375" style="70" customWidth="1"/>
    <col min="15091" max="15091" width="23.5703125" style="70" customWidth="1"/>
    <col min="15092" max="15092" width="10.140625" style="70" customWidth="1"/>
    <col min="15093" max="15093" width="9.42578125" style="70" bestFit="1" customWidth="1"/>
    <col min="15094" max="15094" width="9.7109375" style="70" customWidth="1"/>
    <col min="15095" max="15100" width="3.140625" style="70" bestFit="1" customWidth="1"/>
    <col min="15101" max="15114" width="3.140625" style="70" customWidth="1"/>
    <col min="15115" max="15116" width="3.5703125" style="70" bestFit="1" customWidth="1"/>
    <col min="15117" max="15121" width="3" style="70" bestFit="1" customWidth="1"/>
    <col min="15122" max="15122" width="3.140625" style="70" bestFit="1" customWidth="1"/>
    <col min="15123" max="15137" width="3.5703125" style="70" bestFit="1" customWidth="1"/>
    <col min="15138" max="15151" width="3.140625" style="70" bestFit="1" customWidth="1"/>
    <col min="15152" max="15345" width="3.7109375" style="70"/>
    <col min="15346" max="15346" width="15.7109375" style="70" customWidth="1"/>
    <col min="15347" max="15347" width="23.5703125" style="70" customWidth="1"/>
    <col min="15348" max="15348" width="10.140625" style="70" customWidth="1"/>
    <col min="15349" max="15349" width="9.42578125" style="70" bestFit="1" customWidth="1"/>
    <col min="15350" max="15350" width="9.7109375" style="70" customWidth="1"/>
    <col min="15351" max="15356" width="3.140625" style="70" bestFit="1" customWidth="1"/>
    <col min="15357" max="15370" width="3.140625" style="70" customWidth="1"/>
    <col min="15371" max="15372" width="3.5703125" style="70" bestFit="1" customWidth="1"/>
    <col min="15373" max="15377" width="3" style="70" bestFit="1" customWidth="1"/>
    <col min="15378" max="15378" width="3.140625" style="70" bestFit="1" customWidth="1"/>
    <col min="15379" max="15393" width="3.5703125" style="70" bestFit="1" customWidth="1"/>
    <col min="15394" max="15407" width="3.140625" style="70" bestFit="1" customWidth="1"/>
    <col min="15408" max="15601" width="3.7109375" style="70"/>
    <col min="15602" max="15602" width="15.7109375" style="70" customWidth="1"/>
    <col min="15603" max="15603" width="23.5703125" style="70" customWidth="1"/>
    <col min="15604" max="15604" width="10.140625" style="70" customWidth="1"/>
    <col min="15605" max="15605" width="9.42578125" style="70" bestFit="1" customWidth="1"/>
    <col min="15606" max="15606" width="9.7109375" style="70" customWidth="1"/>
    <col min="15607" max="15612" width="3.140625" style="70" bestFit="1" customWidth="1"/>
    <col min="15613" max="15626" width="3.140625" style="70" customWidth="1"/>
    <col min="15627" max="15628" width="3.5703125" style="70" bestFit="1" customWidth="1"/>
    <col min="15629" max="15633" width="3" style="70" bestFit="1" customWidth="1"/>
    <col min="15634" max="15634" width="3.140625" style="70" bestFit="1" customWidth="1"/>
    <col min="15635" max="15649" width="3.5703125" style="70" bestFit="1" customWidth="1"/>
    <col min="15650" max="15663" width="3.140625" style="70" bestFit="1" customWidth="1"/>
    <col min="15664" max="15857" width="3.7109375" style="70"/>
    <col min="15858" max="15858" width="15.7109375" style="70" customWidth="1"/>
    <col min="15859" max="15859" width="23.5703125" style="70" customWidth="1"/>
    <col min="15860" max="15860" width="10.140625" style="70" customWidth="1"/>
    <col min="15861" max="15861" width="9.42578125" style="70" bestFit="1" customWidth="1"/>
    <col min="15862" max="15862" width="9.7109375" style="70" customWidth="1"/>
    <col min="15863" max="15868" width="3.140625" style="70" bestFit="1" customWidth="1"/>
    <col min="15869" max="15882" width="3.140625" style="70" customWidth="1"/>
    <col min="15883" max="15884" width="3.5703125" style="70" bestFit="1" customWidth="1"/>
    <col min="15885" max="15889" width="3" style="70" bestFit="1" customWidth="1"/>
    <col min="15890" max="15890" width="3.140625" style="70" bestFit="1" customWidth="1"/>
    <col min="15891" max="15905" width="3.5703125" style="70" bestFit="1" customWidth="1"/>
    <col min="15906" max="15919" width="3.140625" style="70" bestFit="1" customWidth="1"/>
    <col min="15920" max="16113" width="3.7109375" style="70"/>
    <col min="16114" max="16114" width="15.7109375" style="70" customWidth="1"/>
    <col min="16115" max="16115" width="23.5703125" style="70" customWidth="1"/>
    <col min="16116" max="16116" width="10.140625" style="70" customWidth="1"/>
    <col min="16117" max="16117" width="9.42578125" style="70" bestFit="1" customWidth="1"/>
    <col min="16118" max="16118" width="9.7109375" style="70" customWidth="1"/>
    <col min="16119" max="16124" width="3.140625" style="70" bestFit="1" customWidth="1"/>
    <col min="16125" max="16138" width="3.140625" style="70" customWidth="1"/>
    <col min="16139" max="16140" width="3.5703125" style="70" bestFit="1" customWidth="1"/>
    <col min="16141" max="16145" width="3" style="70" bestFit="1" customWidth="1"/>
    <col min="16146" max="16146" width="3.140625" style="70" bestFit="1" customWidth="1"/>
    <col min="16147" max="16161" width="3.5703125" style="70" bestFit="1" customWidth="1"/>
    <col min="16162" max="16175" width="3.140625" style="70" bestFit="1" customWidth="1"/>
    <col min="16176" max="16384" width="3.7109375" style="70"/>
  </cols>
  <sheetData>
    <row r="1" spans="1:333" ht="17.25" customHeight="1" thickBot="1">
      <c r="A1" s="1003" t="s">
        <v>438</v>
      </c>
      <c r="B1" s="1004"/>
      <c r="C1" s="1004"/>
      <c r="D1" s="1005"/>
      <c r="O1" s="1011"/>
      <c r="P1" s="1011"/>
      <c r="Q1" s="1011"/>
      <c r="R1" s="1011"/>
      <c r="S1" s="1011"/>
      <c r="T1" s="1011"/>
      <c r="U1" s="1011"/>
      <c r="V1" s="1011"/>
      <c r="W1" s="1011"/>
      <c r="X1" s="1011"/>
      <c r="Y1" s="1011"/>
      <c r="Z1" s="1011"/>
      <c r="AA1" s="1011"/>
      <c r="AB1" s="1011"/>
      <c r="AC1" s="1011"/>
      <c r="AD1" s="1011"/>
      <c r="AE1" s="1011"/>
      <c r="AF1" s="1011"/>
      <c r="AG1" s="1011"/>
      <c r="AH1" s="1011"/>
      <c r="AI1" s="1011"/>
      <c r="AJ1" s="1011"/>
      <c r="AK1" s="1011"/>
      <c r="AL1" s="1011"/>
      <c r="AM1" s="1011"/>
      <c r="AN1" s="1011"/>
      <c r="AO1" s="1011"/>
      <c r="AP1" s="1011"/>
      <c r="AQ1" s="1011"/>
      <c r="AR1" s="1011"/>
      <c r="AS1" s="1011"/>
      <c r="AT1" s="1011"/>
      <c r="AU1" s="1011"/>
      <c r="AV1" s="1011"/>
      <c r="AW1" s="1011"/>
      <c r="AX1" s="1011"/>
      <c r="AY1" s="1011"/>
      <c r="AZ1" s="1011"/>
      <c r="BA1" s="1011"/>
      <c r="BB1" s="1011"/>
      <c r="BC1" s="1011"/>
      <c r="BD1" s="1011"/>
      <c r="BE1" s="1011"/>
      <c r="BF1" s="1011"/>
      <c r="BG1" s="1011"/>
      <c r="BH1" s="1011"/>
      <c r="BI1" s="1011"/>
      <c r="BJ1" s="1011"/>
      <c r="BK1" s="1011"/>
      <c r="BL1" s="1011"/>
      <c r="BM1" s="1011"/>
      <c r="BN1" s="1011"/>
      <c r="BO1" s="1011"/>
      <c r="BP1" s="1011"/>
      <c r="BQ1" s="1011"/>
      <c r="BR1" s="1011"/>
      <c r="BS1" s="1011"/>
      <c r="BT1" s="1011"/>
      <c r="BU1" s="1011"/>
      <c r="BV1" s="1011"/>
      <c r="BW1" s="1011"/>
      <c r="BX1" s="1011"/>
      <c r="BY1" s="1011"/>
      <c r="BZ1" s="1011"/>
      <c r="CA1" s="1011"/>
      <c r="CB1" s="1011"/>
      <c r="CC1" s="1011"/>
      <c r="CD1" s="1011"/>
      <c r="CE1" s="1011"/>
      <c r="CF1" s="1011"/>
      <c r="CG1" s="1011"/>
      <c r="CH1" s="1011"/>
      <c r="CI1" s="1011"/>
      <c r="CJ1" s="1011"/>
      <c r="CK1" s="1011"/>
      <c r="CL1" s="1011"/>
      <c r="CM1" s="1011"/>
      <c r="CN1" s="1011"/>
      <c r="CO1" s="1011"/>
      <c r="CP1" s="1011"/>
      <c r="CQ1" s="1011"/>
      <c r="CR1" s="1011"/>
      <c r="CS1" s="1011"/>
      <c r="CT1" s="1011"/>
      <c r="CU1" s="1011"/>
      <c r="CV1" s="1011"/>
      <c r="CW1" s="1011"/>
      <c r="CX1" s="1011"/>
      <c r="CY1" s="1011"/>
      <c r="CZ1" s="1011"/>
      <c r="DA1" s="1011"/>
      <c r="DB1" s="1011"/>
      <c r="DC1" s="1011"/>
      <c r="DD1" s="1011"/>
      <c r="DE1" s="1011"/>
      <c r="DF1" s="1011"/>
      <c r="DG1" s="1011"/>
      <c r="DH1" s="1011"/>
      <c r="DI1" s="1011"/>
      <c r="DJ1" s="1011"/>
      <c r="DK1" s="1011"/>
      <c r="DL1" s="1011"/>
      <c r="DM1" s="1011"/>
      <c r="DN1" s="1011"/>
      <c r="DO1" s="1011"/>
      <c r="DP1" s="1011"/>
      <c r="DQ1" s="1011"/>
      <c r="DU1" s="518"/>
      <c r="DV1" s="518"/>
      <c r="DW1" s="986" t="s">
        <v>763</v>
      </c>
      <c r="DX1" s="986"/>
      <c r="DY1" s="986"/>
      <c r="DZ1" s="986"/>
      <c r="EA1" s="986"/>
      <c r="EB1" s="986" t="s">
        <v>764</v>
      </c>
      <c r="EC1" s="986"/>
      <c r="ED1" s="986"/>
      <c r="EE1" s="986"/>
      <c r="EF1" s="986"/>
      <c r="EG1" s="986" t="s">
        <v>765</v>
      </c>
      <c r="EH1" s="986"/>
      <c r="EI1" s="986"/>
      <c r="EJ1" s="986"/>
      <c r="EK1" s="986"/>
      <c r="EL1" s="986" t="s">
        <v>766</v>
      </c>
      <c r="EM1" s="986"/>
      <c r="EN1" s="986"/>
      <c r="EO1" s="986"/>
      <c r="EP1" s="986"/>
      <c r="EQ1" s="986" t="s">
        <v>767</v>
      </c>
      <c r="ER1" s="986"/>
      <c r="ES1" s="986"/>
      <c r="ET1" s="986"/>
      <c r="EU1" s="986"/>
      <c r="EV1" s="986" t="s">
        <v>777</v>
      </c>
      <c r="EW1" s="986"/>
      <c r="EX1" s="986"/>
      <c r="EY1" s="986"/>
      <c r="EZ1" s="986"/>
      <c r="FA1" s="986" t="s">
        <v>778</v>
      </c>
      <c r="FB1" s="986"/>
      <c r="FC1" s="986"/>
      <c r="FD1" s="986"/>
      <c r="FE1" s="986"/>
      <c r="FF1" s="986" t="s">
        <v>779</v>
      </c>
      <c r="FG1" s="986"/>
      <c r="FH1" s="986"/>
      <c r="FI1" s="986"/>
      <c r="FJ1" s="986"/>
      <c r="FK1" s="986"/>
      <c r="FL1" s="986" t="s">
        <v>780</v>
      </c>
      <c r="FM1" s="986"/>
      <c r="FN1" s="986"/>
      <c r="FO1" s="986"/>
      <c r="FP1" s="986"/>
      <c r="FQ1" s="986" t="s">
        <v>781</v>
      </c>
      <c r="FR1" s="986"/>
      <c r="FS1" s="986"/>
      <c r="FT1" s="986"/>
      <c r="FU1" s="986"/>
      <c r="FV1" s="986" t="s">
        <v>782</v>
      </c>
      <c r="FW1" s="986"/>
      <c r="FX1" s="986"/>
      <c r="FY1" s="986"/>
      <c r="FZ1" s="986"/>
      <c r="GA1" s="986" t="s">
        <v>783</v>
      </c>
      <c r="GB1" s="986"/>
      <c r="GC1" s="986"/>
      <c r="GD1" s="986"/>
      <c r="GE1" s="986"/>
      <c r="GF1" s="986" t="s">
        <v>784</v>
      </c>
      <c r="GG1" s="986"/>
      <c r="GH1" s="986"/>
      <c r="GI1" s="986"/>
      <c r="GJ1" s="986"/>
      <c r="GK1" s="986" t="s">
        <v>925</v>
      </c>
      <c r="GL1" s="986"/>
      <c r="GM1" s="986"/>
      <c r="GN1" s="986"/>
      <c r="GO1" s="986"/>
      <c r="GP1" s="986" t="s">
        <v>927</v>
      </c>
      <c r="GQ1" s="986"/>
      <c r="GR1" s="986"/>
      <c r="GS1" s="986"/>
      <c r="GT1" s="986"/>
      <c r="GU1" s="986" t="s">
        <v>928</v>
      </c>
      <c r="GV1" s="986"/>
      <c r="GW1" s="986"/>
      <c r="GX1" s="986"/>
      <c r="GY1" s="986"/>
      <c r="GZ1" s="986" t="s">
        <v>929</v>
      </c>
      <c r="HA1" s="986"/>
      <c r="HB1" s="986"/>
      <c r="HC1" s="986"/>
      <c r="HD1" s="986"/>
      <c r="HE1" s="986" t="s">
        <v>949</v>
      </c>
      <c r="HF1" s="986"/>
      <c r="HG1" s="986"/>
      <c r="HH1" s="986"/>
      <c r="HI1" s="986"/>
      <c r="HJ1" s="986" t="s">
        <v>950</v>
      </c>
      <c r="HK1" s="986"/>
      <c r="HL1" s="986"/>
      <c r="HM1" s="986"/>
      <c r="HN1" s="986"/>
      <c r="HO1" s="986" t="s">
        <v>951</v>
      </c>
      <c r="HP1" s="986"/>
      <c r="HQ1" s="986"/>
      <c r="HR1" s="986"/>
      <c r="HS1" s="986"/>
      <c r="HT1" s="986" t="s">
        <v>952</v>
      </c>
      <c r="HU1" s="986"/>
      <c r="HV1" s="986"/>
      <c r="HW1" s="986"/>
      <c r="HX1" s="986"/>
      <c r="HY1" s="986" t="s">
        <v>953</v>
      </c>
      <c r="HZ1" s="986"/>
      <c r="IA1" s="986"/>
      <c r="IB1" s="986"/>
      <c r="IC1" s="986"/>
      <c r="ID1" s="986" t="s">
        <v>954</v>
      </c>
      <c r="IE1" s="986"/>
      <c r="IF1" s="986"/>
      <c r="IG1" s="986"/>
      <c r="IH1" s="986"/>
      <c r="II1" s="1075"/>
      <c r="IJ1" s="1075"/>
      <c r="IK1" s="1075"/>
      <c r="IL1" s="1075"/>
    </row>
    <row r="2" spans="1:333" ht="17.25" customHeight="1" thickBot="1">
      <c r="A2" s="1006"/>
      <c r="B2" s="1007"/>
      <c r="C2" s="1007"/>
      <c r="D2" s="1008"/>
      <c r="F2" s="1033"/>
      <c r="G2" s="1033"/>
      <c r="H2" s="1033"/>
      <c r="I2" s="1033"/>
      <c r="J2" s="1033"/>
      <c r="K2" s="1033"/>
      <c r="L2" s="1033"/>
      <c r="M2" s="1033"/>
      <c r="O2" s="1012" t="s">
        <v>151</v>
      </c>
      <c r="P2" s="1013"/>
      <c r="Q2" s="1013"/>
      <c r="R2" s="1013"/>
      <c r="S2" s="1013"/>
      <c r="T2" s="1013"/>
      <c r="U2" s="1013"/>
      <c r="V2" s="1013"/>
      <c r="W2" s="1013"/>
      <c r="X2" s="1013"/>
      <c r="Y2" s="1013"/>
      <c r="Z2" s="1013"/>
      <c r="AA2" s="1013"/>
      <c r="AB2" s="1013"/>
      <c r="AC2" s="1013"/>
      <c r="AD2" s="1013"/>
      <c r="AE2" s="1013"/>
      <c r="AF2" s="1013"/>
      <c r="AG2" s="1013"/>
      <c r="AH2" s="1013"/>
      <c r="AI2" s="1014"/>
      <c r="AJ2" s="1020" t="s">
        <v>433</v>
      </c>
      <c r="AK2" s="1021"/>
      <c r="AL2" s="1021"/>
      <c r="AM2" s="1021"/>
      <c r="AN2" s="1021"/>
      <c r="AO2" s="1021"/>
      <c r="AP2" s="1021"/>
      <c r="AQ2" s="1021"/>
      <c r="AR2" s="1021"/>
      <c r="AS2" s="1021"/>
      <c r="AT2" s="1021"/>
      <c r="AU2" s="1021"/>
      <c r="AV2" s="1021"/>
      <c r="AW2" s="1021"/>
      <c r="AX2" s="1021"/>
      <c r="AY2" s="1021"/>
      <c r="AZ2" s="1021"/>
      <c r="BA2" s="1021"/>
      <c r="BB2" s="1021"/>
      <c r="BC2" s="1021"/>
      <c r="BD2" s="1021"/>
      <c r="BE2" s="1021"/>
      <c r="BF2" s="1017" t="s">
        <v>434</v>
      </c>
      <c r="BG2" s="1018"/>
      <c r="BH2" s="1018"/>
      <c r="BI2" s="1018"/>
      <c r="BJ2" s="1018"/>
      <c r="BK2" s="1018"/>
      <c r="BL2" s="1018"/>
      <c r="BM2" s="1018"/>
      <c r="BN2" s="1018"/>
      <c r="BO2" s="1018"/>
      <c r="BP2" s="1018"/>
      <c r="BQ2" s="1018"/>
      <c r="BR2" s="1018"/>
      <c r="BS2" s="1018"/>
      <c r="BT2" s="1018"/>
      <c r="BU2" s="1018"/>
      <c r="BV2" s="1018"/>
      <c r="BW2" s="1018"/>
      <c r="BX2" s="1018"/>
      <c r="BY2" s="1018"/>
      <c r="BZ2" s="1018"/>
      <c r="CA2" s="1018"/>
      <c r="CB2" s="1018"/>
      <c r="CC2" s="1019"/>
      <c r="CD2" s="1050" t="s">
        <v>435</v>
      </c>
      <c r="CE2" s="1051"/>
      <c r="CF2" s="1051"/>
      <c r="CG2" s="1051"/>
      <c r="CH2" s="1051"/>
      <c r="CI2" s="1051"/>
      <c r="CJ2" s="1051"/>
      <c r="CK2" s="1051"/>
      <c r="CL2" s="1051"/>
      <c r="CM2" s="1051"/>
      <c r="CN2" s="1051"/>
      <c r="CO2" s="1051"/>
      <c r="CP2" s="1051"/>
      <c r="CQ2" s="1051"/>
      <c r="CR2" s="1051"/>
      <c r="CS2" s="1051"/>
      <c r="CT2" s="1051"/>
      <c r="CU2" s="1051"/>
      <c r="CV2" s="1051"/>
      <c r="CW2" s="1051"/>
      <c r="CX2" s="1052"/>
      <c r="CY2" s="995" t="s">
        <v>436</v>
      </c>
      <c r="CZ2" s="996"/>
      <c r="DA2" s="996"/>
      <c r="DB2" s="996"/>
      <c r="DC2" s="996"/>
      <c r="DD2" s="996"/>
      <c r="DE2" s="996"/>
      <c r="DF2" s="996"/>
      <c r="DG2" s="996"/>
      <c r="DH2" s="996"/>
      <c r="DI2" s="996"/>
      <c r="DJ2" s="996"/>
      <c r="DK2" s="996"/>
      <c r="DL2" s="996"/>
      <c r="DM2" s="996"/>
      <c r="DN2" s="996"/>
      <c r="DO2" s="996"/>
      <c r="DP2" s="996"/>
      <c r="DQ2" s="996"/>
      <c r="DR2" s="997"/>
      <c r="DS2" s="997"/>
      <c r="DT2" s="998"/>
      <c r="DU2" s="1028" t="s">
        <v>711</v>
      </c>
      <c r="DV2" s="1029"/>
      <c r="DW2" s="1030"/>
      <c r="DX2" s="1030"/>
      <c r="DY2" s="1030"/>
      <c r="DZ2" s="1030"/>
      <c r="EA2" s="1030"/>
      <c r="EB2" s="1030"/>
      <c r="EC2" s="1030"/>
      <c r="ED2" s="1030"/>
      <c r="EE2" s="1030"/>
      <c r="EF2" s="1030"/>
      <c r="EG2" s="1030"/>
      <c r="EH2" s="1030"/>
      <c r="EI2" s="1030"/>
      <c r="EJ2" s="1030"/>
      <c r="EK2" s="1030"/>
      <c r="EL2" s="1030"/>
      <c r="EM2" s="1030"/>
      <c r="EN2" s="1030"/>
      <c r="EO2" s="1030"/>
      <c r="EP2" s="1030"/>
      <c r="EQ2" s="987" t="s">
        <v>775</v>
      </c>
      <c r="ER2" s="987"/>
      <c r="ES2" s="987"/>
      <c r="ET2" s="987"/>
      <c r="EU2" s="987"/>
      <c r="EV2" s="987"/>
      <c r="EW2" s="987"/>
      <c r="EX2" s="987"/>
      <c r="EY2" s="987"/>
      <c r="EZ2" s="987"/>
      <c r="FA2" s="987"/>
      <c r="FB2" s="987"/>
      <c r="FC2" s="987"/>
      <c r="FD2" s="987"/>
      <c r="FE2" s="987"/>
      <c r="FF2" s="987"/>
      <c r="FG2" s="987"/>
      <c r="FH2" s="987"/>
      <c r="FI2" s="987"/>
      <c r="FJ2" s="987"/>
      <c r="FK2" s="987"/>
      <c r="FL2" s="987"/>
      <c r="FM2" s="992" t="s">
        <v>776</v>
      </c>
      <c r="FN2" s="992"/>
      <c r="FO2" s="992"/>
      <c r="FP2" s="992"/>
      <c r="FQ2" s="992"/>
      <c r="FR2" s="992"/>
      <c r="FS2" s="992"/>
      <c r="FT2" s="992"/>
      <c r="FU2" s="992"/>
      <c r="FV2" s="992"/>
      <c r="FW2" s="992"/>
      <c r="FX2" s="992"/>
      <c r="FY2" s="992"/>
      <c r="FZ2" s="992"/>
      <c r="GA2" s="992"/>
      <c r="GB2" s="992"/>
      <c r="GC2" s="992"/>
      <c r="GD2" s="992"/>
      <c r="GE2" s="992"/>
      <c r="GF2" s="992"/>
      <c r="GG2" s="992"/>
      <c r="GH2" s="992"/>
      <c r="GI2" s="992"/>
      <c r="GJ2" s="993" t="s">
        <v>926</v>
      </c>
      <c r="GK2" s="994"/>
      <c r="GL2" s="994"/>
      <c r="GM2" s="994"/>
      <c r="GN2" s="994"/>
      <c r="GO2" s="994"/>
      <c r="GP2" s="994"/>
      <c r="GQ2" s="994"/>
      <c r="GR2" s="994"/>
      <c r="GS2" s="994"/>
      <c r="GT2" s="994"/>
      <c r="GU2" s="994"/>
      <c r="GV2" s="994"/>
      <c r="GW2" s="994"/>
      <c r="GX2" s="994"/>
      <c r="GY2" s="994"/>
      <c r="GZ2" s="994"/>
      <c r="HA2" s="994"/>
      <c r="HB2" s="994"/>
      <c r="HC2" s="994"/>
      <c r="HD2" s="994"/>
      <c r="HE2" s="1082" t="s">
        <v>947</v>
      </c>
      <c r="HF2" s="1082"/>
      <c r="HG2" s="1082"/>
      <c r="HH2" s="1082"/>
      <c r="HI2" s="1082"/>
      <c r="HJ2" s="1082"/>
      <c r="HK2" s="1082"/>
      <c r="HL2" s="1082"/>
      <c r="HM2" s="1082"/>
      <c r="HN2" s="1082"/>
      <c r="HO2" s="1082"/>
      <c r="HP2" s="1076" t="s">
        <v>948</v>
      </c>
      <c r="HQ2" s="1076"/>
      <c r="HR2" s="1076"/>
      <c r="HS2" s="1076"/>
      <c r="HT2" s="1076"/>
      <c r="HU2" s="1076"/>
      <c r="HV2" s="1076"/>
      <c r="HW2" s="1076"/>
      <c r="HX2" s="1076"/>
      <c r="HY2" s="1076"/>
      <c r="HZ2" s="1076"/>
      <c r="IA2" s="1076"/>
      <c r="IB2" s="1076"/>
      <c r="IC2" s="1076"/>
      <c r="ID2" s="1076"/>
      <c r="IE2" s="1076"/>
      <c r="IF2" s="1076"/>
      <c r="IG2" s="1076"/>
      <c r="IH2" s="1076"/>
      <c r="II2" s="1076"/>
      <c r="IJ2" s="1076"/>
      <c r="IK2" s="1076"/>
      <c r="IL2" s="1076"/>
      <c r="IM2" s="1079" t="s">
        <v>60</v>
      </c>
      <c r="IN2" s="1080"/>
      <c r="IO2" s="1080"/>
      <c r="IP2" s="1080"/>
      <c r="IQ2" s="1080"/>
      <c r="IR2" s="1080"/>
      <c r="IS2" s="1080"/>
      <c r="IT2" s="1080"/>
      <c r="IU2" s="1080"/>
      <c r="IV2" s="1080"/>
      <c r="IW2" s="1080"/>
      <c r="IX2" s="1081"/>
      <c r="IY2" s="1081"/>
      <c r="IZ2" s="1081"/>
      <c r="JA2" s="1081"/>
      <c r="JB2" s="1081"/>
      <c r="JC2" s="1081"/>
      <c r="JD2" s="1081"/>
      <c r="JE2" s="1081"/>
      <c r="JF2" s="1081"/>
      <c r="JG2" s="1081"/>
      <c r="JH2" s="1074" t="s">
        <v>151</v>
      </c>
      <c r="JI2" s="1074"/>
      <c r="JJ2" s="1074"/>
      <c r="JK2" s="1074"/>
      <c r="JL2" s="1074"/>
      <c r="JM2" s="1074"/>
      <c r="JN2" s="1074"/>
      <c r="JO2" s="1074"/>
      <c r="JP2" s="1074"/>
      <c r="JQ2" s="1074"/>
      <c r="JR2" s="1074"/>
      <c r="JS2" s="1074"/>
      <c r="JT2" s="1074"/>
      <c r="JU2" s="1074"/>
      <c r="JV2" s="1074"/>
      <c r="JW2" s="1074"/>
      <c r="JX2" s="1074"/>
      <c r="JY2" s="1074"/>
      <c r="JZ2" s="1074"/>
      <c r="KA2" s="1074"/>
      <c r="KB2" s="1074"/>
      <c r="KC2" s="1074"/>
      <c r="KD2" s="1077" t="s">
        <v>433</v>
      </c>
      <c r="KE2" s="1077"/>
      <c r="KF2" s="1077"/>
      <c r="KG2" s="1078"/>
      <c r="KH2" s="1078"/>
      <c r="KI2" s="1078"/>
      <c r="KJ2" s="1078"/>
      <c r="KK2" s="1078"/>
      <c r="KL2" s="1078"/>
      <c r="KM2" s="1078"/>
      <c r="KN2" s="1078"/>
      <c r="KO2" s="1078"/>
      <c r="KP2" s="1078"/>
      <c r="KQ2" s="1078"/>
      <c r="KR2" s="1078"/>
      <c r="KS2" s="1078"/>
      <c r="KT2" s="1078"/>
      <c r="KU2" s="1078"/>
      <c r="KV2" s="1077"/>
      <c r="KW2" s="1077"/>
      <c r="KX2" s="1077"/>
      <c r="KY2" s="1077"/>
      <c r="KZ2" s="983" t="s">
        <v>434</v>
      </c>
      <c r="LA2" s="983"/>
      <c r="LB2" s="983"/>
      <c r="LC2" s="983"/>
      <c r="LD2" s="983"/>
      <c r="LE2" s="983"/>
      <c r="LF2" s="983"/>
      <c r="LG2" s="983"/>
      <c r="LH2" s="983"/>
      <c r="LI2" s="983"/>
      <c r="LJ2" s="983"/>
      <c r="LK2" s="983"/>
      <c r="LL2" s="983"/>
      <c r="LM2" s="983"/>
      <c r="LN2" s="983"/>
      <c r="LO2" s="983"/>
      <c r="LP2" s="983"/>
      <c r="LQ2" s="983"/>
      <c r="LR2" s="983"/>
      <c r="LS2" s="983"/>
      <c r="LT2" s="983"/>
    </row>
    <row r="3" spans="1:333" ht="13.5" thickBot="1">
      <c r="F3" s="1034" t="s">
        <v>425</v>
      </c>
      <c r="G3" s="1035"/>
      <c r="H3" s="1035"/>
      <c r="I3" s="1035"/>
      <c r="J3" s="1035"/>
      <c r="K3" s="1035"/>
      <c r="L3" s="1035"/>
      <c r="M3" s="1035"/>
      <c r="O3" s="74">
        <v>1</v>
      </c>
      <c r="P3" s="75">
        <v>4</v>
      </c>
      <c r="Q3" s="73">
        <v>5</v>
      </c>
      <c r="R3" s="73">
        <v>6</v>
      </c>
      <c r="S3" s="73">
        <v>7</v>
      </c>
      <c r="T3" s="76">
        <v>8</v>
      </c>
      <c r="U3" s="75">
        <v>11</v>
      </c>
      <c r="V3" s="73">
        <v>12</v>
      </c>
      <c r="W3" s="73">
        <v>13</v>
      </c>
      <c r="X3" s="73">
        <v>14</v>
      </c>
      <c r="Y3" s="76">
        <v>15</v>
      </c>
      <c r="Z3" s="78">
        <v>18</v>
      </c>
      <c r="AA3" s="77">
        <v>19</v>
      </c>
      <c r="AB3" s="73">
        <v>20</v>
      </c>
      <c r="AC3" s="73">
        <v>21</v>
      </c>
      <c r="AD3" s="76">
        <v>22</v>
      </c>
      <c r="AE3" s="79">
        <v>25</v>
      </c>
      <c r="AF3" s="73">
        <v>26</v>
      </c>
      <c r="AG3" s="73">
        <v>27</v>
      </c>
      <c r="AH3" s="73">
        <v>28</v>
      </c>
      <c r="AI3" s="76">
        <v>29</v>
      </c>
      <c r="AJ3" s="80">
        <v>1</v>
      </c>
      <c r="AK3" s="81">
        <v>2</v>
      </c>
      <c r="AL3" s="81">
        <v>3</v>
      </c>
      <c r="AM3" s="81">
        <v>4</v>
      </c>
      <c r="AN3" s="82">
        <v>5</v>
      </c>
      <c r="AO3" s="80">
        <v>8</v>
      </c>
      <c r="AP3" s="81">
        <v>9</v>
      </c>
      <c r="AQ3" s="81">
        <v>10</v>
      </c>
      <c r="AR3" s="81">
        <v>11</v>
      </c>
      <c r="AS3" s="82">
        <v>12</v>
      </c>
      <c r="AT3" s="80">
        <v>15</v>
      </c>
      <c r="AU3" s="81">
        <v>16</v>
      </c>
      <c r="AV3" s="81">
        <v>17</v>
      </c>
      <c r="AW3" s="81">
        <v>18</v>
      </c>
      <c r="AX3" s="83">
        <v>19</v>
      </c>
      <c r="AY3" s="84">
        <v>22</v>
      </c>
      <c r="AZ3" s="84">
        <v>23</v>
      </c>
      <c r="BA3" s="84">
        <v>24</v>
      </c>
      <c r="BB3" s="84">
        <v>25</v>
      </c>
      <c r="BC3" s="84">
        <v>26</v>
      </c>
      <c r="BD3" s="78">
        <v>29</v>
      </c>
      <c r="BE3" s="229">
        <v>30</v>
      </c>
      <c r="BF3" s="216">
        <v>1</v>
      </c>
      <c r="BG3" s="216">
        <v>2</v>
      </c>
      <c r="BH3" s="216">
        <v>3</v>
      </c>
      <c r="BI3" s="216">
        <v>4</v>
      </c>
      <c r="BJ3" s="382">
        <v>6</v>
      </c>
      <c r="BK3" s="382">
        <v>7</v>
      </c>
      <c r="BL3" s="382">
        <v>8</v>
      </c>
      <c r="BM3" s="383">
        <v>9</v>
      </c>
      <c r="BN3" s="384">
        <v>10</v>
      </c>
      <c r="BO3" s="385">
        <v>13</v>
      </c>
      <c r="BP3" s="382">
        <v>14</v>
      </c>
      <c r="BQ3" s="382">
        <v>15</v>
      </c>
      <c r="BR3" s="382">
        <v>16</v>
      </c>
      <c r="BS3" s="384">
        <v>17</v>
      </c>
      <c r="BT3" s="385">
        <v>20</v>
      </c>
      <c r="BU3" s="382">
        <v>21</v>
      </c>
      <c r="BV3" s="382">
        <v>22</v>
      </c>
      <c r="BW3" s="382">
        <v>23</v>
      </c>
      <c r="BX3" s="382">
        <v>24</v>
      </c>
      <c r="BY3" s="232">
        <v>27</v>
      </c>
      <c r="BZ3" s="230">
        <v>28</v>
      </c>
      <c r="CA3" s="230">
        <v>29</v>
      </c>
      <c r="CB3" s="230">
        <v>30</v>
      </c>
      <c r="CC3" s="231">
        <v>31</v>
      </c>
      <c r="CD3" s="85">
        <v>3</v>
      </c>
      <c r="CE3" s="86">
        <v>4</v>
      </c>
      <c r="CF3" s="86">
        <v>5</v>
      </c>
      <c r="CG3" s="86">
        <v>6</v>
      </c>
      <c r="CH3" s="87">
        <v>7</v>
      </c>
      <c r="CI3" s="85">
        <v>10</v>
      </c>
      <c r="CJ3" s="86">
        <v>11</v>
      </c>
      <c r="CK3" s="86">
        <v>12</v>
      </c>
      <c r="CL3" s="86">
        <v>13</v>
      </c>
      <c r="CM3" s="87">
        <v>14</v>
      </c>
      <c r="CN3" s="85">
        <v>17</v>
      </c>
      <c r="CO3" s="86">
        <v>18</v>
      </c>
      <c r="CP3" s="86">
        <v>19</v>
      </c>
      <c r="CQ3" s="86">
        <v>20</v>
      </c>
      <c r="CR3" s="87">
        <v>21</v>
      </c>
      <c r="CS3" s="85">
        <v>24</v>
      </c>
      <c r="CT3" s="86">
        <v>25</v>
      </c>
      <c r="CU3" s="86">
        <v>26</v>
      </c>
      <c r="CV3" s="86">
        <v>27</v>
      </c>
      <c r="CW3" s="88">
        <v>28</v>
      </c>
      <c r="CX3" s="85">
        <v>31</v>
      </c>
      <c r="CY3" s="230">
        <v>1</v>
      </c>
      <c r="CZ3" s="230">
        <v>2</v>
      </c>
      <c r="DA3" s="230">
        <v>3</v>
      </c>
      <c r="DB3" s="231">
        <v>4</v>
      </c>
      <c r="DC3" s="232">
        <v>7</v>
      </c>
      <c r="DD3" s="230">
        <v>8</v>
      </c>
      <c r="DE3" s="230">
        <v>9</v>
      </c>
      <c r="DF3" s="230">
        <v>10</v>
      </c>
      <c r="DG3" s="231">
        <v>11</v>
      </c>
      <c r="DH3" s="232">
        <v>14</v>
      </c>
      <c r="DI3" s="230">
        <v>15</v>
      </c>
      <c r="DJ3" s="230">
        <v>16</v>
      </c>
      <c r="DK3" s="230">
        <v>17</v>
      </c>
      <c r="DL3" s="231">
        <v>18</v>
      </c>
      <c r="DM3" s="232">
        <v>21</v>
      </c>
      <c r="DN3" s="230">
        <v>22</v>
      </c>
      <c r="DO3" s="230">
        <v>23</v>
      </c>
      <c r="DP3" s="230">
        <v>24</v>
      </c>
      <c r="DQ3" s="233">
        <v>25</v>
      </c>
      <c r="DR3" s="235">
        <v>28</v>
      </c>
      <c r="DS3" s="236">
        <v>29</v>
      </c>
      <c r="DT3" s="236">
        <v>30</v>
      </c>
      <c r="DU3" s="236">
        <v>1</v>
      </c>
      <c r="DV3" s="513">
        <v>2</v>
      </c>
      <c r="DW3" s="85">
        <v>5</v>
      </c>
      <c r="DX3" s="86">
        <v>6</v>
      </c>
      <c r="DY3" s="86">
        <v>7</v>
      </c>
      <c r="DZ3" s="86">
        <v>8</v>
      </c>
      <c r="EA3" s="88">
        <v>9</v>
      </c>
      <c r="EB3" s="85">
        <v>12</v>
      </c>
      <c r="EC3" s="86">
        <v>13</v>
      </c>
      <c r="ED3" s="86">
        <v>14</v>
      </c>
      <c r="EE3" s="86">
        <v>15</v>
      </c>
      <c r="EF3" s="87">
        <v>16</v>
      </c>
      <c r="EG3" s="515">
        <v>19</v>
      </c>
      <c r="EH3" s="86">
        <v>20</v>
      </c>
      <c r="EI3" s="86">
        <v>21</v>
      </c>
      <c r="EJ3" s="86">
        <v>22</v>
      </c>
      <c r="EK3" s="87">
        <v>23</v>
      </c>
      <c r="EL3" s="515">
        <v>26</v>
      </c>
      <c r="EM3" s="86">
        <v>27</v>
      </c>
      <c r="EN3" s="514">
        <v>28</v>
      </c>
      <c r="EO3" s="514">
        <v>29</v>
      </c>
      <c r="EP3" s="551">
        <v>30</v>
      </c>
      <c r="EQ3" s="117">
        <v>2</v>
      </c>
      <c r="ER3" s="117">
        <v>3</v>
      </c>
      <c r="ES3" s="117">
        <v>4</v>
      </c>
      <c r="ET3" s="117">
        <v>5</v>
      </c>
      <c r="EU3" s="117">
        <v>6</v>
      </c>
      <c r="EV3" s="117">
        <v>9</v>
      </c>
      <c r="EW3" s="117">
        <v>10</v>
      </c>
      <c r="EX3" s="117">
        <v>11</v>
      </c>
      <c r="EY3" s="117">
        <v>12</v>
      </c>
      <c r="EZ3" s="117">
        <v>13</v>
      </c>
      <c r="FA3" s="117">
        <v>16</v>
      </c>
      <c r="FB3" s="117">
        <v>17</v>
      </c>
      <c r="FC3" s="117">
        <v>18</v>
      </c>
      <c r="FD3" s="117">
        <v>19</v>
      </c>
      <c r="FE3" s="117">
        <v>20</v>
      </c>
      <c r="FF3" s="117">
        <v>23</v>
      </c>
      <c r="FG3" s="117">
        <v>24</v>
      </c>
      <c r="FH3" s="117">
        <v>25</v>
      </c>
      <c r="FI3" s="117">
        <v>26</v>
      </c>
      <c r="FJ3" s="117">
        <v>27</v>
      </c>
      <c r="FK3" s="117">
        <v>28</v>
      </c>
      <c r="FL3" s="117">
        <v>30</v>
      </c>
      <c r="FM3" s="117">
        <v>1</v>
      </c>
      <c r="FN3" s="117">
        <v>2</v>
      </c>
      <c r="FO3" s="117">
        <v>3</v>
      </c>
      <c r="FP3" s="117">
        <v>4</v>
      </c>
      <c r="FQ3" s="117">
        <v>7</v>
      </c>
      <c r="FR3" s="117">
        <v>8</v>
      </c>
      <c r="FS3" s="117">
        <v>9</v>
      </c>
      <c r="FT3" s="117">
        <v>10</v>
      </c>
      <c r="FU3" s="117">
        <v>11</v>
      </c>
      <c r="FV3" s="117">
        <v>14</v>
      </c>
      <c r="FW3" s="117">
        <v>15</v>
      </c>
      <c r="FX3" s="117">
        <v>16</v>
      </c>
      <c r="FY3" s="117">
        <v>17</v>
      </c>
      <c r="FZ3" s="117">
        <v>18</v>
      </c>
      <c r="GA3" s="117">
        <v>21</v>
      </c>
      <c r="GB3" s="117">
        <v>22</v>
      </c>
      <c r="GC3" s="117">
        <v>23</v>
      </c>
      <c r="GD3" s="117">
        <v>24</v>
      </c>
      <c r="GE3" s="117">
        <v>25</v>
      </c>
      <c r="GF3" s="117">
        <v>28</v>
      </c>
      <c r="GG3" s="117">
        <v>29</v>
      </c>
      <c r="GH3" s="117">
        <v>30</v>
      </c>
      <c r="GI3" s="117">
        <v>31</v>
      </c>
      <c r="GJ3" s="117">
        <v>1</v>
      </c>
      <c r="GK3" s="117">
        <v>4</v>
      </c>
      <c r="GL3" s="117">
        <v>5</v>
      </c>
      <c r="GM3" s="117">
        <v>6</v>
      </c>
      <c r="GN3" s="117">
        <v>7</v>
      </c>
      <c r="GO3" s="117">
        <v>8</v>
      </c>
      <c r="GP3" s="117">
        <v>11</v>
      </c>
      <c r="GQ3" s="117">
        <v>12</v>
      </c>
      <c r="GR3" s="117">
        <v>13</v>
      </c>
      <c r="GS3" s="117">
        <v>14</v>
      </c>
      <c r="GT3" s="117">
        <v>15</v>
      </c>
      <c r="GU3" s="117">
        <v>18</v>
      </c>
      <c r="GV3" s="117">
        <v>19</v>
      </c>
      <c r="GW3" s="117">
        <v>20</v>
      </c>
      <c r="GX3" s="117">
        <v>21</v>
      </c>
      <c r="GY3" s="117">
        <v>22</v>
      </c>
      <c r="GZ3" s="117">
        <v>25</v>
      </c>
      <c r="HA3" s="117">
        <v>26</v>
      </c>
      <c r="HB3" s="117">
        <v>27</v>
      </c>
      <c r="HC3" s="117">
        <v>28</v>
      </c>
      <c r="HD3" s="117">
        <v>29</v>
      </c>
      <c r="HE3" s="117">
        <v>15</v>
      </c>
      <c r="HF3" s="117">
        <v>16</v>
      </c>
      <c r="HG3" s="117">
        <v>17</v>
      </c>
      <c r="HH3" s="117">
        <v>18</v>
      </c>
      <c r="HI3" s="117">
        <v>19</v>
      </c>
      <c r="HJ3" s="117">
        <v>22</v>
      </c>
      <c r="HK3" s="117">
        <v>23</v>
      </c>
      <c r="HL3" s="117">
        <v>24</v>
      </c>
      <c r="HM3" s="117">
        <v>25</v>
      </c>
      <c r="HN3" s="117">
        <v>26</v>
      </c>
      <c r="HO3" s="117">
        <v>29</v>
      </c>
      <c r="HP3" s="117">
        <v>1</v>
      </c>
      <c r="HQ3" s="117">
        <v>2</v>
      </c>
      <c r="HR3" s="117">
        <v>3</v>
      </c>
      <c r="HS3" s="117">
        <v>4</v>
      </c>
      <c r="HT3" s="117">
        <v>7</v>
      </c>
      <c r="HU3" s="117">
        <v>8</v>
      </c>
      <c r="HV3" s="117">
        <v>9</v>
      </c>
      <c r="HW3" s="117">
        <v>10</v>
      </c>
      <c r="HX3" s="117">
        <v>11</v>
      </c>
      <c r="HY3" s="117">
        <v>14</v>
      </c>
      <c r="HZ3" s="117">
        <v>15</v>
      </c>
      <c r="IA3" s="117">
        <v>16</v>
      </c>
      <c r="IB3" s="117">
        <v>17</v>
      </c>
      <c r="IC3" s="117">
        <v>18</v>
      </c>
      <c r="ID3" s="117">
        <v>21</v>
      </c>
      <c r="IE3" s="117">
        <v>22</v>
      </c>
      <c r="IF3" s="117">
        <v>23</v>
      </c>
      <c r="IG3" s="117">
        <v>24</v>
      </c>
      <c r="IH3" s="117">
        <v>25</v>
      </c>
      <c r="II3" s="117">
        <v>28</v>
      </c>
      <c r="IJ3" s="117">
        <v>29</v>
      </c>
      <c r="IK3" s="117">
        <v>30</v>
      </c>
      <c r="IL3" s="117">
        <v>31</v>
      </c>
      <c r="IM3" s="117">
        <v>1</v>
      </c>
      <c r="IN3" s="117">
        <v>4</v>
      </c>
      <c r="IO3" s="117">
        <v>5</v>
      </c>
      <c r="IP3" s="117">
        <v>6</v>
      </c>
      <c r="IQ3" s="117">
        <v>7</v>
      </c>
      <c r="IR3" s="117">
        <v>8</v>
      </c>
      <c r="IS3" s="117">
        <v>11</v>
      </c>
      <c r="IT3" s="117">
        <v>12</v>
      </c>
      <c r="IU3" s="117">
        <v>13</v>
      </c>
      <c r="IV3" s="117">
        <v>14</v>
      </c>
      <c r="IW3" s="227">
        <v>15</v>
      </c>
      <c r="IX3" s="835">
        <v>18</v>
      </c>
      <c r="IY3" s="836">
        <v>19</v>
      </c>
      <c r="IZ3" s="836">
        <v>20</v>
      </c>
      <c r="JA3" s="836">
        <v>21</v>
      </c>
      <c r="JB3" s="837">
        <v>22</v>
      </c>
      <c r="JC3" s="835">
        <v>25</v>
      </c>
      <c r="JD3" s="836">
        <v>26</v>
      </c>
      <c r="JE3" s="836">
        <v>27</v>
      </c>
      <c r="JF3" s="836">
        <v>28</v>
      </c>
      <c r="JG3" s="837">
        <v>29</v>
      </c>
      <c r="JH3" s="835">
        <v>2</v>
      </c>
      <c r="JI3" s="836">
        <v>3</v>
      </c>
      <c r="JJ3" s="836">
        <v>4</v>
      </c>
      <c r="JK3" s="836">
        <v>5</v>
      </c>
      <c r="JL3" s="837">
        <v>6</v>
      </c>
      <c r="JM3" s="835">
        <v>9</v>
      </c>
      <c r="JN3" s="836">
        <v>10</v>
      </c>
      <c r="JO3" s="836">
        <v>11</v>
      </c>
      <c r="JP3" s="836">
        <v>12</v>
      </c>
      <c r="JQ3" s="837">
        <v>13</v>
      </c>
      <c r="JR3" s="835">
        <v>16</v>
      </c>
      <c r="JS3" s="836">
        <v>17</v>
      </c>
      <c r="JT3" s="836">
        <v>18</v>
      </c>
      <c r="JU3" s="836">
        <v>19</v>
      </c>
      <c r="JV3" s="837">
        <v>20</v>
      </c>
      <c r="JW3" s="835">
        <v>23</v>
      </c>
      <c r="JX3" s="836">
        <v>24</v>
      </c>
      <c r="JY3" s="836">
        <v>25</v>
      </c>
      <c r="JZ3" s="836">
        <v>26</v>
      </c>
      <c r="KA3" s="840">
        <v>27</v>
      </c>
      <c r="KB3" s="835">
        <v>30</v>
      </c>
      <c r="KC3" s="836">
        <v>31</v>
      </c>
      <c r="KD3" s="836">
        <v>1</v>
      </c>
      <c r="KE3" s="836">
        <v>2</v>
      </c>
      <c r="KF3" s="837">
        <v>3</v>
      </c>
      <c r="KG3" s="886">
        <v>6</v>
      </c>
      <c r="KH3" s="886">
        <v>7</v>
      </c>
      <c r="KI3" s="886">
        <v>8</v>
      </c>
      <c r="KJ3" s="886">
        <v>9</v>
      </c>
      <c r="KK3" s="887">
        <v>10</v>
      </c>
      <c r="KL3" s="885">
        <v>13</v>
      </c>
      <c r="KM3" s="886">
        <v>14</v>
      </c>
      <c r="KN3" s="886">
        <v>15</v>
      </c>
      <c r="KO3" s="886">
        <v>16</v>
      </c>
      <c r="KP3" s="887">
        <v>17</v>
      </c>
      <c r="KQ3" s="885">
        <v>20</v>
      </c>
      <c r="KR3" s="886">
        <v>21</v>
      </c>
      <c r="KS3" s="886">
        <v>22</v>
      </c>
      <c r="KT3" s="886">
        <v>23</v>
      </c>
      <c r="KU3" s="886">
        <v>24</v>
      </c>
      <c r="KV3" s="835">
        <v>27</v>
      </c>
      <c r="KW3" s="836">
        <v>28</v>
      </c>
      <c r="KX3" s="836">
        <v>29</v>
      </c>
      <c r="KY3" s="836">
        <v>30</v>
      </c>
      <c r="KZ3" s="837">
        <v>1</v>
      </c>
      <c r="LA3" s="835">
        <v>4</v>
      </c>
      <c r="LB3" s="836">
        <v>5</v>
      </c>
      <c r="LC3" s="836">
        <v>6</v>
      </c>
      <c r="LD3" s="836">
        <v>7</v>
      </c>
      <c r="LE3" s="837">
        <v>8</v>
      </c>
      <c r="LF3" s="835">
        <v>11</v>
      </c>
      <c r="LG3" s="836">
        <v>12</v>
      </c>
      <c r="LH3" s="836">
        <v>13</v>
      </c>
      <c r="LI3" s="836">
        <v>14</v>
      </c>
      <c r="LJ3" s="837">
        <v>15</v>
      </c>
      <c r="LK3" s="835">
        <v>18</v>
      </c>
      <c r="LL3" s="836">
        <v>19</v>
      </c>
      <c r="LM3" s="836">
        <v>20</v>
      </c>
      <c r="LN3" s="836">
        <v>21</v>
      </c>
      <c r="LO3" s="837">
        <v>22</v>
      </c>
      <c r="LP3" s="835">
        <v>25</v>
      </c>
      <c r="LQ3" s="836">
        <v>26</v>
      </c>
      <c r="LR3" s="836">
        <v>27</v>
      </c>
      <c r="LS3" s="836">
        <v>28</v>
      </c>
      <c r="LT3" s="837">
        <v>29</v>
      </c>
    </row>
    <row r="4" spans="1:333" ht="25.5" customHeight="1">
      <c r="A4" s="1053" t="s">
        <v>152</v>
      </c>
      <c r="B4" s="1053" t="s">
        <v>153</v>
      </c>
      <c r="C4" s="1036" t="s">
        <v>603</v>
      </c>
      <c r="D4" s="1009" t="s">
        <v>522</v>
      </c>
      <c r="E4" s="1058" t="s">
        <v>430</v>
      </c>
      <c r="F4" s="985" t="s">
        <v>424</v>
      </c>
      <c r="G4" s="985" t="s">
        <v>24</v>
      </c>
      <c r="H4" s="1054" t="s">
        <v>16</v>
      </c>
      <c r="I4" s="1055"/>
      <c r="J4" s="985" t="s">
        <v>5</v>
      </c>
      <c r="K4" s="985" t="s">
        <v>21</v>
      </c>
      <c r="L4" s="1054" t="s">
        <v>13</v>
      </c>
      <c r="M4" s="1055"/>
      <c r="N4" s="1072" t="s">
        <v>394</v>
      </c>
      <c r="O4" s="90"/>
      <c r="P4" s="89"/>
      <c r="Q4" s="90"/>
      <c r="R4" s="90"/>
      <c r="S4" s="90"/>
      <c r="T4" s="91"/>
      <c r="U4" s="89"/>
      <c r="V4" s="90"/>
      <c r="W4" s="90"/>
      <c r="X4" s="90"/>
      <c r="Y4" s="91"/>
      <c r="Z4" s="1022" t="s">
        <v>449</v>
      </c>
      <c r="AA4" s="1023"/>
      <c r="AB4" s="1023"/>
      <c r="AC4" s="1023"/>
      <c r="AD4" s="1024"/>
      <c r="AE4" s="89"/>
      <c r="AF4" s="90"/>
      <c r="AG4" s="90"/>
      <c r="AH4" s="90"/>
      <c r="AI4" s="91"/>
      <c r="AJ4" s="89"/>
      <c r="AK4" s="90"/>
      <c r="AL4" s="90"/>
      <c r="AM4" s="90"/>
      <c r="AN4" s="91"/>
      <c r="AO4" s="89"/>
      <c r="AP4" s="90"/>
      <c r="AQ4" s="90"/>
      <c r="AR4" s="90"/>
      <c r="AS4" s="91"/>
      <c r="AT4" s="89"/>
      <c r="AU4" s="90"/>
      <c r="AV4" s="90"/>
      <c r="AW4" s="1038" t="s">
        <v>550</v>
      </c>
      <c r="AX4" s="1039"/>
      <c r="AY4" s="89"/>
      <c r="AZ4" s="90"/>
      <c r="BA4" s="90"/>
      <c r="BB4" s="90"/>
      <c r="BC4" s="91"/>
      <c r="BD4" s="1042"/>
      <c r="BE4" s="1038"/>
      <c r="BF4" s="90"/>
      <c r="BG4" s="90"/>
      <c r="BH4" s="90"/>
      <c r="BI4" s="1060" t="s">
        <v>597</v>
      </c>
      <c r="BJ4" s="89"/>
      <c r="BK4" s="90"/>
      <c r="BL4" s="90"/>
      <c r="BM4" s="90"/>
      <c r="BN4" s="91"/>
      <c r="BO4" s="89"/>
      <c r="BP4" s="90"/>
      <c r="BQ4" s="90"/>
      <c r="BR4" s="90"/>
      <c r="BS4" s="91"/>
      <c r="BT4" s="89"/>
      <c r="BU4" s="90"/>
      <c r="BV4" s="90"/>
      <c r="BW4" s="90"/>
      <c r="BX4" s="90"/>
      <c r="BY4" s="999"/>
      <c r="BZ4" s="1000"/>
      <c r="CA4" s="1000"/>
      <c r="CB4" s="1000"/>
      <c r="CC4" s="1015"/>
      <c r="CD4" s="999"/>
      <c r="CE4" s="1000"/>
      <c r="CF4" s="1000"/>
      <c r="CG4" s="1000"/>
      <c r="CH4" s="1015"/>
      <c r="CI4" s="999"/>
      <c r="CJ4" s="1000"/>
      <c r="CK4" s="1000"/>
      <c r="CL4" s="1000"/>
      <c r="CM4" s="1015"/>
      <c r="CN4" s="999"/>
      <c r="CO4" s="1000"/>
      <c r="CP4" s="1000"/>
      <c r="CQ4" s="1000"/>
      <c r="CR4" s="1015"/>
      <c r="CS4" s="999"/>
      <c r="CT4" s="1000"/>
      <c r="CU4" s="1000"/>
      <c r="CV4" s="1000"/>
      <c r="CW4" s="1000"/>
      <c r="CX4" s="999"/>
      <c r="CY4" s="1000"/>
      <c r="CZ4" s="1000"/>
      <c r="DA4" s="1000"/>
      <c r="DB4" s="1015"/>
      <c r="DC4" s="999"/>
      <c r="DD4" s="1000"/>
      <c r="DE4" s="1000"/>
      <c r="DF4" s="1000"/>
      <c r="DG4" s="1015"/>
      <c r="DH4" s="999"/>
      <c r="DI4" s="1000"/>
      <c r="DJ4" s="1000"/>
      <c r="DK4" s="1000"/>
      <c r="DL4" s="1015"/>
      <c r="DM4" s="999"/>
      <c r="DN4" s="1000"/>
      <c r="DO4" s="1000"/>
      <c r="DP4" s="1000"/>
      <c r="DQ4" s="1000"/>
      <c r="DR4" s="999"/>
      <c r="DS4" s="1000"/>
      <c r="DT4" s="1000"/>
      <c r="DU4" s="1000"/>
      <c r="DV4" s="1000"/>
      <c r="DW4" s="1062"/>
      <c r="DX4" s="1063"/>
      <c r="DY4" s="1063"/>
      <c r="DZ4" s="1063"/>
      <c r="EA4" s="1063"/>
      <c r="EB4" s="1062"/>
      <c r="EC4" s="1063"/>
      <c r="ED4" s="1063"/>
      <c r="EE4" s="1063"/>
      <c r="EF4" s="1066"/>
      <c r="EG4" s="1063"/>
      <c r="EH4" s="1063"/>
      <c r="EI4" s="1063"/>
      <c r="EJ4" s="1063"/>
      <c r="EK4" s="1066"/>
      <c r="EL4" s="1070"/>
      <c r="EM4" s="1071"/>
      <c r="EN4" s="1071"/>
      <c r="EO4" s="1071"/>
      <c r="EP4" s="1071"/>
      <c r="EQ4" s="989"/>
      <c r="ER4" s="989"/>
      <c r="ES4" s="989"/>
      <c r="ET4" s="989"/>
      <c r="EU4" s="989"/>
      <c r="EV4" s="989"/>
      <c r="EW4" s="989"/>
      <c r="EX4" s="989"/>
      <c r="EY4" s="989"/>
      <c r="EZ4" s="989"/>
      <c r="FA4" s="989"/>
      <c r="FB4" s="989"/>
      <c r="FC4" s="989"/>
      <c r="FD4" s="989"/>
      <c r="FE4" s="989"/>
      <c r="FF4" s="991"/>
      <c r="FG4" s="989"/>
      <c r="FH4" s="989"/>
      <c r="FI4" s="989"/>
      <c r="FJ4" s="991" t="s">
        <v>850</v>
      </c>
      <c r="FK4" s="988" t="s">
        <v>787</v>
      </c>
      <c r="FL4" s="989"/>
      <c r="FM4" s="989"/>
      <c r="FN4" s="989"/>
      <c r="FO4" s="989"/>
      <c r="FP4" s="1073" t="s">
        <v>866</v>
      </c>
      <c r="FQ4" s="1073" t="s">
        <v>785</v>
      </c>
      <c r="FR4" s="1073" t="s">
        <v>785</v>
      </c>
      <c r="FS4" s="986"/>
      <c r="FT4" s="986"/>
      <c r="FU4" s="986"/>
      <c r="FV4" s="986"/>
      <c r="FW4" s="986"/>
      <c r="FX4" s="986"/>
      <c r="FY4" s="986"/>
      <c r="FZ4" s="986"/>
      <c r="GA4" s="986"/>
      <c r="GB4" s="986"/>
      <c r="GC4" s="986"/>
      <c r="GD4" s="1073" t="s">
        <v>786</v>
      </c>
      <c r="GE4" s="1073" t="s">
        <v>785</v>
      </c>
      <c r="GF4" s="986"/>
      <c r="GG4" s="986"/>
      <c r="GH4" s="986"/>
      <c r="GI4" s="1073" t="s">
        <v>786</v>
      </c>
      <c r="GJ4" s="1073" t="s">
        <v>785</v>
      </c>
      <c r="GK4" s="117"/>
      <c r="GL4" s="117"/>
      <c r="GM4" s="117"/>
      <c r="GN4" s="117"/>
      <c r="GO4" s="117"/>
      <c r="GP4" s="117"/>
      <c r="GQ4" s="117"/>
      <c r="GR4" s="117"/>
      <c r="GS4" s="117"/>
      <c r="GT4" s="117"/>
      <c r="GU4" s="117"/>
      <c r="GV4" s="117"/>
      <c r="GW4" s="117"/>
      <c r="GX4" s="117"/>
      <c r="GY4" s="117"/>
      <c r="GZ4" s="117"/>
      <c r="HA4" s="117"/>
      <c r="HB4" s="117"/>
      <c r="HC4" s="117"/>
      <c r="HD4" s="117"/>
      <c r="HE4" s="117"/>
      <c r="HF4" s="117"/>
      <c r="HG4" s="117"/>
      <c r="HH4" s="117"/>
      <c r="HI4" s="117"/>
      <c r="HJ4" s="117"/>
      <c r="HK4" s="117"/>
      <c r="HL4" s="117"/>
      <c r="HM4" s="117"/>
      <c r="HN4" s="117"/>
      <c r="HO4" s="117"/>
      <c r="HP4" s="117"/>
      <c r="HQ4" s="117"/>
      <c r="HR4" s="117"/>
      <c r="HS4" s="117"/>
      <c r="HT4" s="117"/>
      <c r="HU4" s="117"/>
      <c r="HV4" s="117"/>
      <c r="HW4" s="117"/>
      <c r="HX4" s="117"/>
      <c r="HY4" s="117"/>
      <c r="HZ4" s="117"/>
      <c r="IA4" s="117"/>
      <c r="IB4" s="117"/>
      <c r="IC4" s="117"/>
      <c r="ID4" s="117"/>
      <c r="IE4" s="117"/>
      <c r="IF4" s="117"/>
      <c r="IG4" s="1073" t="s">
        <v>785</v>
      </c>
      <c r="IH4" s="1073" t="s">
        <v>785</v>
      </c>
      <c r="II4" s="117"/>
      <c r="IJ4" s="117"/>
      <c r="IK4" s="117"/>
      <c r="IL4" s="117"/>
      <c r="IM4" s="117"/>
      <c r="IN4" s="117"/>
      <c r="IO4" s="117"/>
      <c r="IP4" s="117"/>
      <c r="IQ4" s="117"/>
      <c r="IR4" s="117"/>
      <c r="IS4" s="117"/>
      <c r="IT4" s="117"/>
      <c r="IU4" s="117"/>
      <c r="IV4" s="117"/>
      <c r="IW4" s="117"/>
      <c r="IX4" s="834"/>
      <c r="IY4" s="834"/>
      <c r="IZ4" s="834"/>
      <c r="JA4" s="834"/>
      <c r="JB4" s="834"/>
      <c r="JC4" s="834"/>
      <c r="JD4" s="834"/>
      <c r="JE4" s="834"/>
      <c r="JF4" s="834"/>
      <c r="JG4" s="834"/>
      <c r="JH4" s="834"/>
      <c r="JI4" s="834"/>
      <c r="JJ4" s="834"/>
      <c r="JK4" s="834"/>
      <c r="JL4" s="834"/>
      <c r="JM4" s="834"/>
      <c r="JN4" s="834"/>
      <c r="JO4" s="834"/>
      <c r="JP4" s="881"/>
      <c r="JQ4" s="881"/>
      <c r="JR4" s="834"/>
      <c r="JS4" s="834"/>
      <c r="JT4" s="834"/>
      <c r="JU4" s="834"/>
      <c r="JV4" s="834"/>
      <c r="JW4" s="834"/>
      <c r="JX4" s="834"/>
      <c r="JY4" s="985" t="s">
        <v>785</v>
      </c>
      <c r="JZ4" s="985" t="s">
        <v>1187</v>
      </c>
      <c r="KA4" s="985" t="s">
        <v>1187</v>
      </c>
      <c r="KB4" s="834"/>
      <c r="KC4" s="878"/>
      <c r="KD4" s="985" t="s">
        <v>1193</v>
      </c>
      <c r="KE4" s="834"/>
      <c r="KF4" s="834"/>
      <c r="KG4" s="834"/>
      <c r="KH4" s="834"/>
      <c r="KI4" s="834"/>
      <c r="KJ4" s="834"/>
      <c r="KK4" s="834"/>
      <c r="KL4" s="834"/>
      <c r="KM4" s="834"/>
      <c r="KN4" s="834"/>
      <c r="KO4" s="834"/>
      <c r="KP4" s="984" t="s">
        <v>785</v>
      </c>
      <c r="KQ4" s="984" t="s">
        <v>785</v>
      </c>
      <c r="KR4" s="834"/>
      <c r="KS4" s="834"/>
      <c r="KT4" s="834"/>
      <c r="KU4" s="834"/>
      <c r="KV4" s="834"/>
      <c r="KW4" s="834"/>
      <c r="KX4" s="834"/>
      <c r="KY4" s="834"/>
      <c r="KZ4" s="834"/>
      <c r="LA4" s="834"/>
      <c r="LB4" s="834"/>
      <c r="LC4" s="834"/>
      <c r="LD4" s="834"/>
      <c r="LE4" s="984" t="s">
        <v>785</v>
      </c>
      <c r="LF4" s="834"/>
      <c r="LG4" s="834"/>
      <c r="LH4" s="834"/>
      <c r="LI4" s="834"/>
      <c r="LJ4" s="834"/>
      <c r="LK4" s="834"/>
      <c r="LL4" s="834"/>
      <c r="LM4" s="834"/>
      <c r="LN4" s="834"/>
      <c r="LO4" s="834"/>
      <c r="LP4" s="834"/>
      <c r="LQ4" s="834"/>
      <c r="LR4" s="834"/>
      <c r="LS4" s="834"/>
      <c r="LT4" s="834"/>
    </row>
    <row r="5" spans="1:333" ht="27" customHeight="1" thickBot="1">
      <c r="A5" s="1053"/>
      <c r="B5" s="1053"/>
      <c r="C5" s="1037"/>
      <c r="D5" s="1010"/>
      <c r="E5" s="1059"/>
      <c r="F5" s="985"/>
      <c r="G5" s="985"/>
      <c r="H5" s="1056"/>
      <c r="I5" s="1057"/>
      <c r="J5" s="985"/>
      <c r="K5" s="985"/>
      <c r="L5" s="1056"/>
      <c r="M5" s="1057"/>
      <c r="N5" s="1072"/>
      <c r="O5" s="93"/>
      <c r="P5" s="92"/>
      <c r="Q5" s="93"/>
      <c r="R5" s="93"/>
      <c r="S5" s="93"/>
      <c r="T5" s="94"/>
      <c r="U5" s="92"/>
      <c r="V5" s="93"/>
      <c r="W5" s="93"/>
      <c r="X5" s="93"/>
      <c r="Y5" s="94"/>
      <c r="Z5" s="1025"/>
      <c r="AA5" s="1026"/>
      <c r="AB5" s="1026"/>
      <c r="AC5" s="1026"/>
      <c r="AD5" s="1027"/>
      <c r="AE5" s="92"/>
      <c r="AF5" s="93"/>
      <c r="AG5" s="93"/>
      <c r="AH5" s="93"/>
      <c r="AI5" s="94"/>
      <c r="AJ5" s="92"/>
      <c r="AK5" s="93"/>
      <c r="AL5" s="93"/>
      <c r="AM5" s="93"/>
      <c r="AN5" s="94"/>
      <c r="AO5" s="393"/>
      <c r="AP5" s="380"/>
      <c r="AQ5" s="380"/>
      <c r="AR5" s="380"/>
      <c r="AS5" s="381"/>
      <c r="AT5" s="393"/>
      <c r="AU5" s="380"/>
      <c r="AV5" s="380"/>
      <c r="AW5" s="1040"/>
      <c r="AX5" s="1041"/>
      <c r="AY5" s="393"/>
      <c r="AZ5" s="380"/>
      <c r="BA5" s="380"/>
      <c r="BB5" s="380"/>
      <c r="BC5" s="381"/>
      <c r="BD5" s="1043"/>
      <c r="BE5" s="1040"/>
      <c r="BF5" s="380"/>
      <c r="BG5" s="380"/>
      <c r="BH5" s="380"/>
      <c r="BI5" s="1061"/>
      <c r="BJ5" s="393"/>
      <c r="BK5" s="380"/>
      <c r="BL5" s="380"/>
      <c r="BM5" s="380"/>
      <c r="BN5" s="381"/>
      <c r="BO5" s="393"/>
      <c r="BP5" s="380"/>
      <c r="BQ5" s="380"/>
      <c r="BR5" s="380"/>
      <c r="BS5" s="381"/>
      <c r="BT5" s="92"/>
      <c r="BU5" s="93"/>
      <c r="BV5" s="93"/>
      <c r="BW5" s="93"/>
      <c r="BX5" s="93"/>
      <c r="BY5" s="1001"/>
      <c r="BZ5" s="1002"/>
      <c r="CA5" s="1002"/>
      <c r="CB5" s="1002"/>
      <c r="CC5" s="1016"/>
      <c r="CD5" s="1001"/>
      <c r="CE5" s="1002"/>
      <c r="CF5" s="1002"/>
      <c r="CG5" s="1002"/>
      <c r="CH5" s="1016"/>
      <c r="CI5" s="1001"/>
      <c r="CJ5" s="1002"/>
      <c r="CK5" s="1002"/>
      <c r="CL5" s="1002"/>
      <c r="CM5" s="1016"/>
      <c r="CN5" s="1001"/>
      <c r="CO5" s="1002"/>
      <c r="CP5" s="1002"/>
      <c r="CQ5" s="1002"/>
      <c r="CR5" s="1016"/>
      <c r="CS5" s="1001"/>
      <c r="CT5" s="1002"/>
      <c r="CU5" s="1002"/>
      <c r="CV5" s="1002"/>
      <c r="CW5" s="1002"/>
      <c r="CX5" s="1001"/>
      <c r="CY5" s="1002"/>
      <c r="CZ5" s="1002"/>
      <c r="DA5" s="1002"/>
      <c r="DB5" s="1016"/>
      <c r="DC5" s="1001"/>
      <c r="DD5" s="1002"/>
      <c r="DE5" s="1002"/>
      <c r="DF5" s="1002"/>
      <c r="DG5" s="1016"/>
      <c r="DH5" s="1001"/>
      <c r="DI5" s="1002"/>
      <c r="DJ5" s="1002"/>
      <c r="DK5" s="1002"/>
      <c r="DL5" s="1016"/>
      <c r="DM5" s="1001"/>
      <c r="DN5" s="1002"/>
      <c r="DO5" s="1002"/>
      <c r="DP5" s="1002"/>
      <c r="DQ5" s="1002"/>
      <c r="DR5" s="1001"/>
      <c r="DS5" s="1002"/>
      <c r="DT5" s="1002"/>
      <c r="DU5" s="1002"/>
      <c r="DV5" s="1002"/>
      <c r="DW5" s="1064"/>
      <c r="DX5" s="1065"/>
      <c r="DY5" s="1065"/>
      <c r="DZ5" s="1065"/>
      <c r="EA5" s="1065"/>
      <c r="EB5" s="1067"/>
      <c r="EC5" s="1068"/>
      <c r="ED5" s="1068"/>
      <c r="EE5" s="1068"/>
      <c r="EF5" s="1069"/>
      <c r="EG5" s="1068"/>
      <c r="EH5" s="1068"/>
      <c r="EI5" s="1068"/>
      <c r="EJ5" s="1068"/>
      <c r="EK5" s="1069"/>
      <c r="EL5" s="1067"/>
      <c r="EM5" s="1068"/>
      <c r="EN5" s="1068"/>
      <c r="EO5" s="1068"/>
      <c r="EP5" s="1068"/>
      <c r="EQ5" s="990"/>
      <c r="ER5" s="990"/>
      <c r="ES5" s="990"/>
      <c r="ET5" s="990"/>
      <c r="EU5" s="990"/>
      <c r="EV5" s="990"/>
      <c r="EW5" s="990"/>
      <c r="EX5" s="990"/>
      <c r="EY5" s="990"/>
      <c r="EZ5" s="990"/>
      <c r="FA5" s="990"/>
      <c r="FB5" s="990"/>
      <c r="FC5" s="990"/>
      <c r="FD5" s="990"/>
      <c r="FE5" s="990"/>
      <c r="FF5" s="991"/>
      <c r="FG5" s="990"/>
      <c r="FH5" s="990"/>
      <c r="FI5" s="990"/>
      <c r="FJ5" s="991"/>
      <c r="FK5" s="988"/>
      <c r="FL5" s="990"/>
      <c r="FM5" s="990"/>
      <c r="FN5" s="990"/>
      <c r="FO5" s="990"/>
      <c r="FP5" s="1073"/>
      <c r="FQ5" s="1073"/>
      <c r="FR5" s="1073"/>
      <c r="FS5" s="986"/>
      <c r="FT5" s="986"/>
      <c r="FU5" s="986"/>
      <c r="FV5" s="986"/>
      <c r="FW5" s="986"/>
      <c r="FX5" s="986"/>
      <c r="FY5" s="986"/>
      <c r="FZ5" s="986"/>
      <c r="GA5" s="986"/>
      <c r="GB5" s="986"/>
      <c r="GC5" s="986"/>
      <c r="GD5" s="1073"/>
      <c r="GE5" s="1073"/>
      <c r="GF5" s="986"/>
      <c r="GG5" s="986"/>
      <c r="GH5" s="986"/>
      <c r="GI5" s="1073"/>
      <c r="GJ5" s="1073"/>
      <c r="GK5" s="117"/>
      <c r="GL5" s="117"/>
      <c r="GM5" s="117"/>
      <c r="GN5" s="117"/>
      <c r="GO5" s="117"/>
      <c r="GP5" s="117"/>
      <c r="GQ5" s="117"/>
      <c r="GR5" s="117"/>
      <c r="GS5" s="117"/>
      <c r="GT5" s="117"/>
      <c r="GU5" s="117"/>
      <c r="GV5" s="117"/>
      <c r="GW5" s="117"/>
      <c r="GX5" s="117"/>
      <c r="GY5" s="117"/>
      <c r="GZ5" s="117"/>
      <c r="HA5" s="117"/>
      <c r="HB5" s="117"/>
      <c r="HC5" s="117"/>
      <c r="HD5" s="117"/>
      <c r="HE5" s="117"/>
      <c r="HF5" s="117"/>
      <c r="HG5" s="117"/>
      <c r="HH5" s="117"/>
      <c r="HI5" s="117"/>
      <c r="HJ5" s="117"/>
      <c r="HK5" s="117"/>
      <c r="HL5" s="117"/>
      <c r="HM5" s="117"/>
      <c r="HN5" s="117"/>
      <c r="HO5" s="117"/>
      <c r="HP5" s="117"/>
      <c r="HQ5" s="117"/>
      <c r="HR5" s="117"/>
      <c r="HS5" s="117"/>
      <c r="HT5" s="117"/>
      <c r="HU5" s="117"/>
      <c r="HV5" s="117"/>
      <c r="HW5" s="117"/>
      <c r="HX5" s="117"/>
      <c r="HY5" s="117"/>
      <c r="HZ5" s="117"/>
      <c r="IA5" s="117"/>
      <c r="IB5" s="117"/>
      <c r="IC5" s="117"/>
      <c r="ID5" s="117"/>
      <c r="IE5" s="117"/>
      <c r="IF5" s="117"/>
      <c r="IG5" s="1073"/>
      <c r="IH5" s="1073"/>
      <c r="II5" s="117"/>
      <c r="IJ5" s="117"/>
      <c r="IK5" s="117"/>
      <c r="IL5" s="117"/>
      <c r="IM5" s="117"/>
      <c r="IN5" s="117"/>
      <c r="IO5" s="117"/>
      <c r="IP5" s="117"/>
      <c r="IQ5" s="117"/>
      <c r="IR5" s="117"/>
      <c r="IS5" s="117"/>
      <c r="IT5" s="117"/>
      <c r="IU5" s="117"/>
      <c r="IV5" s="117"/>
      <c r="IW5" s="117"/>
      <c r="IX5" s="117"/>
      <c r="IY5" s="117"/>
      <c r="IZ5" s="117"/>
      <c r="JA5" s="117"/>
      <c r="JB5" s="117"/>
      <c r="JC5" s="117"/>
      <c r="JD5" s="117"/>
      <c r="JE5" s="117"/>
      <c r="JF5" s="117"/>
      <c r="JG5" s="117"/>
      <c r="JH5" s="117"/>
      <c r="JI5" s="117"/>
      <c r="JJ5" s="117"/>
      <c r="JK5" s="117"/>
      <c r="JL5" s="117"/>
      <c r="JM5" s="117"/>
      <c r="JN5" s="117"/>
      <c r="JO5" s="117"/>
      <c r="JP5" s="491"/>
      <c r="JQ5" s="491"/>
      <c r="JR5" s="117"/>
      <c r="JS5" s="117"/>
      <c r="JT5" s="117"/>
      <c r="JU5" s="117"/>
      <c r="JV5" s="117"/>
      <c r="JW5" s="117"/>
      <c r="JX5" s="117"/>
      <c r="JY5" s="985"/>
      <c r="JZ5" s="985"/>
      <c r="KA5" s="985"/>
      <c r="KB5" s="117"/>
      <c r="KC5" s="227"/>
      <c r="KD5" s="985"/>
      <c r="KE5" s="117"/>
      <c r="KF5" s="117"/>
      <c r="KG5" s="117"/>
      <c r="KH5" s="117"/>
      <c r="KI5" s="117"/>
      <c r="KJ5" s="117"/>
      <c r="KK5" s="117"/>
      <c r="KL5" s="117"/>
      <c r="KM5" s="117"/>
      <c r="KN5" s="117"/>
      <c r="KO5" s="117"/>
      <c r="KP5" s="985"/>
      <c r="KQ5" s="985"/>
      <c r="KR5" s="117"/>
      <c r="KS5" s="117"/>
      <c r="KT5" s="117"/>
      <c r="KU5" s="117"/>
      <c r="KV5" s="117"/>
      <c r="KW5" s="117"/>
      <c r="KX5" s="117"/>
      <c r="KY5" s="117"/>
      <c r="KZ5" s="117"/>
      <c r="LA5" s="117"/>
      <c r="LB5" s="117"/>
      <c r="LC5" s="117"/>
      <c r="LD5" s="117"/>
      <c r="LE5" s="985"/>
      <c r="LF5" s="117"/>
      <c r="LG5" s="117"/>
      <c r="LH5" s="117"/>
      <c r="LI5" s="117"/>
      <c r="LJ5" s="117"/>
      <c r="LK5" s="117"/>
      <c r="LL5" s="117"/>
      <c r="LM5" s="117"/>
      <c r="LN5" s="117"/>
      <c r="LO5" s="117"/>
      <c r="LP5" s="117"/>
      <c r="LQ5" s="117"/>
      <c r="LR5" s="117"/>
      <c r="LS5" s="117"/>
      <c r="LT5" s="117"/>
    </row>
    <row r="6" spans="1:333" s="365" customFormat="1" ht="27" customHeight="1" thickBot="1">
      <c r="A6" s="1049"/>
      <c r="B6" s="1049"/>
      <c r="C6" s="1049"/>
      <c r="D6" s="1049"/>
      <c r="E6" s="1049"/>
      <c r="F6" s="364"/>
      <c r="G6" s="364"/>
      <c r="H6" s="367"/>
      <c r="I6" s="367"/>
      <c r="J6" s="364"/>
      <c r="K6" s="364"/>
      <c r="L6" s="364"/>
      <c r="M6" s="364"/>
      <c r="N6" s="443"/>
      <c r="O6" s="480"/>
      <c r="Z6" s="366"/>
      <c r="AA6" s="366"/>
      <c r="AB6" s="366"/>
      <c r="AC6" s="366"/>
      <c r="AD6" s="366"/>
      <c r="AJ6" s="1044"/>
      <c r="AK6" s="1044"/>
      <c r="AL6" s="1044"/>
      <c r="AM6" s="1044"/>
      <c r="AN6" s="1044"/>
      <c r="AO6" s="1045"/>
      <c r="AP6" s="1045"/>
      <c r="AQ6" s="1045"/>
      <c r="AR6" s="1045"/>
      <c r="AS6" s="1045"/>
      <c r="AT6" s="1045"/>
      <c r="AU6" s="1045"/>
      <c r="AV6" s="1045"/>
      <c r="AW6" s="1045"/>
      <c r="AX6" s="1045"/>
      <c r="AY6" s="1046"/>
      <c r="AZ6" s="1046"/>
      <c r="BA6" s="1046"/>
      <c r="BB6" s="1046"/>
      <c r="BC6" s="1046"/>
      <c r="BD6" s="1046"/>
      <c r="BE6" s="1046"/>
      <c r="BF6" s="1046"/>
      <c r="BG6" s="1046"/>
      <c r="BH6" s="1046"/>
      <c r="BI6" s="1046"/>
      <c r="BJ6" s="1046"/>
      <c r="BK6" s="1046"/>
      <c r="BL6" s="1046"/>
      <c r="BM6" s="1046"/>
      <c r="BN6" s="1046"/>
      <c r="BO6" s="1046"/>
      <c r="BP6" s="1046"/>
      <c r="BQ6" s="1046"/>
      <c r="BR6" s="1046"/>
      <c r="BS6" s="1046"/>
      <c r="BT6" s="1047"/>
      <c r="BU6" s="1047"/>
      <c r="BV6" s="1047"/>
      <c r="BW6" s="1047"/>
      <c r="BX6" s="1047"/>
      <c r="BY6" s="1047"/>
      <c r="BZ6" s="1047"/>
      <c r="CA6" s="1047"/>
      <c r="CB6" s="1047"/>
      <c r="CC6" s="1047"/>
      <c r="CD6" s="1044"/>
      <c r="CE6" s="1044"/>
      <c r="CF6" s="1044"/>
      <c r="CG6" s="1044"/>
      <c r="CH6" s="1044"/>
      <c r="CI6" s="1044"/>
      <c r="CJ6" s="1044"/>
      <c r="CK6" s="1044"/>
      <c r="CL6" s="1044"/>
      <c r="CM6" s="1044"/>
      <c r="CN6" s="1044"/>
      <c r="CO6" s="1044"/>
      <c r="CP6" s="1044"/>
      <c r="CQ6" s="1044"/>
      <c r="CR6" s="1044"/>
      <c r="CS6" s="1044"/>
      <c r="CT6" s="1044"/>
      <c r="CU6" s="1044"/>
      <c r="CV6" s="1044"/>
      <c r="CW6" s="1044"/>
      <c r="CX6" s="1044"/>
      <c r="CY6" s="1044"/>
      <c r="CZ6" s="1044"/>
      <c r="DA6" s="1044"/>
      <c r="DB6" s="1044"/>
      <c r="DC6" s="1044"/>
      <c r="DD6" s="1044"/>
      <c r="DE6" s="1044"/>
      <c r="DF6" s="1044"/>
      <c r="DG6" s="1044"/>
      <c r="DH6" s="1044"/>
      <c r="DI6" s="1044"/>
      <c r="DJ6" s="1044"/>
      <c r="DK6" s="1044"/>
      <c r="DL6" s="1044"/>
      <c r="DM6" s="1044"/>
      <c r="DN6" s="1044"/>
      <c r="DO6" s="1044"/>
      <c r="DP6" s="1044"/>
      <c r="DQ6" s="1044"/>
      <c r="DR6" s="1044"/>
      <c r="DS6" s="1044"/>
      <c r="DT6" s="1044"/>
      <c r="DU6" s="1044"/>
      <c r="DV6" s="1048"/>
      <c r="DW6" s="537"/>
      <c r="DX6" s="538"/>
      <c r="DY6" s="538"/>
      <c r="DZ6" s="538"/>
      <c r="EA6" s="565"/>
      <c r="EB6" s="516"/>
      <c r="EF6" s="517"/>
      <c r="EG6" s="480"/>
      <c r="EK6" s="517"/>
      <c r="EL6" s="516"/>
      <c r="EP6" s="517"/>
      <c r="EQ6" s="480"/>
      <c r="HE6" s="480"/>
      <c r="JP6" s="882"/>
      <c r="JQ6" s="882"/>
      <c r="JY6" s="882"/>
      <c r="KC6" s="879"/>
      <c r="KP6" s="882"/>
      <c r="KQ6" s="882"/>
      <c r="LE6" s="882"/>
      <c r="LU6" s="480"/>
    </row>
    <row r="7" spans="1:333" ht="24.95" customHeight="1">
      <c r="A7" s="985" t="s">
        <v>154</v>
      </c>
      <c r="B7" s="527" t="s">
        <v>75</v>
      </c>
      <c r="C7" s="411">
        <v>1</v>
      </c>
      <c r="D7" s="352">
        <v>190</v>
      </c>
      <c r="E7" s="407">
        <f t="shared" ref="E7:E12" si="0">N7/D7</f>
        <v>5.5421052631578949</v>
      </c>
      <c r="F7" s="352"/>
      <c r="G7" s="351"/>
      <c r="H7" s="353"/>
      <c r="I7" s="353"/>
      <c r="J7" s="353"/>
      <c r="K7" s="353"/>
      <c r="L7" s="529">
        <f>500+250</f>
        <v>750</v>
      </c>
      <c r="M7" s="353">
        <v>303</v>
      </c>
      <c r="N7" s="354">
        <f>SUM(F7:M7)</f>
        <v>1053</v>
      </c>
      <c r="O7" s="355"/>
      <c r="P7" s="95"/>
      <c r="Q7" s="96"/>
      <c r="R7" s="96"/>
      <c r="S7" s="96"/>
      <c r="T7" s="234"/>
      <c r="U7" s="356" t="s">
        <v>437</v>
      </c>
      <c r="V7" s="354" t="s">
        <v>437</v>
      </c>
      <c r="W7" s="354" t="s">
        <v>437</v>
      </c>
      <c r="X7" s="354" t="s">
        <v>437</v>
      </c>
      <c r="Y7" s="357" t="s">
        <v>437</v>
      </c>
      <c r="Z7" s="358" t="s">
        <v>474</v>
      </c>
      <c r="AA7" s="359" t="s">
        <v>474</v>
      </c>
      <c r="AB7" s="359" t="s">
        <v>474</v>
      </c>
      <c r="AE7" s="360" t="s">
        <v>437</v>
      </c>
      <c r="AF7" s="354" t="s">
        <v>437</v>
      </c>
      <c r="AG7" s="354" t="s">
        <v>437</v>
      </c>
      <c r="AH7" s="354" t="s">
        <v>437</v>
      </c>
      <c r="AI7" s="354" t="s">
        <v>437</v>
      </c>
      <c r="AJ7" s="361" t="s">
        <v>474</v>
      </c>
      <c r="AK7" s="96"/>
      <c r="AL7" s="96"/>
      <c r="AM7" s="96"/>
      <c r="AN7" s="97"/>
      <c r="AQ7" s="96"/>
      <c r="AR7" s="362" t="s">
        <v>506</v>
      </c>
      <c r="AS7" s="363" t="s">
        <v>506</v>
      </c>
      <c r="AT7" s="362" t="s">
        <v>530</v>
      </c>
      <c r="AU7" s="96"/>
      <c r="AX7" s="234" t="s">
        <v>244</v>
      </c>
      <c r="AY7" s="373"/>
      <c r="AZ7" s="374"/>
      <c r="BA7" s="374"/>
      <c r="BB7" s="374"/>
      <c r="BC7" s="375"/>
      <c r="BD7" s="389"/>
      <c r="BE7" s="386"/>
      <c r="BF7" s="386"/>
      <c r="BH7" s="387" t="s">
        <v>575</v>
      </c>
      <c r="BI7" s="394"/>
      <c r="BJ7" s="389"/>
      <c r="BK7" s="374"/>
      <c r="BL7" s="374"/>
      <c r="BM7" s="374" t="s">
        <v>244</v>
      </c>
      <c r="BN7" s="421" t="s">
        <v>244</v>
      </c>
      <c r="BO7" s="373"/>
      <c r="BP7" s="374"/>
      <c r="BQ7" s="374"/>
      <c r="BR7" s="374"/>
      <c r="BS7" s="375"/>
      <c r="BT7" s="373"/>
      <c r="BU7" s="374"/>
      <c r="BV7" s="374"/>
      <c r="BW7" s="374"/>
      <c r="BX7" s="375"/>
      <c r="BY7" s="437" t="s">
        <v>506</v>
      </c>
      <c r="BZ7" s="437" t="s">
        <v>530</v>
      </c>
      <c r="CA7" s="437" t="s">
        <v>476</v>
      </c>
      <c r="CB7" s="437" t="s">
        <v>476</v>
      </c>
      <c r="CC7" s="375"/>
      <c r="CD7" s="99"/>
      <c r="CE7" s="96"/>
      <c r="CF7" s="96"/>
      <c r="CG7" s="96"/>
      <c r="CH7" s="97"/>
      <c r="CI7" s="95"/>
      <c r="CJ7" s="96"/>
      <c r="CK7" s="96"/>
      <c r="CL7" s="96"/>
      <c r="CM7" s="97"/>
      <c r="CN7" s="95"/>
      <c r="CO7" s="96"/>
      <c r="CP7" s="96"/>
      <c r="CQ7" s="96"/>
      <c r="CR7" s="97"/>
      <c r="CS7" s="95"/>
      <c r="CT7" s="96"/>
      <c r="CU7" s="96"/>
      <c r="CV7" s="96"/>
      <c r="CW7" s="97"/>
      <c r="CX7" s="99"/>
      <c r="CY7" s="96"/>
      <c r="CZ7" s="96"/>
      <c r="DA7" s="96"/>
      <c r="DB7" s="97"/>
      <c r="DC7" s="488"/>
      <c r="DD7" s="96"/>
      <c r="DE7" s="96"/>
      <c r="DF7" s="96"/>
      <c r="DG7" s="97"/>
      <c r="DH7" s="95"/>
      <c r="DI7" s="96"/>
      <c r="DJ7" s="96"/>
      <c r="DK7" s="96"/>
      <c r="DL7" s="97"/>
      <c r="DM7" s="95"/>
      <c r="DN7" s="96"/>
      <c r="DO7" s="96"/>
      <c r="DP7" s="96"/>
      <c r="DQ7" s="234"/>
      <c r="DR7" s="521"/>
      <c r="DS7" s="522"/>
      <c r="DT7" s="522"/>
      <c r="DU7" s="522"/>
      <c r="DV7" s="520"/>
      <c r="DW7" s="539"/>
      <c r="DX7" s="117"/>
      <c r="DY7" s="117"/>
      <c r="DZ7" s="117"/>
      <c r="EA7" s="227"/>
      <c r="EB7" s="488"/>
      <c r="EC7" s="117"/>
      <c r="ED7" s="117"/>
      <c r="EE7" s="117"/>
      <c r="EF7" s="118"/>
      <c r="EG7" s="119"/>
      <c r="EH7" s="117"/>
      <c r="EI7" s="117"/>
      <c r="EJ7" s="117"/>
      <c r="EK7" s="648" t="s">
        <v>506</v>
      </c>
      <c r="EL7" s="648" t="s">
        <v>506</v>
      </c>
      <c r="EM7" s="648" t="s">
        <v>506</v>
      </c>
      <c r="EO7" s="654"/>
      <c r="EP7" s="22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7"/>
      <c r="FC7" s="117"/>
      <c r="FD7" s="486" t="s">
        <v>851</v>
      </c>
      <c r="FE7" s="486" t="s">
        <v>476</v>
      </c>
      <c r="FF7" s="486" t="s">
        <v>476</v>
      </c>
      <c r="FG7" s="486" t="s">
        <v>576</v>
      </c>
      <c r="FH7" s="117"/>
      <c r="FI7" s="117"/>
      <c r="FJ7" s="101"/>
      <c r="FK7" s="117"/>
      <c r="FO7" s="117"/>
      <c r="FP7" s="491"/>
      <c r="FQ7" s="491"/>
      <c r="FR7" s="491"/>
      <c r="FS7" s="101"/>
      <c r="FT7" s="101"/>
      <c r="FU7" s="101"/>
      <c r="FV7" s="117"/>
      <c r="FW7" s="117"/>
      <c r="FX7" s="117"/>
      <c r="FY7" s="117"/>
      <c r="FZ7" s="117"/>
      <c r="GA7" s="117"/>
      <c r="GB7" s="117"/>
      <c r="GC7" s="117"/>
      <c r="GD7" s="491"/>
      <c r="GE7" s="491"/>
      <c r="GF7" s="117"/>
      <c r="GG7" s="117"/>
      <c r="GH7" s="117"/>
      <c r="GI7" s="491"/>
      <c r="GJ7" s="491"/>
      <c r="GK7" s="117"/>
      <c r="GL7" s="117"/>
      <c r="GM7" s="117"/>
      <c r="GN7" s="117"/>
      <c r="GO7" s="227"/>
      <c r="GP7" s="117"/>
      <c r="GQ7" s="117"/>
      <c r="GT7" s="774" t="s">
        <v>476</v>
      </c>
      <c r="GU7" s="552" t="s">
        <v>474</v>
      </c>
      <c r="GV7" s="552" t="s">
        <v>474</v>
      </c>
      <c r="GW7" s="552" t="s">
        <v>474</v>
      </c>
      <c r="GX7" s="552" t="s">
        <v>506</v>
      </c>
      <c r="GY7" s="535" t="s">
        <v>475</v>
      </c>
      <c r="GZ7" s="117"/>
      <c r="HA7" s="117"/>
      <c r="HB7" s="117"/>
      <c r="HC7" s="117"/>
      <c r="HD7" s="552" t="s">
        <v>506</v>
      </c>
      <c r="HE7" s="552" t="s">
        <v>506</v>
      </c>
      <c r="HF7" s="552" t="s">
        <v>506</v>
      </c>
      <c r="HG7" s="552" t="s">
        <v>506</v>
      </c>
      <c r="HH7" s="552" t="s">
        <v>506</v>
      </c>
      <c r="HI7" s="552" t="s">
        <v>506</v>
      </c>
      <c r="HK7" s="552" t="s">
        <v>506</v>
      </c>
      <c r="HL7" s="101"/>
      <c r="HO7" s="117"/>
      <c r="HP7" s="117"/>
      <c r="HQ7" s="117"/>
      <c r="HR7" s="117"/>
      <c r="HS7" s="117"/>
      <c r="HU7" s="552" t="s">
        <v>506</v>
      </c>
      <c r="HV7" s="552" t="s">
        <v>506</v>
      </c>
      <c r="HW7" s="552" t="s">
        <v>506</v>
      </c>
      <c r="HX7" s="552" t="s">
        <v>985</v>
      </c>
      <c r="HY7" s="117"/>
      <c r="HZ7" s="117"/>
      <c r="IA7" s="117"/>
      <c r="IB7" s="117"/>
      <c r="IC7" s="117"/>
      <c r="ID7" s="117"/>
      <c r="IE7" s="117"/>
      <c r="IF7" s="117"/>
      <c r="IG7" s="491"/>
      <c r="IH7" s="491"/>
      <c r="II7" s="117"/>
      <c r="IJ7" s="117"/>
      <c r="IK7" s="117"/>
      <c r="IL7" s="117"/>
      <c r="IM7" s="117"/>
      <c r="IN7" s="117"/>
      <c r="IO7" s="117"/>
      <c r="IP7" s="117"/>
      <c r="IQ7" s="117"/>
      <c r="IR7" s="117"/>
      <c r="IS7" s="117"/>
      <c r="IT7" s="117"/>
      <c r="IU7" s="117"/>
      <c r="IV7" s="117"/>
      <c r="IW7" s="117"/>
      <c r="IX7" s="117"/>
      <c r="IY7" s="117"/>
      <c r="IZ7" s="117"/>
      <c r="JA7" s="117"/>
      <c r="JB7" s="552" t="s">
        <v>506</v>
      </c>
      <c r="JC7" s="552" t="s">
        <v>506</v>
      </c>
      <c r="JD7" s="552" t="s">
        <v>1071</v>
      </c>
      <c r="JE7" s="552" t="s">
        <v>474</v>
      </c>
      <c r="JF7" s="117"/>
      <c r="JG7" s="117"/>
      <c r="JH7" s="552" t="s">
        <v>474</v>
      </c>
      <c r="JI7" s="552" t="s">
        <v>474</v>
      </c>
      <c r="JJ7" s="101"/>
      <c r="JK7" s="117"/>
      <c r="JL7" s="117"/>
      <c r="JM7" s="552" t="s">
        <v>474</v>
      </c>
      <c r="JN7" s="552" t="s">
        <v>474</v>
      </c>
      <c r="JO7" s="552" t="s">
        <v>474</v>
      </c>
      <c r="JP7" s="491"/>
      <c r="JQ7" s="491"/>
      <c r="JR7" s="552" t="s">
        <v>506</v>
      </c>
      <c r="JT7" s="552" t="s">
        <v>506</v>
      </c>
      <c r="JU7" s="552" t="s">
        <v>506</v>
      </c>
      <c r="JV7" s="552" t="s">
        <v>506</v>
      </c>
      <c r="JY7" s="491"/>
      <c r="JZ7" s="491"/>
      <c r="KA7" s="491"/>
      <c r="KC7" s="508" t="s">
        <v>506</v>
      </c>
      <c r="KF7" s="508" t="s">
        <v>506</v>
      </c>
      <c r="KJ7" s="508" t="s">
        <v>506</v>
      </c>
      <c r="KM7" s="117"/>
      <c r="KN7" s="117"/>
      <c r="KO7" s="117"/>
      <c r="KP7" s="491"/>
      <c r="KQ7" s="491"/>
      <c r="KR7" s="117"/>
      <c r="KS7" s="117"/>
      <c r="KT7" s="117"/>
      <c r="KU7" s="117"/>
      <c r="KV7" s="117"/>
      <c r="KW7" s="117"/>
      <c r="KX7" s="117"/>
      <c r="KY7" s="117"/>
      <c r="KZ7" s="117"/>
      <c r="LA7" s="117"/>
      <c r="LB7" s="117"/>
      <c r="LC7" s="117"/>
      <c r="LD7" s="117"/>
      <c r="LE7" s="491"/>
      <c r="LF7" s="117"/>
      <c r="LG7" s="117"/>
      <c r="LH7" s="117"/>
      <c r="LI7" s="117"/>
      <c r="LJ7" s="117"/>
      <c r="LK7" s="117"/>
      <c r="LL7" s="117"/>
      <c r="LM7" s="117"/>
      <c r="LN7" s="117"/>
      <c r="LO7" s="117"/>
      <c r="LP7" s="117"/>
      <c r="LQ7" s="117"/>
      <c r="LR7" s="117"/>
      <c r="LS7" s="117"/>
      <c r="LT7" s="117"/>
    </row>
    <row r="8" spans="1:333" ht="24.95" customHeight="1">
      <c r="A8" s="985"/>
      <c r="B8" s="403" t="s">
        <v>22</v>
      </c>
      <c r="C8" s="412">
        <v>1</v>
      </c>
      <c r="D8" s="201">
        <v>150</v>
      </c>
      <c r="E8" s="406">
        <f t="shared" si="0"/>
        <v>4.0133333333333336</v>
      </c>
      <c r="F8" s="201"/>
      <c r="G8" s="127"/>
      <c r="H8" s="127"/>
      <c r="I8" s="127"/>
      <c r="J8" s="127"/>
      <c r="K8" s="127"/>
      <c r="L8" s="127"/>
      <c r="M8" s="127">
        <v>602</v>
      </c>
      <c r="N8" s="354">
        <f t="shared" ref="N8:N13" si="1">SUM(F8:M8)</f>
        <v>602</v>
      </c>
      <c r="O8" s="187"/>
      <c r="P8" s="100"/>
      <c r="Q8" s="101"/>
      <c r="R8" s="101"/>
      <c r="S8" s="101"/>
      <c r="T8" s="103"/>
      <c r="U8" s="105" t="s">
        <v>437</v>
      </c>
      <c r="V8" s="106" t="s">
        <v>437</v>
      </c>
      <c r="W8" s="106" t="s">
        <v>437</v>
      </c>
      <c r="X8" s="106" t="s">
        <v>437</v>
      </c>
      <c r="Y8" s="107" t="s">
        <v>437</v>
      </c>
      <c r="Z8" s="102"/>
      <c r="AA8" s="101"/>
      <c r="AB8" s="101"/>
      <c r="AC8" s="101"/>
      <c r="AD8" s="98"/>
      <c r="AE8" s="281" t="s">
        <v>437</v>
      </c>
      <c r="AF8" s="106" t="s">
        <v>437</v>
      </c>
      <c r="AG8" s="106" t="s">
        <v>437</v>
      </c>
      <c r="AH8" s="106" t="s">
        <v>437</v>
      </c>
      <c r="AI8" s="106" t="s">
        <v>437</v>
      </c>
      <c r="AJ8" s="100"/>
      <c r="AK8" s="101"/>
      <c r="AL8" s="101"/>
      <c r="AM8" s="101"/>
      <c r="AN8" s="98"/>
      <c r="AO8" s="100"/>
      <c r="AP8" s="101"/>
      <c r="AQ8" s="101"/>
      <c r="AR8" s="101"/>
      <c r="AS8" s="98"/>
      <c r="AT8" s="100"/>
      <c r="AU8" s="334" t="s">
        <v>474</v>
      </c>
      <c r="AV8" s="101"/>
      <c r="AW8" s="101"/>
      <c r="AX8" s="103" t="s">
        <v>244</v>
      </c>
      <c r="AY8" s="100"/>
      <c r="AZ8" s="101"/>
      <c r="BA8" s="316" t="s">
        <v>506</v>
      </c>
      <c r="BB8" s="101"/>
      <c r="BC8" s="317" t="s">
        <v>506</v>
      </c>
      <c r="BD8" s="390" t="s">
        <v>506</v>
      </c>
      <c r="BE8" s="316" t="s">
        <v>506</v>
      </c>
      <c r="BF8" s="379" t="s">
        <v>506</v>
      </c>
      <c r="BG8" s="379" t="s">
        <v>476</v>
      </c>
      <c r="BH8" s="379" t="s">
        <v>595</v>
      </c>
      <c r="BI8" s="392"/>
      <c r="BJ8" s="102"/>
      <c r="BK8" s="101"/>
      <c r="BL8" s="101"/>
      <c r="BM8" s="101" t="s">
        <v>244</v>
      </c>
      <c r="BN8" s="103" t="s">
        <v>244</v>
      </c>
      <c r="BO8" s="100"/>
      <c r="BP8" s="101"/>
      <c r="BQ8" s="101"/>
      <c r="BR8" s="101"/>
      <c r="BS8" s="98"/>
      <c r="BT8" s="100"/>
      <c r="BU8" s="101"/>
      <c r="BV8" s="101"/>
      <c r="BW8" s="101"/>
      <c r="BX8" s="98"/>
      <c r="BY8" s="102"/>
      <c r="CA8" s="238" t="s">
        <v>474</v>
      </c>
      <c r="CB8" s="238" t="s">
        <v>474</v>
      </c>
      <c r="CC8" s="238" t="s">
        <v>475</v>
      </c>
      <c r="CD8" s="98"/>
      <c r="CE8" s="101"/>
      <c r="CF8" s="101"/>
      <c r="CG8" s="101"/>
      <c r="CI8" s="397" t="s">
        <v>595</v>
      </c>
      <c r="CJ8" s="101"/>
      <c r="CK8" s="101"/>
      <c r="CL8" s="101"/>
      <c r="CM8" s="98"/>
      <c r="CN8" s="100"/>
      <c r="CO8" s="101"/>
      <c r="CP8" s="101"/>
      <c r="CQ8" s="101"/>
      <c r="CR8" s="98"/>
      <c r="CS8" s="476"/>
      <c r="CT8" s="101"/>
      <c r="CU8" s="101"/>
      <c r="CV8" s="101"/>
      <c r="CW8" s="98"/>
      <c r="CX8" s="102"/>
      <c r="CY8" s="493" t="s">
        <v>506</v>
      </c>
      <c r="CZ8" s="101"/>
      <c r="DA8" s="101"/>
      <c r="DB8" s="98"/>
      <c r="DC8" s="489"/>
      <c r="DD8" s="101"/>
      <c r="DE8" s="101"/>
      <c r="DF8" s="101"/>
      <c r="DG8" s="98"/>
      <c r="DH8" s="100"/>
      <c r="DI8" s="101"/>
      <c r="DJ8" s="101"/>
      <c r="DK8" s="101"/>
      <c r="DL8" s="98"/>
      <c r="DM8" s="100"/>
      <c r="DN8" s="101"/>
      <c r="DO8" s="101"/>
      <c r="DP8" s="101"/>
      <c r="DQ8" s="103"/>
      <c r="DR8" s="116"/>
      <c r="DS8" s="117"/>
      <c r="DT8" s="117"/>
      <c r="DU8" s="117"/>
      <c r="DV8" s="227"/>
      <c r="DW8" s="116"/>
      <c r="DX8" s="117"/>
      <c r="DY8" s="117"/>
      <c r="EB8" s="489"/>
      <c r="EC8" s="524" t="s">
        <v>476</v>
      </c>
      <c r="ED8" s="536" t="s">
        <v>506</v>
      </c>
      <c r="EE8" s="117"/>
      <c r="EF8" s="118"/>
      <c r="EG8" s="119"/>
      <c r="EH8" s="117"/>
      <c r="EI8" s="117"/>
      <c r="EJ8" s="117"/>
      <c r="EK8" s="118"/>
      <c r="EL8" s="116"/>
      <c r="EM8" s="117"/>
      <c r="EN8" s="117"/>
      <c r="EO8" s="117"/>
      <c r="EP8" s="227"/>
      <c r="EQ8" s="117"/>
      <c r="ER8" s="117"/>
      <c r="ES8" s="117"/>
      <c r="ET8" s="117"/>
      <c r="EU8" s="117"/>
      <c r="EV8" s="117"/>
      <c r="EW8" s="117"/>
      <c r="EX8" s="238" t="s">
        <v>506</v>
      </c>
      <c r="EY8" s="238" t="s">
        <v>506</v>
      </c>
      <c r="EZ8" s="238" t="s">
        <v>506</v>
      </c>
      <c r="FA8" s="117"/>
      <c r="FB8" s="117"/>
      <c r="FC8" s="117"/>
      <c r="FD8" s="117"/>
      <c r="FE8" s="117"/>
      <c r="FF8" s="117"/>
      <c r="FG8" s="117"/>
      <c r="FH8" s="117"/>
      <c r="FI8" s="117"/>
      <c r="FJ8" s="101"/>
      <c r="FK8" s="117"/>
      <c r="FL8" s="117"/>
      <c r="FM8" s="117"/>
      <c r="FN8" s="117"/>
      <c r="FO8" s="117"/>
      <c r="FP8" s="491"/>
      <c r="FQ8" s="491"/>
      <c r="FR8" s="491"/>
      <c r="FS8" s="117"/>
      <c r="FT8" s="117"/>
      <c r="FU8" s="101"/>
      <c r="FV8" s="117"/>
      <c r="FW8" s="117"/>
      <c r="FX8" s="117"/>
      <c r="FY8" s="117"/>
      <c r="GB8" s="117"/>
      <c r="GC8" s="117"/>
      <c r="GD8" s="491"/>
      <c r="GE8" s="491"/>
      <c r="GF8" s="117"/>
      <c r="GG8" s="400" t="s">
        <v>935</v>
      </c>
      <c r="GH8" s="400" t="s">
        <v>935</v>
      </c>
      <c r="GI8" s="491"/>
      <c r="GJ8" s="491"/>
      <c r="GK8" s="336" t="s">
        <v>936</v>
      </c>
      <c r="GL8" s="101"/>
      <c r="GM8" s="117"/>
      <c r="GN8" s="117"/>
      <c r="GP8" s="117"/>
      <c r="GQ8" s="117"/>
      <c r="GR8" s="117"/>
      <c r="GS8" s="117"/>
      <c r="GT8" s="552" t="s">
        <v>474</v>
      </c>
      <c r="GV8" s="117"/>
      <c r="GW8" s="117"/>
      <c r="GX8" s="117"/>
      <c r="GY8" s="227"/>
      <c r="GZ8" s="117"/>
      <c r="HA8" s="117"/>
      <c r="HB8" s="117"/>
      <c r="HC8" s="101"/>
      <c r="HD8" s="117"/>
      <c r="HE8" s="101"/>
      <c r="HF8" s="101"/>
      <c r="HG8" s="117"/>
      <c r="HH8" s="101"/>
      <c r="HI8" s="101"/>
      <c r="HJ8" s="101"/>
      <c r="HK8" s="101"/>
      <c r="HL8" s="101"/>
      <c r="HM8" s="101"/>
      <c r="HN8" s="117"/>
      <c r="HO8" s="117"/>
      <c r="HP8" s="117"/>
      <c r="HQ8" s="117"/>
      <c r="HR8" s="552" t="s">
        <v>506</v>
      </c>
      <c r="HS8" s="552" t="s">
        <v>506</v>
      </c>
      <c r="HT8" s="552" t="s">
        <v>506</v>
      </c>
      <c r="HU8" s="552" t="s">
        <v>876</v>
      </c>
      <c r="HV8" s="552" t="s">
        <v>997</v>
      </c>
      <c r="HX8" s="117"/>
      <c r="HY8" s="552" t="s">
        <v>839</v>
      </c>
      <c r="HZ8" s="117"/>
      <c r="IA8" s="117"/>
      <c r="IB8" s="117"/>
      <c r="IC8" s="117"/>
      <c r="ID8" s="117"/>
      <c r="IE8" s="117"/>
      <c r="IF8" s="117"/>
      <c r="IG8" s="491"/>
      <c r="IH8" s="491"/>
      <c r="II8" s="117"/>
      <c r="IJ8" s="117"/>
      <c r="IK8" s="117"/>
      <c r="IL8" s="117"/>
      <c r="IM8" s="117"/>
      <c r="IN8" s="117"/>
      <c r="IO8" s="117"/>
      <c r="IP8" s="117"/>
      <c r="IQ8" s="117"/>
      <c r="IR8" s="117"/>
      <c r="IS8" s="117"/>
      <c r="IT8" s="117"/>
      <c r="IU8" s="117"/>
      <c r="IV8" s="117"/>
      <c r="IW8" s="117"/>
      <c r="JA8" s="117"/>
      <c r="JB8" s="552" t="s">
        <v>506</v>
      </c>
      <c r="JC8" s="552" t="s">
        <v>506</v>
      </c>
      <c r="JD8" s="552" t="s">
        <v>1076</v>
      </c>
      <c r="JE8" s="552" t="s">
        <v>1075</v>
      </c>
      <c r="JF8" s="117"/>
      <c r="JG8" s="117"/>
      <c r="JH8" s="117"/>
      <c r="JI8" s="117"/>
      <c r="JJ8" s="117"/>
      <c r="JK8" s="117"/>
      <c r="JL8" s="117"/>
      <c r="JM8" s="117"/>
      <c r="JN8" s="117"/>
      <c r="JO8" s="117"/>
      <c r="JP8" s="491"/>
      <c r="JQ8" s="491"/>
      <c r="JW8" s="552" t="s">
        <v>474</v>
      </c>
      <c r="JX8" s="508" t="s">
        <v>474</v>
      </c>
      <c r="JY8" s="491"/>
      <c r="JZ8" s="491"/>
      <c r="KA8" s="491"/>
      <c r="KB8" s="552" t="s">
        <v>474</v>
      </c>
      <c r="KC8" s="552" t="s">
        <v>474</v>
      </c>
      <c r="KD8" s="552" t="s">
        <v>506</v>
      </c>
      <c r="KE8" s="552" t="s">
        <v>506</v>
      </c>
      <c r="KF8" s="552" t="s">
        <v>506</v>
      </c>
      <c r="KL8" s="508" t="s">
        <v>506</v>
      </c>
      <c r="KM8" s="117"/>
      <c r="KN8" s="117"/>
      <c r="KO8" s="117"/>
      <c r="KP8" s="491"/>
      <c r="KQ8" s="491"/>
      <c r="KR8" s="117"/>
      <c r="KS8" s="117"/>
      <c r="KT8" s="117"/>
      <c r="KU8" s="117"/>
      <c r="KV8" s="117"/>
      <c r="KW8" s="117"/>
      <c r="KX8" s="117"/>
      <c r="KY8" s="117"/>
      <c r="KZ8" s="117"/>
      <c r="LA8" s="117"/>
      <c r="LB8" s="117"/>
      <c r="LC8" s="117"/>
      <c r="LD8" s="117"/>
      <c r="LE8" s="491"/>
      <c r="LF8" s="117"/>
      <c r="LG8" s="117"/>
      <c r="LH8" s="117"/>
      <c r="LI8" s="117"/>
      <c r="LJ8" s="117"/>
      <c r="LK8" s="117"/>
      <c r="LL8" s="117"/>
      <c r="LM8" s="117"/>
      <c r="LN8" s="117"/>
      <c r="LO8" s="117"/>
      <c r="LP8" s="117"/>
      <c r="LQ8" s="117"/>
      <c r="LR8" s="117"/>
      <c r="LS8" s="117"/>
      <c r="LT8" s="117"/>
    </row>
    <row r="9" spans="1:333" ht="24.95" customHeight="1">
      <c r="A9" s="985"/>
      <c r="B9" s="403" t="s">
        <v>82</v>
      </c>
      <c r="C9" s="412">
        <v>1</v>
      </c>
      <c r="D9" s="201">
        <v>160</v>
      </c>
      <c r="E9" s="406">
        <f t="shared" si="0"/>
        <v>2.3624999999999998</v>
      </c>
      <c r="F9" s="200"/>
      <c r="G9" s="127"/>
      <c r="H9" s="127"/>
      <c r="I9" s="127"/>
      <c r="J9" s="127"/>
      <c r="K9" s="127"/>
      <c r="L9" s="127">
        <f>200-122</f>
        <v>78</v>
      </c>
      <c r="M9" s="127">
        <v>300</v>
      </c>
      <c r="N9" s="354">
        <f>SUM(F9:M9)</f>
        <v>378</v>
      </c>
      <c r="O9" s="481">
        <f>SUM(G9:N9)-666</f>
        <v>90</v>
      </c>
      <c r="P9" s="100"/>
      <c r="Q9" s="101"/>
      <c r="R9" s="101"/>
      <c r="S9" s="101"/>
      <c r="T9" s="103"/>
      <c r="U9" s="105" t="s">
        <v>437</v>
      </c>
      <c r="V9" s="106" t="s">
        <v>437</v>
      </c>
      <c r="W9" s="106" t="s">
        <v>437</v>
      </c>
      <c r="X9" s="106" t="s">
        <v>437</v>
      </c>
      <c r="Y9" s="107" t="s">
        <v>437</v>
      </c>
      <c r="Z9" s="102"/>
      <c r="AA9" s="101"/>
      <c r="AB9" s="101"/>
      <c r="AC9" s="101"/>
      <c r="AD9" s="98"/>
      <c r="AE9" s="281" t="s">
        <v>437</v>
      </c>
      <c r="AF9" s="106" t="s">
        <v>437</v>
      </c>
      <c r="AG9" s="106" t="s">
        <v>437</v>
      </c>
      <c r="AH9" s="106" t="s">
        <v>437</v>
      </c>
      <c r="AI9" s="106" t="s">
        <v>437</v>
      </c>
      <c r="AJ9" s="315" t="s">
        <v>476</v>
      </c>
      <c r="AK9" s="316" t="s">
        <v>24</v>
      </c>
      <c r="AL9" s="101"/>
      <c r="AM9" s="101"/>
      <c r="AN9" s="98"/>
      <c r="AO9" s="334" t="s">
        <v>474</v>
      </c>
      <c r="AP9" s="101"/>
      <c r="AQ9" s="101"/>
      <c r="AR9" s="101"/>
      <c r="AS9" s="98"/>
      <c r="AT9" s="100"/>
      <c r="AU9" s="101"/>
      <c r="AV9" s="101"/>
      <c r="AW9" s="101"/>
      <c r="AX9" s="103" t="s">
        <v>244</v>
      </c>
      <c r="AY9" s="100"/>
      <c r="AZ9" s="101"/>
      <c r="BA9" s="117"/>
      <c r="BB9" s="117"/>
      <c r="BC9" s="118"/>
      <c r="BD9" s="119"/>
      <c r="BE9" s="101"/>
      <c r="BF9" s="101"/>
      <c r="BG9" s="101"/>
      <c r="BH9" s="117"/>
      <c r="BI9" s="98"/>
      <c r="BJ9" s="102"/>
      <c r="BK9" s="101"/>
      <c r="BL9" s="101"/>
      <c r="BM9" s="101" t="s">
        <v>244</v>
      </c>
      <c r="BN9" s="103" t="s">
        <v>244</v>
      </c>
      <c r="BO9" s="415" t="s">
        <v>474</v>
      </c>
      <c r="BP9" s="416" t="s">
        <v>474</v>
      </c>
      <c r="BQ9" s="416" t="s">
        <v>475</v>
      </c>
      <c r="BR9" s="416" t="s">
        <v>476</v>
      </c>
      <c r="BS9" s="98"/>
      <c r="BU9" s="117"/>
      <c r="BV9" s="117"/>
      <c r="BW9" s="117"/>
      <c r="BX9" s="117"/>
      <c r="BY9" s="117"/>
      <c r="BZ9" s="117"/>
      <c r="CA9" s="101"/>
      <c r="CB9" s="101"/>
      <c r="CC9" s="101"/>
      <c r="CD9" s="101"/>
      <c r="CE9" s="101"/>
      <c r="CF9" s="101"/>
      <c r="CG9" s="101"/>
      <c r="CH9" s="98"/>
      <c r="CI9" s="100"/>
      <c r="CJ9" s="101"/>
      <c r="CK9" s="101"/>
      <c r="CL9" s="101"/>
      <c r="CM9" s="98"/>
      <c r="CN9" s="100"/>
      <c r="CO9" s="101"/>
      <c r="CP9" s="101"/>
      <c r="CQ9" s="101"/>
      <c r="CR9" s="98"/>
      <c r="CS9" s="100"/>
      <c r="CT9" s="101"/>
      <c r="CU9" s="101"/>
      <c r="CV9" s="101"/>
      <c r="CW9" s="98"/>
      <c r="CX9" s="102"/>
      <c r="CY9" s="101"/>
      <c r="CZ9" s="101"/>
      <c r="DA9" s="101"/>
      <c r="DB9" s="98"/>
      <c r="DC9" s="489"/>
      <c r="DD9" s="101"/>
      <c r="DE9" s="101"/>
      <c r="DF9" s="101"/>
      <c r="DG9" s="98"/>
      <c r="DH9" s="476"/>
      <c r="DI9" s="238"/>
      <c r="DJ9" s="238"/>
      <c r="DK9" s="101"/>
      <c r="DL9" s="98"/>
      <c r="DM9" s="238"/>
      <c r="DN9" s="512"/>
      <c r="DO9" s="476"/>
      <c r="DP9" s="519"/>
      <c r="DQ9" s="519"/>
      <c r="DR9" s="109"/>
      <c r="DW9" s="116"/>
      <c r="DY9" s="101"/>
      <c r="DZ9" s="117"/>
      <c r="EA9" s="227"/>
      <c r="EB9" s="489"/>
      <c r="EC9" s="117"/>
      <c r="ED9" s="117"/>
      <c r="EE9" s="117"/>
      <c r="EF9" s="118"/>
      <c r="EG9" s="119"/>
      <c r="EH9" s="117"/>
      <c r="EI9" s="117"/>
      <c r="EJ9" s="117"/>
      <c r="EP9" s="648" t="s">
        <v>803</v>
      </c>
      <c r="EU9" s="648" t="s">
        <v>506</v>
      </c>
      <c r="EV9" s="648" t="s">
        <v>506</v>
      </c>
      <c r="EW9" s="400" t="s">
        <v>506</v>
      </c>
      <c r="EY9" s="117"/>
      <c r="EZ9" s="117"/>
      <c r="FA9" s="117"/>
      <c r="FB9" s="117"/>
      <c r="FC9" s="117"/>
      <c r="FD9" s="117"/>
      <c r="FE9" s="117"/>
      <c r="FF9" s="117"/>
      <c r="FG9" s="117"/>
      <c r="FH9" s="117"/>
      <c r="FI9" s="117"/>
      <c r="FJ9" s="101"/>
      <c r="FK9" s="117"/>
      <c r="FL9" s="117"/>
      <c r="FM9" s="117"/>
      <c r="FN9" s="117"/>
      <c r="FO9" s="117"/>
      <c r="FP9" s="491"/>
      <c r="FQ9" s="491"/>
      <c r="FR9" s="491"/>
      <c r="FS9" s="117"/>
      <c r="FT9" s="117"/>
      <c r="FU9" s="117"/>
      <c r="FV9" s="117"/>
      <c r="FW9" s="117"/>
      <c r="FX9" s="117"/>
      <c r="FY9" s="117"/>
      <c r="GB9" s="117"/>
      <c r="GC9" s="117"/>
      <c r="GD9" s="491"/>
      <c r="GE9" s="491"/>
      <c r="GF9" s="117"/>
      <c r="GG9" s="117"/>
      <c r="GH9" s="117"/>
      <c r="GI9" s="491"/>
      <c r="GJ9" s="491"/>
      <c r="GK9" s="117"/>
      <c r="GL9" s="117"/>
      <c r="GM9" s="336" t="s">
        <v>476</v>
      </c>
      <c r="GN9" s="336" t="s">
        <v>476</v>
      </c>
      <c r="GO9" s="227"/>
      <c r="GP9" s="117"/>
      <c r="GQ9" s="117"/>
      <c r="GR9" s="117"/>
      <c r="GS9" s="117"/>
      <c r="GT9" s="117"/>
      <c r="GU9" s="117"/>
      <c r="GV9" s="117"/>
      <c r="GW9" s="117"/>
      <c r="GX9" s="117"/>
      <c r="GY9" s="227"/>
      <c r="GZ9" s="117"/>
      <c r="HA9" s="117"/>
      <c r="HB9" s="117"/>
      <c r="HC9" s="117"/>
      <c r="HD9" s="117"/>
      <c r="HE9" s="117"/>
      <c r="HF9" s="117"/>
      <c r="HG9" s="117"/>
      <c r="HH9" s="101"/>
      <c r="HI9" s="101"/>
      <c r="HJ9" s="101"/>
      <c r="HK9" s="101"/>
      <c r="HL9" s="101"/>
      <c r="HM9" s="101"/>
      <c r="HN9" s="117"/>
      <c r="HO9" s="117"/>
      <c r="HP9" s="117"/>
      <c r="HQ9" s="117"/>
      <c r="HR9" s="117"/>
      <c r="HS9" s="117"/>
      <c r="HU9" s="117"/>
      <c r="HV9" s="552" t="s">
        <v>997</v>
      </c>
      <c r="HW9" s="117"/>
      <c r="HX9" s="117"/>
      <c r="HY9" s="117"/>
      <c r="HZ9" s="117"/>
      <c r="IA9" s="117"/>
      <c r="IB9" s="117"/>
      <c r="IC9" s="117"/>
      <c r="ID9" s="117"/>
      <c r="IE9" s="117"/>
      <c r="IF9" s="117"/>
      <c r="IG9" s="491"/>
      <c r="IH9" s="491"/>
      <c r="II9" s="117"/>
      <c r="IJ9" s="117"/>
      <c r="IK9" s="117"/>
      <c r="IL9" s="117"/>
      <c r="IM9" s="117"/>
      <c r="IN9" s="117"/>
      <c r="IO9" s="117"/>
      <c r="IP9" s="117"/>
      <c r="IQ9" s="117"/>
      <c r="IR9" s="117"/>
      <c r="IS9" s="117"/>
      <c r="IT9" s="117"/>
      <c r="IU9" s="117"/>
      <c r="IV9" s="117"/>
      <c r="IW9" s="117"/>
      <c r="IX9" s="117"/>
      <c r="IY9" s="117"/>
      <c r="IZ9" s="117"/>
      <c r="JA9" s="117"/>
      <c r="JB9" s="117"/>
      <c r="JC9" s="117"/>
      <c r="JD9" s="117"/>
      <c r="JE9" s="117"/>
      <c r="JF9" s="552" t="s">
        <v>474</v>
      </c>
      <c r="JG9" s="552" t="s">
        <v>474</v>
      </c>
      <c r="JH9" s="117"/>
      <c r="JI9" s="117"/>
      <c r="JJ9" s="117"/>
      <c r="JK9" s="552" t="s">
        <v>474</v>
      </c>
      <c r="JL9" s="552" t="s">
        <v>474</v>
      </c>
      <c r="JM9" s="117"/>
      <c r="JN9" s="117"/>
      <c r="JO9" s="117"/>
      <c r="JP9" s="491"/>
      <c r="JQ9" s="491"/>
      <c r="JR9" s="117"/>
      <c r="JS9" s="117"/>
      <c r="JT9" s="117"/>
      <c r="JU9" s="117"/>
      <c r="JV9" s="117"/>
      <c r="JW9" s="552" t="s">
        <v>506</v>
      </c>
      <c r="JY9" s="491"/>
      <c r="JZ9" s="491"/>
      <c r="KA9" s="491"/>
      <c r="KB9" s="117"/>
      <c r="KC9" s="227"/>
      <c r="KF9" s="117"/>
      <c r="KI9" s="117"/>
      <c r="KJ9" s="117"/>
      <c r="KK9" s="508" t="s">
        <v>506</v>
      </c>
      <c r="KL9" s="508" t="s">
        <v>506</v>
      </c>
      <c r="KM9" s="101"/>
      <c r="KO9" s="117"/>
      <c r="KP9" s="491"/>
      <c r="KQ9" s="491"/>
      <c r="KR9" s="117"/>
      <c r="KS9" s="117"/>
      <c r="KT9" s="117"/>
      <c r="KU9" s="117"/>
      <c r="KV9" s="117"/>
      <c r="KW9" s="117"/>
      <c r="KX9" s="117"/>
      <c r="KY9" s="117"/>
      <c r="KZ9" s="117"/>
      <c r="LA9" s="117"/>
      <c r="LB9" s="117"/>
      <c r="LC9" s="117"/>
      <c r="LD9" s="117"/>
      <c r="LE9" s="491"/>
      <c r="LF9" s="117"/>
      <c r="LG9" s="117"/>
      <c r="LH9" s="117"/>
      <c r="LI9" s="117"/>
      <c r="LJ9" s="117"/>
      <c r="LK9" s="117"/>
      <c r="LL9" s="117"/>
      <c r="LM9" s="117"/>
      <c r="LN9" s="117"/>
      <c r="LO9" s="117"/>
      <c r="LP9" s="117"/>
      <c r="LQ9" s="117"/>
      <c r="LR9" s="117"/>
      <c r="LS9" s="117"/>
      <c r="LT9" s="117"/>
    </row>
    <row r="10" spans="1:333" ht="24.95" customHeight="1">
      <c r="A10" s="985"/>
      <c r="B10" s="403" t="s">
        <v>83</v>
      </c>
      <c r="C10" s="412">
        <v>1</v>
      </c>
      <c r="D10" s="201">
        <v>160</v>
      </c>
      <c r="E10" s="406">
        <f t="shared" si="0"/>
        <v>0</v>
      </c>
      <c r="F10" s="200"/>
      <c r="G10" s="127"/>
      <c r="H10" s="127"/>
      <c r="I10" s="127"/>
      <c r="J10" s="127"/>
      <c r="K10" s="127"/>
      <c r="M10" s="127"/>
      <c r="N10" s="354">
        <f>SUM(F10:M10)</f>
        <v>0</v>
      </c>
      <c r="O10" s="187"/>
      <c r="P10" s="100"/>
      <c r="Q10" s="101"/>
      <c r="R10" s="101"/>
      <c r="S10" s="101"/>
      <c r="T10" s="103"/>
      <c r="U10" s="105" t="s">
        <v>437</v>
      </c>
      <c r="V10" s="106" t="s">
        <v>437</v>
      </c>
      <c r="W10" s="106" t="s">
        <v>437</v>
      </c>
      <c r="X10" s="106" t="s">
        <v>437</v>
      </c>
      <c r="Y10" s="107" t="s">
        <v>437</v>
      </c>
      <c r="Z10" s="102"/>
      <c r="AA10" s="101"/>
      <c r="AB10" s="101"/>
      <c r="AC10" s="101"/>
      <c r="AD10" s="98"/>
      <c r="AE10" s="281" t="s">
        <v>437</v>
      </c>
      <c r="AF10" s="106" t="s">
        <v>437</v>
      </c>
      <c r="AG10" s="106" t="s">
        <v>437</v>
      </c>
      <c r="AH10" s="106" t="s">
        <v>437</v>
      </c>
      <c r="AI10" s="106" t="s">
        <v>437</v>
      </c>
      <c r="AJ10" s="100"/>
      <c r="AK10" s="101"/>
      <c r="AL10" s="101"/>
      <c r="AM10" s="101"/>
      <c r="AN10" s="98"/>
      <c r="AO10" s="100"/>
      <c r="AP10" s="101"/>
      <c r="AQ10" s="101"/>
      <c r="AR10" s="101"/>
      <c r="AS10" s="98"/>
      <c r="AT10" s="100"/>
      <c r="AV10" s="101"/>
      <c r="AW10" s="101"/>
      <c r="AX10" s="103" t="s">
        <v>244</v>
      </c>
      <c r="AY10" s="100"/>
      <c r="AZ10" s="101"/>
      <c r="BA10" s="117"/>
      <c r="BB10" s="117"/>
      <c r="BC10" s="333" t="s">
        <v>506</v>
      </c>
      <c r="BD10" s="378" t="s">
        <v>476</v>
      </c>
      <c r="BE10" s="104"/>
      <c r="BF10" s="104"/>
      <c r="BG10" s="117"/>
      <c r="BH10" s="104"/>
      <c r="BI10" s="392"/>
      <c r="BJ10" s="102"/>
      <c r="BK10" s="101"/>
      <c r="BL10" s="101"/>
      <c r="BM10" s="101" t="s">
        <v>244</v>
      </c>
      <c r="BN10" s="103" t="s">
        <v>244</v>
      </c>
      <c r="BO10" s="100"/>
      <c r="BP10" s="101"/>
      <c r="BQ10" s="101"/>
      <c r="BR10" s="101"/>
      <c r="BS10" s="98"/>
      <c r="BT10" s="100"/>
      <c r="BU10" s="101"/>
      <c r="BV10" s="101"/>
      <c r="BW10" s="101"/>
      <c r="BX10" s="98"/>
      <c r="BY10" s="102"/>
      <c r="BZ10" s="101"/>
      <c r="CA10" s="101"/>
      <c r="CB10" s="101"/>
      <c r="CC10" s="98"/>
      <c r="CD10" s="102"/>
      <c r="CE10" s="101"/>
      <c r="CF10" s="101"/>
      <c r="CG10" s="101"/>
      <c r="CH10" s="98"/>
      <c r="CI10" s="100"/>
      <c r="CJ10" s="101"/>
      <c r="CK10" s="101"/>
      <c r="CL10" s="101"/>
      <c r="CM10" s="98"/>
      <c r="CN10" s="100"/>
      <c r="CO10" s="101"/>
      <c r="CP10" s="101"/>
      <c r="CQ10" s="238" t="s">
        <v>506</v>
      </c>
      <c r="CR10" s="397" t="s">
        <v>506</v>
      </c>
      <c r="CS10" s="100"/>
      <c r="CT10" s="101"/>
      <c r="CU10" s="101"/>
      <c r="CV10" s="101"/>
      <c r="CW10" s="98"/>
      <c r="CX10" s="102"/>
      <c r="CY10" s="101"/>
      <c r="CZ10" s="101"/>
      <c r="DA10" s="101"/>
      <c r="DB10" s="98"/>
      <c r="DC10" s="489"/>
      <c r="DD10" s="101"/>
      <c r="DE10" s="101"/>
      <c r="DF10" s="101"/>
      <c r="DG10" s="98"/>
      <c r="DH10" s="100"/>
      <c r="DI10" s="101"/>
      <c r="DJ10" s="101"/>
      <c r="DK10" s="101"/>
      <c r="DL10" s="98"/>
      <c r="DM10" s="100"/>
      <c r="DN10" s="101"/>
      <c r="DO10" s="101"/>
      <c r="DP10" s="101"/>
      <c r="DQ10" s="103"/>
      <c r="DR10" s="116"/>
      <c r="DW10" s="116"/>
      <c r="DX10" s="117"/>
      <c r="EA10" s="227"/>
      <c r="EB10" s="489"/>
      <c r="EE10" s="523" t="s">
        <v>506</v>
      </c>
      <c r="EG10" s="523" t="s">
        <v>506</v>
      </c>
      <c r="EH10" s="117"/>
      <c r="EI10" s="117"/>
      <c r="EJ10" s="117"/>
      <c r="EK10" s="118"/>
      <c r="EL10" s="116"/>
      <c r="EM10" s="117"/>
      <c r="EN10" s="117"/>
      <c r="EO10" s="117"/>
      <c r="EP10" s="227"/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01"/>
      <c r="FK10" s="117"/>
      <c r="FL10" s="117"/>
      <c r="FM10" s="117"/>
      <c r="FN10" s="117"/>
      <c r="FO10" s="117"/>
      <c r="FP10" s="491"/>
      <c r="FQ10" s="491"/>
      <c r="FR10" s="491"/>
      <c r="FS10" s="117"/>
      <c r="FT10" s="117"/>
      <c r="FU10" s="117"/>
      <c r="FV10" s="117"/>
      <c r="FW10" s="117"/>
      <c r="FX10" s="117"/>
      <c r="FY10" s="117"/>
      <c r="FZ10" s="117"/>
      <c r="GA10" s="117"/>
      <c r="GB10" s="117"/>
      <c r="GC10" s="117"/>
      <c r="GD10" s="491"/>
      <c r="GE10" s="491"/>
      <c r="GF10" s="117"/>
      <c r="GG10" s="117"/>
      <c r="GH10" s="117"/>
      <c r="GI10" s="491"/>
      <c r="GJ10" s="491"/>
      <c r="GK10" s="117"/>
      <c r="GL10" s="117"/>
      <c r="GM10" s="117"/>
      <c r="GN10" s="117"/>
      <c r="GO10" s="227"/>
      <c r="GP10" s="117"/>
      <c r="GQ10" s="117"/>
      <c r="GR10" s="117"/>
      <c r="GS10" s="117"/>
      <c r="GT10" s="117"/>
      <c r="GU10" s="117"/>
      <c r="GV10" s="117"/>
      <c r="GW10" s="117"/>
      <c r="GX10" s="117"/>
      <c r="GY10" s="227"/>
      <c r="GZ10" s="117"/>
      <c r="HA10" s="117"/>
      <c r="HB10" s="117"/>
      <c r="HC10" s="552" t="s">
        <v>506</v>
      </c>
      <c r="HD10" s="552" t="s">
        <v>506</v>
      </c>
      <c r="HE10" s="117"/>
      <c r="HF10" s="117"/>
      <c r="HG10" s="117"/>
      <c r="HH10" s="101"/>
      <c r="HI10" s="101"/>
      <c r="HJ10" s="101"/>
      <c r="HK10" s="101"/>
      <c r="HL10" s="101"/>
      <c r="HM10" s="101"/>
      <c r="HN10" s="117"/>
      <c r="HO10" s="117"/>
      <c r="HP10" s="117"/>
      <c r="HQ10" s="117"/>
      <c r="HR10" s="117"/>
      <c r="HS10" s="117"/>
      <c r="HT10" s="117"/>
      <c r="HU10" s="117"/>
      <c r="HV10" s="117"/>
      <c r="HW10" s="117"/>
      <c r="HX10" s="117"/>
      <c r="HY10" s="552" t="s">
        <v>839</v>
      </c>
      <c r="HZ10" s="117"/>
      <c r="IA10" s="117"/>
      <c r="IB10" s="117"/>
      <c r="IC10" s="117"/>
      <c r="ID10" s="117"/>
      <c r="IE10" s="117"/>
      <c r="IF10" s="117"/>
      <c r="IG10" s="491"/>
      <c r="IH10" s="491"/>
      <c r="II10" s="117"/>
      <c r="IJ10" s="117"/>
      <c r="IK10" s="117"/>
      <c r="IL10" s="117"/>
      <c r="IM10" s="117"/>
      <c r="IN10" s="117"/>
      <c r="IO10" s="117"/>
      <c r="IP10" s="117"/>
      <c r="IQ10" s="117"/>
      <c r="IR10" s="117"/>
      <c r="IS10" s="117"/>
      <c r="IT10" s="117"/>
      <c r="IU10" s="117"/>
      <c r="IV10" s="117"/>
      <c r="IW10" s="117"/>
      <c r="IX10" s="117"/>
      <c r="IY10" s="117"/>
      <c r="IZ10" s="117"/>
      <c r="JA10" s="117"/>
      <c r="JB10" s="117"/>
      <c r="JC10" s="117"/>
      <c r="JD10" s="117"/>
      <c r="JE10" s="117"/>
      <c r="JF10" s="117"/>
      <c r="JG10" s="117"/>
      <c r="JH10" s="117"/>
      <c r="JI10" s="117"/>
      <c r="JJ10" s="117"/>
      <c r="JK10" s="117"/>
      <c r="JL10" s="117"/>
      <c r="JM10" s="117"/>
      <c r="JN10" s="117"/>
      <c r="JO10" s="117"/>
      <c r="JP10" s="491"/>
      <c r="JQ10" s="491"/>
      <c r="JT10" s="117"/>
      <c r="JU10" s="552" t="s">
        <v>474</v>
      </c>
      <c r="JV10" s="552" t="s">
        <v>474</v>
      </c>
      <c r="JY10" s="491"/>
      <c r="JZ10" s="491"/>
      <c r="KA10" s="491"/>
      <c r="KB10" s="117"/>
      <c r="KC10" s="227"/>
      <c r="KD10" s="117"/>
      <c r="KE10" s="117"/>
      <c r="KF10" s="117"/>
      <c r="KG10" s="117"/>
      <c r="KH10" s="117"/>
      <c r="KI10" s="117"/>
      <c r="KJ10" s="117"/>
      <c r="KK10" s="117"/>
      <c r="KL10" s="117"/>
      <c r="KM10" s="117"/>
      <c r="KN10" s="117"/>
      <c r="KO10" s="117"/>
      <c r="KP10" s="491"/>
      <c r="KQ10" s="491"/>
      <c r="KR10" s="117"/>
      <c r="KS10" s="117"/>
      <c r="KT10" s="117"/>
      <c r="KU10" s="117"/>
      <c r="KV10" s="117"/>
      <c r="KW10" s="117"/>
      <c r="KX10" s="117"/>
      <c r="KY10" s="117"/>
      <c r="KZ10" s="117"/>
      <c r="LA10" s="117"/>
      <c r="LB10" s="117"/>
      <c r="LC10" s="117"/>
      <c r="LD10" s="117"/>
      <c r="LE10" s="491"/>
      <c r="LF10" s="117"/>
      <c r="LG10" s="117"/>
      <c r="LH10" s="117"/>
      <c r="LI10" s="117"/>
      <c r="LJ10" s="117"/>
      <c r="LK10" s="117"/>
      <c r="LL10" s="117"/>
      <c r="LM10" s="117"/>
      <c r="LN10" s="117"/>
      <c r="LO10" s="117"/>
      <c r="LP10" s="117"/>
      <c r="LQ10" s="117"/>
      <c r="LR10" s="117"/>
      <c r="LS10" s="117"/>
      <c r="LT10" s="117"/>
    </row>
    <row r="11" spans="1:333" ht="24.95" customHeight="1">
      <c r="A11" s="985"/>
      <c r="B11" s="403" t="s">
        <v>84</v>
      </c>
      <c r="C11" s="412">
        <v>1</v>
      </c>
      <c r="D11" s="201">
        <v>160</v>
      </c>
      <c r="E11" s="406">
        <f t="shared" si="0"/>
        <v>0</v>
      </c>
      <c r="F11" s="200"/>
      <c r="G11" s="127"/>
      <c r="H11" s="127"/>
      <c r="I11" s="127"/>
      <c r="J11" s="127"/>
      <c r="K11" s="127"/>
      <c r="L11" s="127"/>
      <c r="M11" s="127"/>
      <c r="N11" s="354">
        <f t="shared" si="1"/>
        <v>0</v>
      </c>
      <c r="O11" s="187"/>
      <c r="P11" s="100"/>
      <c r="Q11" s="101"/>
      <c r="R11" s="101"/>
      <c r="S11" s="101"/>
      <c r="T11" s="103"/>
      <c r="U11" s="105" t="s">
        <v>437</v>
      </c>
      <c r="V11" s="106" t="s">
        <v>437</v>
      </c>
      <c r="W11" s="106" t="s">
        <v>437</v>
      </c>
      <c r="X11" s="106" t="s">
        <v>437</v>
      </c>
      <c r="Y11" s="107" t="s">
        <v>437</v>
      </c>
      <c r="Z11" s="102"/>
      <c r="AA11" s="101"/>
      <c r="AB11" s="101"/>
      <c r="AC11" s="101"/>
      <c r="AD11" s="98"/>
      <c r="AE11" s="281" t="s">
        <v>437</v>
      </c>
      <c r="AF11" s="106" t="s">
        <v>437</v>
      </c>
      <c r="AG11" s="106" t="s">
        <v>437</v>
      </c>
      <c r="AH11" s="106" t="s">
        <v>437</v>
      </c>
      <c r="AI11" s="106" t="s">
        <v>437</v>
      </c>
      <c r="AJ11" s="100"/>
      <c r="AK11" s="101"/>
      <c r="AL11" s="316" t="s">
        <v>24</v>
      </c>
      <c r="AM11" s="101"/>
      <c r="AN11" s="98"/>
      <c r="AO11" s="100"/>
      <c r="AP11" s="101"/>
      <c r="AQ11" s="101"/>
      <c r="AR11" s="101"/>
      <c r="AS11" s="98"/>
      <c r="AT11" s="100"/>
      <c r="AU11" s="101"/>
      <c r="AV11" s="101"/>
      <c r="AW11" s="101"/>
      <c r="AX11" s="103" t="s">
        <v>244</v>
      </c>
      <c r="AY11" s="100"/>
      <c r="AZ11" s="101"/>
      <c r="BA11" s="101"/>
      <c r="BB11" s="101"/>
      <c r="BC11" s="98"/>
      <c r="BD11" s="102"/>
      <c r="BE11" s="104"/>
      <c r="BF11" s="104"/>
      <c r="BG11" s="104"/>
      <c r="BH11" s="104"/>
      <c r="BI11" s="392"/>
      <c r="BJ11" s="102"/>
      <c r="BK11" s="101"/>
      <c r="BL11" s="101"/>
      <c r="BM11" s="101" t="s">
        <v>244</v>
      </c>
      <c r="BN11" s="103" t="s">
        <v>244</v>
      </c>
      <c r="BO11" s="100"/>
      <c r="BP11" s="101"/>
      <c r="BQ11" s="101"/>
      <c r="BR11" s="101"/>
      <c r="BS11" s="98"/>
      <c r="BT11" s="100"/>
      <c r="BU11" s="101"/>
      <c r="BV11" s="101"/>
      <c r="BW11" s="101"/>
      <c r="BX11" s="98"/>
      <c r="BY11" s="102"/>
      <c r="BZ11" s="101"/>
      <c r="CA11" s="101"/>
      <c r="CB11" s="101"/>
      <c r="CC11" s="98"/>
      <c r="CD11" s="102"/>
      <c r="CE11" s="101"/>
      <c r="CF11" s="101"/>
      <c r="CG11" s="101"/>
      <c r="CH11" s="98"/>
      <c r="CI11" s="100"/>
      <c r="CJ11" s="101"/>
      <c r="CK11" s="101"/>
      <c r="CL11" s="101"/>
      <c r="CM11" s="98"/>
      <c r="CN11" s="100"/>
      <c r="CO11" s="101"/>
      <c r="CP11" s="101"/>
      <c r="CQ11" s="101"/>
      <c r="CR11" s="98"/>
      <c r="CS11" s="100"/>
      <c r="CT11" s="101"/>
      <c r="CU11" s="101"/>
      <c r="CV11" s="101"/>
      <c r="CW11" s="98"/>
      <c r="CX11" s="102"/>
      <c r="CY11" s="101"/>
      <c r="CZ11" s="101"/>
      <c r="DA11" s="101"/>
      <c r="DB11" s="98"/>
      <c r="DC11" s="489"/>
      <c r="DD11" s="101"/>
      <c r="DE11" s="101"/>
      <c r="DF11" s="101"/>
      <c r="DG11" s="98"/>
      <c r="DH11" s="100"/>
      <c r="DI11" s="101"/>
      <c r="DJ11" s="101"/>
      <c r="DK11" s="101"/>
      <c r="DL11" s="98"/>
      <c r="DM11" s="100"/>
      <c r="DN11" s="101"/>
      <c r="DO11" s="101"/>
      <c r="DP11" s="101"/>
      <c r="DQ11" s="103"/>
      <c r="DR11" s="116"/>
      <c r="DS11" s="117"/>
      <c r="DT11" s="117"/>
      <c r="DU11" s="117"/>
      <c r="DV11" s="227"/>
      <c r="DW11" s="116"/>
      <c r="DX11" s="117"/>
      <c r="DY11" s="117"/>
      <c r="DZ11" s="117"/>
      <c r="EB11" s="489"/>
      <c r="EC11" s="424"/>
      <c r="ED11" s="424"/>
      <c r="EF11" s="118"/>
      <c r="EG11" s="119"/>
      <c r="EH11" s="117"/>
      <c r="EI11" s="117"/>
      <c r="EL11" s="116"/>
      <c r="EN11" s="648" t="s">
        <v>803</v>
      </c>
      <c r="EO11" s="540" t="s">
        <v>476</v>
      </c>
      <c r="EQ11" s="117"/>
      <c r="ER11" s="117"/>
      <c r="ES11" s="117"/>
      <c r="ET11" s="117"/>
      <c r="EU11" s="117"/>
      <c r="EV11" s="117"/>
      <c r="EW11" s="117"/>
      <c r="EY11" s="508" t="s">
        <v>803</v>
      </c>
      <c r="FA11" s="117"/>
      <c r="FB11" s="117"/>
      <c r="FC11" s="117"/>
      <c r="FD11" s="117"/>
      <c r="FE11" s="117"/>
      <c r="FF11" s="117"/>
      <c r="FG11" s="117"/>
      <c r="FH11" s="117"/>
      <c r="FI11" s="117"/>
      <c r="FJ11" s="101"/>
      <c r="FK11" s="117"/>
      <c r="FL11" s="117"/>
      <c r="FM11" s="117"/>
      <c r="FN11" s="117"/>
      <c r="FO11" s="117"/>
      <c r="FP11" s="491"/>
      <c r="FQ11" s="491"/>
      <c r="FR11" s="491"/>
      <c r="FS11" s="117"/>
      <c r="FT11" s="117"/>
      <c r="FU11" s="117"/>
      <c r="FV11" s="117"/>
      <c r="FW11" s="117"/>
      <c r="FX11" s="117"/>
      <c r="FY11" s="117"/>
      <c r="FZ11" s="101"/>
      <c r="GA11" s="117"/>
      <c r="GB11" s="117"/>
      <c r="GC11" s="117"/>
      <c r="GD11" s="491"/>
      <c r="GE11" s="491"/>
      <c r="GF11" s="117"/>
      <c r="GG11" s="117"/>
      <c r="GH11" s="117"/>
      <c r="GI11" s="491"/>
      <c r="GJ11" s="491"/>
      <c r="GK11" s="117"/>
      <c r="GL11" s="117"/>
      <c r="GM11" s="117"/>
      <c r="GN11" s="117"/>
      <c r="GO11" s="227"/>
      <c r="GP11" s="117"/>
      <c r="GQ11" s="117"/>
      <c r="GR11" s="117"/>
      <c r="GS11" s="117"/>
      <c r="GT11" s="117"/>
      <c r="GX11" s="117"/>
      <c r="GZ11" s="117"/>
      <c r="HA11" s="117"/>
      <c r="HB11" s="316" t="s">
        <v>474</v>
      </c>
      <c r="HC11" s="316" t="s">
        <v>474</v>
      </c>
      <c r="HD11" s="117"/>
      <c r="HE11" s="117"/>
      <c r="HF11" s="117"/>
      <c r="HG11" s="117"/>
      <c r="HH11" s="101"/>
      <c r="HI11" s="101"/>
      <c r="HJ11" s="101"/>
      <c r="HK11" s="101"/>
      <c r="HL11" s="101"/>
      <c r="HM11" s="101"/>
      <c r="HN11" s="117"/>
      <c r="HO11" s="117"/>
      <c r="HP11" s="117"/>
      <c r="HQ11" s="117"/>
      <c r="HR11" s="117"/>
      <c r="HS11" s="117"/>
      <c r="HT11" s="117"/>
      <c r="HU11" s="117"/>
      <c r="HV11" s="117"/>
      <c r="HW11" s="117"/>
      <c r="HX11" s="117"/>
      <c r="HY11" s="117"/>
      <c r="HZ11" s="117"/>
      <c r="IA11" s="117"/>
      <c r="IB11" s="117"/>
      <c r="IC11" s="117"/>
      <c r="ID11" s="117"/>
      <c r="IE11" s="117"/>
      <c r="IF11" s="117"/>
      <c r="IG11" s="491"/>
      <c r="IH11" s="491"/>
      <c r="II11" s="117"/>
      <c r="IJ11" s="117"/>
      <c r="IK11" s="117"/>
      <c r="IL11" s="117"/>
      <c r="IM11" s="117"/>
      <c r="IN11" s="117"/>
      <c r="IO11" s="117"/>
      <c r="IP11" s="117"/>
      <c r="IQ11" s="117"/>
      <c r="IR11" s="117"/>
      <c r="IS11" s="117"/>
      <c r="IT11" s="117"/>
      <c r="IU11" s="117"/>
      <c r="IV11" s="117"/>
      <c r="IW11" s="117"/>
      <c r="IX11" s="117"/>
      <c r="IY11" s="117"/>
      <c r="IZ11" s="117"/>
      <c r="JA11" s="117"/>
      <c r="JB11" s="117"/>
      <c r="JC11" s="117"/>
      <c r="JD11" s="117"/>
      <c r="JE11" s="117"/>
      <c r="JF11" s="117"/>
      <c r="JG11" s="117"/>
      <c r="JH11" s="117"/>
      <c r="JI11" s="117"/>
      <c r="JJ11" s="117"/>
      <c r="JK11" s="117"/>
      <c r="JL11" s="117"/>
      <c r="JM11" s="117"/>
      <c r="JN11" s="117"/>
      <c r="JO11" s="117"/>
      <c r="JP11" s="883"/>
      <c r="JQ11" s="883"/>
      <c r="JR11" s="552" t="s">
        <v>474</v>
      </c>
      <c r="JS11" s="552" t="s">
        <v>474</v>
      </c>
      <c r="JY11" s="883"/>
      <c r="JZ11" s="883"/>
      <c r="KA11" s="883"/>
      <c r="KB11" s="117"/>
      <c r="KC11" s="227"/>
      <c r="KD11" s="117"/>
      <c r="KE11" s="117"/>
      <c r="KF11" s="117"/>
      <c r="KG11" s="117"/>
      <c r="KH11" s="117"/>
      <c r="KI11" s="117"/>
      <c r="KJ11" s="117"/>
      <c r="KK11" s="117"/>
      <c r="KL11" s="117"/>
      <c r="KM11" s="117"/>
      <c r="KN11" s="117"/>
      <c r="KO11" s="117"/>
      <c r="KP11" s="491"/>
      <c r="KQ11" s="491"/>
      <c r="KR11" s="117"/>
      <c r="KS11" s="117"/>
      <c r="KT11" s="117"/>
      <c r="KU11" s="117"/>
      <c r="KV11" s="117"/>
      <c r="KW11" s="117"/>
      <c r="KX11" s="117"/>
      <c r="KY11" s="117"/>
      <c r="KZ11" s="117"/>
      <c r="LA11" s="117"/>
      <c r="LB11" s="117"/>
      <c r="LC11" s="117"/>
      <c r="LD11" s="117"/>
      <c r="LE11" s="491"/>
      <c r="LF11" s="117"/>
      <c r="LG11" s="117"/>
      <c r="LH11" s="117"/>
      <c r="LI11" s="117"/>
      <c r="LJ11" s="117"/>
      <c r="LK11" s="117"/>
      <c r="LL11" s="117"/>
      <c r="LM11" s="117"/>
      <c r="LN11" s="117"/>
      <c r="LO11" s="117"/>
      <c r="LP11" s="117"/>
      <c r="LQ11" s="117"/>
      <c r="LR11" s="117"/>
      <c r="LS11" s="117"/>
      <c r="LT11" s="117"/>
    </row>
    <row r="12" spans="1:333" ht="24.95" customHeight="1">
      <c r="A12" s="985"/>
      <c r="B12" s="403" t="s">
        <v>395</v>
      </c>
      <c r="C12" s="412">
        <v>1</v>
      </c>
      <c r="D12" s="201">
        <v>180</v>
      </c>
      <c r="E12" s="406">
        <f t="shared" si="0"/>
        <v>2.7777777777777777</v>
      </c>
      <c r="F12" s="200"/>
      <c r="G12" s="127"/>
      <c r="H12" s="127"/>
      <c r="I12" s="127"/>
      <c r="J12" s="127"/>
      <c r="K12" s="127"/>
      <c r="L12" s="848">
        <v>500</v>
      </c>
      <c r="M12" s="127"/>
      <c r="N12" s="354">
        <f t="shared" si="1"/>
        <v>500</v>
      </c>
      <c r="O12" s="188"/>
      <c r="P12" s="105"/>
      <c r="Q12" s="106"/>
      <c r="R12" s="106"/>
      <c r="S12" s="106"/>
      <c r="T12" s="237"/>
      <c r="U12" s="105" t="s">
        <v>437</v>
      </c>
      <c r="V12" s="106" t="s">
        <v>437</v>
      </c>
      <c r="W12" s="106" t="s">
        <v>437</v>
      </c>
      <c r="X12" s="106" t="s">
        <v>437</v>
      </c>
      <c r="Y12" s="107" t="s">
        <v>437</v>
      </c>
      <c r="Z12" s="102"/>
      <c r="AA12" s="101"/>
      <c r="AB12" s="101"/>
      <c r="AC12" s="101"/>
      <c r="AD12" s="98"/>
      <c r="AE12" s="281" t="s">
        <v>437</v>
      </c>
      <c r="AF12" s="106" t="s">
        <v>437</v>
      </c>
      <c r="AG12" s="106" t="s">
        <v>437</v>
      </c>
      <c r="AH12" s="106" t="s">
        <v>437</v>
      </c>
      <c r="AI12" s="106" t="s">
        <v>437</v>
      </c>
      <c r="AJ12" s="100"/>
      <c r="AK12" s="101"/>
      <c r="AL12" s="316" t="s">
        <v>506</v>
      </c>
      <c r="AM12" s="316" t="s">
        <v>474</v>
      </c>
      <c r="AN12" s="317" t="s">
        <v>506</v>
      </c>
      <c r="AO12" s="334" t="s">
        <v>474</v>
      </c>
      <c r="AP12" s="101"/>
      <c r="AQ12" s="101"/>
      <c r="AR12" s="101"/>
      <c r="AS12" s="98"/>
      <c r="AV12" s="101"/>
      <c r="AW12" s="101"/>
      <c r="AX12" s="103" t="s">
        <v>244</v>
      </c>
      <c r="AY12" s="100"/>
      <c r="AZ12" s="336" t="s">
        <v>474</v>
      </c>
      <c r="BA12" s="336" t="s">
        <v>474</v>
      </c>
      <c r="BB12" s="336" t="s">
        <v>476</v>
      </c>
      <c r="BC12" s="98"/>
      <c r="BD12" s="119"/>
      <c r="BE12" s="117"/>
      <c r="BF12" s="104"/>
      <c r="BG12" s="104"/>
      <c r="BH12" s="104"/>
      <c r="BI12" s="392"/>
      <c r="BJ12" s="102"/>
      <c r="BK12" s="101"/>
      <c r="BL12" s="101"/>
      <c r="BM12" s="101" t="s">
        <v>244</v>
      </c>
      <c r="BN12" s="103" t="s">
        <v>244</v>
      </c>
      <c r="BO12" s="100"/>
      <c r="BP12" s="101"/>
      <c r="BQ12" s="101"/>
      <c r="BR12" s="101"/>
      <c r="BS12" s="98"/>
      <c r="BT12" s="100"/>
      <c r="BU12" s="101"/>
      <c r="BV12" s="101"/>
      <c r="BW12" s="101"/>
      <c r="BX12" s="98"/>
      <c r="BY12" s="102"/>
      <c r="BZ12" s="101"/>
      <c r="CA12" s="101"/>
      <c r="CB12" s="101"/>
      <c r="CC12" s="98"/>
      <c r="CD12" s="441" t="s">
        <v>506</v>
      </c>
      <c r="CE12" s="441" t="s">
        <v>506</v>
      </c>
      <c r="CF12" s="441" t="s">
        <v>506</v>
      </c>
      <c r="CG12" s="101"/>
      <c r="CH12" s="98"/>
      <c r="CI12" s="100"/>
      <c r="CJ12" s="101"/>
      <c r="CK12" s="101"/>
      <c r="CL12" s="101"/>
      <c r="CM12" s="98"/>
      <c r="CN12" s="100"/>
      <c r="CO12" s="101"/>
      <c r="CP12" s="101"/>
      <c r="CQ12" s="101"/>
      <c r="CR12" s="98"/>
      <c r="CS12" s="476"/>
      <c r="CT12" s="238"/>
      <c r="CU12" s="101"/>
      <c r="CV12" s="101"/>
      <c r="CW12" s="98"/>
      <c r="CX12" s="102"/>
      <c r="CY12" s="101"/>
      <c r="CZ12" s="101"/>
      <c r="DA12" s="101"/>
      <c r="DB12" s="494"/>
      <c r="DC12" s="489"/>
      <c r="DD12" s="494"/>
      <c r="DF12" s="101"/>
      <c r="DG12" s="98"/>
      <c r="DH12" s="100"/>
      <c r="DI12" s="101"/>
      <c r="DJ12" s="101"/>
      <c r="DK12" s="101"/>
      <c r="DL12" s="98"/>
      <c r="DM12" s="100"/>
      <c r="DN12" s="101"/>
      <c r="DO12" s="101"/>
      <c r="DP12" s="101"/>
      <c r="DQ12" s="103"/>
      <c r="DR12" s="116"/>
      <c r="DS12" s="117"/>
      <c r="DW12" s="116"/>
      <c r="EB12" s="489"/>
      <c r="EC12" s="424"/>
      <c r="ED12" s="424"/>
      <c r="EE12" s="424"/>
      <c r="EF12" s="494" t="s">
        <v>506</v>
      </c>
      <c r="EH12" s="569" t="s">
        <v>476</v>
      </c>
      <c r="EI12" s="494" t="s">
        <v>506</v>
      </c>
      <c r="EK12" s="118"/>
      <c r="EL12" s="116"/>
      <c r="EM12" s="117"/>
      <c r="EN12" s="117"/>
      <c r="EO12" s="117"/>
      <c r="EP12" s="227"/>
      <c r="EQ12" s="117"/>
      <c r="ER12" s="117"/>
      <c r="ES12" s="117"/>
      <c r="ET12" s="117"/>
      <c r="EU12" s="117"/>
      <c r="EV12" s="117"/>
      <c r="EW12" s="117"/>
      <c r="EX12" s="666" t="s">
        <v>803</v>
      </c>
      <c r="EY12" s="117"/>
      <c r="EZ12" s="117"/>
      <c r="FA12" s="117"/>
      <c r="FB12" s="117"/>
      <c r="FC12" s="117"/>
      <c r="FD12" s="117"/>
      <c r="FE12" s="117"/>
      <c r="FF12" s="316" t="s">
        <v>803</v>
      </c>
      <c r="FG12" s="117"/>
      <c r="FI12" s="117"/>
      <c r="FJ12" s="101"/>
      <c r="FK12" s="117"/>
      <c r="FM12" s="117"/>
      <c r="FN12" s="316" t="s">
        <v>476</v>
      </c>
      <c r="FO12" s="117"/>
      <c r="FP12" s="491"/>
      <c r="FQ12" s="491"/>
      <c r="FR12" s="491"/>
      <c r="FS12" s="117"/>
      <c r="FT12" s="117"/>
      <c r="FU12" s="117"/>
      <c r="FV12" s="117"/>
      <c r="FW12" s="117"/>
      <c r="FX12" s="117"/>
      <c r="FY12" s="117"/>
      <c r="GA12" s="117"/>
      <c r="GB12" s="117"/>
      <c r="GC12" s="117"/>
      <c r="GD12" s="491"/>
      <c r="GE12" s="491"/>
      <c r="GF12" s="117"/>
      <c r="GG12" s="117"/>
      <c r="GH12" s="117"/>
      <c r="GI12" s="491"/>
      <c r="GJ12" s="491"/>
      <c r="GK12" s="117"/>
      <c r="GL12" s="117"/>
      <c r="GM12" s="117"/>
      <c r="GN12" s="117"/>
      <c r="GO12" s="227"/>
      <c r="GP12" s="117"/>
      <c r="GQ12" s="117"/>
      <c r="GR12" s="117"/>
      <c r="GS12" s="117"/>
      <c r="GT12" s="117"/>
      <c r="GU12" s="117"/>
      <c r="GV12" s="117"/>
      <c r="GW12" s="117"/>
      <c r="GX12" s="117"/>
      <c r="GY12" s="227"/>
      <c r="GZ12" s="117"/>
      <c r="HA12" s="117"/>
      <c r="HB12" s="117"/>
      <c r="HC12" s="117"/>
      <c r="HD12" s="117"/>
      <c r="HE12" s="117"/>
      <c r="HF12" s="117"/>
      <c r="HG12" s="117"/>
      <c r="HH12" s="117"/>
      <c r="HI12" s="117"/>
      <c r="HJ12" s="117"/>
      <c r="HK12" s="117"/>
      <c r="HL12" s="117"/>
      <c r="HM12" s="117"/>
      <c r="HN12" s="117"/>
      <c r="HO12" s="117"/>
      <c r="HP12" s="117"/>
      <c r="HQ12" s="117"/>
      <c r="HR12" s="117"/>
      <c r="HS12" s="117"/>
      <c r="HV12" s="117"/>
      <c r="HW12" s="552" t="s">
        <v>506</v>
      </c>
      <c r="HY12" s="117"/>
      <c r="HZ12" s="117"/>
      <c r="IA12" s="316" t="s">
        <v>985</v>
      </c>
      <c r="IB12" s="117"/>
      <c r="IC12" s="117"/>
      <c r="ID12" s="117"/>
      <c r="IE12" s="117"/>
      <c r="IF12" s="117"/>
      <c r="IG12" s="491"/>
      <c r="IH12" s="491"/>
      <c r="II12" s="117"/>
      <c r="IJ12" s="117"/>
      <c r="IK12" s="117"/>
      <c r="IL12" s="117"/>
      <c r="IM12" s="117"/>
      <c r="IN12" s="117"/>
      <c r="IO12" s="117"/>
      <c r="IP12" s="117"/>
      <c r="IQ12" s="117"/>
      <c r="IR12" s="117"/>
      <c r="IS12" s="117"/>
      <c r="IT12" s="117"/>
      <c r="IU12" s="117"/>
      <c r="IV12" s="117"/>
      <c r="IW12" s="117"/>
      <c r="IX12" s="117"/>
      <c r="IY12" s="117"/>
      <c r="IZ12" s="117"/>
      <c r="JA12" s="117"/>
      <c r="JB12" s="117"/>
      <c r="JC12" s="117"/>
      <c r="JD12" s="117"/>
      <c r="JE12" s="117"/>
      <c r="JF12" s="117"/>
      <c r="JG12" s="117"/>
      <c r="JH12" s="117"/>
      <c r="JI12" s="117"/>
      <c r="JJ12" s="117"/>
      <c r="JK12" s="117"/>
      <c r="JL12" s="117"/>
      <c r="JM12" s="117"/>
      <c r="JN12" s="117"/>
      <c r="JO12" s="117"/>
      <c r="JP12" s="491"/>
      <c r="JQ12" s="491"/>
      <c r="JS12" s="552" t="s">
        <v>803</v>
      </c>
      <c r="JT12" s="552" t="s">
        <v>1172</v>
      </c>
      <c r="JX12" s="508" t="s">
        <v>474</v>
      </c>
      <c r="JY12" s="491"/>
      <c r="JZ12" s="491"/>
      <c r="KA12" s="491"/>
      <c r="KD12" s="552" t="s">
        <v>474</v>
      </c>
      <c r="KE12" s="552" t="s">
        <v>474</v>
      </c>
      <c r="KG12" s="117"/>
      <c r="KH12" s="552" t="s">
        <v>474</v>
      </c>
      <c r="KI12" s="117"/>
      <c r="KJ12" s="117"/>
      <c r="KK12" s="117"/>
      <c r="KL12" s="117"/>
      <c r="KM12" s="117"/>
      <c r="KN12" s="117"/>
      <c r="KO12" s="117"/>
      <c r="KP12" s="491"/>
      <c r="KQ12" s="491"/>
      <c r="KR12" s="117"/>
      <c r="KS12" s="117"/>
      <c r="KT12" s="117"/>
      <c r="KU12" s="117"/>
      <c r="KV12" s="508" t="s">
        <v>506</v>
      </c>
      <c r="KW12" s="508" t="s">
        <v>506</v>
      </c>
      <c r="KX12" s="508" t="s">
        <v>506</v>
      </c>
      <c r="KY12" s="117"/>
      <c r="KZ12" s="117"/>
      <c r="LA12" s="117"/>
      <c r="LB12" s="117"/>
      <c r="LC12" s="117"/>
      <c r="LD12" s="117"/>
      <c r="LE12" s="491"/>
      <c r="LF12" s="117"/>
      <c r="LG12" s="117"/>
      <c r="LH12" s="117"/>
      <c r="LI12" s="117"/>
      <c r="LJ12" s="117"/>
      <c r="LK12" s="117"/>
      <c r="LL12" s="117"/>
      <c r="LM12" s="117"/>
      <c r="LN12" s="117"/>
      <c r="LO12" s="117"/>
      <c r="LP12" s="117"/>
      <c r="LQ12" s="117"/>
      <c r="LR12" s="117"/>
      <c r="LS12" s="117"/>
      <c r="LT12" s="117"/>
    </row>
    <row r="13" spans="1:333" ht="24.95" customHeight="1">
      <c r="A13" s="985"/>
      <c r="B13" s="403" t="s">
        <v>32</v>
      </c>
      <c r="C13" s="412">
        <v>1</v>
      </c>
      <c r="D13" s="201">
        <v>180</v>
      </c>
      <c r="E13" s="226"/>
      <c r="F13" s="200"/>
      <c r="G13" s="127"/>
      <c r="H13" s="127"/>
      <c r="I13" s="127"/>
      <c r="J13" s="127"/>
      <c r="K13" s="127"/>
      <c r="L13" s="127"/>
      <c r="M13" s="127"/>
      <c r="N13" s="354">
        <f t="shared" si="1"/>
        <v>0</v>
      </c>
      <c r="O13" s="188"/>
      <c r="P13" s="105"/>
      <c r="Q13" s="106"/>
      <c r="R13" s="106"/>
      <c r="S13" s="106"/>
      <c r="T13" s="237"/>
      <c r="U13" s="105" t="s">
        <v>437</v>
      </c>
      <c r="V13" s="106" t="s">
        <v>437</v>
      </c>
      <c r="W13" s="106" t="s">
        <v>437</v>
      </c>
      <c r="X13" s="106" t="s">
        <v>437</v>
      </c>
      <c r="Y13" s="107" t="s">
        <v>437</v>
      </c>
      <c r="Z13" s="102"/>
      <c r="AA13" s="101"/>
      <c r="AB13" s="101"/>
      <c r="AC13" s="101"/>
      <c r="AD13" s="98"/>
      <c r="AE13" s="281" t="s">
        <v>437</v>
      </c>
      <c r="AF13" s="106" t="s">
        <v>437</v>
      </c>
      <c r="AG13" s="106" t="s">
        <v>437</v>
      </c>
      <c r="AH13" s="106" t="s">
        <v>437</v>
      </c>
      <c r="AI13" s="106" t="s">
        <v>437</v>
      </c>
      <c r="AJ13" s="100"/>
      <c r="AK13" s="101"/>
      <c r="AL13" s="101"/>
      <c r="AM13" s="101"/>
      <c r="AN13" s="98"/>
      <c r="AO13" s="100"/>
      <c r="AP13" s="101"/>
      <c r="AQ13" s="101"/>
      <c r="AR13" s="101"/>
      <c r="AS13" s="98"/>
      <c r="AT13" s="100"/>
      <c r="AU13" s="103"/>
      <c r="AV13" s="101"/>
      <c r="AW13" s="101"/>
      <c r="AX13" s="103" t="s">
        <v>244</v>
      </c>
      <c r="AY13" s="100"/>
      <c r="AZ13" s="101"/>
      <c r="BA13" s="101"/>
      <c r="BB13" s="101"/>
      <c r="BC13" s="98"/>
      <c r="BD13" s="102"/>
      <c r="BE13" s="104"/>
      <c r="BF13" s="104"/>
      <c r="BG13" s="104"/>
      <c r="BH13" s="104"/>
      <c r="BI13" s="392"/>
      <c r="BJ13" s="102"/>
      <c r="BK13" s="101"/>
      <c r="BL13" s="101"/>
      <c r="BM13" s="101" t="s">
        <v>244</v>
      </c>
      <c r="BN13" s="103" t="s">
        <v>244</v>
      </c>
      <c r="BO13" s="100"/>
      <c r="BP13" s="101"/>
      <c r="BQ13" s="101"/>
      <c r="BR13" s="101"/>
      <c r="BS13" s="98"/>
      <c r="BT13" s="100"/>
      <c r="BU13" s="101"/>
      <c r="BV13" s="101"/>
      <c r="BW13" s="101"/>
      <c r="BX13" s="98"/>
      <c r="BY13" s="102"/>
      <c r="BZ13" s="101"/>
      <c r="CA13" s="101"/>
      <c r="CB13" s="101"/>
      <c r="CC13" s="98"/>
      <c r="CD13" s="102"/>
      <c r="CE13" s="101"/>
      <c r="CF13" s="101"/>
      <c r="CG13" s="101"/>
      <c r="CH13" s="98"/>
      <c r="CI13" s="100"/>
      <c r="CJ13" s="101"/>
      <c r="CK13" s="101"/>
      <c r="CL13" s="101"/>
      <c r="CM13" s="98"/>
      <c r="CN13" s="100"/>
      <c r="CO13" s="101"/>
      <c r="CP13" s="101"/>
      <c r="CQ13" s="101"/>
      <c r="CR13" s="98"/>
      <c r="CS13" s="100"/>
      <c r="CT13" s="101"/>
      <c r="CU13" s="101"/>
      <c r="CV13" s="101"/>
      <c r="CW13" s="98"/>
      <c r="CX13" s="102"/>
      <c r="CY13" s="101"/>
      <c r="CZ13" s="101"/>
      <c r="DA13" s="101"/>
      <c r="DB13" s="98"/>
      <c r="DC13" s="489"/>
      <c r="DD13" s="101"/>
      <c r="DE13" s="101"/>
      <c r="DF13" s="101"/>
      <c r="DG13" s="98"/>
      <c r="DH13" s="100"/>
      <c r="DI13" s="101"/>
      <c r="DJ13" s="101"/>
      <c r="DK13" s="101"/>
      <c r="DL13" s="98"/>
      <c r="DM13" s="100"/>
      <c r="DN13" s="101"/>
      <c r="DO13" s="101"/>
      <c r="DP13" s="101"/>
      <c r="DQ13" s="103"/>
      <c r="DR13" s="116"/>
      <c r="DS13" s="117"/>
      <c r="DT13" s="117"/>
      <c r="DU13" s="117"/>
      <c r="DV13" s="227"/>
      <c r="DW13" s="116"/>
      <c r="DX13" s="117"/>
      <c r="DY13" s="117"/>
      <c r="DZ13" s="117"/>
      <c r="EA13" s="227"/>
      <c r="EB13" s="489"/>
      <c r="EC13" s="117"/>
      <c r="ED13" s="117"/>
      <c r="EE13" s="117"/>
      <c r="EF13" s="118"/>
      <c r="EG13" s="119"/>
      <c r="EH13" s="117"/>
      <c r="EI13" s="117"/>
      <c r="EJ13" s="117"/>
      <c r="EK13" s="118"/>
      <c r="EL13" s="116"/>
      <c r="EM13" s="117"/>
      <c r="EN13" s="117"/>
      <c r="EO13" s="117"/>
      <c r="EP13" s="227"/>
      <c r="EQ13" s="117"/>
      <c r="ER13" s="117"/>
      <c r="ES13" s="117"/>
      <c r="ET13" s="117"/>
      <c r="EU13" s="117"/>
      <c r="EV13" s="117"/>
      <c r="EW13" s="117"/>
      <c r="EX13" s="117"/>
      <c r="EY13" s="117"/>
      <c r="EZ13" s="117"/>
      <c r="FA13" s="117"/>
      <c r="FB13" s="117"/>
      <c r="FC13" s="117"/>
      <c r="FD13" s="117"/>
      <c r="FE13" s="117"/>
      <c r="FF13" s="117"/>
      <c r="FG13" s="117"/>
      <c r="FH13" s="117"/>
      <c r="FI13" s="117"/>
      <c r="FJ13" s="101"/>
      <c r="FK13" s="117"/>
      <c r="FL13" s="117"/>
      <c r="FM13" s="117"/>
      <c r="FN13" s="117"/>
      <c r="FO13" s="117"/>
      <c r="FP13" s="491"/>
      <c r="FQ13" s="491"/>
      <c r="FR13" s="491"/>
      <c r="FS13" s="117"/>
      <c r="FT13" s="117"/>
      <c r="FU13" s="117"/>
      <c r="FV13" s="117"/>
      <c r="FW13" s="117"/>
      <c r="FX13" s="117"/>
      <c r="FY13" s="117"/>
      <c r="FZ13" s="117"/>
      <c r="GA13" s="117"/>
      <c r="GB13" s="117"/>
      <c r="GC13" s="117"/>
      <c r="GD13" s="491"/>
      <c r="GE13" s="491"/>
      <c r="GF13" s="117"/>
      <c r="GG13" s="117"/>
      <c r="GH13" s="117"/>
      <c r="GI13" s="491"/>
      <c r="GJ13" s="491"/>
      <c r="GK13" s="117"/>
      <c r="GL13" s="117"/>
      <c r="GM13" s="117"/>
      <c r="GN13" s="117"/>
      <c r="GO13" s="227"/>
      <c r="GP13" s="117"/>
      <c r="GQ13" s="117"/>
      <c r="GR13" s="117"/>
      <c r="GS13" s="117"/>
      <c r="GT13" s="117"/>
      <c r="GU13" s="117"/>
      <c r="GV13" s="117"/>
      <c r="GW13" s="117"/>
      <c r="GX13" s="117"/>
      <c r="GY13" s="227"/>
      <c r="GZ13" s="117"/>
      <c r="HA13" s="117"/>
      <c r="HB13" s="117"/>
      <c r="HC13" s="117"/>
      <c r="HD13" s="117"/>
      <c r="HE13" s="117"/>
      <c r="HF13" s="117"/>
      <c r="HG13" s="117"/>
      <c r="HH13" s="117"/>
      <c r="HI13" s="117"/>
      <c r="HJ13" s="117"/>
      <c r="HK13" s="117"/>
      <c r="HL13" s="117"/>
      <c r="HM13" s="117"/>
      <c r="HN13" s="117"/>
      <c r="HO13" s="117"/>
      <c r="HP13" s="117"/>
      <c r="HQ13" s="117"/>
      <c r="HR13" s="117"/>
      <c r="HS13" s="117"/>
      <c r="HT13" s="117"/>
      <c r="HU13" s="117"/>
      <c r="HV13" s="117"/>
      <c r="HW13" s="117"/>
      <c r="HX13" s="117"/>
      <c r="HY13" s="117"/>
      <c r="HZ13" s="117"/>
      <c r="IA13" s="117"/>
      <c r="IB13" s="117"/>
      <c r="IC13" s="117"/>
      <c r="ID13" s="117"/>
      <c r="IE13" s="117"/>
      <c r="IF13" s="117"/>
      <c r="IG13" s="491"/>
      <c r="IH13" s="491"/>
      <c r="II13" s="117"/>
      <c r="IJ13" s="117"/>
      <c r="IK13" s="117"/>
      <c r="IL13" s="117"/>
      <c r="IM13" s="117"/>
      <c r="IN13" s="117"/>
      <c r="IO13" s="117"/>
      <c r="IP13" s="117"/>
      <c r="IQ13" s="117"/>
      <c r="IR13" s="117"/>
      <c r="IS13" s="117"/>
      <c r="IT13" s="117"/>
      <c r="IU13" s="117"/>
      <c r="IV13" s="117"/>
      <c r="IW13" s="117"/>
      <c r="IX13" s="117"/>
      <c r="IY13" s="117"/>
      <c r="IZ13" s="117"/>
      <c r="JA13" s="117"/>
      <c r="JB13" s="117"/>
      <c r="JC13" s="117"/>
      <c r="JD13" s="117"/>
      <c r="JE13" s="117"/>
      <c r="JF13" s="117"/>
      <c r="JG13" s="117"/>
      <c r="JH13" s="117"/>
      <c r="JI13" s="117"/>
      <c r="JJ13" s="117"/>
      <c r="JK13" s="117"/>
      <c r="JL13" s="117"/>
      <c r="JM13" s="117"/>
      <c r="JN13" s="117"/>
      <c r="JO13" s="117"/>
      <c r="JP13" s="491"/>
      <c r="JQ13" s="491"/>
      <c r="JR13" s="117"/>
      <c r="JS13" s="117"/>
      <c r="JT13" s="117"/>
      <c r="JU13" s="117"/>
      <c r="JV13" s="117"/>
      <c r="JW13" s="117"/>
      <c r="JX13" s="117"/>
      <c r="JY13" s="491"/>
      <c r="JZ13" s="491"/>
      <c r="KA13" s="491"/>
      <c r="KB13" s="117"/>
      <c r="KC13" s="227"/>
      <c r="KD13" s="117"/>
      <c r="KE13" s="117"/>
      <c r="KF13" s="117"/>
      <c r="KG13" s="117"/>
      <c r="KH13" s="117"/>
      <c r="KI13" s="117"/>
      <c r="KJ13" s="117"/>
      <c r="KK13" s="117"/>
      <c r="KL13" s="117"/>
      <c r="KM13" s="117"/>
      <c r="KN13" s="117"/>
      <c r="KO13" s="117"/>
      <c r="KP13" s="491"/>
      <c r="KQ13" s="491"/>
      <c r="KR13" s="117"/>
      <c r="KS13" s="117"/>
      <c r="KT13" s="117"/>
      <c r="KU13" s="117"/>
      <c r="KV13" s="117"/>
      <c r="KW13" s="117"/>
      <c r="KX13" s="117"/>
      <c r="KY13" s="117"/>
      <c r="KZ13" s="117"/>
      <c r="LA13" s="117"/>
      <c r="LB13" s="117"/>
      <c r="LC13" s="117"/>
      <c r="LD13" s="117"/>
      <c r="LE13" s="491"/>
      <c r="LF13" s="117"/>
      <c r="LG13" s="117"/>
      <c r="LH13" s="117"/>
      <c r="LI13" s="117"/>
      <c r="LJ13" s="117"/>
      <c r="LK13" s="117"/>
      <c r="LL13" s="117"/>
      <c r="LM13" s="117"/>
      <c r="LN13" s="117"/>
      <c r="LO13" s="117"/>
      <c r="LP13" s="117"/>
      <c r="LQ13" s="117"/>
      <c r="LR13" s="117"/>
      <c r="LS13" s="117"/>
      <c r="LT13" s="117"/>
    </row>
    <row r="14" spans="1:333" ht="24.95" customHeight="1">
      <c r="A14" s="985"/>
      <c r="B14" s="403" t="s">
        <v>14</v>
      </c>
      <c r="C14" s="412">
        <v>2</v>
      </c>
      <c r="D14" s="201">
        <v>125</v>
      </c>
      <c r="E14" s="406">
        <f t="shared" ref="E14:E45" si="2">N14/D14</f>
        <v>0</v>
      </c>
      <c r="F14" s="200"/>
      <c r="G14" s="127"/>
      <c r="H14" s="127"/>
      <c r="I14" s="127"/>
      <c r="J14" s="127"/>
      <c r="K14" s="127"/>
      <c r="L14" s="127"/>
      <c r="N14" s="354">
        <f>SUM(F14:M14)</f>
        <v>0</v>
      </c>
      <c r="O14" s="188"/>
      <c r="P14" s="105"/>
      <c r="Q14" s="106"/>
      <c r="R14" s="106"/>
      <c r="S14" s="106"/>
      <c r="T14" s="237"/>
      <c r="U14" s="105" t="s">
        <v>437</v>
      </c>
      <c r="V14" s="106" t="s">
        <v>437</v>
      </c>
      <c r="W14" s="106" t="s">
        <v>437</v>
      </c>
      <c r="X14" s="106" t="s">
        <v>437</v>
      </c>
      <c r="Y14" s="107" t="s">
        <v>437</v>
      </c>
      <c r="Z14" s="102"/>
      <c r="AA14" s="101"/>
      <c r="AB14" s="101"/>
      <c r="AC14" s="101"/>
      <c r="AD14" s="98"/>
      <c r="AE14" s="281" t="s">
        <v>437</v>
      </c>
      <c r="AF14" s="106" t="s">
        <v>437</v>
      </c>
      <c r="AG14" s="106" t="s">
        <v>437</v>
      </c>
      <c r="AH14" s="106" t="s">
        <v>437</v>
      </c>
      <c r="AI14" s="106" t="s">
        <v>437</v>
      </c>
      <c r="AJ14" s="100"/>
      <c r="AK14" s="101"/>
      <c r="AL14" s="101"/>
      <c r="AM14" s="101"/>
      <c r="AN14" s="98"/>
      <c r="AO14" s="334" t="s">
        <v>474</v>
      </c>
      <c r="AP14" s="101"/>
      <c r="AQ14" s="101"/>
      <c r="AR14" s="101"/>
      <c r="AS14" s="98"/>
      <c r="AU14" s="103"/>
      <c r="AV14" s="101"/>
      <c r="AW14" s="101"/>
      <c r="AX14" s="103" t="s">
        <v>244</v>
      </c>
      <c r="AY14" s="100"/>
      <c r="AZ14" s="101"/>
      <c r="BA14" s="101"/>
      <c r="BB14" s="101"/>
      <c r="BC14" s="98"/>
      <c r="BD14" s="102"/>
      <c r="BE14" s="104"/>
      <c r="BF14" s="104"/>
      <c r="BG14" s="104"/>
      <c r="BH14" s="104"/>
      <c r="BI14" s="392"/>
      <c r="BJ14" s="102"/>
      <c r="BK14" s="101"/>
      <c r="BL14" s="101"/>
      <c r="BM14" s="101" t="s">
        <v>244</v>
      </c>
      <c r="BN14" s="103" t="s">
        <v>244</v>
      </c>
      <c r="BO14" s="100"/>
      <c r="BP14" s="101"/>
      <c r="BQ14" s="101"/>
      <c r="BR14" s="101"/>
      <c r="BS14" s="98"/>
      <c r="BT14" s="100"/>
      <c r="BU14" s="101"/>
      <c r="BV14" s="101"/>
      <c r="BW14" s="101"/>
      <c r="BX14" s="98"/>
      <c r="BY14" s="102"/>
      <c r="BZ14" s="101"/>
      <c r="CA14" s="438" t="s">
        <v>506</v>
      </c>
      <c r="CB14" s="438" t="s">
        <v>506</v>
      </c>
      <c r="CC14" s="417" t="s">
        <v>476</v>
      </c>
      <c r="CD14" s="417" t="s">
        <v>476</v>
      </c>
      <c r="CE14" s="417" t="s">
        <v>476</v>
      </c>
      <c r="CF14" s="101"/>
      <c r="CG14" s="101"/>
      <c r="CH14" s="98"/>
      <c r="CI14" s="100"/>
      <c r="CJ14" s="101"/>
      <c r="CK14" s="101"/>
      <c r="CL14" s="101"/>
      <c r="CM14" s="98"/>
      <c r="CN14" s="100"/>
      <c r="CO14" s="101"/>
      <c r="CP14" s="101"/>
      <c r="CQ14" s="101"/>
      <c r="CR14" s="98"/>
      <c r="CS14" s="100"/>
      <c r="CT14" s="101"/>
      <c r="CU14" s="101"/>
      <c r="CV14" s="101"/>
      <c r="CW14" s="98"/>
      <c r="CX14" s="102"/>
      <c r="CY14" s="101"/>
      <c r="CZ14" s="101"/>
      <c r="DA14" s="101"/>
      <c r="DB14" s="98"/>
      <c r="DC14" s="489"/>
      <c r="DD14" s="101"/>
      <c r="DE14" s="101"/>
      <c r="DF14" s="101"/>
      <c r="DG14" s="98"/>
      <c r="DH14" s="100"/>
      <c r="DI14" s="101"/>
      <c r="DJ14" s="101"/>
      <c r="DK14" s="101"/>
      <c r="DL14" s="98"/>
      <c r="DR14" s="100"/>
      <c r="DS14" s="100"/>
      <c r="DT14" s="504" t="s">
        <v>474</v>
      </c>
      <c r="DU14" s="504" t="s">
        <v>474</v>
      </c>
      <c r="DV14" s="505" t="s">
        <v>474</v>
      </c>
      <c r="DW14" s="504" t="s">
        <v>506</v>
      </c>
      <c r="DX14" s="486" t="s">
        <v>506</v>
      </c>
      <c r="EB14" s="489"/>
      <c r="EE14" s="570" t="s">
        <v>476</v>
      </c>
      <c r="EF14" s="570" t="s">
        <v>476</v>
      </c>
      <c r="EH14" s="486" t="s">
        <v>506</v>
      </c>
      <c r="EI14" s="486" t="s">
        <v>506</v>
      </c>
      <c r="EL14" s="116"/>
      <c r="EM14" s="117"/>
      <c r="EN14" s="117"/>
      <c r="EO14" s="117"/>
      <c r="EP14" s="227"/>
      <c r="ER14" s="117"/>
      <c r="ES14" s="117"/>
      <c r="ET14" s="117"/>
      <c r="EU14" s="117"/>
      <c r="EV14" s="117"/>
      <c r="EW14" s="117"/>
      <c r="EX14" s="117"/>
      <c r="EZ14" s="117"/>
      <c r="FA14" s="117"/>
      <c r="FB14" s="117"/>
      <c r="FC14" s="117"/>
      <c r="FD14" s="117"/>
      <c r="FE14" s="117"/>
      <c r="FF14" s="117"/>
      <c r="FG14" s="98"/>
      <c r="FH14" s="117"/>
      <c r="FI14" s="117"/>
      <c r="FJ14" s="101"/>
      <c r="FK14" s="117"/>
      <c r="FL14" s="117"/>
      <c r="FM14" s="117"/>
      <c r="FN14" s="117"/>
      <c r="FO14" s="117"/>
      <c r="FP14" s="491"/>
      <c r="FQ14" s="491"/>
      <c r="FR14" s="491"/>
      <c r="FT14" s="316" t="s">
        <v>506</v>
      </c>
      <c r="FU14" s="316" t="s">
        <v>876</v>
      </c>
      <c r="FV14" s="316" t="s">
        <v>803</v>
      </c>
      <c r="FW14" s="117"/>
      <c r="FX14" s="117"/>
      <c r="FY14" s="117"/>
      <c r="GA14" s="117"/>
      <c r="GB14" s="117"/>
      <c r="GC14" s="117"/>
      <c r="GD14" s="491"/>
      <c r="GE14" s="491"/>
      <c r="GF14" s="117"/>
      <c r="GG14" s="117"/>
      <c r="GH14" s="117"/>
      <c r="GI14" s="491"/>
      <c r="GJ14" s="491"/>
      <c r="GK14" s="117"/>
      <c r="GL14" s="117"/>
      <c r="GM14" s="117"/>
      <c r="GN14" s="117"/>
      <c r="GO14" s="227"/>
      <c r="GP14" s="117"/>
      <c r="GQ14" s="117"/>
      <c r="GR14" s="117"/>
      <c r="GS14" s="117"/>
      <c r="GT14" s="117"/>
      <c r="GU14" s="117"/>
      <c r="GV14" s="117"/>
      <c r="GW14" s="117"/>
      <c r="GX14" s="117"/>
      <c r="GY14" s="227"/>
      <c r="GZ14" s="117"/>
      <c r="HA14" s="117"/>
      <c r="HB14" s="117"/>
      <c r="HC14" s="117"/>
      <c r="HD14" s="117"/>
      <c r="HE14" s="117"/>
      <c r="HF14" s="117"/>
      <c r="HG14" s="117"/>
      <c r="HH14" s="117"/>
      <c r="HI14" s="117"/>
      <c r="HJ14" s="552" t="s">
        <v>506</v>
      </c>
      <c r="HK14" s="552" t="s">
        <v>506</v>
      </c>
      <c r="HL14" s="552" t="s">
        <v>506</v>
      </c>
      <c r="HM14" s="117"/>
      <c r="HN14" s="117"/>
      <c r="HO14" s="117"/>
      <c r="HP14" s="117"/>
      <c r="HQ14" s="117"/>
      <c r="HR14" s="117"/>
      <c r="HS14" s="117"/>
      <c r="HT14" s="117"/>
      <c r="HU14" s="117"/>
      <c r="HV14" s="117"/>
      <c r="HW14" s="117"/>
      <c r="HX14" s="117"/>
      <c r="HY14" s="117"/>
      <c r="HZ14" s="117"/>
      <c r="IA14" s="117"/>
      <c r="IB14" s="117"/>
      <c r="IC14" s="117"/>
      <c r="ID14" s="117"/>
      <c r="IE14" s="117"/>
      <c r="IF14" s="117"/>
      <c r="IG14" s="491"/>
      <c r="IH14" s="491"/>
      <c r="II14" s="117"/>
      <c r="IJ14" s="117"/>
      <c r="IK14" s="117"/>
      <c r="IL14" s="117"/>
      <c r="IM14" s="117"/>
      <c r="IN14" s="117"/>
      <c r="IO14" s="117"/>
      <c r="IP14" s="117"/>
      <c r="IQ14" s="117"/>
      <c r="IR14" s="117"/>
      <c r="IS14" s="117"/>
      <c r="IT14" s="117"/>
      <c r="IU14" s="117"/>
      <c r="IV14" s="117"/>
      <c r="IW14" s="117"/>
      <c r="IX14" s="117"/>
      <c r="IY14" s="117"/>
      <c r="IZ14" s="117"/>
      <c r="JA14" s="117"/>
      <c r="JB14" s="117"/>
      <c r="JC14" s="117"/>
      <c r="JD14" s="117"/>
      <c r="JE14" s="117"/>
      <c r="JF14" s="117"/>
      <c r="JG14" s="117"/>
      <c r="JH14" s="552" t="s">
        <v>474</v>
      </c>
      <c r="JI14" s="552" t="s">
        <v>474</v>
      </c>
      <c r="JK14" s="552" t="s">
        <v>474</v>
      </c>
      <c r="JL14" s="552" t="s">
        <v>474</v>
      </c>
      <c r="JM14" s="117"/>
      <c r="JN14" s="117"/>
      <c r="JO14" s="117"/>
      <c r="JP14" s="491"/>
      <c r="JQ14" s="491"/>
      <c r="JR14" s="117"/>
      <c r="JS14" s="117"/>
      <c r="JT14" s="117"/>
      <c r="JU14" s="117"/>
      <c r="JV14" s="117"/>
      <c r="JW14" s="117"/>
      <c r="JX14" s="117"/>
      <c r="JY14" s="491"/>
      <c r="JZ14" s="491"/>
      <c r="KA14" s="491"/>
      <c r="KB14" s="117"/>
      <c r="KC14" s="227"/>
      <c r="KD14" s="117"/>
      <c r="KE14" s="117"/>
      <c r="KF14" s="117"/>
      <c r="KG14" s="117"/>
      <c r="KH14" s="117"/>
      <c r="KI14" s="117"/>
      <c r="KJ14" s="117"/>
      <c r="KK14" s="117"/>
      <c r="KL14" s="117"/>
      <c r="KM14" s="117"/>
      <c r="KN14" s="117"/>
      <c r="KO14" s="117"/>
      <c r="KP14" s="491"/>
      <c r="KQ14" s="491"/>
      <c r="KR14" s="117"/>
      <c r="KS14" s="117"/>
      <c r="KT14" s="117"/>
      <c r="KU14" s="117"/>
      <c r="KV14" s="117"/>
      <c r="KW14" s="117"/>
      <c r="KX14" s="117"/>
      <c r="KY14" s="117"/>
      <c r="KZ14" s="117"/>
      <c r="LA14" s="117"/>
      <c r="LB14" s="117"/>
      <c r="LC14" s="117"/>
      <c r="LD14" s="117"/>
      <c r="LE14" s="491"/>
      <c r="LF14" s="117"/>
      <c r="LG14" s="117"/>
      <c r="LH14" s="117"/>
      <c r="LI14" s="117"/>
      <c r="LJ14" s="117"/>
      <c r="LK14" s="117"/>
      <c r="LL14" s="117"/>
      <c r="LM14" s="117"/>
      <c r="LN14" s="117"/>
      <c r="LO14" s="117"/>
      <c r="LP14" s="117"/>
      <c r="LQ14" s="117"/>
      <c r="LR14" s="117"/>
      <c r="LS14" s="117"/>
      <c r="LT14" s="117"/>
    </row>
    <row r="15" spans="1:333" ht="24.95" customHeight="1">
      <c r="A15" s="985"/>
      <c r="B15" s="403" t="s">
        <v>86</v>
      </c>
      <c r="C15" s="412">
        <v>2</v>
      </c>
      <c r="D15" s="201">
        <v>140</v>
      </c>
      <c r="E15" s="226">
        <f t="shared" si="2"/>
        <v>0</v>
      </c>
      <c r="F15" s="200"/>
      <c r="G15" s="127"/>
      <c r="H15" s="127"/>
      <c r="I15" s="127"/>
      <c r="J15" s="127"/>
      <c r="K15" s="127"/>
      <c r="L15" s="127"/>
      <c r="N15" s="354">
        <f>SUM(F15:L15)</f>
        <v>0</v>
      </c>
      <c r="O15" s="188"/>
      <c r="P15" s="105"/>
      <c r="Q15" s="106"/>
      <c r="R15" s="106"/>
      <c r="S15" s="106"/>
      <c r="T15" s="237"/>
      <c r="U15" s="105" t="s">
        <v>437</v>
      </c>
      <c r="V15" s="106" t="s">
        <v>437</v>
      </c>
      <c r="W15" s="106" t="s">
        <v>437</v>
      </c>
      <c r="X15" s="106" t="s">
        <v>437</v>
      </c>
      <c r="Y15" s="107" t="s">
        <v>437</v>
      </c>
      <c r="Z15" s="102"/>
      <c r="AA15" s="101"/>
      <c r="AB15" s="101"/>
      <c r="AC15" s="101"/>
      <c r="AD15" s="98"/>
      <c r="AE15" s="281" t="s">
        <v>437</v>
      </c>
      <c r="AF15" s="106" t="s">
        <v>437</v>
      </c>
      <c r="AG15" s="106" t="s">
        <v>437</v>
      </c>
      <c r="AH15" s="106" t="s">
        <v>437</v>
      </c>
      <c r="AI15" s="106" t="s">
        <v>437</v>
      </c>
      <c r="AJ15" s="100"/>
      <c r="AK15" s="101"/>
      <c r="AL15" s="101"/>
      <c r="AM15" s="101"/>
      <c r="AN15" s="98"/>
      <c r="AO15" s="100"/>
      <c r="AP15" s="101"/>
      <c r="AQ15" s="101"/>
      <c r="AR15" s="101"/>
      <c r="AS15" s="98"/>
      <c r="AT15" s="100"/>
      <c r="AU15" s="103"/>
      <c r="AV15" s="101"/>
      <c r="AW15" s="101"/>
      <c r="AX15" s="103" t="s">
        <v>244</v>
      </c>
      <c r="AY15" s="100"/>
      <c r="AZ15" s="101"/>
      <c r="BA15" s="101"/>
      <c r="BB15" s="101"/>
      <c r="BC15" s="98"/>
      <c r="BD15" s="102"/>
      <c r="BE15" s="104"/>
      <c r="BF15" s="104"/>
      <c r="BG15" s="104"/>
      <c r="BH15" s="104"/>
      <c r="BI15" s="392"/>
      <c r="BJ15" s="102"/>
      <c r="BK15" s="101"/>
      <c r="BL15" s="101"/>
      <c r="BM15" s="101" t="s">
        <v>244</v>
      </c>
      <c r="BN15" s="103" t="s">
        <v>244</v>
      </c>
      <c r="BO15" s="100"/>
      <c r="BP15" s="101"/>
      <c r="BQ15" s="101"/>
      <c r="BR15" s="101"/>
      <c r="BS15" s="98"/>
      <c r="BT15" s="100"/>
      <c r="BU15" s="101"/>
      <c r="BV15" s="101"/>
      <c r="BW15" s="101"/>
      <c r="BX15" s="98"/>
      <c r="BY15" s="102"/>
      <c r="BZ15" s="101"/>
      <c r="CA15" s="101"/>
      <c r="CB15" s="101"/>
      <c r="CC15" s="98"/>
      <c r="CD15" s="102"/>
      <c r="CE15" s="101"/>
      <c r="CF15" s="101"/>
      <c r="CG15" s="101"/>
      <c r="CH15" s="98"/>
      <c r="CI15" s="100"/>
      <c r="CJ15" s="101"/>
      <c r="CK15" s="101"/>
      <c r="CL15" s="101"/>
      <c r="CM15" s="98"/>
      <c r="CN15" s="100"/>
      <c r="CO15" s="101"/>
      <c r="CP15" s="101"/>
      <c r="CQ15" s="101"/>
      <c r="CR15" s="98"/>
      <c r="CS15" s="100"/>
      <c r="CT15" s="101"/>
      <c r="CU15" s="101"/>
      <c r="CV15" s="101"/>
      <c r="CW15" s="98"/>
      <c r="CX15" s="102"/>
      <c r="CY15" s="101"/>
      <c r="CZ15" s="101"/>
      <c r="DA15" s="101"/>
      <c r="DB15" s="98"/>
      <c r="DC15" s="489"/>
      <c r="DD15" s="101"/>
      <c r="DE15" s="101"/>
      <c r="DF15" s="101"/>
      <c r="DG15" s="98"/>
      <c r="DH15" s="100"/>
      <c r="DI15" s="101"/>
      <c r="DJ15" s="101"/>
      <c r="DK15" s="101"/>
      <c r="DL15" s="98"/>
      <c r="DM15" s="100"/>
      <c r="DN15" s="101"/>
      <c r="DO15" s="101"/>
      <c r="DP15" s="101"/>
      <c r="DQ15" s="103"/>
      <c r="DR15" s="116"/>
      <c r="DS15" s="117"/>
      <c r="DT15" s="117"/>
      <c r="DU15" s="117"/>
      <c r="DV15" s="227"/>
      <c r="DW15" s="116"/>
      <c r="DX15" s="117"/>
      <c r="DY15" s="117"/>
      <c r="DZ15" s="117"/>
      <c r="EA15" s="227"/>
      <c r="EB15" s="489"/>
      <c r="EC15" s="117"/>
      <c r="ED15" s="117"/>
      <c r="EE15" s="117"/>
      <c r="EF15" s="118"/>
      <c r="EG15" s="119"/>
      <c r="EH15" s="117"/>
      <c r="EI15" s="117"/>
      <c r="EJ15" s="117"/>
      <c r="EK15" s="118"/>
      <c r="EL15" s="116"/>
      <c r="EM15" s="117"/>
      <c r="EN15" s="117"/>
      <c r="EO15" s="117"/>
      <c r="EP15" s="22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01"/>
      <c r="FK15" s="117"/>
      <c r="FL15" s="117"/>
      <c r="FM15" s="117"/>
      <c r="FN15" s="117"/>
      <c r="FO15" s="117"/>
      <c r="FP15" s="491"/>
      <c r="FQ15" s="491"/>
      <c r="FR15" s="491"/>
      <c r="FS15" s="117"/>
      <c r="FT15" s="117"/>
      <c r="FU15" s="117"/>
      <c r="FV15" s="117"/>
      <c r="FW15" s="117"/>
      <c r="FX15" s="117"/>
      <c r="FY15" s="117"/>
      <c r="FZ15" s="117"/>
      <c r="GA15" s="117"/>
      <c r="GB15" s="117"/>
      <c r="GC15" s="117"/>
      <c r="GD15" s="491"/>
      <c r="GE15" s="491"/>
      <c r="GF15" s="117"/>
      <c r="GG15" s="117"/>
      <c r="GH15" s="117"/>
      <c r="GI15" s="491"/>
      <c r="GJ15" s="491"/>
      <c r="GK15" s="117"/>
      <c r="GL15" s="117"/>
      <c r="GM15" s="117"/>
      <c r="GN15" s="117"/>
      <c r="GO15" s="227"/>
      <c r="GP15" s="117"/>
      <c r="GQ15" s="117"/>
      <c r="GR15" s="117"/>
      <c r="GS15" s="117"/>
      <c r="GT15" s="117"/>
      <c r="GU15" s="117"/>
      <c r="GV15" s="117"/>
      <c r="GW15" s="117"/>
      <c r="GX15" s="117"/>
      <c r="GY15" s="227"/>
      <c r="GZ15" s="117"/>
      <c r="HA15" s="117"/>
      <c r="HB15" s="117"/>
      <c r="HC15" s="117"/>
      <c r="HD15" s="117"/>
      <c r="HE15" s="117"/>
      <c r="HF15" s="117"/>
      <c r="HG15" s="117"/>
      <c r="HH15" s="117"/>
      <c r="HI15" s="117"/>
      <c r="HJ15" s="117"/>
      <c r="HK15" s="117"/>
      <c r="HL15" s="117"/>
      <c r="HM15" s="117"/>
      <c r="HN15" s="117"/>
      <c r="HO15" s="117"/>
      <c r="HP15" s="117"/>
      <c r="HQ15" s="117"/>
      <c r="HR15" s="117"/>
      <c r="HS15" s="117"/>
      <c r="HT15" s="117"/>
      <c r="HU15" s="117"/>
      <c r="HV15" s="117"/>
      <c r="HW15" s="117"/>
      <c r="HX15" s="117"/>
      <c r="HY15" s="117"/>
      <c r="HZ15" s="117"/>
      <c r="IA15" s="117"/>
      <c r="IB15" s="117"/>
      <c r="IC15" s="117"/>
      <c r="ID15" s="117"/>
      <c r="IE15" s="117"/>
      <c r="IF15" s="117"/>
      <c r="IG15" s="491"/>
      <c r="IH15" s="491"/>
      <c r="II15" s="117"/>
      <c r="IJ15" s="117"/>
      <c r="IK15" s="117"/>
      <c r="IL15" s="117"/>
      <c r="IM15" s="117"/>
      <c r="IN15" s="117"/>
      <c r="IO15" s="117"/>
      <c r="IP15" s="117"/>
      <c r="IQ15" s="117"/>
      <c r="IR15" s="117"/>
      <c r="IS15" s="117"/>
      <c r="IT15" s="117"/>
      <c r="IU15" s="117"/>
      <c r="IV15" s="117"/>
      <c r="IW15" s="117"/>
      <c r="IX15" s="117"/>
      <c r="IY15" s="117"/>
      <c r="IZ15" s="117"/>
      <c r="JA15" s="117"/>
      <c r="JB15" s="117"/>
      <c r="JC15" s="117"/>
      <c r="JD15" s="117"/>
      <c r="JE15" s="117"/>
      <c r="JF15" s="117"/>
      <c r="JG15" s="117"/>
      <c r="JH15" s="117"/>
      <c r="JI15" s="117"/>
      <c r="JJ15" s="117"/>
      <c r="JK15" s="117"/>
      <c r="JL15" s="117"/>
      <c r="JM15" s="117"/>
      <c r="JN15" s="117"/>
      <c r="JO15" s="117"/>
      <c r="JP15" s="491"/>
      <c r="JQ15" s="491"/>
      <c r="JR15" s="117"/>
      <c r="JS15" s="117"/>
      <c r="JT15" s="117"/>
      <c r="JU15" s="117"/>
      <c r="JV15" s="117"/>
      <c r="JW15" s="117"/>
      <c r="JX15" s="117"/>
      <c r="JY15" s="491"/>
      <c r="JZ15" s="491"/>
      <c r="KA15" s="491"/>
      <c r="KB15" s="117"/>
      <c r="KC15" s="227"/>
      <c r="KD15" s="117"/>
      <c r="KE15" s="117"/>
      <c r="KF15" s="117"/>
      <c r="KG15" s="117"/>
      <c r="KH15" s="117"/>
      <c r="KI15" s="117"/>
      <c r="KJ15" s="117"/>
      <c r="KK15" s="117"/>
      <c r="KL15" s="117"/>
      <c r="KM15" s="117"/>
      <c r="KN15" s="117"/>
      <c r="KO15" s="117"/>
      <c r="KP15" s="491"/>
      <c r="KQ15" s="491"/>
      <c r="KR15" s="117"/>
      <c r="KS15" s="117"/>
      <c r="KT15" s="117"/>
      <c r="KU15" s="117"/>
      <c r="KV15" s="117"/>
      <c r="KW15" s="117"/>
      <c r="KX15" s="117"/>
      <c r="KY15" s="117"/>
      <c r="KZ15" s="117"/>
      <c r="LA15" s="117"/>
      <c r="LB15" s="117"/>
      <c r="LC15" s="117"/>
      <c r="LD15" s="117"/>
      <c r="LE15" s="491"/>
      <c r="LF15" s="117"/>
      <c r="LG15" s="117"/>
      <c r="LH15" s="117"/>
      <c r="LI15" s="117"/>
      <c r="LJ15" s="117"/>
      <c r="LK15" s="117"/>
      <c r="LL15" s="117"/>
      <c r="LM15" s="117"/>
      <c r="LN15" s="117"/>
      <c r="LO15" s="117"/>
      <c r="LP15" s="117"/>
      <c r="LQ15" s="117"/>
      <c r="LR15" s="117"/>
      <c r="LS15" s="117"/>
      <c r="LT15" s="117"/>
    </row>
    <row r="16" spans="1:333" ht="24.95" customHeight="1">
      <c r="A16" s="985"/>
      <c r="B16" s="403" t="s">
        <v>17</v>
      </c>
      <c r="C16" s="412">
        <v>1</v>
      </c>
      <c r="D16" s="201">
        <v>180</v>
      </c>
      <c r="E16" s="406">
        <f t="shared" si="2"/>
        <v>0</v>
      </c>
      <c r="F16" s="200"/>
      <c r="G16" s="127"/>
      <c r="H16" s="127"/>
      <c r="I16" s="127"/>
      <c r="J16" s="127"/>
      <c r="K16" s="127"/>
      <c r="L16" s="127"/>
      <c r="N16" s="354">
        <f>SUM(F16:M16)</f>
        <v>0</v>
      </c>
      <c r="O16" s="188"/>
      <c r="P16" s="105"/>
      <c r="Q16" s="106"/>
      <c r="R16" s="106"/>
      <c r="S16" s="106"/>
      <c r="T16" s="237"/>
      <c r="U16" s="105" t="s">
        <v>437</v>
      </c>
      <c r="V16" s="106" t="s">
        <v>437</v>
      </c>
      <c r="W16" s="106" t="s">
        <v>437</v>
      </c>
      <c r="X16" s="106" t="s">
        <v>437</v>
      </c>
      <c r="Y16" s="107" t="s">
        <v>437</v>
      </c>
      <c r="Z16" s="102"/>
      <c r="AA16" s="101"/>
      <c r="AB16" s="101"/>
      <c r="AC16" s="101"/>
      <c r="AD16" s="98"/>
      <c r="AE16" s="281" t="s">
        <v>437</v>
      </c>
      <c r="AF16" s="106" t="s">
        <v>437</v>
      </c>
      <c r="AG16" s="106" t="s">
        <v>437</v>
      </c>
      <c r="AH16" s="106" t="s">
        <v>437</v>
      </c>
      <c r="AI16" s="106" t="s">
        <v>437</v>
      </c>
      <c r="AJ16" s="100"/>
      <c r="AK16" s="101"/>
      <c r="AL16" s="101"/>
      <c r="AM16" s="101"/>
      <c r="AN16" s="98"/>
      <c r="AO16" s="100"/>
      <c r="AP16" s="101"/>
      <c r="AQ16" s="101"/>
      <c r="AR16" s="101"/>
      <c r="AS16" s="98"/>
      <c r="AT16" s="100"/>
      <c r="AU16" s="101"/>
      <c r="AV16" s="101"/>
      <c r="AW16" s="343" t="s">
        <v>572</v>
      </c>
      <c r="AX16" s="103" t="s">
        <v>244</v>
      </c>
      <c r="AY16" s="100"/>
      <c r="AZ16" s="101"/>
      <c r="BA16" s="101"/>
      <c r="BB16" s="101"/>
      <c r="BC16" s="98"/>
      <c r="BD16" s="102"/>
      <c r="BE16" s="104"/>
      <c r="BF16" s="104"/>
      <c r="BG16" s="104"/>
      <c r="BH16" s="104"/>
      <c r="BI16" s="392"/>
      <c r="BJ16" s="102"/>
      <c r="BK16" s="101"/>
      <c r="BL16" s="101"/>
      <c r="BM16" s="101" t="s">
        <v>244</v>
      </c>
      <c r="BN16" s="103" t="s">
        <v>244</v>
      </c>
      <c r="BO16" s="100"/>
      <c r="BP16" s="101"/>
      <c r="BQ16" s="101"/>
      <c r="BR16" s="101"/>
      <c r="BS16" s="98"/>
      <c r="BT16" s="100"/>
      <c r="BU16" s="101"/>
      <c r="BV16" s="101"/>
      <c r="BW16" s="101"/>
      <c r="BX16" s="98"/>
      <c r="BY16" s="102"/>
      <c r="BZ16" s="101"/>
      <c r="CA16" s="101"/>
      <c r="CB16" s="101"/>
      <c r="CC16" s="98"/>
      <c r="CD16" s="102"/>
      <c r="CE16" s="101"/>
      <c r="CF16" s="101"/>
      <c r="CG16" s="101"/>
      <c r="CH16" s="98"/>
      <c r="CI16" s="100"/>
      <c r="CJ16" s="101"/>
      <c r="CK16" s="101"/>
      <c r="CL16" s="101"/>
      <c r="CM16" s="98"/>
      <c r="CN16" s="100"/>
      <c r="CO16" s="101"/>
      <c r="CP16" s="101"/>
      <c r="CQ16" s="101"/>
      <c r="CR16" s="98"/>
      <c r="CS16" s="100"/>
      <c r="CT16" s="101"/>
      <c r="CU16" s="101"/>
      <c r="CV16" s="101"/>
      <c r="CW16" s="98"/>
      <c r="CX16" s="102"/>
      <c r="CY16" s="101"/>
      <c r="CZ16" s="101"/>
      <c r="DA16" s="101"/>
      <c r="DB16" s="98"/>
      <c r="DC16" s="489"/>
      <c r="DD16" s="101"/>
      <c r="DE16" s="101"/>
      <c r="DF16" s="101"/>
      <c r="DG16" s="98"/>
      <c r="DH16" s="100"/>
      <c r="DI16" s="101"/>
      <c r="DJ16" s="101"/>
      <c r="DK16" s="101"/>
      <c r="DL16" s="98"/>
      <c r="DM16" s="100"/>
      <c r="DN16" s="101"/>
      <c r="DO16" s="101"/>
      <c r="DP16" s="101"/>
      <c r="DQ16" s="103"/>
      <c r="DR16" s="116"/>
      <c r="DS16" s="117"/>
      <c r="DT16" s="117"/>
      <c r="DU16" s="117"/>
      <c r="DV16" s="227"/>
      <c r="DW16" s="116"/>
      <c r="DX16" s="117"/>
      <c r="DY16" s="117"/>
      <c r="DZ16" s="532"/>
      <c r="EA16" s="566"/>
      <c r="EB16" s="489"/>
      <c r="EC16" s="424"/>
      <c r="ED16" s="424"/>
      <c r="EE16" s="117"/>
      <c r="EF16" s="118"/>
      <c r="EG16" s="119"/>
      <c r="EH16" s="117"/>
      <c r="EI16" s="117"/>
      <c r="EJ16" s="117"/>
      <c r="EK16" s="118"/>
      <c r="EL16" s="116"/>
      <c r="EM16" s="117"/>
      <c r="EN16" s="117"/>
      <c r="EO16" s="117"/>
      <c r="EP16" s="227"/>
      <c r="EQ16" s="117"/>
      <c r="ER16" s="117"/>
      <c r="ES16" s="117"/>
      <c r="EU16" s="117"/>
      <c r="EV16" s="117"/>
      <c r="EW16" s="493" t="s">
        <v>506</v>
      </c>
      <c r="EZ16" s="493" t="s">
        <v>839</v>
      </c>
      <c r="FA16" s="117"/>
      <c r="FB16" s="117"/>
      <c r="FD16" s="117"/>
      <c r="FE16" s="117"/>
      <c r="FF16" s="117"/>
      <c r="FG16" s="117"/>
      <c r="FH16" s="117"/>
      <c r="FI16" s="117"/>
      <c r="FJ16" s="101"/>
      <c r="FK16" s="117"/>
      <c r="FL16" s="117"/>
      <c r="FM16" s="117"/>
      <c r="FN16" s="117"/>
      <c r="FO16" s="117"/>
      <c r="FP16" s="491"/>
      <c r="FQ16" s="491"/>
      <c r="FR16" s="491"/>
      <c r="FS16" s="117"/>
      <c r="FT16" s="117"/>
      <c r="FU16" s="117"/>
      <c r="FV16" s="117"/>
      <c r="FW16" s="117"/>
      <c r="FX16" s="117"/>
      <c r="FY16" s="117"/>
      <c r="GA16" s="117"/>
      <c r="GB16" s="117"/>
      <c r="GC16" s="117"/>
      <c r="GD16" s="491"/>
      <c r="GE16" s="491"/>
      <c r="GF16" s="117"/>
      <c r="GG16" s="117"/>
      <c r="GH16" s="117"/>
      <c r="GI16" s="491"/>
      <c r="GJ16" s="491"/>
      <c r="GL16" s="117"/>
      <c r="GM16" s="117"/>
      <c r="GN16" s="117"/>
      <c r="GO16" s="227"/>
      <c r="GP16" s="117"/>
      <c r="GQ16" s="117"/>
      <c r="GR16" s="117"/>
      <c r="GS16" s="117"/>
      <c r="GT16" s="117"/>
      <c r="GV16" s="117"/>
      <c r="GW16" s="117"/>
      <c r="GX16" s="117"/>
      <c r="GY16" s="227"/>
      <c r="GZ16" s="117"/>
      <c r="HA16" s="117"/>
      <c r="HB16" s="117"/>
      <c r="HC16" s="117"/>
      <c r="HD16" s="117"/>
      <c r="HE16" s="552" t="s">
        <v>506</v>
      </c>
      <c r="HG16" s="552" t="s">
        <v>506</v>
      </c>
      <c r="HH16" s="552" t="s">
        <v>506</v>
      </c>
      <c r="HI16" s="552" t="s">
        <v>506</v>
      </c>
      <c r="HJ16" s="552" t="s">
        <v>506</v>
      </c>
      <c r="HK16" s="552" t="s">
        <v>256</v>
      </c>
      <c r="HL16" s="117"/>
      <c r="HM16" s="117"/>
      <c r="HN16" s="117"/>
      <c r="HO16" s="117"/>
      <c r="HP16" s="117"/>
      <c r="HQ16" s="117"/>
      <c r="HR16" s="117"/>
      <c r="HS16" s="117"/>
      <c r="HT16" s="117"/>
      <c r="HU16" s="117"/>
      <c r="HV16" s="117"/>
      <c r="HW16" s="117"/>
      <c r="HX16" s="117"/>
      <c r="HY16" s="117"/>
      <c r="HZ16" s="117"/>
      <c r="IA16" s="117"/>
      <c r="IB16" s="117"/>
      <c r="IC16" s="117"/>
      <c r="ID16" s="117"/>
      <c r="IE16" s="117"/>
      <c r="IF16" s="117"/>
      <c r="IG16" s="491"/>
      <c r="IH16" s="491"/>
      <c r="II16" s="117"/>
      <c r="IJ16" s="117"/>
      <c r="IK16" s="117"/>
      <c r="IL16" s="117"/>
      <c r="IM16" s="117"/>
      <c r="IN16" s="117"/>
      <c r="IO16" s="117"/>
      <c r="IP16" s="117"/>
      <c r="IQ16" s="117"/>
      <c r="IR16" s="117"/>
      <c r="IS16" s="117"/>
      <c r="IT16" s="117"/>
      <c r="IU16" s="117"/>
      <c r="IV16" s="117"/>
      <c r="IW16" s="117"/>
      <c r="IX16" s="117"/>
      <c r="IY16" s="117"/>
      <c r="IZ16" s="117"/>
      <c r="JA16" s="117"/>
      <c r="JB16" s="117"/>
      <c r="JC16" s="117"/>
      <c r="JD16" s="117"/>
      <c r="JE16" s="117"/>
      <c r="JF16" s="117"/>
      <c r="JG16" s="117"/>
      <c r="JH16" s="117"/>
      <c r="JI16" s="117"/>
      <c r="JJ16" s="117"/>
      <c r="JK16" s="117"/>
      <c r="JL16" s="117"/>
      <c r="JM16" s="117"/>
      <c r="JN16" s="117"/>
      <c r="JO16" s="117"/>
      <c r="JP16" s="491"/>
      <c r="JQ16" s="491"/>
      <c r="JR16" s="117"/>
      <c r="JS16" s="117"/>
      <c r="JT16" s="117"/>
      <c r="JU16" s="117"/>
      <c r="JV16" s="117"/>
      <c r="JW16" s="117"/>
      <c r="JX16" s="117"/>
      <c r="JY16" s="491"/>
      <c r="JZ16" s="491"/>
      <c r="KA16" s="491"/>
      <c r="KB16" s="117"/>
      <c r="KC16" s="227"/>
      <c r="KD16" s="117"/>
      <c r="KE16" s="117"/>
      <c r="KF16" s="117"/>
      <c r="KG16" s="117"/>
      <c r="KH16" s="117"/>
      <c r="KI16" s="117"/>
      <c r="KJ16" s="117"/>
      <c r="KK16" s="117"/>
      <c r="KL16" s="117"/>
      <c r="KM16" s="117"/>
      <c r="KN16" s="117"/>
      <c r="KO16" s="117"/>
      <c r="KP16" s="491"/>
      <c r="KQ16" s="491"/>
      <c r="KR16" s="117"/>
      <c r="KS16" s="117"/>
      <c r="KT16" s="117"/>
      <c r="KU16" s="117"/>
      <c r="KV16" s="117"/>
      <c r="KW16" s="117"/>
      <c r="KX16" s="117"/>
      <c r="KY16" s="117"/>
      <c r="KZ16" s="117"/>
      <c r="LA16" s="117"/>
      <c r="LB16" s="117"/>
      <c r="LC16" s="117"/>
      <c r="LD16" s="117"/>
      <c r="LE16" s="491"/>
      <c r="LF16" s="117"/>
      <c r="LG16" s="117"/>
      <c r="LH16" s="117"/>
      <c r="LI16" s="117"/>
      <c r="LJ16" s="117"/>
      <c r="LK16" s="117"/>
      <c r="LL16" s="117"/>
      <c r="LM16" s="117"/>
      <c r="LN16" s="117"/>
      <c r="LO16" s="117"/>
      <c r="LP16" s="117"/>
      <c r="LQ16" s="117"/>
      <c r="LR16" s="117"/>
      <c r="LS16" s="117"/>
      <c r="LT16" s="117"/>
    </row>
    <row r="17" spans="1:332" ht="24.95" customHeight="1">
      <c r="A17" s="985"/>
      <c r="B17" s="403" t="s">
        <v>73</v>
      </c>
      <c r="C17" s="412">
        <v>2</v>
      </c>
      <c r="D17" s="201">
        <v>170</v>
      </c>
      <c r="E17" s="406">
        <f t="shared" si="2"/>
        <v>0</v>
      </c>
      <c r="F17" s="200"/>
      <c r="G17" s="127"/>
      <c r="H17" s="127"/>
      <c r="I17" s="127"/>
      <c r="J17" s="127"/>
      <c r="K17" s="127"/>
      <c r="L17" s="127"/>
      <c r="M17" s="127"/>
      <c r="N17" s="354"/>
      <c r="O17" s="188"/>
      <c r="P17" s="105"/>
      <c r="Q17" s="106"/>
      <c r="R17" s="106"/>
      <c r="S17" s="106"/>
      <c r="T17" s="237"/>
      <c r="U17" s="105" t="s">
        <v>437</v>
      </c>
      <c r="V17" s="106" t="s">
        <v>437</v>
      </c>
      <c r="W17" s="106" t="s">
        <v>437</v>
      </c>
      <c r="X17" s="106" t="s">
        <v>437</v>
      </c>
      <c r="Y17" s="107" t="s">
        <v>437</v>
      </c>
      <c r="Z17" s="102"/>
      <c r="AA17" s="101"/>
      <c r="AB17" s="101"/>
      <c r="AC17" s="101"/>
      <c r="AD17" s="98"/>
      <c r="AE17" s="281" t="s">
        <v>437</v>
      </c>
      <c r="AF17" s="106" t="s">
        <v>437</v>
      </c>
      <c r="AG17" s="106" t="s">
        <v>437</v>
      </c>
      <c r="AH17" s="106" t="s">
        <v>437</v>
      </c>
      <c r="AI17" s="106" t="s">
        <v>437</v>
      </c>
      <c r="AJ17" s="100"/>
      <c r="AK17" s="101"/>
      <c r="AL17" s="101"/>
      <c r="AM17" s="101"/>
      <c r="AN17" s="98"/>
      <c r="AO17" s="334" t="s">
        <v>474</v>
      </c>
      <c r="AP17" s="101"/>
      <c r="AQ17" s="101"/>
      <c r="AR17" s="101"/>
      <c r="AS17" s="98"/>
      <c r="AT17" s="100"/>
      <c r="AU17" s="101"/>
      <c r="AV17" s="242" t="s">
        <v>531</v>
      </c>
      <c r="AX17" s="103" t="s">
        <v>244</v>
      </c>
      <c r="AY17" s="100"/>
      <c r="AZ17" s="101"/>
      <c r="BA17" s="101"/>
      <c r="BB17" s="101"/>
      <c r="BC17" s="98"/>
      <c r="BD17" s="102"/>
      <c r="BE17" s="104"/>
      <c r="BF17" s="104"/>
      <c r="BG17" s="104"/>
      <c r="BH17" s="104"/>
      <c r="BI17" s="392"/>
      <c r="BM17" s="101" t="s">
        <v>244</v>
      </c>
      <c r="BN17" s="103" t="s">
        <v>244</v>
      </c>
      <c r="BO17" s="100"/>
      <c r="BP17" s="101"/>
      <c r="BQ17" s="101"/>
      <c r="BR17" s="101"/>
      <c r="BS17" s="98"/>
      <c r="BT17" s="100"/>
      <c r="BU17" s="101"/>
      <c r="BV17" s="101"/>
      <c r="BW17" s="424"/>
      <c r="BX17" s="422"/>
      <c r="BZ17" s="102"/>
      <c r="CA17" s="98"/>
      <c r="CB17" s="100"/>
      <c r="CC17" s="98"/>
      <c r="CD17" s="102"/>
      <c r="CE17" s="101"/>
      <c r="CF17" s="101"/>
      <c r="CG17" s="101"/>
      <c r="CH17" s="101"/>
      <c r="CI17" s="100"/>
      <c r="CJ17" s="101"/>
      <c r="CK17" s="101"/>
      <c r="CL17" s="101"/>
      <c r="CM17" s="98"/>
      <c r="CN17" s="100"/>
      <c r="CO17" s="101"/>
      <c r="CP17" s="101"/>
      <c r="CQ17" s="101"/>
      <c r="CR17" s="98"/>
      <c r="CS17" s="100"/>
      <c r="CT17" s="101"/>
      <c r="CU17" s="101"/>
      <c r="CV17" s="101"/>
      <c r="CW17" s="98"/>
      <c r="CX17" s="102"/>
      <c r="CY17" s="101"/>
      <c r="CZ17" s="101"/>
      <c r="DA17" s="242"/>
      <c r="DB17" s="426"/>
      <c r="DC17" s="489"/>
      <c r="DD17" s="101"/>
      <c r="DE17" s="101"/>
      <c r="DF17" s="101"/>
      <c r="DG17" s="98"/>
      <c r="DL17" s="316"/>
      <c r="DM17" s="100"/>
      <c r="DN17" s="101"/>
      <c r="DO17" s="101"/>
      <c r="DP17" s="101"/>
      <c r="DQ17" s="103"/>
      <c r="DR17" s="116"/>
      <c r="DS17" s="117"/>
      <c r="DT17" s="117"/>
      <c r="DU17" s="117"/>
      <c r="DV17" s="227"/>
      <c r="DW17" s="116"/>
      <c r="DX17" s="117"/>
      <c r="DY17" s="117"/>
      <c r="DZ17" s="117"/>
      <c r="EA17" s="227"/>
      <c r="EB17" s="489"/>
      <c r="EC17" s="117"/>
      <c r="ED17" s="117"/>
      <c r="EE17" s="117"/>
      <c r="EF17" s="118"/>
      <c r="EG17" s="119"/>
      <c r="EH17" s="117"/>
      <c r="EI17" s="117"/>
      <c r="EJ17" s="117"/>
      <c r="EK17" s="118"/>
      <c r="EL17" s="116"/>
      <c r="EM17" s="117"/>
      <c r="EN17" s="117"/>
      <c r="EO17" s="117"/>
      <c r="EP17" s="227"/>
      <c r="EQ17" s="117"/>
      <c r="ER17" s="117"/>
      <c r="ES17" s="117"/>
      <c r="ET17" s="117"/>
      <c r="EU17" s="117"/>
      <c r="EV17" s="117"/>
      <c r="EW17" s="117"/>
      <c r="EX17" s="117"/>
      <c r="EY17" s="117"/>
      <c r="EZ17" s="117"/>
      <c r="FA17" s="117"/>
      <c r="FB17" s="117"/>
      <c r="FC17" s="117"/>
      <c r="FD17" s="117"/>
      <c r="FE17" s="117"/>
      <c r="FF17" s="117"/>
      <c r="FG17" s="117"/>
      <c r="FH17" s="117"/>
      <c r="FI17" s="117"/>
      <c r="FJ17" s="101"/>
      <c r="FK17" s="117"/>
      <c r="FL17" s="117"/>
      <c r="FM17" s="117"/>
      <c r="FN17" s="117"/>
      <c r="FO17" s="117"/>
      <c r="FP17" s="491"/>
      <c r="FQ17" s="491"/>
      <c r="FR17" s="491"/>
      <c r="FS17" s="117"/>
      <c r="FT17" s="117"/>
      <c r="FU17" s="117"/>
      <c r="FV17" s="117"/>
      <c r="FW17" s="117"/>
      <c r="FX17" s="117"/>
      <c r="FY17" s="117"/>
      <c r="FZ17" s="117"/>
      <c r="GA17" s="117"/>
      <c r="GB17" s="117"/>
      <c r="GC17" s="117"/>
      <c r="GD17" s="491"/>
      <c r="GE17" s="491"/>
      <c r="GF17" s="117"/>
      <c r="GG17" s="117"/>
      <c r="GH17" s="117"/>
      <c r="GI17" s="491"/>
      <c r="GJ17" s="491"/>
      <c r="GL17" s="117"/>
      <c r="GM17" s="117"/>
      <c r="GN17" s="117"/>
      <c r="GO17" s="227"/>
      <c r="GP17" s="117"/>
      <c r="GQ17" s="117"/>
      <c r="GR17" s="117"/>
      <c r="GS17" s="117"/>
      <c r="GT17" s="117"/>
      <c r="GU17" s="117"/>
      <c r="GV17" s="117"/>
      <c r="GW17" s="117"/>
      <c r="GX17" s="117"/>
      <c r="GY17" s="227"/>
      <c r="GZ17" s="117"/>
      <c r="HA17" s="117"/>
      <c r="HB17" s="117"/>
      <c r="HC17" s="117" t="s">
        <v>904</v>
      </c>
      <c r="HD17" s="117"/>
      <c r="HE17" s="117"/>
      <c r="HF17" s="117"/>
      <c r="HG17" s="117"/>
      <c r="HH17" s="117"/>
      <c r="HI17" s="117"/>
      <c r="HJ17" s="117"/>
      <c r="HK17" s="117"/>
      <c r="HL17" s="117"/>
      <c r="HM17" s="117"/>
      <c r="HN17" s="117"/>
      <c r="HO17" s="117"/>
      <c r="HP17" s="117"/>
      <c r="HQ17" s="117"/>
      <c r="HR17" s="117"/>
      <c r="HS17" s="117"/>
      <c r="HT17" s="117"/>
      <c r="HU17" s="117"/>
      <c r="HV17" s="117"/>
      <c r="HW17" s="117"/>
      <c r="HX17" s="117"/>
      <c r="HY17" s="117"/>
      <c r="HZ17" s="117"/>
      <c r="IA17" s="117"/>
      <c r="IB17" s="117"/>
      <c r="IC17" s="117"/>
      <c r="ID17" s="117"/>
      <c r="IE17" s="117"/>
      <c r="IF17" s="117"/>
      <c r="IG17" s="491"/>
      <c r="IH17" s="491"/>
      <c r="II17" s="117"/>
      <c r="IJ17" s="117"/>
      <c r="IK17" s="117"/>
      <c r="IL17" s="117"/>
      <c r="IM17" s="117"/>
      <c r="IN17" s="117"/>
      <c r="IO17" s="117"/>
      <c r="IP17" s="117"/>
      <c r="IQ17" s="117"/>
      <c r="IR17" s="117"/>
      <c r="IS17" s="117"/>
      <c r="IT17" s="117"/>
      <c r="IU17" s="117"/>
      <c r="IV17" s="117"/>
      <c r="IW17" s="117"/>
      <c r="IX17" s="117"/>
      <c r="IY17" s="117"/>
      <c r="IZ17" s="117"/>
      <c r="JA17" s="117"/>
      <c r="JB17" s="117"/>
      <c r="JC17" s="117"/>
      <c r="JD17" s="117"/>
      <c r="JE17" s="117"/>
      <c r="JF17" s="117"/>
      <c r="JG17" s="117"/>
      <c r="JH17" s="117"/>
      <c r="JI17" s="117"/>
      <c r="JJ17" s="117"/>
      <c r="JK17" s="117"/>
      <c r="JL17" s="117"/>
      <c r="JM17" s="117"/>
      <c r="JN17" s="117"/>
      <c r="JO17" s="117"/>
      <c r="JP17" s="491"/>
      <c r="JQ17" s="491"/>
      <c r="JR17" s="117"/>
      <c r="JS17" s="117"/>
      <c r="JT17" s="117"/>
      <c r="JU17" s="117"/>
      <c r="JV17" s="117"/>
      <c r="JW17" s="117"/>
      <c r="JX17" s="117"/>
      <c r="JY17" s="491"/>
      <c r="JZ17" s="491"/>
      <c r="KA17" s="491"/>
      <c r="KB17" s="117"/>
      <c r="KC17" s="227"/>
      <c r="KD17" s="117"/>
      <c r="KE17" s="117"/>
      <c r="KF17" s="117"/>
      <c r="KG17" s="117"/>
      <c r="KH17" s="117"/>
      <c r="KI17" s="117"/>
      <c r="KJ17" s="117"/>
      <c r="KK17" s="117"/>
      <c r="KL17" s="117"/>
      <c r="KM17" s="117"/>
      <c r="KN17" s="117"/>
      <c r="KO17" s="117"/>
      <c r="KP17" s="491"/>
      <c r="KQ17" s="491"/>
      <c r="KR17" s="117"/>
      <c r="KS17" s="117"/>
      <c r="KT17" s="117"/>
      <c r="KU17" s="117"/>
      <c r="KV17" s="117"/>
      <c r="KW17" s="117"/>
      <c r="KX17" s="117"/>
      <c r="KY17" s="117"/>
      <c r="KZ17" s="117"/>
      <c r="LA17" s="117"/>
      <c r="LB17" s="117"/>
      <c r="LC17" s="117"/>
      <c r="LD17" s="117"/>
      <c r="LE17" s="491"/>
      <c r="LF17" s="117"/>
      <c r="LG17" s="117"/>
      <c r="LH17" s="117"/>
      <c r="LI17" s="117"/>
      <c r="LJ17" s="117"/>
      <c r="LK17" s="117"/>
      <c r="LL17" s="117"/>
      <c r="LM17" s="117"/>
      <c r="LN17" s="117"/>
      <c r="LO17" s="117"/>
      <c r="LP17" s="117"/>
      <c r="LQ17" s="117"/>
      <c r="LR17" s="117"/>
      <c r="LS17" s="117"/>
      <c r="LT17" s="117"/>
    </row>
    <row r="18" spans="1:332" ht="24.95" customHeight="1">
      <c r="A18" s="985"/>
      <c r="B18" s="403" t="s">
        <v>87</v>
      </c>
      <c r="C18" s="412">
        <v>1</v>
      </c>
      <c r="D18" s="201">
        <v>160</v>
      </c>
      <c r="E18" s="406">
        <f t="shared" si="2"/>
        <v>0</v>
      </c>
      <c r="F18" s="201"/>
      <c r="G18" s="127"/>
      <c r="H18" s="127"/>
      <c r="I18" s="127"/>
      <c r="J18" s="127"/>
      <c r="K18" s="127"/>
      <c r="L18" s="127"/>
      <c r="M18" s="127"/>
      <c r="N18" s="354">
        <f t="shared" ref="N18:N27" si="3">SUM(F18:M18)</f>
        <v>0</v>
      </c>
      <c r="O18" s="188"/>
      <c r="P18" s="105"/>
      <c r="Q18" s="106"/>
      <c r="R18" s="106"/>
      <c r="S18" s="106"/>
      <c r="T18" s="237"/>
      <c r="U18" s="105" t="s">
        <v>437</v>
      </c>
      <c r="V18" s="106" t="s">
        <v>437</v>
      </c>
      <c r="W18" s="106" t="s">
        <v>437</v>
      </c>
      <c r="X18" s="106" t="s">
        <v>437</v>
      </c>
      <c r="Y18" s="107" t="s">
        <v>437</v>
      </c>
      <c r="Z18" s="102"/>
      <c r="AA18" s="101"/>
      <c r="AB18" s="101"/>
      <c r="AC18" s="101"/>
      <c r="AD18" s="98"/>
      <c r="AE18" s="281" t="s">
        <v>437</v>
      </c>
      <c r="AF18" s="106" t="s">
        <v>437</v>
      </c>
      <c r="AG18" s="106" t="s">
        <v>437</v>
      </c>
      <c r="AH18" s="106" t="s">
        <v>437</v>
      </c>
      <c r="AI18" s="106" t="s">
        <v>437</v>
      </c>
      <c r="AJ18" s="100"/>
      <c r="AK18" s="101"/>
      <c r="AL18" s="101"/>
      <c r="AM18" s="101"/>
      <c r="AN18" s="98"/>
      <c r="AO18" s="100"/>
      <c r="AP18" s="101"/>
      <c r="AQ18" s="101"/>
      <c r="AR18" s="101"/>
      <c r="AS18" s="98"/>
      <c r="AT18" s="100"/>
      <c r="AU18" s="101"/>
      <c r="AV18" s="101"/>
      <c r="AW18" s="101"/>
      <c r="AX18" s="103" t="s">
        <v>244</v>
      </c>
      <c r="AY18" s="100"/>
      <c r="AZ18" s="101"/>
      <c r="BA18" s="101"/>
      <c r="BB18" s="101"/>
      <c r="BC18" s="98"/>
      <c r="BD18" s="102"/>
      <c r="BE18" s="104"/>
      <c r="BF18" s="104"/>
      <c r="BG18" s="104"/>
      <c r="BH18" s="104"/>
      <c r="BI18" s="392"/>
      <c r="BJ18" s="102"/>
      <c r="BK18" s="101"/>
      <c r="BL18" s="101"/>
      <c r="BM18" s="101" t="s">
        <v>244</v>
      </c>
      <c r="BN18" s="103" t="s">
        <v>244</v>
      </c>
      <c r="BO18" s="100"/>
      <c r="BP18" s="101"/>
      <c r="BQ18" s="101"/>
      <c r="BR18" s="101"/>
      <c r="BS18" s="98"/>
      <c r="BT18" s="100"/>
      <c r="BU18" s="101"/>
      <c r="BV18" s="101"/>
      <c r="BW18" s="101"/>
      <c r="BX18" s="98"/>
      <c r="BY18" s="102"/>
      <c r="BZ18" s="101"/>
      <c r="CA18" s="101"/>
      <c r="CB18" s="101"/>
      <c r="CC18" s="98"/>
      <c r="CD18" s="102"/>
      <c r="CE18" s="101"/>
      <c r="CF18" s="101"/>
      <c r="CG18" s="101"/>
      <c r="CH18" s="101"/>
      <c r="CI18" s="100"/>
      <c r="CJ18" s="101"/>
      <c r="CK18" s="101"/>
      <c r="CL18" s="101"/>
      <c r="CM18" s="98"/>
      <c r="CN18" s="100"/>
      <c r="CO18" s="101"/>
      <c r="CP18" s="101"/>
      <c r="CQ18" s="101"/>
      <c r="CR18" s="98"/>
      <c r="CS18" s="100"/>
      <c r="CT18" s="101"/>
      <c r="CU18" s="101"/>
      <c r="CV18" s="101"/>
      <c r="CW18" s="98"/>
      <c r="CX18" s="102"/>
      <c r="CY18" s="101"/>
      <c r="CZ18" s="101"/>
      <c r="DA18" s="101"/>
      <c r="DB18" s="98"/>
      <c r="DC18" s="489"/>
      <c r="DD18" s="101"/>
      <c r="DE18" s="101"/>
      <c r="DF18" s="101"/>
      <c r="DG18" s="98"/>
      <c r="DH18" s="100"/>
      <c r="DI18" s="101"/>
      <c r="DJ18" s="101"/>
      <c r="DK18" s="101"/>
      <c r="DL18" s="98"/>
      <c r="DM18" s="100"/>
      <c r="DN18" s="101"/>
      <c r="DO18" s="101"/>
      <c r="DP18" s="101"/>
      <c r="DQ18" s="103"/>
      <c r="DR18" s="116"/>
      <c r="DS18" s="117"/>
      <c r="DT18" s="117"/>
      <c r="DU18" s="117"/>
      <c r="DV18" s="227"/>
      <c r="DW18" s="116"/>
      <c r="DX18" s="117"/>
      <c r="DY18" s="117"/>
      <c r="DZ18" s="117"/>
      <c r="EA18" s="227"/>
      <c r="EB18" s="489"/>
      <c r="EC18" s="117"/>
      <c r="ED18" s="117"/>
      <c r="EE18" s="117"/>
      <c r="EF18" s="118"/>
      <c r="EG18" s="119"/>
      <c r="EH18" s="117"/>
      <c r="EI18" s="117"/>
      <c r="EJ18" s="117"/>
      <c r="EK18" s="118"/>
      <c r="EL18" s="116"/>
      <c r="EM18" s="117"/>
      <c r="EN18" s="117"/>
      <c r="EO18" s="117"/>
      <c r="EP18" s="227"/>
      <c r="EQ18" s="117"/>
      <c r="ER18" s="117"/>
      <c r="ES18" s="117"/>
      <c r="ET18" s="117"/>
      <c r="EU18" s="117"/>
      <c r="EV18" s="117"/>
      <c r="EW18" s="117"/>
      <c r="EX18" s="117"/>
      <c r="EY18" s="117"/>
      <c r="EZ18" s="117"/>
      <c r="FA18" s="117"/>
      <c r="FB18" s="117"/>
      <c r="FC18" s="117"/>
      <c r="FD18" s="117"/>
      <c r="FE18" s="117"/>
      <c r="FF18" s="117"/>
      <c r="FG18" s="117"/>
      <c r="FH18" s="117"/>
      <c r="FI18" s="117"/>
      <c r="FJ18" s="101"/>
      <c r="FK18" s="117"/>
      <c r="FL18" s="117"/>
      <c r="FM18" s="117"/>
      <c r="FN18" s="117"/>
      <c r="FO18" s="117"/>
      <c r="FP18" s="491"/>
      <c r="FQ18" s="491"/>
      <c r="FR18" s="491"/>
      <c r="FS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491"/>
      <c r="GE18" s="491"/>
      <c r="GF18" s="117"/>
      <c r="GG18" s="117"/>
      <c r="GH18" s="117"/>
      <c r="GI18" s="491"/>
      <c r="GJ18" s="491"/>
      <c r="GL18" s="117"/>
      <c r="GM18" s="117"/>
      <c r="GN18" s="117"/>
      <c r="GO18" s="227"/>
      <c r="GP18" s="117"/>
      <c r="GQ18" s="117"/>
      <c r="GR18" s="117"/>
      <c r="GS18" s="117"/>
      <c r="GT18" s="117"/>
      <c r="GU18" s="117"/>
      <c r="GV18" s="117"/>
      <c r="GW18" s="117"/>
      <c r="GX18" s="117"/>
      <c r="GY18" s="227"/>
      <c r="GZ18" s="117"/>
      <c r="HA18" s="117"/>
      <c r="HB18" s="117"/>
      <c r="HC18" s="117"/>
      <c r="HD18" s="117"/>
      <c r="HE18" s="117"/>
      <c r="HF18" s="117"/>
      <c r="HG18" s="117"/>
      <c r="HH18" s="117"/>
      <c r="HI18" s="117"/>
      <c r="HJ18" s="117"/>
      <c r="HK18" s="117"/>
      <c r="HL18" s="117"/>
      <c r="HM18" s="117"/>
      <c r="HN18" s="117"/>
      <c r="HO18" s="117"/>
      <c r="HP18" s="117"/>
      <c r="HQ18" s="117"/>
      <c r="HR18" s="117"/>
      <c r="HS18" s="117"/>
      <c r="HT18" s="117"/>
      <c r="HU18" s="117"/>
      <c r="HV18" s="117"/>
      <c r="HW18" s="117"/>
      <c r="HX18" s="117"/>
      <c r="HY18" s="117"/>
      <c r="HZ18" s="117"/>
      <c r="IA18" s="117"/>
      <c r="IB18" s="117"/>
      <c r="IC18" s="117"/>
      <c r="ID18" s="117"/>
      <c r="IE18" s="117"/>
      <c r="IF18" s="117"/>
      <c r="IG18" s="491"/>
      <c r="IH18" s="491"/>
      <c r="II18" s="117"/>
      <c r="IJ18" s="117"/>
      <c r="IK18" s="117"/>
      <c r="IL18" s="117"/>
      <c r="IM18" s="117"/>
      <c r="IN18" s="117"/>
      <c r="IO18" s="117"/>
      <c r="IP18" s="117"/>
      <c r="IQ18" s="117"/>
      <c r="IR18" s="117"/>
      <c r="IS18" s="117"/>
      <c r="IT18" s="117"/>
      <c r="IU18" s="117"/>
      <c r="IV18" s="117"/>
      <c r="IW18" s="117"/>
      <c r="IX18" s="117"/>
      <c r="IY18" s="117"/>
      <c r="IZ18" s="117"/>
      <c r="JA18" s="117"/>
      <c r="JB18" s="117"/>
      <c r="JC18" s="117"/>
      <c r="JD18" s="117"/>
      <c r="JE18" s="117"/>
      <c r="JF18" s="117"/>
      <c r="JG18" s="117"/>
      <c r="JH18" s="117"/>
      <c r="JI18" s="117"/>
      <c r="JJ18" s="117"/>
      <c r="JK18" s="117"/>
      <c r="JL18" s="117"/>
      <c r="JM18" s="117"/>
      <c r="JN18" s="117"/>
      <c r="JO18" s="117"/>
      <c r="JP18" s="491"/>
      <c r="JQ18" s="491"/>
      <c r="JR18" s="117"/>
      <c r="JS18" s="117"/>
      <c r="JT18" s="117"/>
      <c r="JU18" s="117"/>
      <c r="JV18" s="117"/>
      <c r="JW18" s="117"/>
      <c r="JX18" s="117"/>
      <c r="JY18" s="491"/>
      <c r="JZ18" s="491"/>
      <c r="KA18" s="491"/>
      <c r="KB18" s="117"/>
      <c r="KC18" s="227"/>
      <c r="KD18" s="117"/>
      <c r="KE18" s="117"/>
      <c r="KF18" s="117"/>
      <c r="KG18" s="117"/>
      <c r="KH18" s="117"/>
      <c r="KI18" s="117"/>
      <c r="KJ18" s="117"/>
      <c r="KK18" s="117"/>
      <c r="KL18" s="117"/>
      <c r="KM18" s="117"/>
      <c r="KN18" s="117"/>
      <c r="KO18" s="117"/>
      <c r="KP18" s="491"/>
      <c r="KQ18" s="491"/>
      <c r="KR18" s="117"/>
      <c r="KS18" s="117"/>
      <c r="KT18" s="117"/>
      <c r="KU18" s="117"/>
      <c r="KV18" s="117"/>
      <c r="KW18" s="117"/>
      <c r="KX18" s="117"/>
      <c r="KY18" s="117"/>
      <c r="KZ18" s="117"/>
      <c r="LA18" s="117"/>
      <c r="LB18" s="117"/>
      <c r="LC18" s="117"/>
      <c r="LD18" s="117"/>
      <c r="LE18" s="491"/>
      <c r="LF18" s="117"/>
      <c r="LG18" s="117"/>
      <c r="LH18" s="117"/>
      <c r="LI18" s="117"/>
      <c r="LJ18" s="117"/>
      <c r="LK18" s="117"/>
      <c r="LL18" s="117"/>
      <c r="LM18" s="117"/>
      <c r="LN18" s="117"/>
      <c r="LO18" s="117"/>
      <c r="LP18" s="117"/>
      <c r="LQ18" s="117"/>
      <c r="LR18" s="117"/>
      <c r="LS18" s="117"/>
      <c r="LT18" s="117"/>
    </row>
    <row r="19" spans="1:332" ht="24" customHeight="1">
      <c r="A19" s="985"/>
      <c r="B19" s="404" t="s">
        <v>40</v>
      </c>
      <c r="C19" s="413">
        <v>1</v>
      </c>
      <c r="D19" s="219">
        <v>150</v>
      </c>
      <c r="E19" s="226">
        <f t="shared" si="2"/>
        <v>0</v>
      </c>
      <c r="F19" s="202"/>
      <c r="G19" s="128"/>
      <c r="H19" s="528"/>
      <c r="I19" s="528"/>
      <c r="J19" s="528"/>
      <c r="K19" s="528"/>
      <c r="M19" s="528"/>
      <c r="N19" s="354">
        <f>SUM(F19:M19)</f>
        <v>0</v>
      </c>
      <c r="O19" s="188"/>
      <c r="P19" s="105"/>
      <c r="Q19" s="106"/>
      <c r="R19" s="106"/>
      <c r="S19" s="106"/>
      <c r="T19" s="237"/>
      <c r="U19" s="105" t="s">
        <v>437</v>
      </c>
      <c r="V19" s="106" t="s">
        <v>437</v>
      </c>
      <c r="W19" s="106" t="s">
        <v>437</v>
      </c>
      <c r="X19" s="106" t="s">
        <v>437</v>
      </c>
      <c r="Y19" s="107" t="s">
        <v>437</v>
      </c>
      <c r="Z19" s="102"/>
      <c r="AA19" s="101"/>
      <c r="AB19" s="101"/>
      <c r="AC19" s="101"/>
      <c r="AD19" s="98"/>
      <c r="AE19" s="281" t="s">
        <v>437</v>
      </c>
      <c r="AF19" s="106" t="s">
        <v>437</v>
      </c>
      <c r="AG19" s="106" t="s">
        <v>437</v>
      </c>
      <c r="AH19" s="106" t="s">
        <v>437</v>
      </c>
      <c r="AI19" s="106" t="s">
        <v>437</v>
      </c>
      <c r="AJ19" s="100"/>
      <c r="AK19" s="101"/>
      <c r="AL19" s="101"/>
      <c r="AM19" s="101"/>
      <c r="AN19" s="98"/>
      <c r="AO19" s="100"/>
      <c r="AP19" s="101"/>
      <c r="AQ19" s="101"/>
      <c r="AR19" s="101"/>
      <c r="AS19" s="98"/>
      <c r="AT19" s="100"/>
      <c r="AU19" s="101"/>
      <c r="AV19" s="101"/>
      <c r="AW19" s="101"/>
      <c r="AX19" s="103" t="s">
        <v>244</v>
      </c>
      <c r="AY19" s="100"/>
      <c r="AZ19" s="101"/>
      <c r="BA19" s="101"/>
      <c r="BB19" s="101"/>
      <c r="BC19" s="98"/>
      <c r="BD19" s="102"/>
      <c r="BE19" s="104"/>
      <c r="BF19" s="104"/>
      <c r="BG19" s="104"/>
      <c r="BH19" s="104"/>
      <c r="BI19" s="392"/>
      <c r="BJ19" s="102"/>
      <c r="BK19" s="101"/>
      <c r="BL19" s="101"/>
      <c r="BM19" s="101" t="s">
        <v>244</v>
      </c>
      <c r="BN19" s="103" t="s">
        <v>244</v>
      </c>
      <c r="BO19" s="100"/>
      <c r="BP19" s="101"/>
      <c r="BQ19" s="101"/>
      <c r="BR19" s="101"/>
      <c r="BS19" s="98"/>
      <c r="BT19" s="100"/>
      <c r="BU19" s="101"/>
      <c r="BV19" s="101"/>
      <c r="BW19" s="101"/>
      <c r="BX19" s="98"/>
      <c r="BY19" s="102"/>
      <c r="BZ19" s="101"/>
      <c r="CA19" s="101"/>
      <c r="CB19" s="101"/>
      <c r="CC19" s="98"/>
      <c r="CD19" s="102"/>
      <c r="CE19" s="101"/>
      <c r="CF19" s="101"/>
      <c r="CG19" s="101"/>
      <c r="CH19" s="98"/>
      <c r="CI19" s="100"/>
      <c r="CJ19" s="101"/>
      <c r="CK19" s="101"/>
      <c r="CL19" s="101"/>
      <c r="CM19" s="98"/>
      <c r="CN19" s="100"/>
      <c r="CO19" s="101"/>
      <c r="CP19" s="101"/>
      <c r="CQ19" s="101"/>
      <c r="CR19" s="98"/>
      <c r="CS19" s="100"/>
      <c r="CT19" s="101"/>
      <c r="CU19" s="101"/>
      <c r="CV19" s="101"/>
      <c r="CW19" s="98"/>
      <c r="CX19" s="102"/>
      <c r="CY19" s="101"/>
      <c r="CZ19" s="101"/>
      <c r="DA19" s="101"/>
      <c r="DB19" s="98"/>
      <c r="DC19" s="489"/>
      <c r="DD19" s="101"/>
      <c r="DE19" s="101"/>
      <c r="DF19" s="101"/>
      <c r="DG19" s="98"/>
      <c r="DH19" s="100"/>
      <c r="DI19" s="101"/>
      <c r="DJ19" s="101"/>
      <c r="DK19" s="101"/>
      <c r="DL19" s="98"/>
      <c r="DM19" s="100"/>
      <c r="DN19" s="101"/>
      <c r="DO19" s="101"/>
      <c r="DP19" s="101"/>
      <c r="DQ19" s="103"/>
      <c r="DR19" s="116"/>
      <c r="DS19" s="117"/>
      <c r="DT19" s="117"/>
      <c r="DU19" s="117"/>
      <c r="DV19" s="227"/>
      <c r="DW19" s="116"/>
      <c r="DX19" s="117"/>
      <c r="DY19" s="117"/>
      <c r="DZ19" s="117"/>
      <c r="EA19" s="227"/>
      <c r="EB19" s="489"/>
      <c r="EC19" s="117"/>
      <c r="ED19" s="117"/>
      <c r="EE19" s="117"/>
      <c r="EF19" s="118"/>
      <c r="EG19" s="119"/>
      <c r="EH19" s="117"/>
      <c r="EI19" s="117"/>
      <c r="EJ19" s="117"/>
      <c r="EK19" s="118"/>
      <c r="EL19" s="116"/>
      <c r="EM19" s="117"/>
      <c r="EN19" s="117"/>
      <c r="EO19" s="117"/>
      <c r="EP19" s="227"/>
      <c r="EQ19" s="117"/>
      <c r="ER19" s="117"/>
      <c r="ES19" s="117"/>
      <c r="ET19" s="117"/>
      <c r="EU19" s="117"/>
      <c r="EV19" s="117"/>
      <c r="EW19" s="117"/>
      <c r="EX19" s="117"/>
      <c r="EY19" s="117"/>
      <c r="EZ19" s="117"/>
      <c r="FA19" s="117"/>
      <c r="FB19" s="117"/>
      <c r="FC19" s="117"/>
      <c r="FD19" s="117"/>
      <c r="FE19" s="117"/>
      <c r="FF19" s="117"/>
      <c r="FG19" s="117"/>
      <c r="FH19" s="117"/>
      <c r="FI19" s="117"/>
      <c r="FJ19" s="101"/>
      <c r="FK19" s="117"/>
      <c r="FL19" s="117"/>
      <c r="FM19" s="117"/>
      <c r="FN19" s="117"/>
      <c r="FO19" s="117"/>
      <c r="FP19" s="491"/>
      <c r="FQ19" s="491"/>
      <c r="FR19" s="491"/>
      <c r="FS19" s="117"/>
      <c r="FT19" s="117"/>
      <c r="FU19" s="101"/>
      <c r="FV19" s="117"/>
      <c r="FW19" s="117"/>
      <c r="FX19" s="117"/>
      <c r="FY19" s="117"/>
      <c r="GA19" s="101"/>
      <c r="GB19" s="117"/>
      <c r="GC19" s="117"/>
      <c r="GD19" s="491"/>
      <c r="GE19" s="491"/>
      <c r="GF19" s="117"/>
      <c r="GG19" s="117"/>
      <c r="GH19" s="117"/>
      <c r="GI19" s="491"/>
      <c r="GJ19" s="491"/>
      <c r="GL19" s="117"/>
      <c r="GM19" s="117"/>
      <c r="GN19" s="117"/>
      <c r="GO19" s="227"/>
      <c r="GP19" s="117"/>
      <c r="GQ19" s="117"/>
      <c r="GR19" s="117"/>
      <c r="GS19" s="117"/>
      <c r="GT19" s="117"/>
      <c r="GZ19" s="316" t="s">
        <v>474</v>
      </c>
      <c r="HA19" s="316" t="s">
        <v>474</v>
      </c>
      <c r="HB19" s="316" t="s">
        <v>476</v>
      </c>
      <c r="HC19" s="552" t="s">
        <v>506</v>
      </c>
      <c r="HD19" s="552" t="s">
        <v>506</v>
      </c>
      <c r="HE19" s="117"/>
      <c r="HF19" s="117"/>
      <c r="HG19" s="117"/>
      <c r="HH19" s="101"/>
      <c r="HI19" s="101"/>
      <c r="HJ19" s="101"/>
      <c r="HK19" s="101"/>
      <c r="HL19" s="117"/>
      <c r="HM19" s="117"/>
      <c r="HN19" s="117"/>
      <c r="HO19" s="117"/>
      <c r="HP19" s="117"/>
      <c r="HQ19" s="117"/>
      <c r="HR19" s="117"/>
      <c r="HS19" s="117"/>
      <c r="HT19" s="117"/>
      <c r="HU19" s="117"/>
      <c r="HV19" s="117"/>
      <c r="HW19" s="117"/>
      <c r="HX19" s="117"/>
      <c r="HY19" s="117"/>
      <c r="HZ19" s="117"/>
      <c r="IA19" s="117"/>
      <c r="IB19" s="117"/>
      <c r="IC19" s="117"/>
      <c r="ID19" s="117"/>
      <c r="IE19" s="117"/>
      <c r="IF19" s="117"/>
      <c r="IG19" s="491"/>
      <c r="IH19" s="491"/>
      <c r="II19" s="117"/>
      <c r="IJ19" s="117"/>
      <c r="IK19" s="117"/>
      <c r="IL19" s="117"/>
      <c r="IM19" s="117"/>
      <c r="IN19" s="117"/>
      <c r="IO19" s="117"/>
      <c r="IP19" s="117"/>
      <c r="IQ19" s="117"/>
      <c r="IR19" s="117"/>
      <c r="IS19" s="117"/>
      <c r="IT19" s="117"/>
      <c r="IU19" s="117"/>
      <c r="IV19" s="117"/>
      <c r="IW19" s="117"/>
      <c r="IX19" s="117"/>
      <c r="IY19" s="117"/>
      <c r="IZ19" s="117"/>
      <c r="JA19" s="117"/>
      <c r="JB19" s="117"/>
      <c r="JC19" s="117"/>
      <c r="JD19" s="117"/>
      <c r="JE19" s="117"/>
      <c r="JF19" s="117"/>
      <c r="JG19" s="117"/>
      <c r="JH19" s="117"/>
      <c r="JI19" s="117"/>
      <c r="JJ19" s="117"/>
      <c r="JK19" s="117"/>
      <c r="JL19" s="117"/>
      <c r="JM19" s="117"/>
      <c r="JN19" s="117"/>
      <c r="JO19" s="117"/>
      <c r="JP19" s="491"/>
      <c r="JQ19" s="491"/>
      <c r="JR19" s="117"/>
      <c r="JS19" s="117"/>
      <c r="JT19" s="117"/>
      <c r="JU19" s="117"/>
      <c r="JV19" s="117"/>
      <c r="JW19" s="117"/>
      <c r="JX19" s="117"/>
      <c r="JY19" s="491"/>
      <c r="JZ19" s="491"/>
      <c r="KA19" s="491"/>
      <c r="KB19" s="117"/>
      <c r="KC19" s="227"/>
      <c r="KD19" s="117"/>
      <c r="KE19" s="117"/>
      <c r="KF19" s="117"/>
      <c r="KG19" s="117"/>
      <c r="KH19" s="117"/>
      <c r="KI19" s="117"/>
      <c r="KJ19" s="117"/>
      <c r="KK19" s="117"/>
      <c r="KL19" s="117"/>
      <c r="KM19" s="117"/>
      <c r="KN19" s="117"/>
      <c r="KO19" s="117"/>
      <c r="KP19" s="491"/>
      <c r="KQ19" s="491"/>
      <c r="KR19" s="117"/>
      <c r="KS19" s="117"/>
      <c r="KT19" s="117"/>
      <c r="KU19" s="117"/>
      <c r="KV19" s="117"/>
      <c r="KW19" s="117"/>
      <c r="KX19" s="117"/>
      <c r="KY19" s="117"/>
      <c r="KZ19" s="117"/>
      <c r="LA19" s="117"/>
      <c r="LB19" s="117"/>
      <c r="LC19" s="117"/>
      <c r="LD19" s="117"/>
      <c r="LE19" s="491"/>
      <c r="LF19" s="117"/>
      <c r="LG19" s="117"/>
      <c r="LH19" s="117"/>
      <c r="LI19" s="117"/>
      <c r="LJ19" s="117"/>
      <c r="LK19" s="117"/>
      <c r="LL19" s="117"/>
      <c r="LM19" s="117"/>
      <c r="LN19" s="117"/>
      <c r="LO19" s="117"/>
      <c r="LP19" s="117"/>
      <c r="LQ19" s="117"/>
      <c r="LR19" s="117"/>
      <c r="LS19" s="117"/>
      <c r="LT19" s="117"/>
    </row>
    <row r="20" spans="1:332" ht="24.95" customHeight="1">
      <c r="A20" s="985"/>
      <c r="B20" s="403" t="s">
        <v>76</v>
      </c>
      <c r="C20" s="412">
        <v>1</v>
      </c>
      <c r="D20" s="201">
        <v>170</v>
      </c>
      <c r="E20" s="226">
        <f t="shared" si="2"/>
        <v>0</v>
      </c>
      <c r="F20" s="200"/>
      <c r="G20" s="126"/>
      <c r="H20" s="127"/>
      <c r="I20" s="127"/>
      <c r="J20" s="127"/>
      <c r="K20" s="127"/>
      <c r="L20" s="127"/>
      <c r="M20" s="127"/>
      <c r="N20" s="354">
        <f t="shared" si="3"/>
        <v>0</v>
      </c>
      <c r="O20" s="188"/>
      <c r="P20" s="105"/>
      <c r="Q20" s="106"/>
      <c r="R20" s="106"/>
      <c r="S20" s="106"/>
      <c r="T20" s="237"/>
      <c r="U20" s="105" t="s">
        <v>437</v>
      </c>
      <c r="V20" s="106" t="s">
        <v>437</v>
      </c>
      <c r="W20" s="106" t="s">
        <v>437</v>
      </c>
      <c r="X20" s="106" t="s">
        <v>437</v>
      </c>
      <c r="Y20" s="107" t="s">
        <v>437</v>
      </c>
      <c r="Z20" s="102"/>
      <c r="AA20" s="101"/>
      <c r="AB20" s="101"/>
      <c r="AC20" s="101"/>
      <c r="AD20" s="98"/>
      <c r="AE20" s="281" t="s">
        <v>437</v>
      </c>
      <c r="AF20" s="106" t="s">
        <v>437</v>
      </c>
      <c r="AG20" s="106" t="s">
        <v>437</v>
      </c>
      <c r="AH20" s="106" t="s">
        <v>437</v>
      </c>
      <c r="AI20" s="106" t="s">
        <v>437</v>
      </c>
      <c r="AJ20" s="100"/>
      <c r="AK20" s="101"/>
      <c r="AL20" s="101"/>
      <c r="AM20" s="101"/>
      <c r="AN20" s="98"/>
      <c r="AO20" s="100"/>
      <c r="AP20" s="101"/>
      <c r="AQ20" s="101"/>
      <c r="AR20" s="101"/>
      <c r="AS20" s="98"/>
      <c r="AT20" s="100"/>
      <c r="AU20" s="101"/>
      <c r="AV20" s="101"/>
      <c r="AW20" s="101"/>
      <c r="AX20" s="103" t="s">
        <v>244</v>
      </c>
      <c r="AY20" s="100"/>
      <c r="AZ20" s="101"/>
      <c r="BA20" s="101"/>
      <c r="BB20" s="101"/>
      <c r="BC20" s="98"/>
      <c r="BD20" s="102"/>
      <c r="BE20" s="104"/>
      <c r="BF20" s="104"/>
      <c r="BG20" s="104"/>
      <c r="BH20" s="104"/>
      <c r="BI20" s="399"/>
      <c r="BK20" s="101"/>
      <c r="BL20" s="101"/>
      <c r="BM20" s="101" t="s">
        <v>244</v>
      </c>
      <c r="BN20" s="103" t="s">
        <v>244</v>
      </c>
      <c r="BO20" s="100"/>
      <c r="BP20" s="101"/>
      <c r="BQ20" s="101"/>
      <c r="BR20" s="101"/>
      <c r="BS20" s="98"/>
      <c r="BT20" s="100"/>
      <c r="BU20" s="101"/>
      <c r="BV20" s="101"/>
      <c r="BW20" s="101"/>
      <c r="BX20" s="98"/>
      <c r="BY20" s="102"/>
      <c r="BZ20" s="101"/>
      <c r="CA20" s="101"/>
      <c r="CB20" s="101"/>
      <c r="CC20" s="98"/>
      <c r="CD20" s="102"/>
      <c r="CE20" s="101"/>
      <c r="CF20" s="101"/>
      <c r="CG20" s="101"/>
      <c r="CH20" s="98"/>
      <c r="CI20" s="100"/>
      <c r="CJ20" s="101"/>
      <c r="CK20" s="101"/>
      <c r="CL20" s="101"/>
      <c r="CM20" s="98"/>
      <c r="CN20" s="100"/>
      <c r="CO20" s="101"/>
      <c r="CP20" s="101"/>
      <c r="CQ20" s="101"/>
      <c r="CR20" s="98"/>
      <c r="CS20" s="100"/>
      <c r="CT20" s="101"/>
      <c r="CU20" s="101"/>
      <c r="CV20" s="101"/>
      <c r="CW20" s="98"/>
      <c r="CX20" s="102"/>
      <c r="CY20" s="101"/>
      <c r="CZ20" s="101"/>
      <c r="DA20" s="101"/>
      <c r="DB20" s="98"/>
      <c r="DC20" s="489"/>
      <c r="DD20" s="101"/>
      <c r="DE20" s="101"/>
      <c r="DF20" s="101"/>
      <c r="DG20" s="98"/>
      <c r="DH20" s="100"/>
      <c r="DI20" s="101"/>
      <c r="DJ20" s="101"/>
      <c r="DK20" s="101"/>
      <c r="DL20" s="98"/>
      <c r="DM20" s="100"/>
      <c r="DN20" s="101"/>
      <c r="DO20" s="101"/>
      <c r="DP20" s="101"/>
      <c r="DQ20" s="103"/>
      <c r="DR20" s="116"/>
      <c r="DS20" s="117"/>
      <c r="DT20" s="117"/>
      <c r="DU20" s="117"/>
      <c r="DW20" s="116"/>
      <c r="DX20" s="117"/>
      <c r="DY20" s="117"/>
      <c r="DZ20" s="117"/>
      <c r="EB20" s="489"/>
      <c r="EC20" s="424"/>
      <c r="ED20" s="117"/>
      <c r="EF20" s="118"/>
      <c r="EH20" s="117"/>
      <c r="EI20" s="117"/>
      <c r="EJ20" s="541"/>
      <c r="EK20" s="118"/>
      <c r="EL20" s="116"/>
      <c r="EM20" s="117"/>
      <c r="EN20" s="117"/>
      <c r="EO20" s="117"/>
      <c r="EP20" s="227"/>
      <c r="EQ20" s="117"/>
      <c r="ER20" s="117"/>
      <c r="ES20" s="117"/>
      <c r="ET20" s="117"/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01"/>
      <c r="FK20" s="117"/>
      <c r="FL20" s="117"/>
      <c r="FM20" s="117"/>
      <c r="FN20" s="117"/>
      <c r="FO20" s="117"/>
      <c r="FP20" s="491"/>
      <c r="FQ20" s="491"/>
      <c r="FR20" s="491"/>
      <c r="FS20" s="117"/>
      <c r="FT20" s="117"/>
      <c r="FU20" s="117"/>
      <c r="FV20" s="117"/>
      <c r="FW20" s="117"/>
      <c r="FX20" s="117"/>
      <c r="FY20" s="117"/>
      <c r="FZ20" s="117"/>
      <c r="GA20" s="117"/>
      <c r="GB20" s="117"/>
      <c r="GC20" s="117"/>
      <c r="GD20" s="491"/>
      <c r="GE20" s="491"/>
      <c r="GF20" s="117"/>
      <c r="GG20" s="117"/>
      <c r="GH20" s="117"/>
      <c r="GI20" s="491"/>
      <c r="GJ20" s="491"/>
      <c r="GK20" s="117"/>
      <c r="GL20" s="117"/>
      <c r="GM20" s="117"/>
      <c r="GN20" s="117"/>
      <c r="GO20" s="227"/>
      <c r="GP20" s="117"/>
      <c r="GQ20" s="117"/>
      <c r="GR20" s="117"/>
      <c r="GS20" s="117"/>
      <c r="GT20" s="117"/>
      <c r="GU20" s="117"/>
      <c r="GV20" s="117"/>
      <c r="GW20" s="117"/>
      <c r="GX20" s="117"/>
      <c r="GY20" s="227"/>
      <c r="GZ20" s="117"/>
      <c r="HA20" s="117"/>
      <c r="HB20" s="117"/>
      <c r="HC20" s="117"/>
      <c r="HD20" s="117"/>
      <c r="HE20" s="117"/>
      <c r="HF20" s="117"/>
      <c r="HG20" s="117"/>
      <c r="HH20" s="117"/>
      <c r="HI20" s="117"/>
      <c r="HJ20" s="117"/>
      <c r="HK20" s="117"/>
      <c r="HL20" s="117"/>
      <c r="HM20" s="117"/>
      <c r="HN20" s="117"/>
      <c r="HO20" s="117"/>
      <c r="HP20" s="117"/>
      <c r="HQ20" s="117"/>
      <c r="HR20" s="117"/>
      <c r="HS20" s="117"/>
      <c r="HT20" s="117"/>
      <c r="HU20" s="117"/>
      <c r="HV20" s="117"/>
      <c r="HW20" s="117"/>
      <c r="HX20" s="117"/>
      <c r="HY20" s="117"/>
      <c r="HZ20" s="117"/>
      <c r="IA20" s="117"/>
      <c r="IB20" s="117"/>
      <c r="IC20" s="117"/>
      <c r="ID20" s="117"/>
      <c r="IE20" s="117"/>
      <c r="IF20" s="117"/>
      <c r="IG20" s="491"/>
      <c r="IH20" s="491"/>
      <c r="II20" s="117"/>
      <c r="IJ20" s="117"/>
      <c r="IK20" s="117"/>
      <c r="IL20" s="117"/>
      <c r="IM20" s="117"/>
      <c r="IN20" s="117"/>
      <c r="IO20" s="117"/>
      <c r="IP20" s="117"/>
      <c r="IQ20" s="117"/>
      <c r="IR20" s="117"/>
      <c r="IS20" s="117"/>
      <c r="IT20" s="117"/>
      <c r="IU20" s="117"/>
      <c r="IV20" s="117"/>
      <c r="IW20" s="117"/>
      <c r="IX20" s="117"/>
      <c r="IY20" s="117"/>
      <c r="IZ20" s="117"/>
      <c r="JA20" s="117"/>
      <c r="JB20" s="117"/>
      <c r="JC20" s="117"/>
      <c r="JD20" s="117"/>
      <c r="JE20" s="117"/>
      <c r="JF20" s="117"/>
      <c r="JG20" s="117"/>
      <c r="JH20" s="117"/>
      <c r="JI20" s="117"/>
      <c r="JJ20" s="117"/>
      <c r="JK20" s="117"/>
      <c r="JL20" s="117"/>
      <c r="JM20" s="117"/>
      <c r="JN20" s="117"/>
      <c r="JO20" s="117"/>
      <c r="JP20" s="491"/>
      <c r="JQ20" s="491"/>
      <c r="JR20" s="117"/>
      <c r="JS20" s="117"/>
      <c r="JT20" s="117"/>
      <c r="JU20" s="117"/>
      <c r="JV20" s="117"/>
      <c r="JW20" s="117"/>
      <c r="JX20" s="117"/>
      <c r="JY20" s="491"/>
      <c r="JZ20" s="491"/>
      <c r="KA20" s="491"/>
      <c r="KB20" s="117"/>
      <c r="KC20" s="227"/>
      <c r="KD20" s="117"/>
      <c r="KE20" s="117"/>
      <c r="KF20" s="117"/>
      <c r="KG20" s="117"/>
      <c r="KH20" s="117"/>
      <c r="KI20" s="117"/>
      <c r="KJ20" s="117"/>
      <c r="KK20" s="117"/>
      <c r="KL20" s="117"/>
      <c r="KM20" s="117"/>
      <c r="KN20" s="117"/>
      <c r="KO20" s="117"/>
      <c r="KP20" s="491"/>
      <c r="KQ20" s="491"/>
      <c r="KR20" s="117"/>
      <c r="KS20" s="117"/>
      <c r="KT20" s="117"/>
      <c r="KU20" s="117"/>
      <c r="KV20" s="117"/>
      <c r="KW20" s="117"/>
      <c r="KX20" s="117"/>
      <c r="KY20" s="117"/>
      <c r="KZ20" s="117"/>
      <c r="LA20" s="117"/>
      <c r="LB20" s="117"/>
      <c r="LC20" s="117"/>
      <c r="LD20" s="117"/>
      <c r="LE20" s="491"/>
      <c r="LF20" s="117"/>
      <c r="LG20" s="117"/>
      <c r="LH20" s="117"/>
      <c r="LI20" s="117"/>
      <c r="LJ20" s="117"/>
      <c r="LK20" s="117"/>
      <c r="LL20" s="117"/>
      <c r="LM20" s="117"/>
      <c r="LN20" s="117"/>
      <c r="LO20" s="117"/>
      <c r="LP20" s="117"/>
      <c r="LQ20" s="117"/>
      <c r="LR20" s="117"/>
      <c r="LS20" s="117"/>
      <c r="LT20" s="117"/>
    </row>
    <row r="21" spans="1:332" ht="24.95" customHeight="1">
      <c r="A21" s="985"/>
      <c r="B21" s="405" t="s">
        <v>155</v>
      </c>
      <c r="C21" s="414">
        <v>2</v>
      </c>
      <c r="D21" s="220">
        <v>150</v>
      </c>
      <c r="E21" s="226">
        <f t="shared" si="2"/>
        <v>0.33333333333333331</v>
      </c>
      <c r="F21" s="203"/>
      <c r="G21" s="205"/>
      <c r="H21" s="205"/>
      <c r="I21" s="205"/>
      <c r="J21" s="205">
        <v>50</v>
      </c>
      <c r="K21" s="205"/>
      <c r="L21" s="205"/>
      <c r="M21" s="205"/>
      <c r="N21" s="354">
        <f>SUM(F21:M21)</f>
        <v>50</v>
      </c>
      <c r="O21" s="188"/>
      <c r="P21" s="105"/>
      <c r="Q21" s="106"/>
      <c r="R21" s="106"/>
      <c r="S21" s="106"/>
      <c r="T21" s="237"/>
      <c r="U21" s="105" t="s">
        <v>437</v>
      </c>
      <c r="V21" s="106" t="s">
        <v>437</v>
      </c>
      <c r="W21" s="106" t="s">
        <v>437</v>
      </c>
      <c r="X21" s="106" t="s">
        <v>437</v>
      </c>
      <c r="Y21" s="107" t="s">
        <v>437</v>
      </c>
      <c r="Z21" s="102"/>
      <c r="AA21" s="238"/>
      <c r="AB21" s="238"/>
      <c r="AC21" s="238"/>
      <c r="AD21" s="98"/>
      <c r="AE21" s="281" t="s">
        <v>437</v>
      </c>
      <c r="AF21" s="106" t="s">
        <v>437</v>
      </c>
      <c r="AG21" s="106" t="s">
        <v>437</v>
      </c>
      <c r="AH21" s="106" t="s">
        <v>437</v>
      </c>
      <c r="AI21" s="106" t="s">
        <v>437</v>
      </c>
      <c r="AJ21" s="100"/>
      <c r="AK21" s="101"/>
      <c r="AL21" s="101"/>
      <c r="AM21" s="101"/>
      <c r="AN21" s="98"/>
      <c r="AO21" s="100"/>
      <c r="AP21" s="101"/>
      <c r="AQ21" s="101"/>
      <c r="AR21" s="101"/>
      <c r="AS21" s="98"/>
      <c r="AT21" s="100"/>
      <c r="AU21" s="101"/>
      <c r="AV21" s="101"/>
      <c r="AW21" s="101"/>
      <c r="AX21" s="103" t="s">
        <v>244</v>
      </c>
      <c r="AY21" s="100"/>
      <c r="AZ21" s="101"/>
      <c r="BA21" s="101"/>
      <c r="BB21" s="101"/>
      <c r="BC21" s="98"/>
      <c r="BD21" s="102"/>
      <c r="BE21" s="104"/>
      <c r="BF21" s="117"/>
      <c r="BG21" s="377" t="s">
        <v>476</v>
      </c>
      <c r="BH21" s="377" t="s">
        <v>476</v>
      </c>
      <c r="BI21" s="392"/>
      <c r="BJ21" s="102"/>
      <c r="BK21" s="101"/>
      <c r="BL21" s="101"/>
      <c r="BM21" s="101" t="s">
        <v>244</v>
      </c>
      <c r="BN21" s="103" t="s">
        <v>244</v>
      </c>
      <c r="BO21" s="100"/>
      <c r="BP21" s="101"/>
      <c r="BQ21" s="101"/>
      <c r="BR21" s="101"/>
      <c r="BS21" s="98"/>
      <c r="BT21" s="100"/>
      <c r="BU21" s="101"/>
      <c r="BV21" s="101"/>
      <c r="BW21" s="101"/>
      <c r="BX21" s="98"/>
      <c r="BY21" s="102"/>
      <c r="BZ21" s="101"/>
      <c r="CA21" s="101"/>
      <c r="CB21" s="101"/>
      <c r="CC21" s="98"/>
      <c r="CD21" s="102"/>
      <c r="CE21" s="101"/>
      <c r="CF21" s="101"/>
      <c r="CG21" s="101"/>
      <c r="CH21" s="98"/>
      <c r="CI21" s="100"/>
      <c r="CJ21" s="101"/>
      <c r="CK21" s="101"/>
      <c r="CL21" s="101"/>
      <c r="CM21" s="98"/>
      <c r="CN21" s="100"/>
      <c r="CO21" s="101"/>
      <c r="CP21" s="101"/>
      <c r="CQ21" s="101"/>
      <c r="CR21" s="98"/>
      <c r="CS21" s="100"/>
      <c r="CT21" s="101"/>
      <c r="CU21" s="101"/>
      <c r="CV21" s="101"/>
      <c r="CW21" s="98"/>
      <c r="CX21" s="102"/>
      <c r="CY21" s="101"/>
      <c r="CZ21" s="101"/>
      <c r="DA21" s="101"/>
      <c r="DB21" s="98"/>
      <c r="DC21" s="489"/>
      <c r="DD21" s="101"/>
      <c r="DE21" s="101"/>
      <c r="DF21" s="101"/>
      <c r="DG21" s="98"/>
      <c r="DH21" s="100"/>
      <c r="DI21" s="101"/>
      <c r="DJ21" s="101"/>
      <c r="DK21" s="110"/>
      <c r="DL21" s="507"/>
      <c r="DO21" s="511"/>
      <c r="DP21" s="508"/>
      <c r="DQ21" s="103"/>
      <c r="DR21" s="116"/>
      <c r="DS21" s="117"/>
      <c r="DT21" s="117"/>
      <c r="DU21" s="117"/>
      <c r="DV21" s="227"/>
      <c r="DW21" s="116"/>
      <c r="DX21" s="117"/>
      <c r="DY21" s="117"/>
      <c r="DZ21" s="117"/>
      <c r="EA21" s="227"/>
      <c r="EB21" s="489"/>
      <c r="EC21" s="117"/>
      <c r="ED21" s="117"/>
      <c r="EE21" s="117"/>
      <c r="EF21" s="118"/>
      <c r="EG21" s="119"/>
      <c r="EH21" s="117"/>
      <c r="EI21" s="117"/>
      <c r="EJ21" s="117"/>
      <c r="EK21" s="118"/>
      <c r="EL21" s="116"/>
      <c r="EM21" s="117"/>
      <c r="EN21" s="117"/>
      <c r="EO21" s="117"/>
      <c r="EP21" s="227"/>
      <c r="EQ21" s="117"/>
      <c r="ER21" s="117"/>
      <c r="ES21" s="117"/>
      <c r="ET21" s="117"/>
      <c r="EU21" s="117"/>
      <c r="EV21" s="117"/>
      <c r="EW21" s="117"/>
      <c r="EX21" s="117"/>
      <c r="EY21" s="117"/>
      <c r="EZ21" s="117"/>
      <c r="FA21" s="117"/>
      <c r="FB21" s="117"/>
      <c r="FC21" s="117"/>
      <c r="FD21" s="117"/>
      <c r="FE21" s="117"/>
      <c r="FF21" s="117"/>
      <c r="FG21" s="117"/>
      <c r="FJ21" s="101"/>
      <c r="FK21" s="117"/>
      <c r="FL21" s="101"/>
      <c r="FM21" s="101"/>
      <c r="FN21" s="117"/>
      <c r="FO21" s="117"/>
      <c r="FP21" s="491"/>
      <c r="FQ21" s="491"/>
      <c r="FR21" s="491"/>
      <c r="FS21" s="117"/>
      <c r="FT21" s="117"/>
      <c r="FU21" s="117"/>
      <c r="FV21" s="117"/>
      <c r="FW21" s="117"/>
      <c r="FX21" s="117"/>
      <c r="FY21" s="117"/>
      <c r="FZ21" s="117"/>
      <c r="GA21" s="117"/>
      <c r="GB21" s="117"/>
      <c r="GC21" s="117"/>
      <c r="GD21" s="491"/>
      <c r="GE21" s="491"/>
      <c r="GF21" s="117"/>
      <c r="GG21" s="117"/>
      <c r="GH21" s="117"/>
      <c r="GI21" s="491"/>
      <c r="GJ21" s="491"/>
      <c r="GK21" s="117"/>
      <c r="GL21" s="117"/>
      <c r="GM21" s="117"/>
      <c r="GN21" s="117"/>
      <c r="GO21" s="227"/>
      <c r="GP21" s="117"/>
      <c r="GQ21" s="117"/>
      <c r="GR21" s="117"/>
      <c r="GS21" s="117"/>
      <c r="GT21" s="117"/>
      <c r="GU21" s="117"/>
      <c r="GV21" s="117"/>
      <c r="GW21" s="117"/>
      <c r="GX21" s="117"/>
      <c r="GY21" s="535" t="s">
        <v>955</v>
      </c>
      <c r="GZ21" s="117"/>
      <c r="HA21" s="117"/>
      <c r="HB21" s="117"/>
      <c r="HC21" s="117"/>
      <c r="HD21" s="117"/>
      <c r="HG21" s="117"/>
      <c r="HH21" s="117"/>
      <c r="HI21" s="117"/>
      <c r="HL21" s="117"/>
      <c r="HM21" s="316" t="s">
        <v>474</v>
      </c>
      <c r="HN21" s="316" t="s">
        <v>474</v>
      </c>
      <c r="HP21" s="117"/>
      <c r="HQ21" s="117"/>
      <c r="HR21" s="117"/>
      <c r="HS21" s="117"/>
      <c r="HT21" s="117"/>
      <c r="HU21" s="117"/>
      <c r="HV21" s="117"/>
      <c r="HW21" s="117"/>
      <c r="HX21" s="117"/>
      <c r="HY21" s="117"/>
      <c r="HZ21" s="117"/>
      <c r="IA21" s="117"/>
      <c r="IB21" s="117"/>
      <c r="IC21" s="117"/>
      <c r="ID21" s="117"/>
      <c r="IE21" s="117"/>
      <c r="IF21" s="117"/>
      <c r="IG21" s="491"/>
      <c r="IH21" s="491"/>
      <c r="II21" s="117"/>
      <c r="IJ21" s="117"/>
      <c r="IK21" s="117"/>
      <c r="IL21" s="117"/>
      <c r="IM21" s="117"/>
      <c r="IN21" s="117"/>
      <c r="IO21" s="117"/>
      <c r="IP21" s="117"/>
      <c r="IQ21" s="117"/>
      <c r="IR21" s="117"/>
      <c r="IS21" s="117"/>
      <c r="IT21" s="117"/>
      <c r="IU21" s="117"/>
      <c r="IV21" s="117"/>
      <c r="IW21" s="117"/>
      <c r="IX21" s="117"/>
      <c r="IY21" s="117"/>
      <c r="IZ21" s="117"/>
      <c r="JA21" s="117"/>
      <c r="JB21" s="117"/>
      <c r="JC21" s="117"/>
      <c r="JD21" s="117"/>
      <c r="JE21" s="117"/>
      <c r="JF21" s="117"/>
      <c r="JG21" s="117"/>
      <c r="JH21" s="117"/>
      <c r="JI21" s="117"/>
      <c r="JJ21" s="117"/>
      <c r="JK21" s="117"/>
      <c r="JL21" s="117"/>
      <c r="JM21" s="117"/>
      <c r="JN21" s="117"/>
      <c r="JO21" s="117"/>
      <c r="JP21" s="491"/>
      <c r="JQ21" s="491"/>
      <c r="JR21" s="117"/>
      <c r="JS21" s="117"/>
      <c r="JT21" s="117"/>
      <c r="JU21" s="117"/>
      <c r="JV21" s="117"/>
      <c r="JW21" s="117"/>
      <c r="JX21" s="117"/>
      <c r="JY21" s="491"/>
      <c r="JZ21" s="491"/>
      <c r="KA21" s="491"/>
      <c r="KB21" s="117"/>
      <c r="KC21" s="227"/>
      <c r="KD21" s="117"/>
      <c r="KE21" s="117"/>
      <c r="KF21" s="117"/>
      <c r="KG21" s="117"/>
      <c r="KH21" s="117"/>
      <c r="KI21" s="117"/>
      <c r="KJ21" s="117"/>
      <c r="KK21" s="117"/>
      <c r="KL21" s="117"/>
      <c r="KM21" s="117"/>
      <c r="KN21" s="117"/>
      <c r="KO21" s="117"/>
      <c r="KP21" s="491"/>
      <c r="KQ21" s="491"/>
      <c r="KR21" s="117"/>
      <c r="KS21" s="117"/>
      <c r="KT21" s="117"/>
      <c r="KU21" s="117"/>
      <c r="KV21" s="117"/>
      <c r="KW21" s="117"/>
      <c r="KX21" s="117"/>
      <c r="KY21" s="117"/>
      <c r="KZ21" s="117"/>
      <c r="LA21" s="117"/>
      <c r="LB21" s="117"/>
      <c r="LC21" s="117"/>
      <c r="LD21" s="117"/>
      <c r="LE21" s="491"/>
      <c r="LF21" s="117"/>
      <c r="LG21" s="117"/>
      <c r="LH21" s="117"/>
      <c r="LI21" s="117"/>
      <c r="LJ21" s="117"/>
      <c r="LK21" s="117"/>
      <c r="LL21" s="117"/>
      <c r="LM21" s="117"/>
      <c r="LN21" s="117"/>
      <c r="LO21" s="117"/>
      <c r="LP21" s="117"/>
      <c r="LQ21" s="117"/>
      <c r="LR21" s="117"/>
      <c r="LS21" s="117"/>
      <c r="LT21" s="117"/>
    </row>
    <row r="22" spans="1:332" ht="24.95" customHeight="1">
      <c r="A22" s="985"/>
      <c r="B22" s="405" t="s">
        <v>156</v>
      </c>
      <c r="C22" s="414">
        <v>2</v>
      </c>
      <c r="D22" s="220">
        <v>150</v>
      </c>
      <c r="E22" s="226">
        <f t="shared" si="2"/>
        <v>1.3333333333333333</v>
      </c>
      <c r="F22" s="203"/>
      <c r="G22" s="205"/>
      <c r="H22" s="205"/>
      <c r="I22" s="205"/>
      <c r="J22" s="205"/>
      <c r="K22" s="205"/>
      <c r="L22" s="205">
        <v>200</v>
      </c>
      <c r="M22" s="205"/>
      <c r="N22" s="354">
        <f t="shared" si="3"/>
        <v>200</v>
      </c>
      <c r="O22" s="188"/>
      <c r="P22" s="105"/>
      <c r="Q22" s="106"/>
      <c r="R22" s="106"/>
      <c r="S22" s="106"/>
      <c r="T22" s="237"/>
      <c r="U22" s="105" t="s">
        <v>437</v>
      </c>
      <c r="V22" s="106" t="s">
        <v>437</v>
      </c>
      <c r="W22" s="106" t="s">
        <v>437</v>
      </c>
      <c r="X22" s="106" t="s">
        <v>437</v>
      </c>
      <c r="Y22" s="107" t="s">
        <v>437</v>
      </c>
      <c r="Z22" s="102"/>
      <c r="AA22" s="101"/>
      <c r="AB22" s="101"/>
      <c r="AC22" s="101"/>
      <c r="AD22" s="98"/>
      <c r="AE22" s="281" t="s">
        <v>437</v>
      </c>
      <c r="AF22" s="106" t="s">
        <v>437</v>
      </c>
      <c r="AG22" s="106" t="s">
        <v>437</v>
      </c>
      <c r="AH22" s="106" t="s">
        <v>437</v>
      </c>
      <c r="AI22" s="106" t="s">
        <v>437</v>
      </c>
      <c r="AJ22" s="100"/>
      <c r="AK22" s="316" t="s">
        <v>506</v>
      </c>
      <c r="AL22" s="101"/>
      <c r="AM22" s="101"/>
      <c r="AN22" s="98"/>
      <c r="AO22" s="100"/>
      <c r="AP22" s="101"/>
      <c r="AQ22" s="101"/>
      <c r="AR22" s="101"/>
      <c r="AS22" s="98"/>
      <c r="AT22" s="100"/>
      <c r="AU22" s="334" t="s">
        <v>474</v>
      </c>
      <c r="AV22" s="101"/>
      <c r="AW22" s="101"/>
      <c r="AX22" s="103" t="s">
        <v>244</v>
      </c>
      <c r="AY22" s="100"/>
      <c r="AZ22" s="117"/>
      <c r="BA22" s="117"/>
      <c r="BB22" s="117"/>
      <c r="BC22" s="397" t="s">
        <v>576</v>
      </c>
      <c r="BD22" s="396" t="s">
        <v>474</v>
      </c>
      <c r="BE22" s="238" t="s">
        <v>474</v>
      </c>
      <c r="BF22" s="238" t="s">
        <v>474</v>
      </c>
      <c r="BG22" s="104"/>
      <c r="BH22" s="104"/>
      <c r="BI22" s="392"/>
      <c r="BJ22" s="102"/>
      <c r="BK22" s="101"/>
      <c r="BL22" s="101"/>
      <c r="BM22" s="101" t="s">
        <v>244</v>
      </c>
      <c r="BN22" s="103" t="s">
        <v>244</v>
      </c>
      <c r="BO22" s="100"/>
      <c r="BP22" s="101"/>
      <c r="BQ22" s="101"/>
      <c r="BR22" s="101"/>
      <c r="BS22" s="98"/>
      <c r="BT22" s="100"/>
      <c r="BU22" s="101"/>
      <c r="BV22" s="101"/>
      <c r="BW22" s="101"/>
      <c r="BX22" s="98"/>
      <c r="BY22" s="102"/>
      <c r="BZ22" s="101"/>
      <c r="CA22" s="101"/>
      <c r="CB22" s="108"/>
      <c r="CC22" s="98"/>
      <c r="CD22" s="102"/>
      <c r="CE22" s="101"/>
      <c r="CF22" s="101"/>
      <c r="CG22" s="101"/>
      <c r="CH22" s="98"/>
      <c r="CI22" s="100"/>
      <c r="CJ22" s="101"/>
      <c r="CK22" s="101"/>
      <c r="CL22" s="101"/>
      <c r="CM22" s="98"/>
      <c r="CN22" s="100"/>
      <c r="CO22" s="101"/>
      <c r="CP22" s="101"/>
      <c r="CQ22" s="101"/>
      <c r="CR22" s="98"/>
      <c r="CS22" s="100"/>
      <c r="CT22" s="101"/>
      <c r="CU22" s="101"/>
      <c r="CV22" s="101"/>
      <c r="CW22" s="98"/>
      <c r="CX22" s="102"/>
      <c r="CY22" s="101"/>
      <c r="CZ22" s="101"/>
      <c r="DA22" s="101"/>
      <c r="DB22" s="98"/>
      <c r="DC22" s="489"/>
      <c r="DD22" s="101"/>
      <c r="DE22" s="101"/>
      <c r="DF22" s="101"/>
      <c r="DG22" s="98"/>
      <c r="DH22" s="100"/>
      <c r="DI22" s="101"/>
      <c r="DJ22" s="101"/>
      <c r="DK22" s="101"/>
      <c r="DL22" s="98"/>
      <c r="DM22" s="100"/>
      <c r="DN22" s="101"/>
      <c r="DO22" s="101"/>
      <c r="DP22" s="101"/>
      <c r="DQ22" s="103"/>
      <c r="DR22" s="116"/>
      <c r="DS22" s="117"/>
      <c r="DT22" s="117"/>
      <c r="DU22" s="117"/>
      <c r="DV22" s="227"/>
      <c r="DW22" s="116"/>
      <c r="DX22" s="117"/>
      <c r="DY22" s="117"/>
      <c r="EA22" s="227"/>
      <c r="EB22" s="489"/>
      <c r="EC22" s="117"/>
      <c r="ED22" s="424"/>
      <c r="EE22" s="424"/>
      <c r="EH22" s="117"/>
      <c r="EJ22" s="117"/>
      <c r="EK22" s="487"/>
      <c r="EL22" s="116"/>
      <c r="EM22" s="117"/>
      <c r="EN22" s="117"/>
      <c r="EO22" s="117"/>
      <c r="EP22" s="227"/>
      <c r="EQ22" s="117"/>
      <c r="ER22" s="117"/>
      <c r="ES22" s="117"/>
      <c r="ET22" s="117"/>
      <c r="EU22" s="117"/>
      <c r="EV22" s="117"/>
      <c r="EW22" s="117"/>
      <c r="EX22" s="117"/>
      <c r="EY22" s="117"/>
      <c r="EZ22" s="117"/>
      <c r="FA22" s="117"/>
      <c r="FB22" s="117"/>
      <c r="FC22" s="117"/>
      <c r="FD22" s="117"/>
      <c r="FE22" s="117"/>
      <c r="FF22" s="117"/>
      <c r="FG22" s="117"/>
      <c r="FH22" s="117"/>
      <c r="FI22" s="117"/>
      <c r="FJ22" s="101"/>
      <c r="FK22" s="117"/>
      <c r="FL22" s="316" t="s">
        <v>506</v>
      </c>
      <c r="FM22" s="117"/>
      <c r="FO22" s="117"/>
      <c r="FP22" s="491"/>
      <c r="FQ22" s="491"/>
      <c r="FR22" s="491"/>
      <c r="FT22" s="117"/>
      <c r="FU22" s="117"/>
      <c r="FV22" s="117"/>
      <c r="FW22" s="117"/>
      <c r="FX22" s="117"/>
      <c r="FY22" s="117"/>
      <c r="FZ22" s="117"/>
      <c r="GA22" s="117"/>
      <c r="GB22" s="117"/>
      <c r="GC22" s="117"/>
      <c r="GD22" s="491"/>
      <c r="GE22" s="491"/>
      <c r="GF22" s="117"/>
      <c r="GG22" s="117"/>
      <c r="GH22" s="117"/>
      <c r="GI22" s="491"/>
      <c r="GJ22" s="491"/>
      <c r="GK22" s="117"/>
      <c r="GL22" s="117"/>
      <c r="GM22" s="117"/>
      <c r="GN22" s="117"/>
      <c r="GO22" s="227"/>
      <c r="GP22" s="117"/>
      <c r="GQ22" s="117"/>
      <c r="GR22" s="117"/>
      <c r="GS22" s="117"/>
      <c r="GT22" s="117"/>
      <c r="GU22" s="117"/>
      <c r="GV22" s="117"/>
      <c r="GW22" s="117"/>
      <c r="GX22" s="117"/>
      <c r="GY22" s="227"/>
      <c r="GZ22" s="117"/>
      <c r="HA22" s="117"/>
      <c r="HB22" s="117"/>
      <c r="HC22" s="117"/>
      <c r="HD22" s="117"/>
      <c r="HE22" s="117"/>
      <c r="HF22" s="117"/>
      <c r="HG22" s="117"/>
      <c r="HH22" s="117"/>
      <c r="HI22" s="117"/>
      <c r="HJ22" s="117"/>
      <c r="HK22" s="117"/>
      <c r="HL22" s="117"/>
      <c r="HM22" s="117"/>
      <c r="HN22" s="117"/>
      <c r="HO22" s="117"/>
      <c r="HP22" s="117"/>
      <c r="HQ22" s="117"/>
      <c r="HR22" s="117"/>
      <c r="HS22" s="117"/>
      <c r="HT22" s="117"/>
      <c r="HU22" s="117"/>
      <c r="HV22" s="117"/>
      <c r="HW22" s="117"/>
      <c r="HX22" s="117"/>
      <c r="HY22" s="117"/>
      <c r="HZ22" s="117"/>
      <c r="IA22" s="117"/>
      <c r="IB22" s="316" t="s">
        <v>506</v>
      </c>
      <c r="IC22" s="117"/>
      <c r="ID22" s="117"/>
      <c r="IE22" s="117"/>
      <c r="IF22" s="117"/>
      <c r="IG22" s="491"/>
      <c r="IH22" s="491"/>
      <c r="II22" s="117"/>
      <c r="IJ22" s="117"/>
      <c r="IK22" s="117"/>
      <c r="IL22" s="117"/>
      <c r="IM22" s="117"/>
      <c r="IN22" s="117"/>
      <c r="IO22" s="117"/>
      <c r="IP22" s="117"/>
      <c r="IQ22" s="117"/>
      <c r="IR22" s="117"/>
      <c r="IS22" s="117"/>
      <c r="IT22" s="117"/>
      <c r="IU22" s="117"/>
      <c r="IV22" s="117"/>
      <c r="IW22" s="117"/>
      <c r="IX22" s="117"/>
      <c r="IY22" s="117"/>
      <c r="IZ22" s="117"/>
      <c r="JA22" s="117"/>
      <c r="JB22" s="117"/>
      <c r="JC22" s="117"/>
      <c r="JD22" s="117"/>
      <c r="JE22" s="117"/>
      <c r="JF22" s="117"/>
      <c r="JG22" s="117"/>
      <c r="JH22" s="117"/>
      <c r="JI22" s="117"/>
      <c r="JJ22" s="117"/>
      <c r="JK22" s="117"/>
      <c r="JL22" s="117"/>
      <c r="JM22" s="117"/>
      <c r="JN22" s="117"/>
      <c r="JO22" s="117"/>
      <c r="JP22" s="491"/>
      <c r="JQ22" s="491"/>
      <c r="JR22" s="117"/>
      <c r="JS22" s="117"/>
      <c r="JT22" s="117"/>
      <c r="JU22" s="117"/>
      <c r="JV22" s="117"/>
      <c r="JW22" s="117"/>
      <c r="JX22" s="117"/>
      <c r="JY22" s="491"/>
      <c r="JZ22" s="491"/>
      <c r="KA22" s="491"/>
      <c r="KB22" s="117"/>
      <c r="KC22" s="227"/>
      <c r="KD22" s="117"/>
      <c r="KE22" s="117"/>
      <c r="KF22" s="117"/>
      <c r="KG22" s="117"/>
      <c r="KH22" s="117"/>
      <c r="KI22" s="117"/>
      <c r="KJ22" s="117"/>
      <c r="KK22" s="117"/>
      <c r="KL22" s="117"/>
      <c r="KM22" s="117"/>
      <c r="KN22" s="117"/>
      <c r="KO22" s="117"/>
      <c r="KP22" s="491"/>
      <c r="KQ22" s="491"/>
      <c r="KR22" s="117"/>
      <c r="KS22" s="117"/>
      <c r="KT22" s="117"/>
      <c r="KU22" s="117"/>
      <c r="KV22" s="117"/>
      <c r="KW22" s="117"/>
      <c r="KX22" s="117"/>
      <c r="LA22" s="508" t="s">
        <v>506</v>
      </c>
      <c r="LB22" s="117"/>
      <c r="LC22" s="117"/>
      <c r="LD22" s="117"/>
      <c r="LE22" s="491"/>
      <c r="LF22" s="117"/>
      <c r="LG22" s="117"/>
      <c r="LH22" s="117"/>
      <c r="LI22" s="117"/>
      <c r="LJ22" s="117"/>
      <c r="LK22" s="117"/>
      <c r="LL22" s="117"/>
      <c r="LM22" s="117"/>
      <c r="LN22" s="117"/>
      <c r="LO22" s="117"/>
      <c r="LP22" s="117"/>
      <c r="LQ22" s="117"/>
      <c r="LR22" s="117"/>
      <c r="LS22" s="117"/>
      <c r="LT22" s="117"/>
    </row>
    <row r="23" spans="1:332" ht="24.95" customHeight="1">
      <c r="A23" s="985"/>
      <c r="B23" s="405" t="s">
        <v>157</v>
      </c>
      <c r="C23" s="414">
        <v>2</v>
      </c>
      <c r="D23" s="220">
        <v>100</v>
      </c>
      <c r="E23" s="406">
        <f t="shared" si="2"/>
        <v>3</v>
      </c>
      <c r="F23" s="203"/>
      <c r="G23" s="205"/>
      <c r="H23" s="205"/>
      <c r="I23" s="205"/>
      <c r="J23" s="205"/>
      <c r="K23" s="205">
        <v>300</v>
      </c>
      <c r="L23" s="205"/>
      <c r="M23" s="205"/>
      <c r="N23" s="354">
        <f t="shared" si="3"/>
        <v>300</v>
      </c>
      <c r="O23" s="188"/>
      <c r="P23" s="105"/>
      <c r="Q23" s="106"/>
      <c r="R23" s="106"/>
      <c r="S23" s="106"/>
      <c r="T23" s="237"/>
      <c r="U23" s="105" t="s">
        <v>437</v>
      </c>
      <c r="V23" s="106" t="s">
        <v>437</v>
      </c>
      <c r="W23" s="106" t="s">
        <v>437</v>
      </c>
      <c r="X23" s="106" t="s">
        <v>437</v>
      </c>
      <c r="Y23" s="107" t="s">
        <v>437</v>
      </c>
      <c r="Z23" s="102"/>
      <c r="AA23" s="101"/>
      <c r="AB23" s="101"/>
      <c r="AC23" s="101"/>
      <c r="AD23" s="98"/>
      <c r="AE23" s="281" t="s">
        <v>437</v>
      </c>
      <c r="AF23" s="106" t="s">
        <v>437</v>
      </c>
      <c r="AG23" s="106" t="s">
        <v>437</v>
      </c>
      <c r="AH23" s="106" t="s">
        <v>437</v>
      </c>
      <c r="AI23" s="106" t="s">
        <v>437</v>
      </c>
      <c r="AJ23" s="100"/>
      <c r="AK23" s="101"/>
      <c r="AL23" s="101"/>
      <c r="AM23" s="101"/>
      <c r="AN23" s="98"/>
      <c r="AO23" s="100"/>
      <c r="AP23" s="101"/>
      <c r="AQ23" s="101"/>
      <c r="AR23" s="101"/>
      <c r="AS23" s="98"/>
      <c r="AT23" s="100"/>
      <c r="AU23" s="334" t="s">
        <v>474</v>
      </c>
      <c r="AV23" s="101"/>
      <c r="AW23" s="101"/>
      <c r="AX23" s="103" t="s">
        <v>244</v>
      </c>
      <c r="AY23" s="100"/>
      <c r="AZ23" s="101"/>
      <c r="BA23" s="101"/>
      <c r="BB23" s="101"/>
      <c r="BC23" s="98"/>
      <c r="BD23" s="102"/>
      <c r="BE23" s="104"/>
      <c r="BF23" s="104"/>
      <c r="BG23" s="104"/>
      <c r="BH23" s="104"/>
      <c r="BI23" s="392"/>
      <c r="BJ23" s="102"/>
      <c r="BK23" s="101"/>
      <c r="BL23" s="101"/>
      <c r="BM23" s="101" t="s">
        <v>244</v>
      </c>
      <c r="BN23" s="103" t="s">
        <v>244</v>
      </c>
      <c r="BO23" s="100"/>
      <c r="BP23" s="101"/>
      <c r="BQ23" s="101"/>
      <c r="BR23" s="101"/>
      <c r="BS23" s="98"/>
      <c r="BT23" s="100"/>
      <c r="BU23" s="101"/>
      <c r="BV23" s="101"/>
      <c r="BW23" s="101"/>
      <c r="BX23" s="98"/>
      <c r="BY23" s="102"/>
      <c r="BZ23" s="101"/>
      <c r="CA23" s="101"/>
      <c r="CB23" s="101"/>
      <c r="CC23" s="98"/>
      <c r="CD23" s="102"/>
      <c r="CE23" s="101"/>
      <c r="CF23" s="439" t="s">
        <v>474</v>
      </c>
      <c r="CG23" s="439" t="s">
        <v>474</v>
      </c>
      <c r="CH23" s="439" t="s">
        <v>474</v>
      </c>
      <c r="CI23" s="438" t="s">
        <v>476</v>
      </c>
      <c r="CJ23" s="101"/>
      <c r="CK23" s="438" t="s">
        <v>476</v>
      </c>
      <c r="CL23" s="101"/>
      <c r="CM23" s="98"/>
      <c r="CN23" s="100"/>
      <c r="CO23" s="101"/>
      <c r="CP23" s="101"/>
      <c r="CQ23" s="101"/>
      <c r="CR23" s="98"/>
      <c r="CS23" s="100"/>
      <c r="CT23" s="101"/>
      <c r="CU23" s="101"/>
      <c r="CV23" s="101"/>
      <c r="CW23" s="98"/>
      <c r="CX23" s="102"/>
      <c r="CY23" s="101"/>
      <c r="CZ23" s="101"/>
      <c r="DA23" s="101"/>
      <c r="DB23" s="98"/>
      <c r="DC23" s="489"/>
      <c r="DD23" s="101"/>
      <c r="DE23" s="101"/>
      <c r="DF23" s="101"/>
      <c r="DG23" s="98"/>
      <c r="DH23" s="100"/>
      <c r="DI23" s="101"/>
      <c r="DJ23" s="101"/>
      <c r="DK23" s="101"/>
      <c r="DL23" s="98"/>
      <c r="DM23" s="100"/>
      <c r="DN23" s="101"/>
      <c r="DO23" s="101"/>
      <c r="DP23" s="101"/>
      <c r="DQ23" s="103"/>
      <c r="DR23" s="116"/>
      <c r="DS23" s="117"/>
      <c r="DT23" s="117"/>
      <c r="DU23" s="117"/>
      <c r="DV23" s="227"/>
      <c r="DW23" s="116"/>
      <c r="DX23" s="117"/>
      <c r="DY23" s="117"/>
      <c r="DZ23" s="117"/>
      <c r="EA23" s="227"/>
      <c r="EB23" s="489"/>
      <c r="EC23" s="117"/>
      <c r="ED23" s="117"/>
      <c r="EE23" s="117"/>
      <c r="EF23" s="118"/>
      <c r="EG23" s="119"/>
      <c r="EH23" s="117"/>
      <c r="EI23" s="117"/>
      <c r="EJ23" s="117"/>
      <c r="EK23" s="118"/>
      <c r="EL23" s="116"/>
      <c r="EM23" s="117"/>
      <c r="EN23" s="117"/>
      <c r="EO23" s="117"/>
      <c r="EP23" s="227"/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01"/>
      <c r="FK23" s="117"/>
      <c r="FL23" s="117"/>
      <c r="FM23" s="117"/>
      <c r="FN23" s="117"/>
      <c r="FO23" s="117"/>
      <c r="FP23" s="491"/>
      <c r="FQ23" s="491"/>
      <c r="FR23" s="491"/>
      <c r="FS23" s="117"/>
      <c r="FT23" s="117"/>
      <c r="FU23" s="117"/>
      <c r="FV23" s="117"/>
      <c r="FW23" s="117"/>
      <c r="FX23" s="117"/>
      <c r="FY23" s="117"/>
      <c r="FZ23" s="117"/>
      <c r="GA23" s="117"/>
      <c r="GB23" s="117"/>
      <c r="GC23" s="117"/>
      <c r="GD23" s="491"/>
      <c r="GE23" s="491"/>
      <c r="GF23" s="117"/>
      <c r="GG23" s="117"/>
      <c r="GH23" s="117"/>
      <c r="GI23" s="491"/>
      <c r="GJ23" s="491"/>
      <c r="GK23" s="117"/>
      <c r="GL23" s="117"/>
      <c r="GM23" s="117"/>
      <c r="GN23" s="117"/>
      <c r="GO23" s="227"/>
      <c r="GP23" s="117"/>
      <c r="GQ23" s="117"/>
      <c r="GR23" s="117"/>
      <c r="GS23" s="117"/>
      <c r="GT23" s="117"/>
      <c r="GU23" s="117"/>
      <c r="GV23" s="117"/>
      <c r="GW23" s="117"/>
      <c r="GX23" s="117"/>
      <c r="GY23" s="227"/>
      <c r="GZ23" s="117"/>
      <c r="HA23" s="117"/>
      <c r="HB23" s="117"/>
      <c r="HC23" s="117"/>
      <c r="HD23" s="117"/>
      <c r="HE23" s="117"/>
      <c r="HF23" s="117"/>
      <c r="HG23" s="117"/>
      <c r="HH23" s="117"/>
      <c r="HI23" s="117"/>
      <c r="HJ23" s="117"/>
      <c r="HK23" s="117"/>
      <c r="HL23" s="117"/>
      <c r="HM23" s="117"/>
      <c r="HN23" s="117"/>
      <c r="HO23" s="117"/>
      <c r="HP23" s="117"/>
      <c r="HQ23" s="117"/>
      <c r="HR23" s="117"/>
      <c r="HS23" s="117"/>
      <c r="HT23" s="117"/>
      <c r="HU23" s="117"/>
      <c r="HV23" s="117"/>
      <c r="HW23" s="117"/>
      <c r="HX23" s="117"/>
      <c r="HY23" s="117"/>
      <c r="HZ23" s="117"/>
      <c r="IA23" s="117"/>
      <c r="IB23" s="316" t="s">
        <v>839</v>
      </c>
      <c r="IC23" s="316" t="s">
        <v>997</v>
      </c>
      <c r="ID23" s="117"/>
      <c r="IE23" s="117"/>
      <c r="IF23" s="117"/>
      <c r="IG23" s="491"/>
      <c r="IH23" s="491"/>
      <c r="II23" s="117"/>
      <c r="IJ23" s="117"/>
      <c r="IK23" s="117"/>
      <c r="IL23" s="117"/>
      <c r="IM23" s="117"/>
      <c r="IN23" s="117"/>
      <c r="IO23" s="117"/>
      <c r="IP23" s="117"/>
      <c r="IQ23" s="117"/>
      <c r="IR23" s="117"/>
      <c r="IS23" s="117"/>
      <c r="IT23" s="117"/>
      <c r="IU23" s="117"/>
      <c r="IV23" s="117"/>
      <c r="IW23" s="117"/>
      <c r="IX23" s="117"/>
      <c r="IY23" s="117"/>
      <c r="IZ23" s="117"/>
      <c r="JA23" s="117"/>
      <c r="JE23" s="117"/>
      <c r="JF23" s="117"/>
      <c r="JG23" s="117"/>
      <c r="JH23" s="117"/>
      <c r="JI23" s="117"/>
      <c r="JJ23" s="117"/>
      <c r="JK23" s="117"/>
      <c r="JL23" s="117"/>
      <c r="JM23" s="117"/>
      <c r="JN23" s="117"/>
      <c r="JO23" s="117"/>
      <c r="JP23" s="491"/>
      <c r="JQ23" s="491"/>
      <c r="JR23" s="117"/>
      <c r="JV23" s="117"/>
      <c r="JY23" s="491"/>
      <c r="JZ23" s="491"/>
      <c r="KA23" s="491"/>
      <c r="KF23" s="117"/>
      <c r="KG23" s="117"/>
      <c r="KK23" s="117"/>
      <c r="KP23" s="491"/>
      <c r="KQ23" s="491"/>
      <c r="KT23" s="508" t="s">
        <v>474</v>
      </c>
      <c r="KU23" s="880" t="s">
        <v>474</v>
      </c>
      <c r="KV23" s="508" t="s">
        <v>474</v>
      </c>
      <c r="KW23" s="117"/>
      <c r="KX23" s="117"/>
      <c r="KY23" s="117"/>
      <c r="KZ23" s="117"/>
      <c r="LA23" s="117"/>
      <c r="LB23" s="117"/>
      <c r="LC23" s="117"/>
      <c r="LD23" s="117"/>
      <c r="LE23" s="491"/>
      <c r="LF23" s="117"/>
      <c r="LG23" s="117"/>
      <c r="LH23" s="117"/>
      <c r="LI23" s="117"/>
      <c r="LJ23" s="117"/>
      <c r="LK23" s="117"/>
      <c r="LL23" s="117"/>
      <c r="LM23" s="117"/>
      <c r="LN23" s="117"/>
      <c r="LO23" s="117"/>
      <c r="LP23" s="117"/>
      <c r="LQ23" s="117"/>
      <c r="LR23" s="117"/>
      <c r="LS23" s="117"/>
      <c r="LT23" s="117"/>
    </row>
    <row r="24" spans="1:332" ht="24.95" customHeight="1">
      <c r="A24" s="985"/>
      <c r="B24" s="404" t="s">
        <v>158</v>
      </c>
      <c r="C24" s="413">
        <v>2</v>
      </c>
      <c r="D24" s="219">
        <v>120</v>
      </c>
      <c r="E24" s="226">
        <f t="shared" si="2"/>
        <v>0</v>
      </c>
      <c r="F24" s="202"/>
      <c r="G24" s="128"/>
      <c r="H24" s="529"/>
      <c r="I24" s="528"/>
      <c r="J24" s="528"/>
      <c r="K24" s="528"/>
      <c r="L24" s="528"/>
      <c r="M24" s="528"/>
      <c r="N24" s="354"/>
      <c r="O24" s="188"/>
      <c r="P24" s="105"/>
      <c r="Q24" s="106"/>
      <c r="R24" s="106"/>
      <c r="S24" s="106"/>
      <c r="T24" s="237"/>
      <c r="U24" s="105" t="s">
        <v>437</v>
      </c>
      <c r="V24" s="106" t="s">
        <v>437</v>
      </c>
      <c r="W24" s="106" t="s">
        <v>437</v>
      </c>
      <c r="X24" s="106" t="s">
        <v>437</v>
      </c>
      <c r="Y24" s="107" t="s">
        <v>437</v>
      </c>
      <c r="Z24" s="102"/>
      <c r="AA24" s="101"/>
      <c r="AB24" s="101"/>
      <c r="AC24" s="101"/>
      <c r="AD24" s="98"/>
      <c r="AE24" s="281" t="s">
        <v>437</v>
      </c>
      <c r="AF24" s="106" t="s">
        <v>437</v>
      </c>
      <c r="AG24" s="106" t="s">
        <v>437</v>
      </c>
      <c r="AH24" s="106" t="s">
        <v>437</v>
      </c>
      <c r="AI24" s="106" t="s">
        <v>437</v>
      </c>
      <c r="AJ24" s="100"/>
      <c r="AK24" s="101"/>
      <c r="AL24" s="101"/>
      <c r="AM24" s="101"/>
      <c r="AN24" s="98"/>
      <c r="AO24" s="100"/>
      <c r="AP24" s="101"/>
      <c r="AQ24" s="101"/>
      <c r="AR24" s="101"/>
      <c r="AS24" s="98"/>
      <c r="AT24" s="100"/>
      <c r="AU24" s="101"/>
      <c r="AV24" s="101"/>
      <c r="AW24" s="101"/>
      <c r="AX24" s="103" t="s">
        <v>244</v>
      </c>
      <c r="AY24" s="100"/>
      <c r="AZ24" s="101"/>
      <c r="BA24" s="101"/>
      <c r="BB24" s="101"/>
      <c r="BC24" s="98"/>
      <c r="BD24" s="102"/>
      <c r="BE24" s="104"/>
      <c r="BF24" s="104"/>
      <c r="BG24" s="104"/>
      <c r="BH24" s="104"/>
      <c r="BI24" s="392"/>
      <c r="BJ24" s="102"/>
      <c r="BK24" s="101"/>
      <c r="BL24" s="101"/>
      <c r="BM24" s="101" t="s">
        <v>244</v>
      </c>
      <c r="BN24" s="103" t="s">
        <v>244</v>
      </c>
      <c r="BO24" s="100"/>
      <c r="BP24" s="101"/>
      <c r="BQ24" s="101"/>
      <c r="BR24" s="101"/>
      <c r="BS24" s="98"/>
      <c r="BT24" s="100"/>
      <c r="BU24" s="101"/>
      <c r="BV24" s="101"/>
      <c r="BW24" s="101"/>
      <c r="BX24" s="98"/>
      <c r="BY24" s="390"/>
      <c r="BZ24" s="101"/>
      <c r="CA24" s="101"/>
      <c r="CB24" s="101"/>
      <c r="CC24" s="98"/>
      <c r="CD24" s="102"/>
      <c r="CE24" s="101"/>
      <c r="CF24" s="101"/>
      <c r="CG24" s="101"/>
      <c r="CH24" s="98"/>
      <c r="CI24" s="100"/>
      <c r="CJ24" s="101"/>
      <c r="CK24" s="101"/>
      <c r="CL24" s="101"/>
      <c r="CM24" s="98"/>
      <c r="CN24" s="100"/>
      <c r="CO24" s="101"/>
      <c r="CP24" s="101"/>
      <c r="CQ24" s="101"/>
      <c r="CR24" s="98"/>
      <c r="CS24" s="100"/>
      <c r="CT24" s="101"/>
      <c r="CU24" s="101"/>
      <c r="CV24" s="101"/>
      <c r="CW24" s="98"/>
      <c r="CX24" s="102"/>
      <c r="CY24" s="101"/>
      <c r="CZ24" s="101"/>
      <c r="DA24" s="101"/>
      <c r="DB24" s="98"/>
      <c r="DC24" s="489"/>
      <c r="DD24" s="101"/>
      <c r="DE24" s="101"/>
      <c r="DF24" s="101"/>
      <c r="DG24" s="98"/>
      <c r="DH24" s="100"/>
      <c r="DI24" s="101"/>
      <c r="DJ24" s="101"/>
      <c r="DK24" s="101"/>
      <c r="DL24" s="98"/>
      <c r="DM24" s="238"/>
      <c r="DQ24" s="103"/>
      <c r="DR24" s="116"/>
      <c r="DS24" s="117"/>
      <c r="DT24" s="117"/>
      <c r="DU24" s="117"/>
      <c r="DV24" s="227"/>
      <c r="DW24" s="116"/>
      <c r="DX24" s="117"/>
      <c r="DY24" s="117"/>
      <c r="DZ24" s="117"/>
      <c r="EA24" s="227"/>
      <c r="EB24" s="489"/>
      <c r="EC24" s="117"/>
      <c r="ED24" s="117"/>
      <c r="EE24" s="117"/>
      <c r="EF24" s="118"/>
      <c r="EG24" s="119"/>
      <c r="EH24" s="117"/>
      <c r="EI24" s="117"/>
      <c r="EJ24" s="117"/>
      <c r="EK24" s="118"/>
      <c r="EL24" s="116"/>
      <c r="EM24" s="117"/>
      <c r="EN24" s="117"/>
      <c r="EO24" s="117"/>
      <c r="EP24" s="22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01"/>
      <c r="FK24" s="117"/>
      <c r="FL24" s="117"/>
      <c r="FM24" s="117"/>
      <c r="FN24" s="117"/>
      <c r="FO24" s="117"/>
      <c r="FP24" s="491"/>
      <c r="FQ24" s="491"/>
      <c r="FR24" s="491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491"/>
      <c r="GE24" s="491"/>
      <c r="GF24" s="117"/>
      <c r="GG24" s="117"/>
      <c r="GH24" s="117"/>
      <c r="GI24" s="491"/>
      <c r="GJ24" s="491"/>
      <c r="GK24" s="117"/>
      <c r="GL24" s="117"/>
      <c r="GM24" s="117"/>
      <c r="GN24" s="117"/>
      <c r="GO24" s="227"/>
      <c r="GP24" s="117"/>
      <c r="GQ24" s="117"/>
      <c r="GR24" s="117"/>
      <c r="GS24" s="117"/>
      <c r="GT24" s="117"/>
      <c r="GU24" s="117"/>
      <c r="GV24" s="117"/>
      <c r="GW24" s="117"/>
      <c r="GX24" s="117"/>
      <c r="GY24" s="22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  <c r="HP24" s="117"/>
      <c r="HQ24" s="117"/>
      <c r="HR24" s="117"/>
      <c r="HS24" s="117"/>
      <c r="HT24" s="117"/>
      <c r="HU24" s="117"/>
      <c r="HV24" s="117"/>
      <c r="HW24" s="117"/>
      <c r="HX24" s="117"/>
      <c r="HY24" s="117"/>
      <c r="HZ24" s="117"/>
      <c r="IA24" s="117"/>
      <c r="IB24" s="117"/>
      <c r="IC24" s="117"/>
      <c r="ID24" s="117"/>
      <c r="IE24" s="117"/>
      <c r="IF24" s="117"/>
      <c r="IG24" s="491"/>
      <c r="IH24" s="491"/>
      <c r="II24" s="117"/>
      <c r="IJ24" s="117"/>
      <c r="IK24" s="117"/>
      <c r="IL24" s="117"/>
      <c r="IM24" s="117"/>
      <c r="IN24" s="117"/>
      <c r="IO24" s="117"/>
      <c r="IP24" s="117"/>
      <c r="IQ24" s="117"/>
      <c r="IR24" s="117"/>
      <c r="IS24" s="117"/>
      <c r="IT24" s="117"/>
      <c r="IU24" s="117"/>
      <c r="IV24" s="117"/>
      <c r="IW24" s="117"/>
      <c r="IX24" s="117"/>
      <c r="IY24" s="117"/>
      <c r="IZ24" s="117"/>
      <c r="JA24" s="117"/>
      <c r="JB24" s="117"/>
      <c r="JC24" s="117"/>
      <c r="JD24" s="117"/>
      <c r="JE24" s="117"/>
      <c r="JF24" s="117"/>
      <c r="JG24" s="117"/>
      <c r="JH24" s="117"/>
      <c r="JI24" s="117"/>
      <c r="JJ24" s="117"/>
      <c r="JK24" s="117"/>
      <c r="JL24" s="117"/>
      <c r="JM24" s="117"/>
      <c r="JN24" s="117"/>
      <c r="JO24" s="117"/>
      <c r="JP24" s="491"/>
      <c r="JQ24" s="491"/>
      <c r="JR24" s="117"/>
      <c r="JS24" s="117"/>
      <c r="JT24" s="117"/>
      <c r="JU24" s="117"/>
      <c r="JV24" s="117"/>
      <c r="JW24" s="117"/>
      <c r="JX24" s="117"/>
      <c r="JY24" s="491"/>
      <c r="JZ24" s="491"/>
      <c r="KA24" s="491"/>
      <c r="KB24" s="117"/>
      <c r="KC24" s="227"/>
      <c r="KD24" s="117"/>
      <c r="KE24" s="117"/>
      <c r="KF24" s="117"/>
      <c r="KG24" s="117"/>
      <c r="KH24" s="117"/>
      <c r="KI24" s="117"/>
      <c r="KJ24" s="117"/>
      <c r="KK24" s="117"/>
      <c r="KL24" s="117"/>
      <c r="KM24" s="117"/>
      <c r="KN24" s="117"/>
      <c r="KO24" s="117"/>
      <c r="KP24" s="491"/>
      <c r="KQ24" s="491"/>
      <c r="KR24" s="117"/>
      <c r="KS24" s="117"/>
      <c r="KT24" s="117"/>
      <c r="KU24" s="117"/>
      <c r="KV24" s="117"/>
      <c r="KW24" s="117"/>
      <c r="KX24" s="117"/>
      <c r="KY24" s="117"/>
      <c r="KZ24" s="117"/>
      <c r="LA24" s="117"/>
      <c r="LB24" s="117"/>
      <c r="LC24" s="117"/>
      <c r="LD24" s="117"/>
      <c r="LE24" s="491"/>
      <c r="LF24" s="117"/>
      <c r="LG24" s="117"/>
      <c r="LH24" s="117"/>
      <c r="LI24" s="117"/>
      <c r="LJ24" s="117"/>
      <c r="LK24" s="117"/>
      <c r="LL24" s="117"/>
      <c r="LM24" s="117"/>
      <c r="LN24" s="117"/>
      <c r="LO24" s="117"/>
      <c r="LP24" s="117"/>
      <c r="LQ24" s="117"/>
      <c r="LR24" s="117"/>
      <c r="LS24" s="117"/>
      <c r="LT24" s="117"/>
    </row>
    <row r="25" spans="1:332" s="109" customFormat="1" ht="24.95" customHeight="1">
      <c r="A25" s="985"/>
      <c r="B25" s="403" t="s">
        <v>159</v>
      </c>
      <c r="C25" s="412">
        <v>2</v>
      </c>
      <c r="D25" s="200">
        <v>120</v>
      </c>
      <c r="E25" s="226">
        <f t="shared" si="2"/>
        <v>0.41666666666666669</v>
      </c>
      <c r="F25" s="200"/>
      <c r="G25" s="127"/>
      <c r="H25" s="528"/>
      <c r="I25" s="127"/>
      <c r="J25" s="127">
        <v>50</v>
      </c>
      <c r="K25" s="127"/>
      <c r="L25" s="127"/>
      <c r="M25" s="127"/>
      <c r="N25" s="354">
        <f t="shared" si="3"/>
        <v>50</v>
      </c>
      <c r="O25" s="188"/>
      <c r="P25" s="105"/>
      <c r="Q25" s="106"/>
      <c r="R25" s="106"/>
      <c r="S25" s="106"/>
      <c r="T25" s="237"/>
      <c r="U25" s="105" t="s">
        <v>437</v>
      </c>
      <c r="V25" s="106" t="s">
        <v>437</v>
      </c>
      <c r="W25" s="106" t="s">
        <v>437</v>
      </c>
      <c r="X25" s="106" t="s">
        <v>437</v>
      </c>
      <c r="Y25" s="107" t="s">
        <v>437</v>
      </c>
      <c r="Z25" s="102"/>
      <c r="AA25" s="101"/>
      <c r="AB25" s="101"/>
      <c r="AC25" s="101"/>
      <c r="AD25" s="98"/>
      <c r="AE25" s="281" t="s">
        <v>437</v>
      </c>
      <c r="AF25" s="106" t="s">
        <v>437</v>
      </c>
      <c r="AG25" s="106" t="s">
        <v>437</v>
      </c>
      <c r="AH25" s="106" t="s">
        <v>437</v>
      </c>
      <c r="AI25" s="106" t="s">
        <v>437</v>
      </c>
      <c r="AJ25" s="315" t="s">
        <v>476</v>
      </c>
      <c r="AK25" s="101"/>
      <c r="AL25" s="101"/>
      <c r="AM25" s="101"/>
      <c r="AN25" s="98"/>
      <c r="AO25" s="100"/>
      <c r="AP25" s="101"/>
      <c r="AQ25" s="101"/>
      <c r="AR25" s="101"/>
      <c r="AS25" s="98"/>
      <c r="AT25" s="100"/>
      <c r="AU25" s="101"/>
      <c r="AV25" s="101"/>
      <c r="AW25" s="101"/>
      <c r="AX25" s="103" t="s">
        <v>244</v>
      </c>
      <c r="AY25" s="100"/>
      <c r="AZ25" s="101"/>
      <c r="BA25" s="101"/>
      <c r="BB25" s="101"/>
      <c r="BC25" s="98"/>
      <c r="BD25" s="102"/>
      <c r="BE25" s="104"/>
      <c r="BF25" s="104"/>
      <c r="BG25" s="104"/>
      <c r="BH25" s="104"/>
      <c r="BI25" s="392"/>
      <c r="BJ25" s="102"/>
      <c r="BK25" s="101"/>
      <c r="BL25" s="101"/>
      <c r="BM25" s="101" t="s">
        <v>244</v>
      </c>
      <c r="BN25" s="103" t="s">
        <v>244</v>
      </c>
      <c r="BO25" s="100"/>
      <c r="BP25" s="101"/>
      <c r="BQ25" s="101"/>
      <c r="BR25" s="101"/>
      <c r="BS25" s="98"/>
      <c r="BT25" s="100"/>
      <c r="BU25" s="101"/>
      <c r="BV25" s="101"/>
      <c r="BW25" s="101"/>
      <c r="BX25" s="98"/>
      <c r="BY25" s="102"/>
      <c r="BZ25" s="101"/>
      <c r="CA25" s="101"/>
      <c r="CB25" s="101"/>
      <c r="CC25" s="98"/>
      <c r="CD25" s="102"/>
      <c r="CE25" s="101"/>
      <c r="CF25" s="101"/>
      <c r="CG25" s="101"/>
      <c r="CH25" s="98"/>
      <c r="CI25" s="100"/>
      <c r="CJ25" s="101"/>
      <c r="CK25" s="101"/>
      <c r="CL25" s="101"/>
      <c r="CM25" s="98"/>
      <c r="CN25" s="100"/>
      <c r="CO25" s="101"/>
      <c r="CP25" s="101"/>
      <c r="CQ25" s="101"/>
      <c r="CR25" s="98"/>
      <c r="CS25" s="100"/>
      <c r="CT25" s="101"/>
      <c r="CU25" s="101"/>
      <c r="CV25" s="101"/>
      <c r="CW25" s="98"/>
      <c r="CX25" s="102"/>
      <c r="CY25" s="101"/>
      <c r="CZ25" s="101"/>
      <c r="DA25" s="101"/>
      <c r="DB25" s="98"/>
      <c r="DC25" s="489"/>
      <c r="DD25" s="101"/>
      <c r="DE25" s="101"/>
      <c r="DF25" s="101"/>
      <c r="DG25" s="98"/>
      <c r="DH25" s="100"/>
      <c r="DI25" s="101"/>
      <c r="DJ25" s="101"/>
      <c r="DK25" s="101"/>
      <c r="DL25" s="98"/>
      <c r="DM25" s="100"/>
      <c r="DN25" s="238"/>
      <c r="DO25" s="101"/>
      <c r="DP25" s="101"/>
      <c r="DQ25" s="103"/>
      <c r="DR25" s="100"/>
      <c r="DS25" s="101"/>
      <c r="DT25" s="101"/>
      <c r="DU25" s="101"/>
      <c r="DV25" s="103"/>
      <c r="DW25" s="100"/>
      <c r="DX25" s="101"/>
      <c r="DY25" s="101"/>
      <c r="DZ25" s="101"/>
      <c r="EA25" s="103"/>
      <c r="EB25" s="489"/>
      <c r="EC25" s="101"/>
      <c r="ED25" s="101"/>
      <c r="EE25" s="101"/>
      <c r="EF25" s="98"/>
      <c r="EG25" s="102"/>
      <c r="EH25" s="101"/>
      <c r="EI25" s="101"/>
      <c r="EJ25" s="101"/>
      <c r="EK25" s="98"/>
      <c r="EL25" s="100"/>
      <c r="EM25" s="101"/>
      <c r="EN25" s="101"/>
      <c r="EO25" s="101"/>
      <c r="EP25" s="103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E25" s="101"/>
      <c r="FF25" s="101"/>
      <c r="FG25" s="238" t="s">
        <v>476</v>
      </c>
      <c r="FH25" s="101"/>
      <c r="FI25" s="101"/>
      <c r="FJ25" s="101"/>
      <c r="FK25" s="101"/>
      <c r="FL25" s="101"/>
      <c r="FM25" s="101"/>
      <c r="FN25" s="101"/>
      <c r="FO25" s="101"/>
      <c r="FP25" s="491"/>
      <c r="FQ25" s="491"/>
      <c r="FR25" s="49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491"/>
      <c r="GE25" s="491"/>
      <c r="GF25" s="101"/>
      <c r="GG25" s="101"/>
      <c r="GH25" s="101"/>
      <c r="GI25" s="491"/>
      <c r="GJ25" s="491"/>
      <c r="GK25" s="101"/>
      <c r="GL25" s="101"/>
      <c r="GM25" s="101"/>
      <c r="GN25" s="101"/>
      <c r="GO25" s="103"/>
      <c r="GP25" s="101"/>
      <c r="GQ25" s="101"/>
      <c r="GR25" s="101"/>
      <c r="GS25" s="101"/>
      <c r="GT25" s="101"/>
      <c r="GU25" s="101"/>
      <c r="GV25" s="101"/>
      <c r="GW25" s="101"/>
      <c r="GX25" s="101"/>
      <c r="GY25" s="103"/>
      <c r="GZ25" s="101"/>
      <c r="HA25" s="101"/>
      <c r="HB25" s="101"/>
      <c r="HC25" s="101"/>
      <c r="HD25" s="101"/>
      <c r="HE25" s="101"/>
      <c r="HF25" s="101"/>
      <c r="HG25" s="101"/>
      <c r="HH25" s="101"/>
      <c r="HI25" s="101"/>
      <c r="HJ25" s="101"/>
      <c r="HK25" s="101"/>
      <c r="HL25" s="101"/>
      <c r="HM25" s="101"/>
      <c r="HN25" s="101"/>
      <c r="HO25" s="101"/>
      <c r="HP25" s="101"/>
      <c r="HQ25" s="101"/>
      <c r="HR25" s="101"/>
      <c r="HS25" s="101"/>
      <c r="HT25" s="101"/>
      <c r="HU25" s="101"/>
      <c r="HV25" s="101"/>
      <c r="HW25" s="101"/>
      <c r="HX25" s="101"/>
      <c r="HY25" s="101"/>
      <c r="HZ25" s="101"/>
      <c r="IA25" s="101"/>
      <c r="IB25" s="101"/>
      <c r="IC25" s="101"/>
      <c r="ID25" s="101"/>
      <c r="IE25" s="101"/>
      <c r="IF25" s="101"/>
      <c r="IG25" s="491"/>
      <c r="IH25" s="491"/>
      <c r="II25" s="101"/>
      <c r="IJ25" s="101"/>
      <c r="IK25" s="101"/>
      <c r="IL25" s="101"/>
      <c r="IM25" s="101"/>
      <c r="IN25" s="101"/>
      <c r="IO25" s="101"/>
      <c r="IP25" s="101"/>
      <c r="IQ25" s="101"/>
      <c r="IR25" s="101"/>
      <c r="IS25" s="101"/>
      <c r="IT25" s="101"/>
      <c r="IU25" s="101"/>
      <c r="IV25" s="101"/>
      <c r="IW25" s="101"/>
      <c r="IX25" s="101"/>
      <c r="IY25" s="101"/>
      <c r="IZ25" s="101"/>
      <c r="JA25" s="101"/>
      <c r="JB25" s="101"/>
      <c r="JC25" s="101"/>
      <c r="JD25" s="101"/>
      <c r="JE25" s="101"/>
      <c r="JF25" s="101"/>
      <c r="JG25" s="101"/>
      <c r="JH25" s="101"/>
      <c r="JI25" s="101"/>
      <c r="JJ25" s="101"/>
      <c r="JK25" s="101"/>
      <c r="JL25" s="101"/>
      <c r="JM25" s="101"/>
      <c r="JN25" s="101"/>
      <c r="JO25" s="101"/>
      <c r="JP25" s="491"/>
      <c r="JQ25" s="491"/>
      <c r="JR25" s="101"/>
      <c r="JS25" s="101"/>
      <c r="JT25" s="101"/>
      <c r="JU25" s="101"/>
      <c r="JV25" s="101"/>
      <c r="JW25" s="101"/>
      <c r="JX25" s="101"/>
      <c r="JY25" s="491"/>
      <c r="JZ25" s="491"/>
      <c r="KA25" s="491"/>
      <c r="KB25" s="101"/>
      <c r="KC25" s="103"/>
      <c r="KD25" s="101"/>
      <c r="KE25" s="101"/>
      <c r="KF25" s="101"/>
      <c r="KG25" s="101"/>
      <c r="KH25" s="101"/>
      <c r="KI25" s="101"/>
      <c r="KJ25" s="101"/>
      <c r="KK25" s="101"/>
      <c r="KL25" s="101"/>
      <c r="KM25" s="101"/>
      <c r="KN25" s="101"/>
      <c r="KO25" s="101"/>
      <c r="KP25" s="491"/>
      <c r="KQ25" s="491"/>
      <c r="KR25" s="101"/>
      <c r="KS25" s="101"/>
      <c r="KT25" s="101"/>
      <c r="KU25" s="101"/>
      <c r="KV25" s="101"/>
      <c r="KW25" s="101"/>
      <c r="KX25" s="101"/>
      <c r="KY25" s="101"/>
      <c r="KZ25" s="101"/>
      <c r="LA25" s="101"/>
      <c r="LB25" s="101"/>
      <c r="LC25" s="101"/>
      <c r="LD25" s="101"/>
      <c r="LE25" s="491"/>
      <c r="LF25" s="101"/>
      <c r="LG25" s="101"/>
      <c r="LH25" s="101"/>
      <c r="LI25" s="101"/>
      <c r="LJ25" s="101"/>
      <c r="LK25" s="101"/>
      <c r="LL25" s="101"/>
      <c r="LM25" s="101"/>
      <c r="LN25" s="101"/>
      <c r="LO25" s="101"/>
      <c r="LP25" s="101"/>
      <c r="LQ25" s="101"/>
      <c r="LR25" s="101"/>
      <c r="LS25" s="101"/>
      <c r="LT25" s="101"/>
    </row>
    <row r="26" spans="1:332" ht="24.95" customHeight="1">
      <c r="A26" s="985"/>
      <c r="B26" s="403" t="s">
        <v>19</v>
      </c>
      <c r="C26" s="412">
        <v>2</v>
      </c>
      <c r="D26" s="200">
        <v>100</v>
      </c>
      <c r="E26" s="406">
        <f t="shared" si="2"/>
        <v>2</v>
      </c>
      <c r="F26" s="200"/>
      <c r="G26" s="126"/>
      <c r="H26" s="127"/>
      <c r="I26" s="127"/>
      <c r="J26" s="127"/>
      <c r="K26" s="127"/>
      <c r="L26" s="127">
        <v>200</v>
      </c>
      <c r="M26" s="127"/>
      <c r="N26" s="354">
        <f t="shared" si="3"/>
        <v>200</v>
      </c>
      <c r="O26" s="188"/>
      <c r="P26" s="105"/>
      <c r="Q26" s="106"/>
      <c r="R26" s="106"/>
      <c r="S26" s="106"/>
      <c r="T26" s="237"/>
      <c r="U26" s="105" t="s">
        <v>437</v>
      </c>
      <c r="V26" s="106" t="s">
        <v>437</v>
      </c>
      <c r="W26" s="106" t="s">
        <v>437</v>
      </c>
      <c r="X26" s="106" t="s">
        <v>437</v>
      </c>
      <c r="Y26" s="107" t="s">
        <v>437</v>
      </c>
      <c r="Z26" s="102"/>
      <c r="AA26" s="101"/>
      <c r="AB26" s="101"/>
      <c r="AC26" s="101"/>
      <c r="AD26" s="98"/>
      <c r="AE26" s="281" t="s">
        <v>437</v>
      </c>
      <c r="AF26" s="106" t="s">
        <v>437</v>
      </c>
      <c r="AG26" s="106" t="s">
        <v>437</v>
      </c>
      <c r="AH26" s="106" t="s">
        <v>437</v>
      </c>
      <c r="AI26" s="106" t="s">
        <v>437</v>
      </c>
      <c r="AJ26" s="100"/>
      <c r="AK26" s="101"/>
      <c r="AL26" s="101"/>
      <c r="AM26" s="101"/>
      <c r="AN26" s="98"/>
      <c r="AO26" s="100"/>
      <c r="AP26" s="101"/>
      <c r="AQ26" s="101"/>
      <c r="AR26" s="101"/>
      <c r="AS26" s="98"/>
      <c r="AT26" s="100"/>
      <c r="AU26" s="101"/>
      <c r="AV26" s="101"/>
      <c r="AW26" s="101"/>
      <c r="AX26" s="103" t="s">
        <v>244</v>
      </c>
      <c r="AY26" s="100"/>
      <c r="AZ26" s="101"/>
      <c r="BA26" s="101"/>
      <c r="BB26" s="101"/>
      <c r="BC26" s="98"/>
      <c r="BD26" s="102"/>
      <c r="BE26" s="104"/>
      <c r="BF26" s="104"/>
      <c r="BG26" s="104"/>
      <c r="BH26" s="104"/>
      <c r="BI26" s="392"/>
      <c r="BJ26" s="102"/>
      <c r="BK26" s="101"/>
      <c r="BL26" s="101"/>
      <c r="BM26" s="101" t="s">
        <v>244</v>
      </c>
      <c r="BN26" s="103" t="s">
        <v>244</v>
      </c>
      <c r="BO26" s="100"/>
      <c r="BP26" s="101"/>
      <c r="BQ26" s="101"/>
      <c r="BR26" s="101"/>
      <c r="BS26" s="98"/>
      <c r="BT26" s="100"/>
      <c r="BU26" s="101"/>
      <c r="BV26" s="101"/>
      <c r="BW26" s="101"/>
      <c r="BX26" s="98"/>
      <c r="BY26" s="102"/>
      <c r="BZ26" s="101"/>
      <c r="CA26" s="101"/>
      <c r="CB26" s="101"/>
      <c r="CC26" s="98"/>
      <c r="CD26" s="102"/>
      <c r="CE26" s="101"/>
      <c r="CF26" s="101"/>
      <c r="CG26" s="101"/>
      <c r="CH26" s="98"/>
      <c r="CI26" s="100"/>
      <c r="CJ26" s="101"/>
      <c r="CK26" s="101"/>
      <c r="CL26" s="101"/>
      <c r="CM26" s="98"/>
      <c r="CN26" s="100"/>
      <c r="CO26" s="101"/>
      <c r="CP26" s="101"/>
      <c r="CQ26" s="101"/>
      <c r="CR26" s="98"/>
      <c r="CS26" s="100"/>
      <c r="CT26" s="101"/>
      <c r="CU26" s="101"/>
      <c r="CV26" s="101"/>
      <c r="CW26" s="98"/>
      <c r="CX26" s="102"/>
      <c r="CY26" s="101"/>
      <c r="CZ26" s="101"/>
      <c r="DA26" s="101"/>
      <c r="DB26" s="98"/>
      <c r="DC26" s="489"/>
      <c r="DD26" s="101"/>
      <c r="DE26" s="101"/>
      <c r="DF26" s="101"/>
      <c r="DG26" s="98"/>
      <c r="DH26" s="100"/>
      <c r="DI26" s="101"/>
      <c r="DJ26" s="101"/>
      <c r="DK26" s="101"/>
      <c r="DL26" s="98"/>
      <c r="DM26" s="100"/>
      <c r="DN26" s="101"/>
      <c r="DO26" s="101"/>
      <c r="DP26" s="101"/>
      <c r="DQ26" s="103"/>
      <c r="DR26" s="116"/>
      <c r="DS26" s="117"/>
      <c r="DT26" s="117"/>
      <c r="DU26" s="117"/>
      <c r="DV26" s="227"/>
      <c r="DW26" s="116"/>
      <c r="DX26" s="117"/>
      <c r="DY26" s="117"/>
      <c r="DZ26" s="117"/>
      <c r="EA26" s="227"/>
      <c r="EB26" s="489"/>
      <c r="EC26" s="117"/>
      <c r="ED26" s="117"/>
      <c r="EE26" s="117"/>
      <c r="EF26" s="118"/>
      <c r="EG26" s="119"/>
      <c r="EH26" s="117"/>
      <c r="EI26" s="117"/>
      <c r="EJ26" s="117"/>
      <c r="EK26" s="118"/>
      <c r="EL26" s="116"/>
      <c r="EM26" s="117"/>
      <c r="EN26" s="117"/>
      <c r="EO26" s="117"/>
      <c r="EP26" s="227"/>
      <c r="EQ26" s="117"/>
      <c r="ER26" s="117"/>
      <c r="ES26" s="117"/>
      <c r="ET26" s="117"/>
      <c r="EU26" s="117"/>
      <c r="EV26" s="117"/>
      <c r="EW26" s="117"/>
      <c r="EX26" s="117"/>
      <c r="EY26" s="117"/>
      <c r="EZ26" s="117"/>
      <c r="FA26" s="117"/>
      <c r="FB26" s="117"/>
      <c r="FC26" s="117"/>
      <c r="FD26" s="117"/>
      <c r="FE26" s="117"/>
      <c r="FF26" s="117"/>
      <c r="FG26" s="117"/>
      <c r="FH26" s="117"/>
      <c r="FI26" s="117"/>
      <c r="FJ26" s="101"/>
      <c r="FK26" s="117"/>
      <c r="FL26" s="117"/>
      <c r="FM26" s="316" t="s">
        <v>506</v>
      </c>
      <c r="FN26" s="117"/>
      <c r="FP26" s="491"/>
      <c r="FQ26" s="491"/>
      <c r="FR26" s="491"/>
      <c r="FT26" s="117"/>
      <c r="FU26" s="117"/>
      <c r="FV26" s="117"/>
      <c r="FW26" s="117"/>
      <c r="FX26" s="117"/>
      <c r="FY26" s="117"/>
      <c r="FZ26" s="117"/>
      <c r="GA26" s="117"/>
      <c r="GB26" s="117"/>
      <c r="GC26" s="117"/>
      <c r="GD26" s="491"/>
      <c r="GE26" s="491"/>
      <c r="GF26" s="117"/>
      <c r="GG26" s="117"/>
      <c r="GH26" s="117"/>
      <c r="GI26" s="491"/>
      <c r="GJ26" s="491"/>
      <c r="GK26" s="117"/>
      <c r="GL26" s="117"/>
      <c r="GM26" s="117"/>
      <c r="GN26" s="117"/>
      <c r="GO26" s="227"/>
      <c r="GP26" s="117"/>
      <c r="GQ26" s="117"/>
      <c r="GR26" s="117"/>
      <c r="GS26" s="117"/>
      <c r="GT26" s="117"/>
      <c r="GU26" s="117"/>
      <c r="GV26" s="117"/>
      <c r="GW26" s="117"/>
      <c r="GX26" s="117"/>
      <c r="GY26" s="227"/>
      <c r="GZ26" s="117"/>
      <c r="HA26" s="117"/>
      <c r="HB26" s="117"/>
      <c r="HC26" s="117"/>
      <c r="HD26" s="117"/>
      <c r="HE26" s="117"/>
      <c r="HF26" s="117"/>
      <c r="HG26" s="117"/>
      <c r="HH26" s="117"/>
      <c r="HI26" s="117"/>
      <c r="HJ26" s="117"/>
      <c r="HK26" s="117"/>
      <c r="HL26" s="117"/>
      <c r="HM26" s="117"/>
      <c r="HN26" s="117"/>
      <c r="HO26" s="117"/>
      <c r="HP26" s="117"/>
      <c r="HQ26" s="117"/>
      <c r="HR26" s="117"/>
      <c r="HS26" s="117"/>
      <c r="HT26" s="117"/>
      <c r="HU26" s="117"/>
      <c r="HV26" s="117"/>
      <c r="HW26" s="117"/>
      <c r="HX26" s="117"/>
      <c r="HY26" s="117"/>
      <c r="HZ26" s="117"/>
      <c r="IA26" s="117"/>
      <c r="IB26" s="117"/>
      <c r="IC26" s="117"/>
      <c r="ID26" s="117"/>
      <c r="IE26" s="117"/>
      <c r="IF26" s="117"/>
      <c r="IG26" s="491"/>
      <c r="IH26" s="491"/>
      <c r="II26" s="117"/>
      <c r="IJ26" s="117"/>
      <c r="IK26" s="117"/>
      <c r="IL26" s="117"/>
      <c r="IM26" s="117"/>
      <c r="IN26" s="117"/>
      <c r="IO26" s="117"/>
      <c r="IP26" s="117"/>
      <c r="IQ26" s="117"/>
      <c r="IR26" s="117"/>
      <c r="IS26" s="117"/>
      <c r="IT26" s="117"/>
      <c r="IU26" s="117"/>
      <c r="IV26" s="117"/>
      <c r="IW26" s="117"/>
      <c r="IX26" s="117"/>
      <c r="IY26" s="117"/>
      <c r="IZ26" s="117"/>
      <c r="JA26" s="117"/>
      <c r="JB26" s="117"/>
      <c r="JC26" s="117"/>
      <c r="JD26" s="117"/>
      <c r="JE26" s="117"/>
      <c r="JF26" s="117"/>
      <c r="JG26" s="117"/>
      <c r="JH26" s="117"/>
      <c r="JI26" s="117"/>
      <c r="JJ26" s="117"/>
      <c r="JK26" s="117"/>
      <c r="JL26" s="117"/>
      <c r="JM26" s="117"/>
      <c r="JN26" s="117"/>
      <c r="JO26" s="117"/>
      <c r="JP26" s="491"/>
      <c r="JQ26" s="491"/>
      <c r="JR26" s="117"/>
      <c r="JS26" s="117"/>
      <c r="JT26" s="117"/>
      <c r="JU26" s="117"/>
      <c r="JV26" s="117"/>
      <c r="JW26" s="117"/>
      <c r="JX26" s="117"/>
      <c r="JY26" s="491"/>
      <c r="JZ26" s="491"/>
      <c r="KA26" s="491"/>
      <c r="KB26" s="117"/>
      <c r="KC26" s="227"/>
      <c r="KD26" s="117"/>
      <c r="KE26" s="117"/>
      <c r="KF26" s="117"/>
      <c r="KG26" s="117"/>
      <c r="KH26" s="117"/>
      <c r="KI26" s="117"/>
      <c r="KJ26" s="117"/>
      <c r="KK26" s="117"/>
      <c r="KL26" s="117"/>
      <c r="KM26" s="117"/>
      <c r="KN26" s="117"/>
      <c r="KO26" s="117"/>
      <c r="KP26" s="491"/>
      <c r="KQ26" s="491"/>
      <c r="KR26" s="117"/>
      <c r="KS26" s="117"/>
      <c r="KT26" s="117"/>
      <c r="KU26" s="117"/>
      <c r="KV26" s="117"/>
      <c r="KW26" s="117"/>
      <c r="KZ26" s="117"/>
      <c r="LA26" s="117"/>
      <c r="LB26" s="508" t="s">
        <v>506</v>
      </c>
      <c r="LC26" s="508" t="s">
        <v>506</v>
      </c>
      <c r="LD26" s="117"/>
      <c r="LE26" s="491"/>
      <c r="LF26" s="117"/>
      <c r="LG26" s="117"/>
      <c r="LH26" s="117"/>
      <c r="LI26" s="117"/>
      <c r="LJ26" s="117"/>
      <c r="LK26" s="117"/>
      <c r="LL26" s="117"/>
      <c r="LM26" s="117"/>
      <c r="LN26" s="117"/>
      <c r="LO26" s="117"/>
      <c r="LP26" s="117"/>
      <c r="LQ26" s="117"/>
      <c r="LR26" s="117"/>
      <c r="LS26" s="117"/>
      <c r="LT26" s="117"/>
    </row>
    <row r="27" spans="1:332" ht="24.95" customHeight="1">
      <c r="A27" s="985"/>
      <c r="B27" s="403" t="s">
        <v>29</v>
      </c>
      <c r="C27" s="412">
        <v>2</v>
      </c>
      <c r="D27" s="200">
        <v>75</v>
      </c>
      <c r="E27" s="406">
        <f t="shared" si="2"/>
        <v>0</v>
      </c>
      <c r="F27" s="200"/>
      <c r="G27" s="127"/>
      <c r="H27" s="127"/>
      <c r="I27" s="127"/>
      <c r="J27" s="127"/>
      <c r="K27" s="127"/>
      <c r="L27" s="127"/>
      <c r="M27" s="127"/>
      <c r="N27" s="354">
        <f t="shared" si="3"/>
        <v>0</v>
      </c>
      <c r="O27" s="188"/>
      <c r="P27" s="105"/>
      <c r="Q27" s="106"/>
      <c r="R27" s="106"/>
      <c r="S27" s="106"/>
      <c r="T27" s="237"/>
      <c r="U27" s="105" t="s">
        <v>437</v>
      </c>
      <c r="V27" s="106" t="s">
        <v>437</v>
      </c>
      <c r="W27" s="106" t="s">
        <v>437</v>
      </c>
      <c r="X27" s="106" t="s">
        <v>437</v>
      </c>
      <c r="Y27" s="107" t="s">
        <v>437</v>
      </c>
      <c r="Z27" s="102"/>
      <c r="AA27" s="101"/>
      <c r="AB27" s="101"/>
      <c r="AC27" s="101"/>
      <c r="AD27" s="98"/>
      <c r="AE27" s="281" t="s">
        <v>437</v>
      </c>
      <c r="AF27" s="106" t="s">
        <v>437</v>
      </c>
      <c r="AG27" s="106" t="s">
        <v>437</v>
      </c>
      <c r="AH27" s="106" t="s">
        <v>437</v>
      </c>
      <c r="AI27" s="106" t="s">
        <v>437</v>
      </c>
      <c r="AJ27" s="334" t="s">
        <v>474</v>
      </c>
      <c r="AK27" s="101"/>
      <c r="AL27" s="101"/>
      <c r="AM27" s="101"/>
      <c r="AN27" s="98"/>
      <c r="AO27" s="100"/>
      <c r="AP27" s="101"/>
      <c r="AQ27" s="101"/>
      <c r="AR27" s="101"/>
      <c r="AS27" s="98"/>
      <c r="AT27" s="100"/>
      <c r="AU27" s="101"/>
      <c r="AV27" s="101"/>
      <c r="AW27" s="101"/>
      <c r="AX27" s="103" t="s">
        <v>244</v>
      </c>
      <c r="AY27" s="100"/>
      <c r="AZ27" s="101"/>
      <c r="BA27" s="101"/>
      <c r="BB27" s="117"/>
      <c r="BC27" s="118"/>
      <c r="BD27" s="102"/>
      <c r="BE27" s="101"/>
      <c r="BF27" s="104"/>
      <c r="BG27" s="104"/>
      <c r="BH27" s="117"/>
      <c r="BI27" s="392"/>
      <c r="BJ27" s="102"/>
      <c r="BK27" s="101"/>
      <c r="BL27" s="101"/>
      <c r="BM27" s="101" t="s">
        <v>244</v>
      </c>
      <c r="BN27" s="103" t="s">
        <v>244</v>
      </c>
      <c r="BO27" s="331"/>
      <c r="BP27" s="332"/>
      <c r="BQ27" s="332"/>
      <c r="BR27" s="332"/>
      <c r="BS27" s="98"/>
      <c r="BT27" s="100"/>
      <c r="BU27" s="101"/>
      <c r="BV27" s="101"/>
      <c r="CD27" s="110"/>
      <c r="CE27" s="110"/>
      <c r="CF27" s="110"/>
      <c r="CG27" s="110"/>
      <c r="CH27" s="110"/>
      <c r="CI27" s="110"/>
      <c r="CJ27" s="101"/>
      <c r="CK27" s="101"/>
      <c r="CL27" s="101"/>
      <c r="CM27" s="98"/>
      <c r="CN27" s="100"/>
      <c r="CO27" s="101"/>
      <c r="CP27" s="101"/>
      <c r="CQ27" s="101"/>
      <c r="CR27" s="98"/>
      <c r="CS27" s="100"/>
      <c r="CT27" s="101"/>
      <c r="CU27" s="101"/>
      <c r="CV27" s="101"/>
      <c r="CW27" s="98"/>
      <c r="CX27" s="102"/>
      <c r="CY27" s="101"/>
      <c r="CZ27" s="101"/>
      <c r="DA27" s="101"/>
      <c r="DB27" s="98"/>
      <c r="DC27" s="489"/>
      <c r="DD27" s="336"/>
      <c r="DE27" s="336"/>
      <c r="DF27" s="336"/>
      <c r="DG27" s="487"/>
      <c r="DH27" s="487"/>
      <c r="DI27" s="487"/>
      <c r="DJ27" s="487"/>
      <c r="DK27" s="487"/>
      <c r="DL27" s="98"/>
      <c r="DM27" s="100"/>
      <c r="DN27" s="101"/>
      <c r="DO27" s="101"/>
      <c r="DP27" s="101"/>
      <c r="DQ27" s="103"/>
      <c r="DR27" s="116"/>
      <c r="DS27" s="117"/>
      <c r="DT27" s="117"/>
      <c r="DU27" s="117"/>
      <c r="DV27" s="227"/>
      <c r="DW27" s="116"/>
      <c r="DX27" s="117"/>
      <c r="DY27" s="117"/>
      <c r="DZ27" s="117"/>
      <c r="EA27" s="227"/>
      <c r="EB27" s="489"/>
      <c r="EC27" s="117"/>
      <c r="ED27" s="117"/>
      <c r="EE27" s="117"/>
      <c r="EF27" s="118"/>
      <c r="EG27" s="119"/>
      <c r="EH27" s="117"/>
      <c r="EI27" s="117"/>
      <c r="EJ27" s="117"/>
      <c r="EK27" s="118"/>
      <c r="EL27" s="116"/>
      <c r="EM27" s="117"/>
      <c r="EN27" s="117"/>
      <c r="EO27" s="117"/>
      <c r="EP27" s="227"/>
      <c r="EQ27" s="117"/>
      <c r="ER27" s="117"/>
      <c r="ES27" s="117"/>
      <c r="ET27" s="117"/>
      <c r="EU27" s="117"/>
      <c r="EV27" s="117"/>
      <c r="EW27" s="117"/>
      <c r="EX27" s="117"/>
      <c r="EY27" s="117"/>
      <c r="EZ27" s="117"/>
      <c r="FA27" s="117"/>
      <c r="FB27" s="117"/>
      <c r="FC27" s="117"/>
      <c r="FD27" s="117"/>
      <c r="FE27" s="117"/>
      <c r="FF27" s="117"/>
      <c r="FG27" s="117"/>
      <c r="FH27" s="117"/>
      <c r="FI27" s="117"/>
      <c r="FJ27" s="101"/>
      <c r="FK27" s="117"/>
      <c r="FL27" s="117"/>
      <c r="FM27" s="117"/>
      <c r="FN27" s="117"/>
      <c r="FO27" s="117"/>
      <c r="FP27" s="491"/>
      <c r="FQ27" s="491"/>
      <c r="FR27" s="491"/>
      <c r="FS27" s="117"/>
      <c r="FT27" s="117"/>
      <c r="FU27" s="117"/>
      <c r="FV27" s="117"/>
      <c r="FW27" s="117"/>
      <c r="FX27" s="117"/>
      <c r="FY27" s="117"/>
      <c r="FZ27" s="117"/>
      <c r="GA27" s="117"/>
      <c r="GB27" s="117"/>
      <c r="GC27" s="117"/>
      <c r="GD27" s="491"/>
      <c r="GE27" s="491"/>
      <c r="GF27" s="117"/>
      <c r="GG27" s="117"/>
      <c r="GH27" s="117"/>
      <c r="GI27" s="491"/>
      <c r="GJ27" s="491"/>
      <c r="GK27" s="117"/>
      <c r="GL27" s="117"/>
      <c r="GM27" s="117"/>
      <c r="GN27" s="117"/>
      <c r="GO27" s="227"/>
      <c r="GP27" s="117"/>
      <c r="GQ27" s="117"/>
      <c r="GR27" s="117"/>
      <c r="GS27" s="117"/>
      <c r="GT27" s="117"/>
      <c r="GU27" s="117"/>
      <c r="GV27" s="117"/>
      <c r="GW27" s="117"/>
      <c r="GX27" s="117"/>
      <c r="GY27" s="227"/>
      <c r="GZ27" s="117"/>
      <c r="HA27" s="117"/>
      <c r="HB27" s="117"/>
      <c r="HC27" s="117"/>
      <c r="HD27" s="117"/>
      <c r="HE27" s="117"/>
      <c r="HF27" s="117"/>
      <c r="HG27" s="117"/>
      <c r="HH27" s="117"/>
      <c r="HI27" s="117"/>
      <c r="HJ27" s="117"/>
      <c r="HK27" s="117"/>
      <c r="HL27" s="117"/>
      <c r="HM27" s="117"/>
      <c r="HN27" s="117"/>
      <c r="HO27" s="117"/>
      <c r="HP27" s="117"/>
      <c r="HQ27" s="117"/>
      <c r="HR27" s="117"/>
      <c r="HS27" s="117"/>
      <c r="HV27" s="117"/>
      <c r="HW27" s="117"/>
      <c r="HX27" s="117"/>
      <c r="HY27" s="117"/>
      <c r="HZ27" s="117"/>
      <c r="IA27" s="117"/>
      <c r="IB27" s="117"/>
      <c r="ID27" s="316" t="s">
        <v>572</v>
      </c>
      <c r="IE27" s="316" t="s">
        <v>1010</v>
      </c>
      <c r="IF27" s="316" t="s">
        <v>1011</v>
      </c>
      <c r="IG27" s="491"/>
      <c r="IH27" s="491"/>
      <c r="II27" s="117"/>
      <c r="IJ27" s="117"/>
      <c r="IK27" s="117"/>
      <c r="IL27" s="117"/>
      <c r="IM27" s="117"/>
      <c r="IN27" s="117"/>
      <c r="IO27" s="117"/>
      <c r="IP27" s="117"/>
      <c r="IQ27" s="117"/>
      <c r="IR27" s="117"/>
      <c r="IS27" s="117"/>
      <c r="IT27" s="117"/>
      <c r="IU27" s="117"/>
      <c r="IV27" s="117"/>
      <c r="IW27" s="117"/>
      <c r="IX27" s="117"/>
      <c r="IY27" s="117"/>
      <c r="IZ27" s="117"/>
      <c r="JA27" s="117"/>
      <c r="JB27" s="117"/>
      <c r="JC27" s="117"/>
      <c r="JD27" s="117"/>
      <c r="JE27" s="117"/>
      <c r="JF27" s="117"/>
      <c r="JG27" s="117"/>
      <c r="JH27" s="117"/>
      <c r="JI27" s="117"/>
      <c r="JJ27" s="117"/>
      <c r="JK27" s="117"/>
      <c r="JL27" s="117"/>
      <c r="JM27" s="117"/>
      <c r="JN27" s="117"/>
      <c r="JO27" s="117"/>
      <c r="JP27" s="491"/>
      <c r="JQ27" s="491"/>
      <c r="JR27" s="117"/>
      <c r="JS27" s="117"/>
      <c r="JT27" s="117"/>
      <c r="JU27" s="117"/>
      <c r="JV27" s="117"/>
      <c r="JW27" s="117"/>
      <c r="JX27" s="117"/>
      <c r="JY27" s="491"/>
      <c r="JZ27" s="491"/>
      <c r="KA27" s="491"/>
      <c r="KB27" s="117"/>
      <c r="KC27" s="227"/>
      <c r="KD27" s="117"/>
      <c r="KE27" s="117"/>
      <c r="KF27" s="117"/>
      <c r="KG27" s="117"/>
      <c r="KH27" s="117"/>
      <c r="KI27" s="117"/>
      <c r="KJ27" s="117"/>
      <c r="KK27" s="117"/>
      <c r="KL27" s="117"/>
      <c r="KM27" s="117"/>
      <c r="KN27" s="117"/>
      <c r="KO27" s="117"/>
      <c r="KP27" s="491"/>
      <c r="KQ27" s="491"/>
      <c r="KR27" s="117"/>
      <c r="KS27" s="117"/>
      <c r="KT27" s="117"/>
      <c r="KU27" s="117"/>
      <c r="KV27" s="117"/>
      <c r="KW27" s="117"/>
      <c r="KX27" s="117"/>
      <c r="KY27" s="117"/>
      <c r="KZ27" s="117"/>
      <c r="LA27" s="117"/>
      <c r="LB27" s="117"/>
      <c r="LC27" s="117"/>
      <c r="LD27" s="117"/>
      <c r="LE27" s="491"/>
      <c r="LF27" s="117"/>
      <c r="LG27" s="117"/>
      <c r="LH27" s="117"/>
      <c r="LI27" s="117"/>
      <c r="LJ27" s="117"/>
      <c r="LK27" s="117"/>
      <c r="LL27" s="117"/>
      <c r="LM27" s="117"/>
      <c r="LN27" s="117"/>
      <c r="LO27" s="117"/>
      <c r="LP27" s="117"/>
      <c r="LQ27" s="117"/>
      <c r="LR27" s="117"/>
      <c r="LS27" s="117"/>
      <c r="LT27" s="117"/>
    </row>
    <row r="28" spans="1:332" ht="24.95" customHeight="1">
      <c r="A28" s="985"/>
      <c r="B28" s="403" t="s">
        <v>35</v>
      </c>
      <c r="C28" s="412">
        <v>1</v>
      </c>
      <c r="D28" s="201">
        <v>400</v>
      </c>
      <c r="E28" s="226">
        <f t="shared" si="2"/>
        <v>0</v>
      </c>
      <c r="F28" s="201"/>
      <c r="G28" s="127"/>
      <c r="H28" s="127"/>
      <c r="I28" s="127"/>
      <c r="J28" s="127"/>
      <c r="K28" s="127"/>
      <c r="L28" s="127"/>
      <c r="M28" s="127"/>
      <c r="N28" s="354"/>
      <c r="O28" s="188"/>
      <c r="P28" s="105"/>
      <c r="Q28" s="106"/>
      <c r="R28" s="106"/>
      <c r="S28" s="106"/>
      <c r="T28" s="237"/>
      <c r="U28" s="105" t="s">
        <v>437</v>
      </c>
      <c r="V28" s="106" t="s">
        <v>437</v>
      </c>
      <c r="W28" s="106" t="s">
        <v>437</v>
      </c>
      <c r="X28" s="106" t="s">
        <v>437</v>
      </c>
      <c r="Y28" s="107" t="s">
        <v>437</v>
      </c>
      <c r="Z28" s="102"/>
      <c r="AA28" s="101"/>
      <c r="AB28" s="101"/>
      <c r="AC28" s="101"/>
      <c r="AD28" s="243" t="s">
        <v>476</v>
      </c>
      <c r="AE28" s="281" t="s">
        <v>437</v>
      </c>
      <c r="AF28" s="106" t="s">
        <v>437</v>
      </c>
      <c r="AG28" s="106" t="s">
        <v>437</v>
      </c>
      <c r="AH28" s="106" t="s">
        <v>437</v>
      </c>
      <c r="AI28" s="106"/>
      <c r="AJ28" s="100"/>
      <c r="AK28" s="101"/>
      <c r="AL28" s="316"/>
      <c r="AM28" s="316"/>
      <c r="AN28" s="98"/>
      <c r="AO28" s="100"/>
      <c r="AP28" s="101"/>
      <c r="AQ28" s="101"/>
      <c r="AR28" s="101"/>
      <c r="AS28" s="98"/>
      <c r="AT28" s="100"/>
      <c r="AU28" s="101"/>
      <c r="AV28" s="101"/>
      <c r="AW28" s="101"/>
      <c r="AX28" s="103" t="s">
        <v>244</v>
      </c>
      <c r="AY28" s="100"/>
      <c r="AZ28" s="101"/>
      <c r="BA28" s="101"/>
      <c r="BB28" s="101"/>
      <c r="BC28" s="98"/>
      <c r="BD28" s="102"/>
      <c r="BE28" s="104"/>
      <c r="BF28" s="104"/>
      <c r="BG28" s="104"/>
      <c r="BH28" s="104"/>
      <c r="BM28" s="101" t="s">
        <v>244</v>
      </c>
      <c r="BN28" s="103" t="s">
        <v>244</v>
      </c>
      <c r="BO28" s="410"/>
      <c r="BP28" s="240"/>
      <c r="BQ28" s="101"/>
      <c r="BR28" s="101"/>
      <c r="BS28" s="98"/>
      <c r="BT28" s="428"/>
      <c r="BU28" s="101"/>
      <c r="BV28" s="101"/>
      <c r="BW28" s="101"/>
      <c r="BX28" s="98"/>
      <c r="BY28" s="102"/>
      <c r="BZ28" s="101"/>
      <c r="CA28" s="101"/>
      <c r="CB28" s="101"/>
      <c r="CC28" s="98"/>
      <c r="CD28" s="102"/>
      <c r="CE28" s="101"/>
      <c r="CF28" s="101"/>
      <c r="CG28" s="101"/>
      <c r="CH28" s="98"/>
      <c r="CI28" s="100"/>
      <c r="CJ28" s="343"/>
      <c r="CK28" s="343"/>
      <c r="CL28" s="101"/>
      <c r="CM28" s="98"/>
      <c r="CN28" s="100"/>
      <c r="CO28" s="101"/>
      <c r="CP28" s="101"/>
      <c r="CQ28" s="101"/>
      <c r="CR28" s="98"/>
      <c r="CS28" s="100"/>
      <c r="CT28" s="101"/>
      <c r="CU28" s="101"/>
      <c r="CV28" s="101"/>
      <c r="CW28" s="98"/>
      <c r="CX28" s="102"/>
      <c r="CY28" s="101"/>
      <c r="CZ28" s="101"/>
      <c r="DA28" s="101"/>
      <c r="DB28" s="98"/>
      <c r="DC28" s="489"/>
      <c r="DD28" s="101"/>
      <c r="DE28" s="101"/>
      <c r="DF28" s="101"/>
      <c r="DG28" s="506"/>
      <c r="DH28" s="100"/>
      <c r="DI28" s="101"/>
      <c r="DJ28" s="101"/>
      <c r="DK28" s="101"/>
      <c r="DL28" s="98"/>
      <c r="DM28" s="100"/>
      <c r="DN28" s="101"/>
      <c r="DO28" s="101"/>
      <c r="DP28" s="101"/>
      <c r="DQ28" s="531"/>
      <c r="DR28" s="116"/>
      <c r="DS28" s="117"/>
      <c r="DT28" s="117"/>
      <c r="DU28" s="117"/>
      <c r="DV28" s="227"/>
      <c r="DW28" s="116"/>
      <c r="DX28" s="238"/>
      <c r="DY28" s="238"/>
      <c r="DZ28" s="238"/>
      <c r="EA28" s="512"/>
      <c r="EB28" s="489"/>
      <c r="EC28" s="117"/>
      <c r="ED28" s="117"/>
      <c r="EE28" s="117"/>
      <c r="EF28" s="647"/>
      <c r="EG28" s="647"/>
      <c r="EH28" s="117"/>
      <c r="EI28" s="117"/>
      <c r="EJ28" s="117"/>
      <c r="EK28" s="118"/>
      <c r="EL28" s="116"/>
      <c r="EM28" s="117"/>
      <c r="EN28" s="442"/>
      <c r="EO28" s="117"/>
      <c r="EP28" s="227"/>
      <c r="EQ28" s="117"/>
      <c r="ER28" s="117"/>
      <c r="ES28" s="117"/>
      <c r="ET28" s="117"/>
      <c r="EU28" s="117"/>
      <c r="EV28" s="117"/>
      <c r="EW28" s="117"/>
      <c r="EX28" s="117"/>
      <c r="EY28" s="117"/>
      <c r="EZ28" s="117"/>
      <c r="FA28" s="117"/>
      <c r="FB28" s="117"/>
      <c r="FC28" s="117"/>
      <c r="FD28" s="117"/>
      <c r="FE28" s="117"/>
      <c r="FF28" s="117"/>
      <c r="FG28" s="117"/>
      <c r="FH28" s="117"/>
      <c r="FI28" s="117"/>
      <c r="FJ28" s="101"/>
      <c r="FK28" s="117"/>
      <c r="FL28" s="117"/>
      <c r="FM28" s="117"/>
      <c r="FN28" s="117"/>
      <c r="FO28" s="552"/>
      <c r="FP28" s="491"/>
      <c r="FQ28" s="491"/>
      <c r="FR28" s="491"/>
      <c r="FS28" s="101"/>
      <c r="FT28" s="552"/>
      <c r="FU28" s="101"/>
      <c r="FV28" s="117"/>
      <c r="FW28" s="117"/>
      <c r="FX28" s="117"/>
      <c r="FY28" s="117"/>
      <c r="FZ28" s="117"/>
      <c r="GA28" s="117"/>
      <c r="GB28" s="117"/>
      <c r="GC28" s="117"/>
      <c r="GD28" s="491"/>
      <c r="GE28" s="491"/>
      <c r="GF28" s="117"/>
      <c r="GG28" s="117"/>
      <c r="GH28" s="117"/>
      <c r="GI28" s="491"/>
      <c r="GJ28" s="491"/>
      <c r="GK28" s="117"/>
      <c r="GL28" s="117"/>
      <c r="GM28" s="117"/>
      <c r="GN28" s="117"/>
      <c r="GO28" s="117"/>
      <c r="GP28" s="117"/>
      <c r="GQ28" s="117"/>
      <c r="GR28" s="117"/>
      <c r="GS28" s="117"/>
      <c r="GT28" s="420"/>
      <c r="GU28" s="117"/>
      <c r="GV28" s="117"/>
      <c r="GW28" s="117"/>
      <c r="GX28" s="117"/>
      <c r="GY28" s="227"/>
      <c r="GZ28" s="117"/>
      <c r="HA28" s="117"/>
      <c r="HB28" s="117"/>
      <c r="HC28" s="117"/>
      <c r="HD28" s="117"/>
      <c r="HE28" s="117"/>
      <c r="HF28" s="117"/>
      <c r="HG28" s="117"/>
      <c r="HH28" s="117"/>
      <c r="HI28" s="117"/>
      <c r="HJ28" s="117"/>
      <c r="HK28" s="117"/>
      <c r="HL28" s="117"/>
      <c r="HM28" s="117"/>
      <c r="HN28" s="117"/>
      <c r="HO28" s="117"/>
      <c r="HP28" s="117"/>
      <c r="HQ28" s="117"/>
      <c r="HR28" s="117"/>
      <c r="HS28" s="117"/>
      <c r="HT28" s="117"/>
      <c r="HU28" s="117"/>
      <c r="HV28" s="117"/>
      <c r="HW28" s="117"/>
      <c r="HX28" s="117"/>
      <c r="HY28" s="117"/>
      <c r="HZ28" s="117"/>
      <c r="IA28" s="117"/>
      <c r="IB28" s="117"/>
      <c r="IC28" s="117"/>
      <c r="ID28" s="117"/>
      <c r="IE28" s="117"/>
      <c r="IF28" s="117"/>
      <c r="IG28" s="491"/>
      <c r="IH28" s="491"/>
      <c r="II28" s="117"/>
      <c r="IJ28" s="117"/>
      <c r="IK28" s="117"/>
      <c r="IL28" s="117"/>
      <c r="IM28" s="117"/>
      <c r="IN28" s="117"/>
      <c r="IO28" s="117"/>
      <c r="IP28" s="117"/>
      <c r="IQ28" s="117"/>
      <c r="IR28" s="117"/>
      <c r="IS28" s="117"/>
      <c r="IT28" s="117"/>
      <c r="IU28" s="117"/>
      <c r="IV28" s="117"/>
      <c r="IW28" s="117"/>
      <c r="IX28" s="117"/>
      <c r="IY28" s="117"/>
      <c r="IZ28" s="117"/>
      <c r="JA28" s="117"/>
      <c r="JB28" s="117"/>
      <c r="JC28" s="117"/>
      <c r="JD28" s="117"/>
      <c r="JE28" s="117"/>
      <c r="JF28" s="117"/>
      <c r="JG28" s="117"/>
      <c r="JH28" s="117"/>
      <c r="JI28" s="117"/>
      <c r="JJ28" s="117"/>
      <c r="JK28" s="117"/>
      <c r="JL28" s="117"/>
      <c r="JM28" s="117"/>
      <c r="JN28" s="117"/>
      <c r="JO28" s="117"/>
      <c r="JP28" s="491"/>
      <c r="JQ28" s="491"/>
      <c r="JR28" s="117"/>
      <c r="JS28" s="117"/>
      <c r="JT28" s="117"/>
      <c r="JU28" s="117"/>
      <c r="JV28" s="117"/>
      <c r="JW28" s="117"/>
      <c r="JX28" s="117"/>
      <c r="JY28" s="491"/>
      <c r="JZ28" s="491"/>
      <c r="KA28" s="491"/>
      <c r="KB28" s="117"/>
      <c r="KC28" s="227"/>
      <c r="KD28" s="117"/>
      <c r="KE28" s="117"/>
      <c r="KF28" s="117"/>
      <c r="KG28" s="117"/>
      <c r="KH28" s="117"/>
      <c r="KI28" s="117"/>
      <c r="KJ28" s="117"/>
      <c r="KK28" s="117"/>
      <c r="KL28" s="117"/>
      <c r="KM28" s="117"/>
      <c r="KN28" s="117"/>
      <c r="KO28" s="117"/>
      <c r="KP28" s="491"/>
      <c r="KQ28" s="491"/>
      <c r="KR28" s="117"/>
      <c r="KS28" s="117"/>
      <c r="KT28" s="117"/>
      <c r="KU28" s="117"/>
      <c r="KV28" s="117"/>
      <c r="KW28" s="117"/>
      <c r="KX28" s="117"/>
      <c r="KY28" s="117"/>
      <c r="KZ28" s="117"/>
      <c r="LA28" s="117"/>
      <c r="LB28" s="117"/>
      <c r="LC28" s="117"/>
      <c r="LD28" s="117"/>
      <c r="LE28" s="491"/>
      <c r="LF28" s="117"/>
      <c r="LG28" s="117"/>
      <c r="LH28" s="117"/>
      <c r="LI28" s="117"/>
      <c r="LJ28" s="117"/>
      <c r="LK28" s="117"/>
      <c r="LL28" s="117"/>
      <c r="LM28" s="117"/>
      <c r="LN28" s="117"/>
      <c r="LO28" s="117"/>
      <c r="LP28" s="117"/>
      <c r="LQ28" s="117"/>
      <c r="LR28" s="117"/>
      <c r="LS28" s="117"/>
      <c r="LT28" s="117"/>
    </row>
    <row r="29" spans="1:332" ht="24.95" customHeight="1">
      <c r="A29" s="985" t="s">
        <v>3</v>
      </c>
      <c r="B29" s="205" t="s">
        <v>50</v>
      </c>
      <c r="C29" s="220">
        <v>1</v>
      </c>
      <c r="D29" s="203">
        <v>180</v>
      </c>
      <c r="E29" s="226" t="e">
        <f t="shared" si="2"/>
        <v>#REF!</v>
      </c>
      <c r="F29" s="203">
        <v>1600</v>
      </c>
      <c r="G29" s="129"/>
      <c r="H29" s="129"/>
      <c r="I29" s="205"/>
      <c r="J29" s="129"/>
      <c r="K29" s="129"/>
      <c r="L29" s="129"/>
      <c r="M29" s="129"/>
      <c r="N29" s="354" t="e">
        <f>SUM(F29:M29)-#REF!</f>
        <v>#REF!</v>
      </c>
      <c r="O29" s="188"/>
      <c r="P29" s="105"/>
      <c r="Q29" s="106"/>
      <c r="R29" s="106"/>
      <c r="S29" s="106"/>
      <c r="T29" s="237"/>
      <c r="U29" s="105" t="s">
        <v>437</v>
      </c>
      <c r="V29" s="106" t="s">
        <v>437</v>
      </c>
      <c r="W29" s="106" t="s">
        <v>437</v>
      </c>
      <c r="X29" s="106" t="s">
        <v>437</v>
      </c>
      <c r="Y29" s="107" t="s">
        <v>437</v>
      </c>
      <c r="Z29" s="239"/>
      <c r="AA29" s="101"/>
      <c r="AB29" s="242"/>
      <c r="AC29" s="101"/>
      <c r="AD29" s="242"/>
      <c r="AE29" s="281" t="s">
        <v>437</v>
      </c>
      <c r="AF29" s="106" t="s">
        <v>437</v>
      </c>
      <c r="AG29" s="106" t="s">
        <v>437</v>
      </c>
      <c r="AH29" s="106" t="s">
        <v>437</v>
      </c>
      <c r="AI29" s="106" t="s">
        <v>437</v>
      </c>
      <c r="AJ29" s="315"/>
      <c r="AK29" s="316"/>
      <c r="AL29" s="316"/>
      <c r="AM29" s="334" t="s">
        <v>545</v>
      </c>
      <c r="AN29" s="317">
        <v>2</v>
      </c>
      <c r="AO29" s="315">
        <v>2</v>
      </c>
      <c r="AP29" s="316">
        <v>3</v>
      </c>
      <c r="AQ29" s="316">
        <v>3</v>
      </c>
      <c r="AR29" s="334" t="s">
        <v>544</v>
      </c>
      <c r="AS29" s="101"/>
      <c r="AT29" s="316">
        <v>4</v>
      </c>
      <c r="AU29" s="316">
        <v>4</v>
      </c>
      <c r="AV29" s="101"/>
      <c r="AW29" s="334" t="s">
        <v>543</v>
      </c>
      <c r="AX29" s="103" t="s">
        <v>244</v>
      </c>
      <c r="AY29" s="100"/>
      <c r="AZ29" s="117"/>
      <c r="BA29" s="101"/>
      <c r="BB29" s="334" t="s">
        <v>541</v>
      </c>
      <c r="BC29" s="118"/>
      <c r="BD29" s="102"/>
      <c r="BE29" s="104"/>
      <c r="BF29" s="104"/>
      <c r="BG29" s="101"/>
      <c r="BH29" s="402" t="s">
        <v>542</v>
      </c>
      <c r="BI29" s="317">
        <v>6</v>
      </c>
      <c r="BJ29" s="390">
        <v>6</v>
      </c>
      <c r="BK29" s="101"/>
      <c r="BL29" s="334" t="s">
        <v>546</v>
      </c>
      <c r="BM29" s="101" t="s">
        <v>244</v>
      </c>
      <c r="BN29" s="103" t="s">
        <v>244</v>
      </c>
      <c r="BO29" s="100"/>
      <c r="BP29" s="101"/>
      <c r="BQ29" s="316">
        <v>7</v>
      </c>
      <c r="BR29" s="334" t="s">
        <v>547</v>
      </c>
      <c r="BS29" s="316">
        <v>7</v>
      </c>
      <c r="BT29" s="315">
        <v>8</v>
      </c>
      <c r="BU29" s="317">
        <v>8</v>
      </c>
      <c r="BV29" s="316">
        <v>9</v>
      </c>
      <c r="BW29" s="401" t="s">
        <v>548</v>
      </c>
      <c r="BX29" s="317">
        <v>10</v>
      </c>
      <c r="BY29" s="102"/>
      <c r="BZ29" s="101"/>
      <c r="CA29" s="101"/>
      <c r="CB29" s="334" t="s">
        <v>607</v>
      </c>
      <c r="CC29" s="98"/>
      <c r="CD29" s="102"/>
      <c r="CE29" s="390">
        <v>10</v>
      </c>
      <c r="CF29" s="390">
        <v>11</v>
      </c>
      <c r="CG29" s="334" t="s">
        <v>608</v>
      </c>
      <c r="CH29" s="98"/>
      <c r="CI29" s="315">
        <v>11</v>
      </c>
      <c r="CJ29" s="101"/>
      <c r="CK29" s="315">
        <v>12</v>
      </c>
      <c r="CL29" s="401" t="s">
        <v>630</v>
      </c>
      <c r="CM29" s="315">
        <v>13</v>
      </c>
      <c r="CN29" s="315">
        <v>13</v>
      </c>
      <c r="CO29" s="101"/>
      <c r="CP29" s="101"/>
      <c r="CQ29" s="334" t="s">
        <v>654</v>
      </c>
      <c r="CR29" s="98"/>
      <c r="CS29" s="100"/>
      <c r="CT29" s="101"/>
      <c r="CU29" s="401" t="s">
        <v>631</v>
      </c>
      <c r="CV29" s="483">
        <v>14</v>
      </c>
      <c r="CW29" s="483">
        <v>14</v>
      </c>
      <c r="CX29" s="102"/>
      <c r="CY29" s="101"/>
      <c r="CZ29" s="101"/>
      <c r="DA29" s="334" t="s">
        <v>632</v>
      </c>
      <c r="DB29" s="98"/>
      <c r="DC29" s="489"/>
      <c r="DD29" s="317">
        <v>15</v>
      </c>
      <c r="DE29" s="317">
        <v>15</v>
      </c>
      <c r="DF29" s="317">
        <v>15</v>
      </c>
      <c r="DG29" s="98"/>
      <c r="DH29" s="100"/>
      <c r="DI29" s="101"/>
      <c r="DL29" s="101"/>
      <c r="DM29" s="316">
        <v>16</v>
      </c>
      <c r="DN29" s="317">
        <v>16</v>
      </c>
      <c r="DO29" s="101"/>
      <c r="DQ29" s="103"/>
      <c r="DR29" s="116"/>
      <c r="DS29" s="316">
        <v>17</v>
      </c>
      <c r="DT29" s="316">
        <v>17</v>
      </c>
      <c r="DU29" s="401" t="s">
        <v>682</v>
      </c>
      <c r="DV29" s="535" t="s">
        <v>757</v>
      </c>
      <c r="DX29" s="117"/>
      <c r="DY29" s="117"/>
      <c r="DZ29" s="334" t="s">
        <v>755</v>
      </c>
      <c r="EA29" s="227"/>
      <c r="EB29" s="489"/>
      <c r="EC29" s="117"/>
      <c r="ED29" s="117"/>
      <c r="EE29" s="334" t="s">
        <v>756</v>
      </c>
      <c r="EF29" s="575"/>
      <c r="EG29" s="102"/>
      <c r="EJ29" s="334" t="s">
        <v>758</v>
      </c>
      <c r="EK29" s="316">
        <v>19</v>
      </c>
      <c r="EO29" s="401" t="s">
        <v>759</v>
      </c>
      <c r="EP29" s="316">
        <v>20</v>
      </c>
      <c r="ER29" s="316">
        <v>21</v>
      </c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01"/>
      <c r="FK29" s="117"/>
      <c r="FL29" s="117"/>
      <c r="FM29" s="117"/>
      <c r="FN29" s="117"/>
      <c r="FO29" s="704"/>
      <c r="FP29" s="491"/>
      <c r="FQ29" s="491"/>
      <c r="FR29" s="491"/>
      <c r="FS29" s="704"/>
      <c r="FT29" s="704"/>
      <c r="FU29" s="704"/>
      <c r="FV29" s="704"/>
      <c r="FW29" s="704"/>
      <c r="FX29" s="704"/>
      <c r="FY29" s="704"/>
      <c r="FZ29" s="704"/>
      <c r="GA29" s="117"/>
      <c r="GB29" s="117"/>
      <c r="GC29" s="117"/>
      <c r="GD29" s="491"/>
      <c r="GE29" s="491"/>
      <c r="GF29" s="117"/>
      <c r="GG29" s="117"/>
      <c r="GH29" s="117"/>
      <c r="GI29" s="491"/>
      <c r="GJ29" s="491"/>
      <c r="GK29" s="117"/>
      <c r="GL29" s="117"/>
      <c r="GM29" s="117"/>
      <c r="GN29" s="117"/>
      <c r="GO29" s="117"/>
      <c r="GP29" s="766"/>
      <c r="GQ29" s="766"/>
      <c r="GR29" s="766"/>
      <c r="GS29" s="766"/>
      <c r="GU29" s="766" t="s">
        <v>922</v>
      </c>
      <c r="GX29" s="552" t="s">
        <v>922</v>
      </c>
      <c r="GZ29" s="117"/>
      <c r="HA29" s="117"/>
      <c r="HB29" s="117"/>
      <c r="HC29" s="117"/>
      <c r="HD29" s="117"/>
      <c r="HE29" s="567" t="s">
        <v>922</v>
      </c>
      <c r="HF29" s="552" t="s">
        <v>923</v>
      </c>
      <c r="HG29" s="552" t="s">
        <v>923</v>
      </c>
      <c r="HH29" s="117"/>
      <c r="HI29" s="117"/>
      <c r="HJ29" s="117"/>
      <c r="HK29" s="117"/>
      <c r="HL29" s="117"/>
      <c r="HM29" s="117"/>
      <c r="HN29" s="117"/>
      <c r="HO29" s="117"/>
      <c r="HP29" s="117"/>
      <c r="HQ29" s="117"/>
      <c r="HR29" s="117"/>
      <c r="HS29" s="117"/>
      <c r="HT29" s="117"/>
      <c r="HU29" s="117"/>
      <c r="HV29" s="117"/>
      <c r="HW29" s="316"/>
      <c r="HX29" s="316"/>
      <c r="HY29" s="117"/>
      <c r="HZ29" s="117"/>
      <c r="IA29" s="117"/>
      <c r="IB29" s="117"/>
      <c r="IC29" s="117"/>
      <c r="ID29" s="117"/>
      <c r="IE29" s="117"/>
      <c r="IF29" s="117"/>
      <c r="IG29" s="491"/>
      <c r="IH29" s="491"/>
      <c r="II29" s="117"/>
      <c r="IJ29" s="117"/>
      <c r="IK29" s="117"/>
      <c r="IL29" s="117"/>
      <c r="IM29" s="552"/>
      <c r="IN29" s="552"/>
      <c r="IO29" s="552"/>
      <c r="IP29" s="117"/>
      <c r="IQ29" s="117"/>
      <c r="IR29" s="117"/>
      <c r="IS29" s="336"/>
      <c r="IT29" s="336"/>
      <c r="IU29" s="101"/>
      <c r="IV29" s="101"/>
      <c r="IW29" s="101"/>
      <c r="IX29" s="117"/>
      <c r="IY29" s="117"/>
      <c r="IZ29" s="117"/>
      <c r="JA29" s="117"/>
      <c r="JB29" s="117"/>
      <c r="JC29" s="117"/>
      <c r="JD29" s="117"/>
      <c r="JE29" s="117"/>
      <c r="JF29" s="117"/>
      <c r="JG29" s="117"/>
      <c r="JH29" s="117"/>
      <c r="JI29" s="117"/>
      <c r="JJ29" s="117"/>
      <c r="JK29" s="117"/>
      <c r="JL29" s="117"/>
      <c r="JM29" s="117"/>
      <c r="JN29" s="117"/>
      <c r="JO29" s="117"/>
      <c r="JP29" s="491"/>
      <c r="JQ29" s="491"/>
      <c r="JR29" s="117"/>
      <c r="JS29" s="117"/>
      <c r="JT29" s="117"/>
      <c r="JU29" s="117"/>
      <c r="JV29" s="117"/>
      <c r="JW29" s="117"/>
      <c r="JX29" s="117"/>
      <c r="JY29" s="491"/>
      <c r="JZ29" s="491"/>
      <c r="KA29" s="491"/>
      <c r="KB29" s="117"/>
      <c r="KC29" s="227"/>
      <c r="KD29" s="117"/>
      <c r="KE29" s="117"/>
      <c r="KF29" s="117"/>
      <c r="KG29" s="117"/>
      <c r="KH29" s="117"/>
      <c r="KI29" s="117"/>
      <c r="KJ29" s="117"/>
      <c r="KK29" s="117"/>
      <c r="KL29" s="117"/>
      <c r="KM29" s="117"/>
      <c r="KN29" s="117"/>
      <c r="KO29" s="117"/>
      <c r="KP29" s="491"/>
      <c r="KQ29" s="491"/>
      <c r="KR29" s="117"/>
      <c r="KS29" s="117"/>
      <c r="KT29" s="117"/>
      <c r="KU29" s="117"/>
      <c r="KV29" s="117"/>
      <c r="KW29" s="117"/>
      <c r="KX29" s="117"/>
      <c r="KY29" s="117"/>
      <c r="KZ29" s="117"/>
      <c r="LA29" s="117"/>
      <c r="LB29" s="117"/>
      <c r="LC29" s="117"/>
      <c r="LD29" s="117"/>
      <c r="LE29" s="491"/>
      <c r="LF29" s="117"/>
      <c r="LG29" s="117"/>
      <c r="LH29" s="117"/>
      <c r="LI29" s="117"/>
      <c r="LJ29" s="117"/>
      <c r="LK29" s="117"/>
      <c r="LL29" s="117"/>
      <c r="LM29" s="117"/>
      <c r="LN29" s="117"/>
      <c r="LO29" s="117"/>
      <c r="LP29" s="117"/>
      <c r="LQ29" s="117"/>
      <c r="LR29" s="117"/>
      <c r="LS29" s="117"/>
      <c r="LT29" s="117"/>
    </row>
    <row r="30" spans="1:332" ht="24.95" customHeight="1">
      <c r="A30" s="985"/>
      <c r="B30" s="205" t="s">
        <v>160</v>
      </c>
      <c r="C30" s="220">
        <v>1</v>
      </c>
      <c r="D30" s="203">
        <v>120</v>
      </c>
      <c r="E30" s="226">
        <f t="shared" si="2"/>
        <v>4.4000000000000004</v>
      </c>
      <c r="F30" s="203">
        <v>528</v>
      </c>
      <c r="G30" s="129"/>
      <c r="H30" s="129"/>
      <c r="I30" s="205"/>
      <c r="J30" s="129"/>
      <c r="K30" s="129"/>
      <c r="L30" s="129"/>
      <c r="M30" s="129"/>
      <c r="N30" s="354">
        <f>SUM(F30:M30)</f>
        <v>528</v>
      </c>
      <c r="O30" s="188"/>
      <c r="P30" s="105"/>
      <c r="Q30" s="106"/>
      <c r="R30" s="106"/>
      <c r="S30" s="106"/>
      <c r="T30" s="237"/>
      <c r="U30" s="105" t="s">
        <v>437</v>
      </c>
      <c r="V30" s="106" t="s">
        <v>437</v>
      </c>
      <c r="W30" s="106" t="s">
        <v>437</v>
      </c>
      <c r="X30" s="106" t="s">
        <v>437</v>
      </c>
      <c r="Y30" s="107" t="s">
        <v>437</v>
      </c>
      <c r="Z30" s="102"/>
      <c r="AA30" s="101"/>
      <c r="AB30" s="101"/>
      <c r="AC30" s="101"/>
      <c r="AD30" s="98"/>
      <c r="AE30" s="281" t="s">
        <v>437</v>
      </c>
      <c r="AF30" s="106" t="s">
        <v>437</v>
      </c>
      <c r="AG30" s="106" t="s">
        <v>437</v>
      </c>
      <c r="AH30" s="106" t="s">
        <v>437</v>
      </c>
      <c r="AI30" s="106" t="s">
        <v>437</v>
      </c>
      <c r="AJ30" s="100"/>
      <c r="AK30" s="101"/>
      <c r="AL30" s="101"/>
      <c r="AM30" s="101"/>
      <c r="AN30" s="98"/>
      <c r="AO30" s="100"/>
      <c r="AP30" s="101"/>
      <c r="AQ30" s="101"/>
      <c r="AR30" s="101"/>
      <c r="AS30" s="98"/>
      <c r="AT30" s="100"/>
      <c r="AU30" s="101"/>
      <c r="AV30" s="101"/>
      <c r="AW30" s="101"/>
      <c r="AX30" s="103" t="s">
        <v>244</v>
      </c>
      <c r="AY30" s="100"/>
      <c r="AZ30" s="101"/>
      <c r="BA30" s="101"/>
      <c r="BB30" s="101"/>
      <c r="BC30" s="98"/>
      <c r="BD30" s="102"/>
      <c r="BE30" s="104"/>
      <c r="BF30" s="104"/>
      <c r="BG30" s="104"/>
      <c r="BH30" s="104"/>
      <c r="BI30" s="392"/>
      <c r="BJ30" s="102"/>
      <c r="BK30" s="101"/>
      <c r="BL30" s="101"/>
      <c r="BM30" s="101" t="s">
        <v>244</v>
      </c>
      <c r="BN30" s="103" t="s">
        <v>244</v>
      </c>
      <c r="BO30" s="100"/>
      <c r="BP30" s="101"/>
      <c r="BQ30" s="101"/>
      <c r="BR30" s="101"/>
      <c r="BS30" s="98"/>
      <c r="BT30" s="100"/>
      <c r="BU30" s="101"/>
      <c r="BV30" s="101"/>
      <c r="BW30" s="101"/>
      <c r="BX30" s="98"/>
      <c r="BY30" s="102"/>
      <c r="BZ30" s="101"/>
      <c r="CA30" s="101"/>
      <c r="CB30" s="101"/>
      <c r="CC30" s="98"/>
      <c r="CD30" s="102"/>
      <c r="CE30" s="101"/>
      <c r="CF30" s="101"/>
      <c r="CG30" s="101"/>
      <c r="CH30" s="98"/>
      <c r="CI30" s="100"/>
      <c r="CJ30" s="101"/>
      <c r="CK30" s="101"/>
      <c r="CL30" s="101"/>
      <c r="CM30" s="98"/>
      <c r="CN30" s="100"/>
      <c r="CO30" s="101"/>
      <c r="CP30" s="101"/>
      <c r="CQ30" s="101"/>
      <c r="CR30" s="98"/>
      <c r="CS30" s="100"/>
      <c r="CT30" s="101"/>
      <c r="CU30" s="101"/>
      <c r="CV30" s="101"/>
      <c r="CW30" s="98"/>
      <c r="CX30" s="102"/>
      <c r="CY30" s="101"/>
      <c r="CZ30" s="101"/>
      <c r="DA30" s="101"/>
      <c r="DB30" s="98"/>
      <c r="DC30" s="489"/>
      <c r="DD30" s="101"/>
      <c r="DE30" s="101"/>
      <c r="DF30" s="101"/>
      <c r="DG30" s="243"/>
      <c r="DH30" s="243"/>
      <c r="DI30" s="101"/>
      <c r="DJ30" s="101"/>
      <c r="DK30" s="101"/>
      <c r="DL30" s="98"/>
      <c r="DM30" s="100"/>
      <c r="DN30" s="101"/>
      <c r="DO30" s="101"/>
      <c r="DP30" s="101"/>
      <c r="DQ30" s="103"/>
      <c r="DR30" s="116"/>
      <c r="DS30" s="117"/>
      <c r="DT30" s="117"/>
      <c r="DU30" s="117"/>
      <c r="DV30" s="227"/>
      <c r="DW30" s="116"/>
      <c r="DX30" s="117"/>
      <c r="DY30" s="117"/>
      <c r="DZ30" s="117"/>
      <c r="EA30" s="227"/>
      <c r="EB30" s="489"/>
      <c r="EC30" s="117"/>
      <c r="ED30" s="117"/>
      <c r="EE30" s="117"/>
      <c r="EF30" s="118"/>
      <c r="EG30" s="119"/>
      <c r="EH30" s="117"/>
      <c r="EI30" s="117"/>
      <c r="EJ30" s="117"/>
      <c r="EK30" s="118"/>
      <c r="EL30" s="116"/>
      <c r="EM30" s="117"/>
      <c r="EN30" s="117"/>
      <c r="EO30" s="117"/>
      <c r="EP30" s="227"/>
      <c r="EQ30" s="117"/>
      <c r="ER30" s="117"/>
      <c r="ES30" s="117"/>
      <c r="ET30" s="117"/>
      <c r="EU30" s="117"/>
      <c r="EV30" s="117"/>
      <c r="EW30" s="117"/>
      <c r="EX30" s="117"/>
      <c r="EY30" s="117"/>
      <c r="EZ30" s="117"/>
      <c r="FA30" s="117"/>
      <c r="FB30" s="117"/>
      <c r="FC30" s="117"/>
      <c r="FD30" s="117"/>
      <c r="FE30" s="117"/>
      <c r="FF30" s="117"/>
      <c r="FG30" s="117"/>
      <c r="FH30" s="117"/>
      <c r="FI30" s="117"/>
      <c r="FJ30" s="101"/>
      <c r="FK30" s="117"/>
      <c r="FL30" s="117"/>
      <c r="FM30" s="117"/>
      <c r="FN30" s="117"/>
      <c r="FO30" s="117"/>
      <c r="FP30" s="491"/>
      <c r="FQ30" s="491"/>
      <c r="FR30" s="491"/>
      <c r="FS30" s="117"/>
      <c r="FT30" s="117"/>
      <c r="FU30" s="117"/>
      <c r="FV30" s="117"/>
      <c r="FW30" s="117"/>
      <c r="FX30" s="117"/>
      <c r="FY30" s="117"/>
      <c r="FZ30" s="117"/>
      <c r="GA30" s="117"/>
      <c r="GB30" s="117"/>
      <c r="GC30" s="117"/>
      <c r="GD30" s="491"/>
      <c r="GE30" s="491"/>
      <c r="GF30" s="117"/>
      <c r="GG30" s="117"/>
      <c r="GH30" s="117"/>
      <c r="GI30" s="491"/>
      <c r="GJ30" s="491"/>
      <c r="GK30" s="117"/>
      <c r="GL30" s="117"/>
      <c r="GM30" s="117"/>
      <c r="GN30" s="117"/>
      <c r="GO30" s="117"/>
      <c r="GP30" s="117"/>
      <c r="GQ30" s="117"/>
      <c r="GR30" s="117"/>
      <c r="GS30" s="117"/>
      <c r="GT30" s="117"/>
      <c r="GU30" s="117"/>
      <c r="GV30" s="117"/>
      <c r="GW30" s="117"/>
      <c r="GX30" s="117"/>
      <c r="GY30" s="227"/>
      <c r="GZ30" s="117"/>
      <c r="HA30" s="117"/>
      <c r="HB30" s="117"/>
      <c r="HC30" s="117"/>
      <c r="HD30" s="117"/>
      <c r="HE30" s="117"/>
      <c r="HF30" s="117"/>
      <c r="HG30" s="117"/>
      <c r="HH30" s="117"/>
      <c r="HI30" s="117"/>
      <c r="HJ30" s="117"/>
      <c r="HK30" s="117"/>
      <c r="HL30" s="117"/>
      <c r="HM30" s="117"/>
      <c r="HN30" s="117"/>
      <c r="HO30" s="117"/>
      <c r="HP30" s="117"/>
      <c r="HQ30" s="117"/>
      <c r="HR30" s="117"/>
      <c r="HS30" s="117"/>
      <c r="HT30" s="117"/>
      <c r="HU30" s="117"/>
      <c r="HV30" s="117"/>
      <c r="HW30" s="117"/>
      <c r="HX30" s="117"/>
      <c r="HY30" s="117"/>
      <c r="HZ30" s="117"/>
      <c r="IA30" s="117"/>
      <c r="IB30" s="117"/>
      <c r="IC30" s="117"/>
      <c r="ID30" s="117"/>
      <c r="IE30" s="117"/>
      <c r="IF30" s="117"/>
      <c r="IG30" s="491"/>
      <c r="IH30" s="491"/>
      <c r="II30" s="117"/>
      <c r="IJ30" s="117"/>
      <c r="IK30" s="552"/>
      <c r="IL30" s="552"/>
      <c r="IM30" s="117"/>
      <c r="IN30" s="117"/>
      <c r="IO30" s="117"/>
      <c r="IP30" s="316"/>
      <c r="IQ30" s="316" t="s">
        <v>904</v>
      </c>
      <c r="IR30" s="117"/>
      <c r="IS30" s="117"/>
      <c r="IT30" s="117"/>
      <c r="IU30" s="316"/>
      <c r="IV30" s="316" t="s">
        <v>904</v>
      </c>
      <c r="IW30" s="316" t="s">
        <v>904</v>
      </c>
      <c r="IX30" s="316" t="s">
        <v>904</v>
      </c>
      <c r="IY30" s="117"/>
      <c r="IZ30" s="117"/>
      <c r="JA30" s="117"/>
      <c r="JB30" s="117"/>
      <c r="JC30" s="117"/>
      <c r="JD30" s="117"/>
      <c r="JE30" s="117"/>
      <c r="JF30" s="117"/>
      <c r="JG30" s="117"/>
      <c r="JH30" s="117"/>
      <c r="JI30" s="117"/>
      <c r="JJ30" s="117"/>
      <c r="JK30" s="117"/>
      <c r="JL30" s="117"/>
      <c r="JM30" s="117"/>
      <c r="JN30" s="117"/>
      <c r="JO30" s="117"/>
      <c r="JP30" s="491"/>
      <c r="JQ30" s="491"/>
      <c r="JR30" s="117"/>
      <c r="JS30" s="117"/>
      <c r="JT30" s="117"/>
      <c r="JU30" s="117"/>
      <c r="JV30" s="117"/>
      <c r="JW30" s="117"/>
      <c r="JX30" s="117"/>
      <c r="JY30" s="491"/>
      <c r="JZ30" s="491"/>
      <c r="KA30" s="491"/>
      <c r="KB30" s="117"/>
      <c r="KC30" s="227"/>
      <c r="KD30" s="117"/>
      <c r="KE30" s="117"/>
      <c r="KF30" s="117"/>
      <c r="KG30" s="117"/>
      <c r="KH30" s="117"/>
      <c r="KI30" s="117"/>
      <c r="KJ30" s="117"/>
      <c r="KK30" s="117"/>
      <c r="KL30" s="117"/>
      <c r="KM30" s="117"/>
      <c r="KN30" s="117"/>
      <c r="KO30" s="117"/>
      <c r="KP30" s="491"/>
      <c r="KQ30" s="491"/>
      <c r="KR30" s="117"/>
      <c r="KS30" s="117"/>
      <c r="KT30" s="117"/>
      <c r="KU30" s="117"/>
      <c r="KV30" s="117"/>
      <c r="KW30" s="117"/>
      <c r="KX30" s="117"/>
      <c r="KY30" s="117"/>
      <c r="KZ30" s="117"/>
      <c r="LA30" s="117"/>
      <c r="LB30" s="117"/>
      <c r="LC30" s="117"/>
      <c r="LD30" s="117"/>
      <c r="LE30" s="491"/>
      <c r="LF30" s="117"/>
      <c r="LG30" s="117"/>
      <c r="LH30" s="117"/>
      <c r="LI30" s="117"/>
      <c r="LJ30" s="117"/>
      <c r="LK30" s="117"/>
      <c r="LL30" s="117"/>
      <c r="LM30" s="117"/>
      <c r="LN30" s="117"/>
      <c r="LO30" s="117"/>
      <c r="LP30" s="117"/>
      <c r="LQ30" s="117"/>
      <c r="LR30" s="117"/>
      <c r="LS30" s="117"/>
      <c r="LT30" s="117"/>
    </row>
    <row r="31" spans="1:332" ht="24.95" customHeight="1">
      <c r="A31" s="985"/>
      <c r="B31" s="205" t="s">
        <v>161</v>
      </c>
      <c r="C31" s="220">
        <v>1</v>
      </c>
      <c r="D31" s="203">
        <v>180</v>
      </c>
      <c r="E31" s="226">
        <f t="shared" si="2"/>
        <v>4.9222222222222225</v>
      </c>
      <c r="F31" s="773">
        <f>1600-78-116-120-400</f>
        <v>886</v>
      </c>
      <c r="G31" s="129"/>
      <c r="H31" s="129"/>
      <c r="I31" s="205"/>
      <c r="J31" s="129"/>
      <c r="K31" s="129"/>
      <c r="L31" s="129"/>
      <c r="M31" s="129"/>
      <c r="N31" s="354">
        <f>SUM(F31:M31)</f>
        <v>886</v>
      </c>
      <c r="O31" s="187"/>
      <c r="P31" s="100"/>
      <c r="Q31" s="101"/>
      <c r="R31" s="101"/>
      <c r="S31" s="101"/>
      <c r="T31" s="103"/>
      <c r="U31" s="105" t="s">
        <v>437</v>
      </c>
      <c r="V31" s="106" t="s">
        <v>437</v>
      </c>
      <c r="W31" s="106" t="s">
        <v>437</v>
      </c>
      <c r="X31" s="106" t="s">
        <v>437</v>
      </c>
      <c r="Y31" s="107" t="s">
        <v>437</v>
      </c>
      <c r="Z31" s="102"/>
      <c r="AA31" s="101"/>
      <c r="AB31" s="101"/>
      <c r="AC31" s="108"/>
      <c r="AD31" s="98"/>
      <c r="AE31" s="281" t="s">
        <v>437</v>
      </c>
      <c r="AF31" s="106" t="s">
        <v>437</v>
      </c>
      <c r="AG31" s="106" t="s">
        <v>437</v>
      </c>
      <c r="AH31" s="106" t="s">
        <v>437</v>
      </c>
      <c r="AI31" s="106" t="s">
        <v>437</v>
      </c>
      <c r="AJ31" s="100"/>
      <c r="AK31" s="101"/>
      <c r="AL31" s="101"/>
      <c r="AM31" s="101"/>
      <c r="AN31" s="98"/>
      <c r="AO31" s="100"/>
      <c r="AP31" s="101"/>
      <c r="AQ31" s="101"/>
      <c r="AR31" s="101"/>
      <c r="AS31" s="98"/>
      <c r="AT31" s="100"/>
      <c r="AU31" s="101"/>
      <c r="AV31" s="101"/>
      <c r="AW31" s="101"/>
      <c r="AX31" s="103" t="s">
        <v>244</v>
      </c>
      <c r="AY31" s="100"/>
      <c r="AZ31" s="101"/>
      <c r="BA31" s="101"/>
      <c r="BB31" s="101"/>
      <c r="BC31" s="98"/>
      <c r="BD31" s="102"/>
      <c r="BE31" s="104"/>
      <c r="BF31" s="104"/>
      <c r="BG31" s="104"/>
      <c r="BH31" s="104"/>
      <c r="BI31" s="392"/>
      <c r="BJ31" s="102"/>
      <c r="BK31" s="101"/>
      <c r="BL31" s="101"/>
      <c r="BM31" s="101" t="s">
        <v>244</v>
      </c>
      <c r="BN31" s="103" t="s">
        <v>244</v>
      </c>
      <c r="BO31" s="100"/>
      <c r="BP31" s="101"/>
      <c r="BQ31" s="101"/>
      <c r="BR31" s="101"/>
      <c r="BS31" s="98"/>
      <c r="BT31" s="100"/>
      <c r="BU31" s="101"/>
      <c r="BV31" s="101"/>
      <c r="BW31" s="101"/>
      <c r="BX31" s="98"/>
      <c r="BY31" s="102"/>
      <c r="BZ31" s="101"/>
      <c r="CA31" s="101"/>
      <c r="CB31" s="101"/>
      <c r="CC31" s="98"/>
      <c r="CD31" s="102"/>
      <c r="CE31" s="101"/>
      <c r="CF31" s="101"/>
      <c r="CG31" s="101"/>
      <c r="CH31" s="98"/>
      <c r="CI31" s="100"/>
      <c r="CJ31" s="101"/>
      <c r="CK31" s="101"/>
      <c r="CL31" s="101"/>
      <c r="CM31" s="98"/>
      <c r="CN31" s="100"/>
      <c r="CO31" s="101"/>
      <c r="CP31" s="101"/>
      <c r="CQ31" s="101"/>
      <c r="CR31" s="98"/>
      <c r="CS31" s="100"/>
      <c r="CT31" s="101"/>
      <c r="CU31" s="101"/>
      <c r="CV31" s="101"/>
      <c r="CW31" s="98"/>
      <c r="CX31" s="102"/>
      <c r="CY31" s="101"/>
      <c r="CZ31" s="101"/>
      <c r="DA31" s="101"/>
      <c r="DB31" s="98"/>
      <c r="DC31" s="489"/>
      <c r="DD31" s="101"/>
      <c r="DE31" s="101"/>
      <c r="DF31" s="101"/>
      <c r="DG31" s="98"/>
      <c r="DH31" s="100"/>
      <c r="DI31" s="238"/>
      <c r="DJ31" s="238"/>
      <c r="DK31" s="238"/>
      <c r="DL31" s="238"/>
      <c r="DM31" s="100"/>
      <c r="DN31" s="101"/>
      <c r="DO31" s="101"/>
      <c r="DP31" s="101"/>
      <c r="DQ31" s="103"/>
      <c r="DR31" s="116"/>
      <c r="DS31" s="117"/>
      <c r="DT31" s="117"/>
      <c r="DU31" s="117"/>
      <c r="DV31" s="227"/>
      <c r="DW31" s="116"/>
      <c r="DX31" s="117"/>
      <c r="DY31" s="117"/>
      <c r="DZ31" s="117"/>
      <c r="EA31" s="227"/>
      <c r="EB31" s="489"/>
      <c r="EC31" s="117"/>
      <c r="ED31" s="117"/>
      <c r="EE31" s="117"/>
      <c r="EF31" s="118"/>
      <c r="EG31" s="119"/>
      <c r="EH31" s="117"/>
      <c r="EI31" s="117"/>
      <c r="EJ31" s="117"/>
      <c r="EK31" s="118"/>
      <c r="EL31" s="116"/>
      <c r="EM31" s="117"/>
      <c r="EN31" s="117"/>
      <c r="EO31" s="117"/>
      <c r="EP31" s="227"/>
      <c r="EQ31" s="117"/>
      <c r="ER31" s="117"/>
      <c r="ES31" s="117"/>
      <c r="ET31" s="117"/>
      <c r="EU31" s="117"/>
      <c r="EV31" s="117"/>
      <c r="EW31" s="117"/>
      <c r="EX31" s="117"/>
      <c r="EY31" s="117"/>
      <c r="EZ31" s="117"/>
      <c r="FA31" s="117"/>
      <c r="FB31" s="117"/>
      <c r="FC31" s="117"/>
      <c r="FD31" s="336"/>
      <c r="FE31" s="336"/>
      <c r="FF31" s="336">
        <v>1</v>
      </c>
      <c r="FG31" s="336">
        <v>2</v>
      </c>
      <c r="FH31" s="336">
        <v>3</v>
      </c>
      <c r="FI31" s="336">
        <v>4</v>
      </c>
      <c r="FJ31" s="336">
        <v>5</v>
      </c>
      <c r="FK31" s="336">
        <v>6</v>
      </c>
      <c r="FL31" s="336">
        <v>7</v>
      </c>
      <c r="FM31" s="336">
        <v>8</v>
      </c>
      <c r="FN31" s="336">
        <v>9</v>
      </c>
      <c r="FO31" s="117"/>
      <c r="FP31" s="491"/>
      <c r="FQ31" s="491"/>
      <c r="FR31" s="491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491"/>
      <c r="GE31" s="491"/>
      <c r="GF31" s="117"/>
      <c r="GG31" s="117"/>
      <c r="GH31" s="117"/>
      <c r="GI31" s="491"/>
      <c r="GJ31" s="491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22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  <c r="HN31" s="117"/>
      <c r="HO31" s="117"/>
      <c r="HP31" s="117"/>
      <c r="HQ31" s="117"/>
      <c r="HR31" s="117"/>
      <c r="HS31" s="117"/>
      <c r="HT31" s="117"/>
      <c r="HU31" s="117"/>
      <c r="HV31" s="117"/>
      <c r="HW31" s="117"/>
      <c r="HX31" s="117"/>
      <c r="HY31" s="117"/>
      <c r="HZ31" s="117"/>
      <c r="IA31" s="117"/>
      <c r="IB31" s="117"/>
      <c r="IC31" s="117"/>
      <c r="ID31" s="117"/>
      <c r="IE31" s="117"/>
      <c r="IF31" s="117"/>
      <c r="IG31" s="491"/>
      <c r="IH31" s="491"/>
      <c r="II31" s="117"/>
      <c r="IJ31" s="117"/>
      <c r="IK31" s="117"/>
      <c r="IL31" s="117"/>
      <c r="IM31" s="117"/>
      <c r="IN31" s="117"/>
      <c r="IO31" s="117"/>
      <c r="IP31" s="117"/>
      <c r="IQ31" s="117"/>
      <c r="IR31" s="117"/>
      <c r="IS31" s="117"/>
      <c r="IT31" s="117"/>
      <c r="IU31" s="117"/>
      <c r="IV31" s="117"/>
      <c r="IW31" s="117"/>
      <c r="IX31" s="117"/>
      <c r="IY31" s="117"/>
      <c r="IZ31" s="117"/>
      <c r="JA31" s="117"/>
      <c r="JB31" s="117"/>
      <c r="JC31" s="117"/>
      <c r="JD31" s="117"/>
      <c r="JE31" s="117"/>
      <c r="JF31" s="117"/>
      <c r="JG31" s="117"/>
      <c r="JH31" s="117"/>
      <c r="JI31" s="117"/>
      <c r="JJ31" s="117"/>
      <c r="JK31" s="117"/>
      <c r="JL31" s="117"/>
      <c r="JM31" s="117"/>
      <c r="JN31" s="117"/>
      <c r="JO31" s="117"/>
      <c r="JP31" s="491"/>
      <c r="JQ31" s="491"/>
      <c r="JR31" s="117"/>
      <c r="JS31" s="117"/>
      <c r="JT31" s="117"/>
      <c r="JU31" s="117"/>
      <c r="JV31" s="117"/>
      <c r="JW31" s="117"/>
      <c r="JX31" s="117"/>
      <c r="JY31" s="491"/>
      <c r="JZ31" s="491"/>
      <c r="KA31" s="491"/>
      <c r="KB31" s="117"/>
      <c r="KC31" s="227"/>
      <c r="KD31" s="117"/>
      <c r="KE31" s="117"/>
      <c r="KF31" s="117"/>
      <c r="KH31" s="117"/>
      <c r="KJ31" s="117"/>
      <c r="KN31" s="117"/>
      <c r="KO31" s="508"/>
      <c r="KP31" s="491"/>
      <c r="KQ31" s="491"/>
      <c r="KR31" s="117"/>
      <c r="KS31" s="117"/>
      <c r="KT31" s="117"/>
      <c r="KU31" s="117"/>
      <c r="KV31" s="117"/>
      <c r="KW31" s="117"/>
      <c r="KX31" s="117"/>
      <c r="KY31" s="117"/>
      <c r="KZ31" s="117"/>
      <c r="LA31" s="117"/>
      <c r="LB31" s="117"/>
      <c r="LC31" s="117"/>
      <c r="LD31" s="117"/>
      <c r="LE31" s="491"/>
      <c r="LF31" s="117"/>
      <c r="LG31" s="117"/>
      <c r="LH31" s="117"/>
      <c r="LI31" s="117"/>
      <c r="LJ31" s="117"/>
      <c r="LK31" s="117"/>
      <c r="LL31" s="117"/>
      <c r="LM31" s="117"/>
      <c r="LN31" s="117"/>
      <c r="LO31" s="117"/>
      <c r="LP31" s="117"/>
      <c r="LQ31" s="117"/>
      <c r="LR31" s="117"/>
      <c r="LS31" s="117"/>
      <c r="LT31" s="117"/>
    </row>
    <row r="32" spans="1:332" ht="24.95" customHeight="1">
      <c r="A32" s="985"/>
      <c r="B32" s="205" t="s">
        <v>426</v>
      </c>
      <c r="C32" s="220">
        <v>1</v>
      </c>
      <c r="D32" s="203">
        <v>150</v>
      </c>
      <c r="E32" s="226">
        <f t="shared" si="2"/>
        <v>2.7466666666666666</v>
      </c>
      <c r="F32" s="773">
        <v>1000</v>
      </c>
      <c r="G32" s="129"/>
      <c r="H32" s="129"/>
      <c r="I32" s="205"/>
      <c r="J32" s="129"/>
      <c r="K32" s="129"/>
      <c r="L32" s="129"/>
      <c r="M32" s="129"/>
      <c r="N32" s="354">
        <f>SUM(F32:M32)-588</f>
        <v>412</v>
      </c>
      <c r="O32" s="187"/>
      <c r="P32" s="100"/>
      <c r="Q32" s="101"/>
      <c r="R32" s="101"/>
      <c r="S32" s="101"/>
      <c r="T32" s="103"/>
      <c r="U32" s="105" t="s">
        <v>437</v>
      </c>
      <c r="V32" s="106" t="s">
        <v>437</v>
      </c>
      <c r="W32" s="106" t="s">
        <v>437</v>
      </c>
      <c r="X32" s="106" t="s">
        <v>437</v>
      </c>
      <c r="Y32" s="107" t="s">
        <v>437</v>
      </c>
      <c r="Z32" s="102"/>
      <c r="AA32" s="101"/>
      <c r="AB32" s="101"/>
      <c r="AC32" s="101"/>
      <c r="AD32" s="98"/>
      <c r="AE32" s="281" t="s">
        <v>437</v>
      </c>
      <c r="AF32" s="106" t="s">
        <v>437</v>
      </c>
      <c r="AG32" s="106" t="s">
        <v>437</v>
      </c>
      <c r="AH32" s="106" t="s">
        <v>437</v>
      </c>
      <c r="AI32" s="106" t="s">
        <v>437</v>
      </c>
      <c r="AJ32" s="100"/>
      <c r="AK32" s="101"/>
      <c r="AL32" s="101"/>
      <c r="AM32" s="101"/>
      <c r="AN32" s="98"/>
      <c r="AO32" s="100"/>
      <c r="AP32" s="101"/>
      <c r="AQ32" s="101"/>
      <c r="AR32" s="101"/>
      <c r="AS32" s="98"/>
      <c r="AT32" s="100"/>
      <c r="AU32" s="101"/>
      <c r="AV32" s="101"/>
      <c r="AW32" s="101"/>
      <c r="AX32" s="103" t="s">
        <v>244</v>
      </c>
      <c r="AY32" s="100"/>
      <c r="AZ32" s="101"/>
      <c r="BA32" s="101"/>
      <c r="BB32" s="101"/>
      <c r="BC32" s="98"/>
      <c r="BD32" s="102"/>
      <c r="BE32" s="104"/>
      <c r="BF32" s="104"/>
      <c r="BG32" s="104"/>
      <c r="BH32" s="104"/>
      <c r="BI32" s="392"/>
      <c r="BJ32" s="102"/>
      <c r="BK32" s="101"/>
      <c r="BL32" s="101"/>
      <c r="BM32" s="101" t="s">
        <v>244</v>
      </c>
      <c r="BN32" s="103" t="s">
        <v>244</v>
      </c>
      <c r="BO32" s="100"/>
      <c r="BP32" s="101"/>
      <c r="BQ32" s="101"/>
      <c r="BR32" s="101"/>
      <c r="BS32" s="98"/>
      <c r="BT32" s="100"/>
      <c r="BU32" s="101"/>
      <c r="BV32" s="101"/>
      <c r="BW32" s="101"/>
      <c r="BX32" s="98"/>
      <c r="BY32" s="102"/>
      <c r="BZ32" s="101"/>
      <c r="CA32" s="101"/>
      <c r="CB32" s="101"/>
      <c r="CC32" s="98"/>
      <c r="CD32" s="102"/>
      <c r="CE32" s="101"/>
      <c r="CF32" s="101"/>
      <c r="CG32" s="101"/>
      <c r="CH32" s="98"/>
      <c r="CI32" s="100"/>
      <c r="CJ32" s="101"/>
      <c r="CK32" s="101"/>
      <c r="CL32" s="101"/>
      <c r="CM32" s="98"/>
      <c r="CN32" s="100"/>
      <c r="CO32" s="101"/>
      <c r="CP32" s="101"/>
      <c r="CQ32" s="101"/>
      <c r="CR32" s="98"/>
      <c r="CS32" s="100"/>
      <c r="CT32" s="101"/>
      <c r="CU32" s="101"/>
      <c r="CV32" s="101"/>
      <c r="CW32" s="98"/>
      <c r="CX32" s="102"/>
      <c r="CY32" s="101"/>
      <c r="CZ32" s="101"/>
      <c r="DA32" s="101"/>
      <c r="DB32" s="98"/>
      <c r="DC32" s="489"/>
      <c r="DD32" s="101"/>
      <c r="DE32" s="101"/>
      <c r="DF32" s="101"/>
      <c r="DG32" s="98"/>
      <c r="DH32" s="100"/>
      <c r="DK32" s="509"/>
      <c r="DL32" s="510"/>
      <c r="DM32" s="100"/>
      <c r="DN32" s="101"/>
      <c r="DO32" s="101"/>
      <c r="DP32" s="101"/>
      <c r="DQ32" s="103"/>
      <c r="DR32" s="116"/>
      <c r="DS32" s="117"/>
      <c r="DT32" s="117"/>
      <c r="DU32" s="117"/>
      <c r="DV32" s="227"/>
      <c r="DW32" s="116"/>
      <c r="DX32" s="117"/>
      <c r="DY32" s="117"/>
      <c r="DZ32" s="117"/>
      <c r="EA32" s="227"/>
      <c r="EB32" s="489"/>
      <c r="EC32" s="117"/>
      <c r="ED32" s="117"/>
      <c r="EE32" s="117"/>
      <c r="EF32" s="118"/>
      <c r="EG32" s="119"/>
      <c r="EH32" s="117"/>
      <c r="EI32" s="117"/>
      <c r="EJ32" s="117"/>
      <c r="EK32" s="118"/>
      <c r="EL32" s="116"/>
      <c r="EM32" s="117"/>
      <c r="EN32" s="117"/>
      <c r="EO32" s="117"/>
      <c r="EP32" s="227"/>
      <c r="EQ32" s="117"/>
      <c r="ER32" s="117"/>
      <c r="ES32" s="117"/>
      <c r="ET32" s="117"/>
      <c r="EU32" s="117"/>
      <c r="EV32" s="117"/>
      <c r="EW32" s="117"/>
      <c r="EX32" s="117"/>
      <c r="EY32" s="117"/>
      <c r="EZ32" s="117"/>
      <c r="FA32" s="117"/>
      <c r="FB32" s="117"/>
      <c r="FC32" s="117"/>
      <c r="FD32" s="117"/>
      <c r="FE32" s="117"/>
      <c r="FF32" s="117"/>
      <c r="FH32" s="486"/>
      <c r="FI32" s="486"/>
      <c r="FJ32" s="486"/>
      <c r="FK32" s="486"/>
      <c r="FL32" s="486"/>
      <c r="FM32" s="486"/>
      <c r="FN32" s="101"/>
      <c r="FO32" s="117"/>
      <c r="FP32" s="491"/>
      <c r="FQ32" s="491"/>
      <c r="FR32" s="491"/>
      <c r="FS32" s="117"/>
      <c r="FT32" s="117"/>
      <c r="FU32" s="117"/>
      <c r="FV32" s="117"/>
      <c r="FW32" s="117"/>
      <c r="FX32" s="117"/>
      <c r="FY32" s="117"/>
      <c r="FZ32" s="117"/>
      <c r="GA32" s="117"/>
      <c r="GB32" s="117"/>
      <c r="GC32" s="117"/>
      <c r="GD32" s="491"/>
      <c r="GE32" s="491"/>
      <c r="GF32" s="117"/>
      <c r="GG32" s="117"/>
      <c r="GH32" s="117"/>
      <c r="GI32" s="491"/>
      <c r="GJ32" s="491"/>
      <c r="GK32" s="117"/>
      <c r="GL32" s="117"/>
      <c r="GM32" s="117"/>
      <c r="GN32" s="117"/>
      <c r="GO32" s="117"/>
      <c r="GP32" s="117"/>
      <c r="GQ32" s="117"/>
      <c r="GR32" s="117"/>
      <c r="GS32" s="117"/>
      <c r="GT32" s="117"/>
      <c r="GU32" s="117"/>
      <c r="GV32" s="117"/>
      <c r="GW32" s="117"/>
      <c r="GX32" s="117"/>
      <c r="GY32" s="227"/>
      <c r="GZ32" s="117"/>
      <c r="HA32" s="117"/>
      <c r="HB32" s="117"/>
      <c r="HC32" s="117"/>
      <c r="HD32" s="117"/>
      <c r="HE32" s="117"/>
      <c r="HF32" s="117"/>
      <c r="HG32" s="117"/>
      <c r="HH32" s="117"/>
      <c r="HI32" s="117"/>
      <c r="HJ32" s="117"/>
      <c r="HK32" s="117"/>
      <c r="HL32" s="117"/>
      <c r="HM32" s="117"/>
      <c r="HN32" s="117"/>
      <c r="HO32" s="117"/>
      <c r="HP32" s="117"/>
      <c r="HQ32" s="117"/>
      <c r="HR32" s="117"/>
      <c r="HS32" s="117"/>
      <c r="HT32" s="117"/>
      <c r="HU32" s="117"/>
      <c r="HV32" s="117"/>
      <c r="HW32" s="117"/>
      <c r="HX32" s="117"/>
      <c r="HY32" s="117"/>
      <c r="HZ32" s="117"/>
      <c r="IA32" s="117"/>
      <c r="IB32" s="117"/>
      <c r="IC32" s="117"/>
      <c r="ID32" s="117"/>
      <c r="IE32" s="117"/>
      <c r="IF32" s="117"/>
      <c r="IG32" s="491"/>
      <c r="IH32" s="491"/>
      <c r="II32" s="117"/>
      <c r="IJ32" s="117"/>
      <c r="IK32" s="117"/>
      <c r="IL32" s="117"/>
      <c r="IM32" s="117"/>
      <c r="IN32" s="117"/>
      <c r="IO32" s="117"/>
      <c r="IP32" s="117"/>
      <c r="IQ32" s="117"/>
      <c r="IR32" s="117"/>
      <c r="IS32" s="117"/>
      <c r="IT32" s="117"/>
      <c r="IU32" s="117"/>
      <c r="IV32" s="117"/>
      <c r="IW32" s="117"/>
      <c r="IX32" s="117"/>
      <c r="IY32" s="117"/>
      <c r="IZ32" s="117"/>
      <c r="JA32" s="117"/>
      <c r="JB32" s="117"/>
      <c r="JC32" s="117"/>
      <c r="JD32" s="117"/>
      <c r="JE32" s="117"/>
      <c r="JF32" s="117"/>
      <c r="JG32" s="117"/>
      <c r="JH32" s="117"/>
      <c r="JI32" s="117"/>
      <c r="JJ32" s="117"/>
      <c r="JK32" s="117"/>
      <c r="JL32" s="117"/>
      <c r="JM32" s="117"/>
      <c r="JN32" s="117"/>
      <c r="JO32" s="117"/>
      <c r="JP32" s="491"/>
      <c r="JQ32" s="491"/>
      <c r="JR32" s="117"/>
      <c r="JS32" s="117"/>
      <c r="JT32" s="117"/>
      <c r="JU32" s="117"/>
      <c r="JV32" s="117"/>
      <c r="JW32" s="117"/>
      <c r="JX32" s="117"/>
      <c r="JY32" s="491"/>
      <c r="JZ32" s="491"/>
      <c r="KA32" s="491"/>
      <c r="KB32" s="117"/>
      <c r="KC32" s="227"/>
      <c r="KD32" s="117"/>
      <c r="KE32" s="117"/>
      <c r="KF32" s="117"/>
      <c r="KG32" s="117"/>
      <c r="KH32" s="117"/>
      <c r="KI32" s="117"/>
      <c r="KJ32" s="117"/>
      <c r="KK32" s="117"/>
      <c r="KL32" s="117"/>
      <c r="KM32" s="117"/>
      <c r="KN32" s="117"/>
      <c r="KO32" s="117"/>
      <c r="KP32" s="491"/>
      <c r="KQ32" s="491"/>
      <c r="KR32" s="117"/>
      <c r="KS32" s="117"/>
      <c r="KT32" s="117"/>
      <c r="KU32" s="117"/>
      <c r="KV32" s="117"/>
      <c r="KW32" s="117"/>
      <c r="KX32" s="117"/>
      <c r="KY32" s="117"/>
      <c r="KZ32" s="117"/>
      <c r="LA32" s="117"/>
      <c r="LB32" s="117"/>
      <c r="LC32" s="117"/>
      <c r="LD32" s="117"/>
      <c r="LE32" s="491"/>
      <c r="LF32" s="117"/>
      <c r="LG32" s="117"/>
      <c r="LH32" s="117"/>
      <c r="LI32" s="117"/>
      <c r="LJ32" s="117"/>
      <c r="LK32" s="117"/>
      <c r="LL32" s="117"/>
      <c r="LM32" s="117"/>
      <c r="LN32" s="117"/>
      <c r="LO32" s="117"/>
      <c r="LP32" s="117"/>
      <c r="LQ32" s="117"/>
      <c r="LR32" s="117"/>
      <c r="LS32" s="117"/>
      <c r="LT32" s="117"/>
    </row>
    <row r="33" spans="1:332" ht="24.95" customHeight="1">
      <c r="A33" s="985" t="s">
        <v>11</v>
      </c>
      <c r="B33" s="205" t="s">
        <v>162</v>
      </c>
      <c r="C33" s="220">
        <v>1</v>
      </c>
      <c r="D33" s="203">
        <v>170</v>
      </c>
      <c r="E33" s="226">
        <f t="shared" si="2"/>
        <v>0</v>
      </c>
      <c r="F33" s="203"/>
      <c r="G33" s="129"/>
      <c r="H33" s="129"/>
      <c r="I33" s="129"/>
      <c r="J33" s="129"/>
      <c r="K33" s="129"/>
      <c r="L33" s="129"/>
      <c r="M33" s="129"/>
      <c r="N33" s="354">
        <f>SUM(F33:M33)</f>
        <v>0</v>
      </c>
      <c r="O33" s="187"/>
      <c r="P33" s="100"/>
      <c r="Q33" s="101"/>
      <c r="R33" s="101"/>
      <c r="S33" s="101"/>
      <c r="T33" s="103"/>
      <c r="U33" s="105" t="s">
        <v>437</v>
      </c>
      <c r="V33" s="106" t="s">
        <v>437</v>
      </c>
      <c r="W33" s="106" t="s">
        <v>437</v>
      </c>
      <c r="X33" s="106" t="s">
        <v>437</v>
      </c>
      <c r="Y33" s="107" t="s">
        <v>437</v>
      </c>
      <c r="Z33" s="102"/>
      <c r="AA33" s="101"/>
      <c r="AB33" s="101"/>
      <c r="AC33" s="101"/>
      <c r="AD33" s="98"/>
      <c r="AE33" s="281" t="s">
        <v>437</v>
      </c>
      <c r="AF33" s="106" t="s">
        <v>437</v>
      </c>
      <c r="AG33" s="106" t="s">
        <v>437</v>
      </c>
      <c r="AH33" s="106" t="s">
        <v>437</v>
      </c>
      <c r="AI33" s="106" t="s">
        <v>437</v>
      </c>
      <c r="AJ33" s="100"/>
      <c r="AK33" s="101"/>
      <c r="AL33" s="101"/>
      <c r="AM33" s="101"/>
      <c r="AN33" s="98"/>
      <c r="AO33" s="100"/>
      <c r="AP33" s="101"/>
      <c r="AQ33" s="101"/>
      <c r="AR33" s="101"/>
      <c r="AS33" s="98"/>
      <c r="AT33" s="100"/>
      <c r="AU33" s="101"/>
      <c r="AV33" s="101"/>
      <c r="AW33" s="101"/>
      <c r="AX33" s="103" t="s">
        <v>244</v>
      </c>
      <c r="AY33" s="100"/>
      <c r="AZ33" s="101"/>
      <c r="BA33" s="101"/>
      <c r="BB33" s="101"/>
      <c r="BC33" s="98"/>
      <c r="BD33" s="102"/>
      <c r="BE33" s="104"/>
      <c r="BF33" s="104"/>
      <c r="BG33" s="104"/>
      <c r="BH33" s="104"/>
      <c r="BI33" s="392"/>
      <c r="BJ33" s="102"/>
      <c r="BK33" s="101"/>
      <c r="BL33" s="101"/>
      <c r="BM33" s="101" t="s">
        <v>244</v>
      </c>
      <c r="BN33" s="103" t="s">
        <v>244</v>
      </c>
      <c r="BO33" s="100"/>
      <c r="BP33" s="101"/>
      <c r="BQ33" s="101"/>
      <c r="BR33" s="101"/>
      <c r="BS33" s="98"/>
      <c r="BT33" s="100"/>
      <c r="BU33" s="101"/>
      <c r="BV33" s="101"/>
      <c r="BW33" s="101"/>
      <c r="BX33" s="98"/>
      <c r="BY33" s="102"/>
      <c r="BZ33" s="101"/>
      <c r="CA33" s="101"/>
      <c r="CB33" s="101"/>
      <c r="CC33" s="98"/>
      <c r="CD33" s="102"/>
      <c r="CE33" s="101"/>
      <c r="CF33" s="101"/>
      <c r="CG33" s="101"/>
      <c r="CH33" s="98"/>
      <c r="CI33" s="100"/>
      <c r="CJ33" s="101"/>
      <c r="CK33" s="101"/>
      <c r="CL33" s="101"/>
      <c r="CM33" s="98"/>
      <c r="CN33" s="100"/>
      <c r="CO33" s="101"/>
      <c r="CP33" s="101"/>
      <c r="CQ33" s="101"/>
      <c r="CR33" s="98"/>
      <c r="CS33" s="100"/>
      <c r="CT33" s="101"/>
      <c r="CU33" s="101"/>
      <c r="CV33" s="101"/>
      <c r="CW33" s="98"/>
      <c r="CX33" s="102"/>
      <c r="CY33" s="101"/>
      <c r="CZ33" s="101"/>
      <c r="DA33" s="101"/>
      <c r="DB33" s="98"/>
      <c r="DC33" s="489"/>
      <c r="DD33" s="101"/>
      <c r="DE33" s="101"/>
      <c r="DF33" s="101"/>
      <c r="DG33" s="98"/>
      <c r="DH33" s="100"/>
      <c r="DI33" s="101"/>
      <c r="DJ33" s="101"/>
      <c r="DK33" s="101"/>
      <c r="DL33" s="98"/>
      <c r="DM33" s="100"/>
      <c r="DN33" s="101"/>
      <c r="DO33" s="101"/>
      <c r="DP33" s="101"/>
      <c r="DQ33" s="103"/>
      <c r="DR33" s="116"/>
      <c r="DS33" s="117"/>
      <c r="DT33" s="117"/>
      <c r="DU33" s="117"/>
      <c r="DV33" s="227"/>
      <c r="DW33" s="116"/>
      <c r="DX33" s="117"/>
      <c r="DY33" s="117"/>
      <c r="DZ33" s="117"/>
      <c r="EA33" s="227"/>
      <c r="EB33" s="489"/>
      <c r="EC33" s="117"/>
      <c r="ED33" s="117"/>
      <c r="EE33" s="117"/>
      <c r="EF33" s="118"/>
      <c r="EG33" s="119"/>
      <c r="EH33" s="117"/>
      <c r="EI33" s="117"/>
      <c r="EJ33" s="117"/>
      <c r="EK33" s="118"/>
      <c r="EL33" s="116"/>
      <c r="EM33" s="117"/>
      <c r="EN33" s="117"/>
      <c r="EO33" s="117"/>
      <c r="EP33" s="227"/>
      <c r="EQ33" s="117"/>
      <c r="ER33" s="117"/>
      <c r="ES33" s="117"/>
      <c r="ET33" s="117"/>
      <c r="EU33" s="117"/>
      <c r="EV33" s="117"/>
      <c r="EW33" s="117"/>
      <c r="EX33" s="117"/>
      <c r="EY33" s="117"/>
      <c r="EZ33" s="117"/>
      <c r="FA33" s="117"/>
      <c r="FB33" s="117"/>
      <c r="FC33" s="117"/>
      <c r="FD33" s="117"/>
      <c r="FE33" s="117"/>
      <c r="FF33" s="117"/>
      <c r="FG33" s="117"/>
      <c r="FH33" s="117"/>
      <c r="FI33" s="117"/>
      <c r="FJ33" s="101"/>
      <c r="FK33" s="117"/>
      <c r="FL33" s="117"/>
      <c r="FM33" s="117"/>
      <c r="FN33" s="117"/>
      <c r="FO33" s="117"/>
      <c r="FP33" s="491"/>
      <c r="FQ33" s="491"/>
      <c r="FR33" s="491"/>
      <c r="FS33" s="117"/>
      <c r="FT33" s="117"/>
      <c r="FU33" s="117"/>
      <c r="FV33" s="117"/>
      <c r="FW33" s="117"/>
      <c r="FX33" s="117"/>
      <c r="FY33" s="117"/>
      <c r="FZ33" s="117"/>
      <c r="GA33" s="117"/>
      <c r="GB33" s="117"/>
      <c r="GC33" s="117"/>
      <c r="GD33" s="491"/>
      <c r="GE33" s="491"/>
      <c r="GF33" s="117"/>
      <c r="GG33" s="117"/>
      <c r="GH33" s="117"/>
      <c r="GI33" s="491"/>
      <c r="GJ33" s="491"/>
      <c r="GK33" s="117"/>
      <c r="GL33" s="117"/>
      <c r="GM33" s="117"/>
      <c r="GN33" s="117"/>
      <c r="GO33" s="117"/>
      <c r="GP33" s="117"/>
      <c r="GQ33" s="117"/>
      <c r="GR33" s="117"/>
      <c r="GS33" s="117"/>
      <c r="GT33" s="117"/>
      <c r="GU33" s="117"/>
      <c r="GV33" s="117"/>
      <c r="GW33" s="117"/>
      <c r="GX33" s="117"/>
      <c r="GY33" s="227"/>
      <c r="GZ33" s="117"/>
      <c r="HA33" s="117"/>
      <c r="HB33" s="117"/>
      <c r="HC33" s="117"/>
      <c r="HD33" s="117"/>
      <c r="HE33" s="117"/>
      <c r="HF33" s="117"/>
      <c r="HG33" s="117"/>
      <c r="HH33" s="117"/>
      <c r="HI33" s="117"/>
      <c r="HJ33" s="117"/>
      <c r="HK33" s="117"/>
      <c r="HL33" s="117"/>
      <c r="HM33" s="117"/>
      <c r="HN33" s="117"/>
      <c r="HO33" s="117"/>
      <c r="HP33" s="117"/>
      <c r="HQ33" s="117"/>
      <c r="HR33" s="117"/>
      <c r="HS33" s="117"/>
      <c r="HT33" s="117"/>
      <c r="HU33" s="117"/>
      <c r="HV33" s="117"/>
      <c r="HW33" s="117"/>
      <c r="HX33" s="117"/>
      <c r="HY33" s="117"/>
      <c r="HZ33" s="117"/>
      <c r="IA33" s="117"/>
      <c r="IB33" s="117"/>
      <c r="IC33" s="117"/>
      <c r="ID33" s="117"/>
      <c r="IE33" s="117"/>
      <c r="IF33" s="117"/>
      <c r="IG33" s="491"/>
      <c r="IH33" s="491"/>
      <c r="II33" s="117"/>
      <c r="IJ33" s="117"/>
      <c r="IK33" s="117"/>
      <c r="IL33" s="117"/>
      <c r="IM33" s="117"/>
      <c r="IN33" s="117"/>
      <c r="IO33" s="117"/>
      <c r="IP33" s="117"/>
      <c r="IQ33" s="117"/>
      <c r="IR33" s="117"/>
      <c r="IS33" s="117"/>
      <c r="IT33" s="117"/>
      <c r="IU33" s="117"/>
      <c r="IV33" s="117"/>
      <c r="IW33" s="117"/>
      <c r="IX33" s="117"/>
      <c r="IY33" s="117"/>
      <c r="IZ33" s="117"/>
      <c r="JA33" s="117"/>
      <c r="JB33" s="117"/>
      <c r="JC33" s="117"/>
      <c r="JD33" s="117"/>
      <c r="JE33" s="117"/>
      <c r="JF33" s="117"/>
      <c r="JG33" s="117"/>
      <c r="JH33" s="117"/>
      <c r="JI33" s="117"/>
      <c r="JJ33" s="117"/>
      <c r="JK33" s="117"/>
      <c r="JL33" s="117"/>
      <c r="JM33" s="117"/>
      <c r="JN33" s="117"/>
      <c r="JO33" s="117"/>
      <c r="JP33" s="491"/>
      <c r="JQ33" s="491"/>
      <c r="JR33" s="117"/>
      <c r="JS33" s="117"/>
      <c r="JT33" s="117"/>
      <c r="JU33" s="117"/>
      <c r="JV33" s="117"/>
      <c r="JW33" s="117"/>
      <c r="JX33" s="117"/>
      <c r="JY33" s="491"/>
      <c r="JZ33" s="491"/>
      <c r="KA33" s="491"/>
      <c r="KB33" s="117"/>
      <c r="KC33" s="227"/>
      <c r="KD33" s="117"/>
      <c r="KE33" s="117"/>
      <c r="KF33" s="117"/>
      <c r="KG33" s="117"/>
      <c r="KH33" s="117"/>
      <c r="KI33" s="117"/>
      <c r="KJ33" s="117"/>
      <c r="KK33" s="117"/>
      <c r="KL33" s="117"/>
      <c r="KM33" s="117"/>
      <c r="KN33" s="117"/>
      <c r="KO33" s="117"/>
      <c r="KP33" s="491"/>
      <c r="KQ33" s="491"/>
      <c r="KR33" s="117"/>
      <c r="KS33" s="117"/>
      <c r="KT33" s="117"/>
      <c r="KU33" s="117"/>
      <c r="KV33" s="117"/>
      <c r="KW33" s="117"/>
      <c r="KX33" s="117"/>
      <c r="KY33" s="117"/>
      <c r="KZ33" s="117"/>
      <c r="LA33" s="117"/>
      <c r="LB33" s="117"/>
      <c r="LC33" s="117"/>
      <c r="LD33" s="117"/>
      <c r="LE33" s="491"/>
      <c r="LF33" s="117"/>
      <c r="LG33" s="117"/>
      <c r="LH33" s="117"/>
      <c r="LI33" s="117"/>
      <c r="LJ33" s="117"/>
      <c r="LK33" s="117"/>
      <c r="LL33" s="117"/>
      <c r="LM33" s="117"/>
      <c r="LN33" s="117"/>
      <c r="LO33" s="117"/>
      <c r="LP33" s="117"/>
      <c r="LQ33" s="117"/>
      <c r="LR33" s="117"/>
      <c r="LS33" s="117"/>
      <c r="LT33" s="117"/>
    </row>
    <row r="34" spans="1:332" ht="24.95" customHeight="1">
      <c r="A34" s="985"/>
      <c r="B34" s="205" t="s">
        <v>163</v>
      </c>
      <c r="C34" s="220">
        <v>1</v>
      </c>
      <c r="D34" s="203">
        <v>200</v>
      </c>
      <c r="E34" s="226">
        <f t="shared" si="2"/>
        <v>0</v>
      </c>
      <c r="F34" s="203"/>
      <c r="G34" s="129"/>
      <c r="H34" s="129"/>
      <c r="I34" s="129"/>
      <c r="J34" s="129"/>
      <c r="K34" s="129"/>
      <c r="L34" s="129"/>
      <c r="M34" s="129"/>
      <c r="N34" s="354">
        <f>SUM(F34:M34)</f>
        <v>0</v>
      </c>
      <c r="O34" s="187"/>
      <c r="P34" s="100"/>
      <c r="Q34" s="101"/>
      <c r="R34" s="101"/>
      <c r="S34" s="101"/>
      <c r="T34" s="103"/>
      <c r="U34" s="105" t="s">
        <v>437</v>
      </c>
      <c r="V34" s="106" t="s">
        <v>437</v>
      </c>
      <c r="W34" s="106" t="s">
        <v>437</v>
      </c>
      <c r="X34" s="106" t="s">
        <v>437</v>
      </c>
      <c r="Y34" s="107" t="s">
        <v>437</v>
      </c>
      <c r="Z34" s="102"/>
      <c r="AA34" s="101"/>
      <c r="AB34" s="101"/>
      <c r="AC34" s="101"/>
      <c r="AD34" s="98"/>
      <c r="AE34" s="281" t="s">
        <v>437</v>
      </c>
      <c r="AF34" s="106" t="s">
        <v>437</v>
      </c>
      <c r="AG34" s="106" t="s">
        <v>437</v>
      </c>
      <c r="AH34" s="106" t="s">
        <v>437</v>
      </c>
      <c r="AI34" s="106" t="s">
        <v>437</v>
      </c>
      <c r="AJ34" s="100"/>
      <c r="AK34" s="101"/>
      <c r="AL34" s="101"/>
      <c r="AM34" s="101"/>
      <c r="AN34" s="98"/>
      <c r="AO34" s="100"/>
      <c r="AP34" s="101"/>
      <c r="AQ34" s="101"/>
      <c r="AR34" s="101"/>
      <c r="AS34" s="98"/>
      <c r="AT34" s="100"/>
      <c r="AU34" s="101"/>
      <c r="AV34" s="101"/>
      <c r="AW34" s="101"/>
      <c r="AX34" s="103" t="s">
        <v>244</v>
      </c>
      <c r="AY34" s="100"/>
      <c r="AZ34" s="101"/>
      <c r="BA34" s="101"/>
      <c r="BB34" s="101"/>
      <c r="BC34" s="98"/>
      <c r="BD34" s="102"/>
      <c r="BE34" s="104"/>
      <c r="BF34" s="104"/>
      <c r="BG34" s="104"/>
      <c r="BH34" s="104"/>
      <c r="BI34" s="392"/>
      <c r="BJ34" s="102"/>
      <c r="BK34" s="101"/>
      <c r="BL34" s="101"/>
      <c r="BM34" s="101" t="s">
        <v>244</v>
      </c>
      <c r="BN34" s="103" t="s">
        <v>244</v>
      </c>
      <c r="BO34" s="100"/>
      <c r="BP34" s="101"/>
      <c r="BQ34" s="101"/>
      <c r="BR34" s="101"/>
      <c r="BS34" s="417"/>
      <c r="BT34" s="100"/>
      <c r="BU34" s="101"/>
      <c r="BV34" s="101"/>
      <c r="BW34" s="101"/>
      <c r="BX34" s="98"/>
      <c r="BY34" s="102"/>
      <c r="BZ34" s="101"/>
      <c r="CA34" s="101"/>
      <c r="CB34" s="101"/>
      <c r="CC34" s="98"/>
      <c r="CD34" s="102"/>
      <c r="CE34" s="101"/>
      <c r="CF34" s="101"/>
      <c r="CG34" s="101"/>
      <c r="CH34" s="98"/>
      <c r="CI34" s="100"/>
      <c r="CJ34" s="101"/>
      <c r="CK34" s="101"/>
      <c r="CL34" s="101"/>
      <c r="CM34" s="98"/>
      <c r="CN34" s="100"/>
      <c r="CO34" s="101"/>
      <c r="CP34" s="101"/>
      <c r="CQ34" s="101"/>
      <c r="CR34" s="98"/>
      <c r="CS34" s="100"/>
      <c r="CT34" s="101"/>
      <c r="CU34" s="101"/>
      <c r="CV34" s="101"/>
      <c r="CW34" s="98"/>
      <c r="CX34" s="102"/>
      <c r="CY34" s="101"/>
      <c r="CZ34" s="101"/>
      <c r="DA34" s="101"/>
      <c r="DB34" s="98"/>
      <c r="DC34" s="489"/>
      <c r="DD34" s="101"/>
      <c r="DE34" s="101"/>
      <c r="DF34" s="101"/>
      <c r="DG34" s="98"/>
      <c r="DH34" s="100"/>
      <c r="DI34" s="101"/>
      <c r="DJ34" s="101"/>
      <c r="DK34" s="101"/>
      <c r="DL34" s="98"/>
      <c r="DM34" s="100"/>
      <c r="DN34" s="101"/>
      <c r="DO34" s="101"/>
      <c r="DP34" s="101"/>
      <c r="DQ34" s="103"/>
      <c r="DR34" s="116"/>
      <c r="DS34" s="117"/>
      <c r="DT34" s="117"/>
      <c r="DU34" s="117"/>
      <c r="DV34" s="227"/>
      <c r="DW34" s="116"/>
      <c r="DX34" s="117"/>
      <c r="DY34" s="117"/>
      <c r="DZ34" s="117"/>
      <c r="EA34" s="227"/>
      <c r="EB34" s="489"/>
      <c r="EC34" s="117"/>
      <c r="ED34" s="117"/>
      <c r="EE34" s="117"/>
      <c r="EF34" s="118"/>
      <c r="EG34" s="119"/>
      <c r="EH34" s="117"/>
      <c r="EI34" s="117"/>
      <c r="EJ34" s="117"/>
      <c r="EK34" s="118"/>
      <c r="EL34" s="116"/>
      <c r="EM34" s="117"/>
      <c r="EN34" s="117"/>
      <c r="EO34" s="117"/>
      <c r="EP34" s="227"/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01"/>
      <c r="FK34" s="117"/>
      <c r="FL34" s="117"/>
      <c r="FM34" s="117"/>
      <c r="FN34" s="117"/>
      <c r="FO34" s="117"/>
      <c r="FP34" s="491"/>
      <c r="FQ34" s="491"/>
      <c r="FR34" s="491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491"/>
      <c r="GE34" s="491"/>
      <c r="GF34" s="117"/>
      <c r="GG34" s="117"/>
      <c r="GH34" s="117"/>
      <c r="GI34" s="491"/>
      <c r="GJ34" s="491"/>
      <c r="GK34" s="117"/>
      <c r="GL34" s="117"/>
      <c r="GM34" s="117"/>
      <c r="GN34" s="117"/>
      <c r="GO34" s="117"/>
      <c r="GP34" s="117"/>
      <c r="GQ34" s="117"/>
      <c r="GR34" s="117"/>
      <c r="GS34" s="117"/>
      <c r="GT34" s="117"/>
      <c r="GU34" s="117"/>
      <c r="GV34" s="117"/>
      <c r="GW34" s="117"/>
      <c r="GX34" s="117"/>
      <c r="GY34" s="227"/>
      <c r="GZ34" s="117"/>
      <c r="HA34" s="117"/>
      <c r="HB34" s="117"/>
      <c r="HC34" s="117"/>
      <c r="HD34" s="117"/>
      <c r="HE34" s="117"/>
      <c r="HF34" s="117"/>
      <c r="HG34" s="117"/>
      <c r="HH34" s="117"/>
      <c r="HI34" s="117"/>
      <c r="HJ34" s="117"/>
      <c r="HK34" s="117"/>
      <c r="HL34" s="117"/>
      <c r="HM34" s="117"/>
      <c r="HN34" s="117"/>
      <c r="HO34" s="117"/>
      <c r="HP34" s="117"/>
      <c r="HQ34" s="117"/>
      <c r="HR34" s="117"/>
      <c r="HS34" s="117"/>
      <c r="HT34" s="117"/>
      <c r="HU34" s="117"/>
      <c r="HV34" s="117"/>
      <c r="HW34" s="117"/>
      <c r="HX34" s="117"/>
      <c r="HY34" s="117"/>
      <c r="HZ34" s="117"/>
      <c r="IA34" s="117"/>
      <c r="IB34" s="117"/>
      <c r="IC34" s="117"/>
      <c r="ID34" s="117"/>
      <c r="IE34" s="117"/>
      <c r="IF34" s="117"/>
      <c r="IG34" s="491"/>
      <c r="IH34" s="491"/>
      <c r="II34" s="117"/>
      <c r="IJ34" s="117"/>
      <c r="IK34" s="117"/>
      <c r="IL34" s="117"/>
      <c r="IM34" s="117"/>
      <c r="IN34" s="117"/>
      <c r="IO34" s="117"/>
      <c r="IP34" s="117"/>
      <c r="IQ34" s="117"/>
      <c r="IR34" s="117"/>
      <c r="IS34" s="117"/>
      <c r="IT34" s="117"/>
      <c r="IU34" s="117"/>
      <c r="IV34" s="117"/>
      <c r="IW34" s="117"/>
      <c r="IX34" s="117"/>
      <c r="IY34" s="117"/>
      <c r="IZ34" s="117"/>
      <c r="JA34" s="117"/>
      <c r="JB34" s="117"/>
      <c r="JC34" s="117"/>
      <c r="JD34" s="117"/>
      <c r="JE34" s="117"/>
      <c r="JF34" s="117"/>
      <c r="JG34" s="117"/>
      <c r="JH34" s="117"/>
      <c r="JI34" s="117"/>
      <c r="JJ34" s="117"/>
      <c r="JK34" s="117"/>
      <c r="JL34" s="117"/>
      <c r="JM34" s="117"/>
      <c r="JN34" s="117"/>
      <c r="JO34" s="117"/>
      <c r="JP34" s="491"/>
      <c r="JQ34" s="491"/>
      <c r="JR34" s="117"/>
      <c r="JS34" s="117"/>
      <c r="JT34" s="117"/>
      <c r="JU34" s="117"/>
      <c r="JV34" s="117"/>
      <c r="JW34" s="117"/>
      <c r="JX34" s="117"/>
      <c r="JY34" s="491"/>
      <c r="JZ34" s="491"/>
      <c r="KA34" s="491"/>
      <c r="KB34" s="117"/>
      <c r="KC34" s="227"/>
      <c r="KD34" s="117"/>
      <c r="KE34" s="117"/>
      <c r="KF34" s="117"/>
      <c r="KG34" s="117"/>
      <c r="KH34" s="117"/>
      <c r="KI34" s="117"/>
      <c r="KJ34" s="117"/>
      <c r="KK34" s="117"/>
      <c r="KL34" s="117"/>
      <c r="KM34" s="117"/>
      <c r="KN34" s="117"/>
      <c r="KO34" s="117"/>
      <c r="KP34" s="491"/>
      <c r="KQ34" s="491"/>
      <c r="KR34" s="117"/>
      <c r="KS34" s="117"/>
      <c r="KT34" s="117"/>
      <c r="KU34" s="117"/>
      <c r="KV34" s="117"/>
      <c r="KW34" s="117"/>
      <c r="KX34" s="117"/>
      <c r="KY34" s="117"/>
      <c r="KZ34" s="117"/>
      <c r="LA34" s="117"/>
      <c r="LB34" s="117"/>
      <c r="LC34" s="117"/>
      <c r="LD34" s="117"/>
      <c r="LE34" s="491"/>
      <c r="LF34" s="117"/>
      <c r="LG34" s="117"/>
      <c r="LH34" s="117"/>
      <c r="LI34" s="117"/>
      <c r="LJ34" s="117"/>
      <c r="LK34" s="117"/>
      <c r="LL34" s="117"/>
      <c r="LM34" s="117"/>
      <c r="LN34" s="117"/>
      <c r="LO34" s="117"/>
      <c r="LP34" s="117"/>
      <c r="LQ34" s="117"/>
      <c r="LR34" s="117"/>
      <c r="LS34" s="117"/>
      <c r="LT34" s="117"/>
    </row>
    <row r="35" spans="1:332" ht="24.95" customHeight="1">
      <c r="A35" s="985"/>
      <c r="B35" s="205" t="s">
        <v>164</v>
      </c>
      <c r="C35" s="220"/>
      <c r="D35" s="203"/>
      <c r="E35" s="226" t="e">
        <f t="shared" si="2"/>
        <v>#DIV/0!</v>
      </c>
      <c r="F35" s="203"/>
      <c r="G35" s="129"/>
      <c r="H35" s="129"/>
      <c r="I35" s="129"/>
      <c r="J35" s="129"/>
      <c r="K35" s="129"/>
      <c r="L35" s="129"/>
      <c r="M35" s="129"/>
      <c r="N35" s="354"/>
      <c r="O35" s="187"/>
      <c r="P35" s="100"/>
      <c r="Q35" s="101"/>
      <c r="R35" s="101"/>
      <c r="S35" s="101"/>
      <c r="T35" s="103"/>
      <c r="U35" s="105" t="s">
        <v>437</v>
      </c>
      <c r="V35" s="106" t="s">
        <v>437</v>
      </c>
      <c r="W35" s="106" t="s">
        <v>437</v>
      </c>
      <c r="X35" s="106" t="s">
        <v>437</v>
      </c>
      <c r="Y35" s="107" t="s">
        <v>437</v>
      </c>
      <c r="Z35" s="102"/>
      <c r="AA35" s="101"/>
      <c r="AB35" s="101"/>
      <c r="AC35" s="101"/>
      <c r="AD35" s="98"/>
      <c r="AE35" s="281" t="s">
        <v>437</v>
      </c>
      <c r="AF35" s="106" t="s">
        <v>437</v>
      </c>
      <c r="AG35" s="106" t="s">
        <v>437</v>
      </c>
      <c r="AH35" s="106" t="s">
        <v>437</v>
      </c>
      <c r="AI35" s="106" t="s">
        <v>437</v>
      </c>
      <c r="AJ35" s="100"/>
      <c r="AK35" s="101"/>
      <c r="AL35" s="101"/>
      <c r="AM35" s="101"/>
      <c r="AN35" s="98"/>
      <c r="AO35" s="100"/>
      <c r="AP35" s="101"/>
      <c r="AQ35" s="101"/>
      <c r="AR35" s="101"/>
      <c r="AS35" s="98"/>
      <c r="AT35" s="100"/>
      <c r="AU35" s="101"/>
      <c r="AV35" s="101"/>
      <c r="AW35" s="101"/>
      <c r="AX35" s="103" t="s">
        <v>244</v>
      </c>
      <c r="AY35" s="100"/>
      <c r="AZ35" s="101"/>
      <c r="BA35" s="101"/>
      <c r="BB35" s="101"/>
      <c r="BC35" s="98"/>
      <c r="BD35" s="102"/>
      <c r="BE35" s="104"/>
      <c r="BF35" s="104"/>
      <c r="BG35" s="104"/>
      <c r="BH35" s="104"/>
      <c r="BI35" s="392"/>
      <c r="BJ35" s="102"/>
      <c r="BK35" s="101"/>
      <c r="BL35" s="101"/>
      <c r="BM35" s="101" t="s">
        <v>244</v>
      </c>
      <c r="BN35" s="103" t="s">
        <v>244</v>
      </c>
      <c r="BO35" s="100"/>
      <c r="BP35" s="101"/>
      <c r="BQ35" s="101"/>
      <c r="BR35" s="101"/>
      <c r="BS35" s="98"/>
      <c r="BT35" s="100"/>
      <c r="BU35" s="101"/>
      <c r="BV35" s="101"/>
      <c r="BW35" s="101"/>
      <c r="BX35" s="98"/>
      <c r="BY35" s="102"/>
      <c r="BZ35" s="101"/>
      <c r="CA35" s="101"/>
      <c r="CB35" s="101"/>
      <c r="CC35" s="98"/>
      <c r="CD35" s="102"/>
      <c r="CE35" s="101"/>
      <c r="CF35" s="101"/>
      <c r="CG35" s="101"/>
      <c r="CH35" s="98"/>
      <c r="CI35" s="100"/>
      <c r="CJ35" s="101"/>
      <c r="CK35" s="101"/>
      <c r="CL35" s="101"/>
      <c r="CM35" s="98"/>
      <c r="CN35" s="100"/>
      <c r="CO35" s="101"/>
      <c r="CP35" s="101"/>
      <c r="CQ35" s="101"/>
      <c r="CR35" s="98"/>
      <c r="CS35" s="100"/>
      <c r="CT35" s="101"/>
      <c r="CU35" s="101"/>
      <c r="CV35" s="101"/>
      <c r="CW35" s="98"/>
      <c r="CX35" s="102"/>
      <c r="CY35" s="101"/>
      <c r="CZ35" s="101"/>
      <c r="DA35" s="101"/>
      <c r="DB35" s="98"/>
      <c r="DC35" s="489"/>
      <c r="DD35" s="101"/>
      <c r="DE35" s="101"/>
      <c r="DF35" s="101"/>
      <c r="DG35" s="98"/>
      <c r="DH35" s="100"/>
      <c r="DI35" s="101"/>
      <c r="DJ35" s="101"/>
      <c r="DK35" s="101"/>
      <c r="DL35" s="98"/>
      <c r="DM35" s="100"/>
      <c r="DN35" s="101"/>
      <c r="DO35" s="101"/>
      <c r="DP35" s="101"/>
      <c r="DQ35" s="103"/>
      <c r="DR35" s="116"/>
      <c r="DS35" s="117"/>
      <c r="DT35" s="117"/>
      <c r="DU35" s="117"/>
      <c r="DV35" s="227"/>
      <c r="DW35" s="116"/>
      <c r="DX35" s="117"/>
      <c r="DY35" s="117"/>
      <c r="DZ35" s="117"/>
      <c r="EA35" s="227"/>
      <c r="EB35" s="489"/>
      <c r="EC35" s="117"/>
      <c r="ED35" s="117"/>
      <c r="EE35" s="117"/>
      <c r="EF35" s="118"/>
      <c r="EG35" s="119"/>
      <c r="EH35" s="117"/>
      <c r="EI35" s="117"/>
      <c r="EJ35" s="117"/>
      <c r="EK35" s="118"/>
      <c r="EL35" s="116"/>
      <c r="EM35" s="117"/>
      <c r="EN35" s="117"/>
      <c r="EO35" s="117"/>
      <c r="EP35" s="22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01"/>
      <c r="FK35" s="117"/>
      <c r="FL35" s="117"/>
      <c r="FM35" s="117"/>
      <c r="FN35" s="117"/>
      <c r="FO35" s="117"/>
      <c r="FP35" s="491"/>
      <c r="FQ35" s="491"/>
      <c r="FR35" s="491"/>
      <c r="FS35" s="117"/>
      <c r="FT35" s="117"/>
      <c r="FU35" s="117"/>
      <c r="FV35" s="117"/>
      <c r="FW35" s="117"/>
      <c r="FX35" s="117"/>
      <c r="FY35" s="117"/>
      <c r="FZ35" s="117"/>
      <c r="GA35" s="117"/>
      <c r="GB35" s="117"/>
      <c r="GC35" s="117"/>
      <c r="GD35" s="491"/>
      <c r="GE35" s="491"/>
      <c r="GF35" s="117"/>
      <c r="GG35" s="117"/>
      <c r="GH35" s="117"/>
      <c r="GI35" s="491"/>
      <c r="GJ35" s="491"/>
      <c r="GK35" s="117"/>
      <c r="GL35" s="117"/>
      <c r="GM35" s="117"/>
      <c r="GN35" s="117"/>
      <c r="GO35" s="117"/>
      <c r="GP35" s="117"/>
      <c r="GQ35" s="117"/>
      <c r="GR35" s="117"/>
      <c r="GS35" s="117"/>
      <c r="GT35" s="117"/>
      <c r="GU35" s="117"/>
      <c r="GV35" s="117"/>
      <c r="GW35" s="117"/>
      <c r="GX35" s="117"/>
      <c r="GY35" s="227"/>
      <c r="GZ35" s="117"/>
      <c r="HA35" s="117"/>
      <c r="HB35" s="117"/>
      <c r="HC35" s="117"/>
      <c r="HD35" s="117"/>
      <c r="HE35" s="117"/>
      <c r="HF35" s="117"/>
      <c r="HG35" s="117"/>
      <c r="HH35" s="117"/>
      <c r="HI35" s="117"/>
      <c r="HJ35" s="117"/>
      <c r="HK35" s="117"/>
      <c r="HL35" s="117"/>
      <c r="HM35" s="117"/>
      <c r="HN35" s="117"/>
      <c r="HO35" s="117"/>
      <c r="HP35" s="117"/>
      <c r="HQ35" s="117"/>
      <c r="HR35" s="117"/>
      <c r="HS35" s="117"/>
      <c r="HT35" s="117"/>
      <c r="HU35" s="117"/>
      <c r="HV35" s="117"/>
      <c r="HW35" s="117"/>
      <c r="HX35" s="117"/>
      <c r="HY35" s="117"/>
      <c r="HZ35" s="117"/>
      <c r="IA35" s="117"/>
      <c r="IB35" s="117"/>
      <c r="IC35" s="117"/>
      <c r="ID35" s="117"/>
      <c r="IE35" s="117"/>
      <c r="IF35" s="117"/>
      <c r="IG35" s="491"/>
      <c r="IH35" s="491"/>
      <c r="II35" s="117"/>
      <c r="IJ35" s="117"/>
      <c r="IK35" s="117"/>
      <c r="IL35" s="117"/>
      <c r="IM35" s="117"/>
      <c r="IN35" s="117"/>
      <c r="IO35" s="117"/>
      <c r="IP35" s="117"/>
      <c r="IQ35" s="117"/>
      <c r="IR35" s="117"/>
      <c r="IS35" s="117"/>
      <c r="IT35" s="117"/>
      <c r="IU35" s="117"/>
      <c r="IV35" s="117"/>
      <c r="IW35" s="117"/>
      <c r="IX35" s="117"/>
      <c r="IY35" s="117"/>
      <c r="IZ35" s="117"/>
      <c r="JA35" s="117"/>
      <c r="JB35" s="117"/>
      <c r="JC35" s="117"/>
      <c r="JD35" s="117"/>
      <c r="JE35" s="117"/>
      <c r="JF35" s="117"/>
      <c r="JG35" s="117"/>
      <c r="JH35" s="117"/>
      <c r="JI35" s="117"/>
      <c r="JJ35" s="117"/>
      <c r="JK35" s="117"/>
      <c r="JL35" s="117"/>
      <c r="JM35" s="117"/>
      <c r="JN35" s="117"/>
      <c r="JO35" s="117"/>
      <c r="JP35" s="491"/>
      <c r="JQ35" s="491"/>
      <c r="JR35" s="117"/>
      <c r="JS35" s="117"/>
      <c r="JT35" s="117"/>
      <c r="JU35" s="117"/>
      <c r="JV35" s="117"/>
      <c r="JW35" s="117"/>
      <c r="JX35" s="117"/>
      <c r="JY35" s="491"/>
      <c r="JZ35" s="491"/>
      <c r="KA35" s="491"/>
      <c r="KB35" s="117"/>
      <c r="KC35" s="227"/>
      <c r="KD35" s="117"/>
      <c r="KE35" s="117"/>
      <c r="KF35" s="117"/>
      <c r="KG35" s="117"/>
      <c r="KH35" s="117"/>
      <c r="KI35" s="117"/>
      <c r="KJ35" s="117"/>
      <c r="KK35" s="117"/>
      <c r="KL35" s="117"/>
      <c r="KM35" s="117"/>
      <c r="KN35" s="117"/>
      <c r="KO35" s="117"/>
      <c r="KP35" s="491"/>
      <c r="KQ35" s="491"/>
      <c r="KR35" s="117"/>
      <c r="KS35" s="117"/>
      <c r="KT35" s="117"/>
      <c r="KU35" s="117"/>
      <c r="KV35" s="117"/>
      <c r="KW35" s="117"/>
      <c r="KX35" s="117"/>
      <c r="KY35" s="117"/>
      <c r="KZ35" s="117"/>
      <c r="LA35" s="117"/>
      <c r="LB35" s="117"/>
      <c r="LC35" s="117"/>
      <c r="LD35" s="117"/>
      <c r="LE35" s="491"/>
      <c r="LF35" s="117"/>
      <c r="LG35" s="117"/>
      <c r="LH35" s="117"/>
      <c r="LI35" s="117"/>
      <c r="LJ35" s="117"/>
      <c r="LK35" s="117"/>
      <c r="LL35" s="117"/>
      <c r="LM35" s="117"/>
      <c r="LN35" s="117"/>
      <c r="LO35" s="117"/>
      <c r="LP35" s="117"/>
      <c r="LQ35" s="117"/>
      <c r="LR35" s="117"/>
      <c r="LS35" s="117"/>
      <c r="LT35" s="117"/>
    </row>
    <row r="36" spans="1:332" ht="24.95" customHeight="1">
      <c r="A36" s="985"/>
      <c r="B36" s="129" t="s">
        <v>165</v>
      </c>
      <c r="C36" s="203"/>
      <c r="D36" s="203"/>
      <c r="E36" s="226" t="e">
        <f t="shared" si="2"/>
        <v>#DIV/0!</v>
      </c>
      <c r="F36" s="203"/>
      <c r="G36" s="129"/>
      <c r="H36" s="129"/>
      <c r="I36" s="129"/>
      <c r="J36" s="129"/>
      <c r="K36" s="129"/>
      <c r="L36" s="129"/>
      <c r="M36" s="129"/>
      <c r="N36" s="354"/>
      <c r="O36" s="187"/>
      <c r="P36" s="100"/>
      <c r="Q36" s="101"/>
      <c r="R36" s="101"/>
      <c r="S36" s="101"/>
      <c r="T36" s="103"/>
      <c r="U36" s="105" t="s">
        <v>437</v>
      </c>
      <c r="V36" s="106" t="s">
        <v>437</v>
      </c>
      <c r="W36" s="106" t="s">
        <v>437</v>
      </c>
      <c r="X36" s="106" t="s">
        <v>437</v>
      </c>
      <c r="Y36" s="107" t="s">
        <v>437</v>
      </c>
      <c r="Z36" s="102"/>
      <c r="AA36" s="101"/>
      <c r="AB36" s="101"/>
      <c r="AC36" s="101"/>
      <c r="AD36" s="98"/>
      <c r="AE36" s="281" t="s">
        <v>437</v>
      </c>
      <c r="AF36" s="106" t="s">
        <v>437</v>
      </c>
      <c r="AG36" s="106" t="s">
        <v>437</v>
      </c>
      <c r="AH36" s="106" t="s">
        <v>437</v>
      </c>
      <c r="AI36" s="106" t="s">
        <v>437</v>
      </c>
      <c r="AJ36" s="100"/>
      <c r="AK36" s="101"/>
      <c r="AL36" s="101"/>
      <c r="AM36" s="101"/>
      <c r="AN36" s="98"/>
      <c r="AO36" s="100"/>
      <c r="AP36" s="101"/>
      <c r="AQ36" s="101"/>
      <c r="AR36" s="101"/>
      <c r="AS36" s="98"/>
      <c r="AT36" s="100"/>
      <c r="AU36" s="101"/>
      <c r="AV36" s="101"/>
      <c r="AW36" s="101"/>
      <c r="AX36" s="103" t="s">
        <v>244</v>
      </c>
      <c r="AY36" s="100"/>
      <c r="AZ36" s="101"/>
      <c r="BA36" s="101"/>
      <c r="BB36" s="101"/>
      <c r="BC36" s="98"/>
      <c r="BD36" s="102"/>
      <c r="BE36" s="104"/>
      <c r="BF36" s="104"/>
      <c r="BG36" s="104"/>
      <c r="BH36" s="104"/>
      <c r="BI36" s="392"/>
      <c r="BJ36" s="102"/>
      <c r="BK36" s="101"/>
      <c r="BL36" s="101"/>
      <c r="BM36" s="101" t="s">
        <v>244</v>
      </c>
      <c r="BN36" s="103" t="s">
        <v>244</v>
      </c>
      <c r="BO36" s="100"/>
      <c r="BP36" s="101"/>
      <c r="BQ36" s="101"/>
      <c r="BR36" s="101"/>
      <c r="BS36" s="98"/>
      <c r="BT36" s="100"/>
      <c r="BU36" s="101"/>
      <c r="BV36" s="101"/>
      <c r="BW36" s="101"/>
      <c r="BX36" s="98"/>
      <c r="BY36" s="102"/>
      <c r="BZ36" s="101"/>
      <c r="CA36" s="101"/>
      <c r="CB36" s="101"/>
      <c r="CC36" s="98"/>
      <c r="CD36" s="102"/>
      <c r="CE36" s="101"/>
      <c r="CF36" s="101"/>
      <c r="CG36" s="101"/>
      <c r="CH36" s="98"/>
      <c r="CI36" s="100"/>
      <c r="CJ36" s="101"/>
      <c r="CK36" s="101"/>
      <c r="CL36" s="101"/>
      <c r="CM36" s="98"/>
      <c r="CN36" s="100"/>
      <c r="CO36" s="101"/>
      <c r="CP36" s="101"/>
      <c r="CQ36" s="101"/>
      <c r="CR36" s="98"/>
      <c r="CS36" s="100"/>
      <c r="CT36" s="101"/>
      <c r="CU36" s="101"/>
      <c r="CV36" s="101"/>
      <c r="CW36" s="98"/>
      <c r="CX36" s="102"/>
      <c r="CY36" s="101"/>
      <c r="CZ36" s="101"/>
      <c r="DA36" s="101"/>
      <c r="DB36" s="98"/>
      <c r="DC36" s="489"/>
      <c r="DD36" s="101"/>
      <c r="DE36" s="101"/>
      <c r="DF36" s="101"/>
      <c r="DG36" s="98"/>
      <c r="DH36" s="100"/>
      <c r="DI36" s="101"/>
      <c r="DJ36" s="101"/>
      <c r="DK36" s="101"/>
      <c r="DL36" s="98"/>
      <c r="DM36" s="100"/>
      <c r="DN36" s="101"/>
      <c r="DO36" s="101"/>
      <c r="DP36" s="101"/>
      <c r="DQ36" s="103"/>
      <c r="DR36" s="116"/>
      <c r="DS36" s="117"/>
      <c r="DT36" s="117"/>
      <c r="DU36" s="117"/>
      <c r="DV36" s="227"/>
      <c r="DW36" s="116"/>
      <c r="DX36" s="117"/>
      <c r="DY36" s="117"/>
      <c r="DZ36" s="117"/>
      <c r="EA36" s="227"/>
      <c r="EB36" s="489"/>
      <c r="EC36" s="117"/>
      <c r="ED36" s="117"/>
      <c r="EE36" s="117"/>
      <c r="EF36" s="118"/>
      <c r="EG36" s="119"/>
      <c r="EH36" s="117"/>
      <c r="EI36" s="117"/>
      <c r="EJ36" s="117"/>
      <c r="EK36" s="118"/>
      <c r="EL36" s="116"/>
      <c r="EM36" s="117"/>
      <c r="EN36" s="117"/>
      <c r="EO36" s="117"/>
      <c r="EP36" s="227"/>
      <c r="EQ36" s="117"/>
      <c r="ER36" s="117"/>
      <c r="ES36" s="117"/>
      <c r="ET36" s="117"/>
      <c r="EU36" s="117"/>
      <c r="EV36" s="117"/>
      <c r="EW36" s="117"/>
      <c r="EX36" s="117"/>
      <c r="EY36" s="117"/>
      <c r="EZ36" s="117"/>
      <c r="FA36" s="117"/>
      <c r="FB36" s="117"/>
      <c r="FC36" s="117"/>
      <c r="FD36" s="117"/>
      <c r="FE36" s="117"/>
      <c r="FF36" s="117"/>
      <c r="FG36" s="117"/>
      <c r="FH36" s="117"/>
      <c r="FI36" s="117"/>
      <c r="FJ36" s="101"/>
      <c r="FK36" s="117"/>
      <c r="FL36" s="117"/>
      <c r="FM36" s="117"/>
      <c r="FN36" s="117"/>
      <c r="FO36" s="117"/>
      <c r="FP36" s="491"/>
      <c r="FQ36" s="491"/>
      <c r="FR36" s="491"/>
      <c r="FS36" s="117"/>
      <c r="FT36" s="117"/>
      <c r="FU36" s="117"/>
      <c r="FV36" s="117"/>
      <c r="FW36" s="117"/>
      <c r="FX36" s="117"/>
      <c r="FY36" s="117"/>
      <c r="FZ36" s="117"/>
      <c r="GA36" s="117"/>
      <c r="GB36" s="117"/>
      <c r="GC36" s="117"/>
      <c r="GD36" s="491"/>
      <c r="GE36" s="491"/>
      <c r="GF36" s="117"/>
      <c r="GG36" s="117"/>
      <c r="GH36" s="117"/>
      <c r="GI36" s="491"/>
      <c r="GJ36" s="491"/>
      <c r="GK36" s="117"/>
      <c r="GL36" s="117"/>
      <c r="GM36" s="117"/>
      <c r="GN36" s="117"/>
      <c r="GO36" s="117"/>
      <c r="GP36" s="117"/>
      <c r="GQ36" s="117"/>
      <c r="GR36" s="117"/>
      <c r="GS36" s="117"/>
      <c r="GT36" s="117"/>
      <c r="GU36" s="117"/>
      <c r="GV36" s="117"/>
      <c r="GW36" s="117"/>
      <c r="GX36" s="117"/>
      <c r="GY36" s="227"/>
      <c r="GZ36" s="117"/>
      <c r="HA36" s="117"/>
      <c r="HB36" s="117"/>
      <c r="HC36" s="117"/>
      <c r="HD36" s="117"/>
      <c r="HE36" s="117"/>
      <c r="HF36" s="117"/>
      <c r="HG36" s="117"/>
      <c r="HH36" s="117"/>
      <c r="HI36" s="117"/>
      <c r="HJ36" s="117"/>
      <c r="HK36" s="117"/>
      <c r="HL36" s="117"/>
      <c r="HM36" s="117"/>
      <c r="HN36" s="117"/>
      <c r="HO36" s="117"/>
      <c r="HP36" s="117"/>
      <c r="HQ36" s="117"/>
      <c r="HR36" s="117"/>
      <c r="HS36" s="117"/>
      <c r="HT36" s="117"/>
      <c r="HU36" s="117"/>
      <c r="HV36" s="117"/>
      <c r="HW36" s="117"/>
      <c r="HX36" s="117"/>
      <c r="HY36" s="117"/>
      <c r="HZ36" s="117"/>
      <c r="IA36" s="117"/>
      <c r="IB36" s="117"/>
      <c r="IC36" s="117"/>
      <c r="ID36" s="117"/>
      <c r="IE36" s="117"/>
      <c r="IF36" s="117"/>
      <c r="IG36" s="491"/>
      <c r="IH36" s="491"/>
      <c r="II36" s="117"/>
      <c r="IJ36" s="117"/>
      <c r="IK36" s="117"/>
      <c r="IL36" s="117"/>
      <c r="IM36" s="117"/>
      <c r="IN36" s="117"/>
      <c r="IO36" s="117"/>
      <c r="IP36" s="117"/>
      <c r="IQ36" s="117"/>
      <c r="IR36" s="117"/>
      <c r="IS36" s="117"/>
      <c r="IT36" s="117"/>
      <c r="IU36" s="117"/>
      <c r="IV36" s="117"/>
      <c r="IW36" s="117"/>
      <c r="IX36" s="117"/>
      <c r="IY36" s="117"/>
      <c r="IZ36" s="117"/>
      <c r="JA36" s="117"/>
      <c r="JB36" s="117"/>
      <c r="JC36" s="117"/>
      <c r="JD36" s="117"/>
      <c r="JE36" s="117"/>
      <c r="JF36" s="117"/>
      <c r="JG36" s="117"/>
      <c r="JH36" s="117"/>
      <c r="JI36" s="117"/>
      <c r="JJ36" s="117"/>
      <c r="JK36" s="117"/>
      <c r="JL36" s="117"/>
      <c r="JM36" s="117"/>
      <c r="JN36" s="117"/>
      <c r="JO36" s="117"/>
      <c r="JP36" s="491"/>
      <c r="JQ36" s="491"/>
      <c r="JR36" s="117"/>
      <c r="JS36" s="117"/>
      <c r="JT36" s="117"/>
      <c r="JU36" s="117"/>
      <c r="JV36" s="117"/>
      <c r="JW36" s="117"/>
      <c r="JX36" s="117"/>
      <c r="JY36" s="491"/>
      <c r="JZ36" s="491"/>
      <c r="KA36" s="491"/>
      <c r="KB36" s="117"/>
      <c r="KC36" s="227"/>
      <c r="KD36" s="117"/>
      <c r="KE36" s="117"/>
      <c r="KF36" s="117"/>
      <c r="KG36" s="117"/>
      <c r="KH36" s="117"/>
      <c r="KI36" s="117"/>
      <c r="KJ36" s="117"/>
      <c r="KK36" s="117"/>
      <c r="KL36" s="117"/>
      <c r="KM36" s="117"/>
      <c r="KN36" s="117"/>
      <c r="KO36" s="117"/>
      <c r="KP36" s="491"/>
      <c r="KQ36" s="491"/>
      <c r="KR36" s="117"/>
      <c r="KS36" s="117"/>
      <c r="KT36" s="117"/>
      <c r="KU36" s="117"/>
      <c r="KV36" s="117"/>
      <c r="KW36" s="117"/>
      <c r="KX36" s="117"/>
      <c r="KY36" s="117"/>
      <c r="KZ36" s="117"/>
      <c r="LA36" s="117"/>
      <c r="LB36" s="117"/>
      <c r="LC36" s="117"/>
      <c r="LD36" s="117"/>
      <c r="LE36" s="491"/>
      <c r="LF36" s="117"/>
      <c r="LG36" s="117"/>
      <c r="LH36" s="117"/>
      <c r="LI36" s="117"/>
      <c r="LJ36" s="117"/>
      <c r="LK36" s="117"/>
      <c r="LL36" s="117"/>
      <c r="LM36" s="117"/>
      <c r="LN36" s="117"/>
      <c r="LO36" s="117"/>
      <c r="LP36" s="117"/>
      <c r="LQ36" s="117"/>
      <c r="LR36" s="117"/>
      <c r="LS36" s="117"/>
      <c r="LT36" s="117"/>
    </row>
    <row r="37" spans="1:332" ht="24.95" customHeight="1">
      <c r="A37" s="985" t="s">
        <v>27</v>
      </c>
      <c r="B37" s="205" t="s">
        <v>166</v>
      </c>
      <c r="C37" s="203">
        <v>1</v>
      </c>
      <c r="D37" s="203">
        <v>90</v>
      </c>
      <c r="E37" s="226">
        <f t="shared" si="2"/>
        <v>0</v>
      </c>
      <c r="F37" s="220"/>
      <c r="G37" s="129"/>
      <c r="H37" s="129"/>
      <c r="I37" s="129"/>
      <c r="J37" s="129"/>
      <c r="K37" s="129"/>
      <c r="L37" s="129"/>
      <c r="M37" s="129"/>
      <c r="N37" s="354">
        <f>SUM(F37:M37)</f>
        <v>0</v>
      </c>
      <c r="O37" s="187"/>
      <c r="P37" s="100"/>
      <c r="Q37" s="101"/>
      <c r="R37" s="101"/>
      <c r="S37" s="101"/>
      <c r="T37" s="103"/>
      <c r="U37" s="105" t="s">
        <v>437</v>
      </c>
      <c r="V37" s="106" t="s">
        <v>437</v>
      </c>
      <c r="W37" s="106" t="s">
        <v>437</v>
      </c>
      <c r="X37" s="106" t="s">
        <v>437</v>
      </c>
      <c r="Y37" s="107" t="s">
        <v>437</v>
      </c>
      <c r="Z37" s="102"/>
      <c r="AA37" s="101"/>
      <c r="AB37" s="101"/>
      <c r="AC37" s="101"/>
      <c r="AD37" s="98"/>
      <c r="AE37" s="281" t="s">
        <v>437</v>
      </c>
      <c r="AF37" s="106" t="s">
        <v>437</v>
      </c>
      <c r="AG37" s="106" t="s">
        <v>437</v>
      </c>
      <c r="AH37" s="106" t="s">
        <v>437</v>
      </c>
      <c r="AI37" s="106" t="s">
        <v>437</v>
      </c>
      <c r="AJ37" s="100"/>
      <c r="AK37" s="101"/>
      <c r="AL37" s="101"/>
      <c r="AM37" s="101"/>
      <c r="AN37" s="98"/>
      <c r="AO37" s="100"/>
      <c r="AP37" s="101"/>
      <c r="AQ37" s="101"/>
      <c r="AR37" s="101"/>
      <c r="AS37" s="98"/>
      <c r="AT37" s="100"/>
      <c r="AU37" s="101"/>
      <c r="AV37" s="101"/>
      <c r="AW37" s="101"/>
      <c r="AX37" s="103" t="s">
        <v>244</v>
      </c>
      <c r="AY37" s="376" t="s">
        <v>535</v>
      </c>
      <c r="AZ37" s="117"/>
      <c r="BA37" s="117"/>
      <c r="BB37" s="117"/>
      <c r="BC37" s="118"/>
      <c r="BD37" s="119"/>
      <c r="BE37" s="117"/>
      <c r="BF37" s="117"/>
      <c r="BG37" s="117"/>
      <c r="BH37" s="117"/>
      <c r="BI37" s="242"/>
      <c r="BJ37" s="239"/>
      <c r="BL37" s="104"/>
      <c r="BM37" s="101" t="s">
        <v>244</v>
      </c>
      <c r="BN37" s="103" t="s">
        <v>244</v>
      </c>
      <c r="BO37" s="100"/>
      <c r="BP37" s="101"/>
      <c r="BQ37" s="101"/>
      <c r="BR37" s="101"/>
      <c r="BS37" s="98"/>
      <c r="BT37" s="100"/>
      <c r="BU37" s="101"/>
      <c r="BV37" s="101"/>
      <c r="BW37" s="101"/>
      <c r="BX37" s="98"/>
      <c r="BY37" s="102"/>
      <c r="BZ37" s="101"/>
      <c r="CA37" s="101"/>
      <c r="CB37" s="101"/>
      <c r="CC37" s="98"/>
      <c r="CD37" s="102"/>
      <c r="CE37" s="101"/>
      <c r="CF37" s="101"/>
      <c r="CG37" s="101"/>
      <c r="CH37" s="98"/>
      <c r="CI37" s="100"/>
      <c r="CJ37" s="101"/>
      <c r="CK37" s="101"/>
      <c r="CL37" s="101"/>
      <c r="CM37" s="98"/>
      <c r="CN37" s="100"/>
      <c r="CO37" s="101"/>
      <c r="CP37" s="334" t="s">
        <v>536</v>
      </c>
      <c r="CQ37" s="101"/>
      <c r="CR37" s="98"/>
      <c r="CS37" s="100"/>
      <c r="CT37" s="101"/>
      <c r="CU37" s="101"/>
      <c r="CV37" s="101"/>
      <c r="CW37" s="98"/>
      <c r="CX37" s="102"/>
      <c r="CY37" s="101"/>
      <c r="CZ37" s="101"/>
      <c r="DA37" s="101"/>
      <c r="DB37" s="98"/>
      <c r="DC37" s="489"/>
      <c r="DD37" s="101"/>
      <c r="DE37" s="101"/>
      <c r="DF37" s="101"/>
      <c r="DG37" s="98"/>
      <c r="DH37" s="100"/>
      <c r="DL37" s="101"/>
      <c r="DM37" s="100"/>
      <c r="DN37" s="101"/>
      <c r="DO37" s="101"/>
      <c r="DQ37" s="332"/>
      <c r="DR37" s="116"/>
      <c r="DS37" s="117"/>
      <c r="DT37" s="117"/>
      <c r="DU37" s="117"/>
      <c r="DV37" s="227"/>
      <c r="DW37" s="116"/>
      <c r="DX37" s="117"/>
      <c r="DY37" s="117"/>
      <c r="DZ37" s="117"/>
      <c r="EA37" s="227"/>
      <c r="EB37" s="489"/>
      <c r="EC37" s="117"/>
      <c r="ED37" s="117"/>
      <c r="EE37" s="117"/>
      <c r="EF37" s="118"/>
      <c r="EG37" s="119"/>
      <c r="EH37" s="117"/>
      <c r="EI37" s="117"/>
      <c r="EJ37" s="117"/>
      <c r="EK37" s="118"/>
      <c r="EL37" s="116"/>
      <c r="EM37" s="117"/>
      <c r="EN37" s="117"/>
      <c r="EO37" s="117"/>
      <c r="EP37" s="227"/>
      <c r="EQ37" s="117"/>
      <c r="ER37" s="117"/>
      <c r="ES37" s="117"/>
      <c r="ET37" s="117"/>
      <c r="EU37" s="117"/>
      <c r="EV37" s="117"/>
      <c r="EW37" s="117"/>
      <c r="EX37" s="117"/>
      <c r="EY37" s="117"/>
      <c r="EZ37" s="117"/>
      <c r="FA37" s="117"/>
      <c r="FB37" s="117"/>
      <c r="FC37" s="117"/>
      <c r="FD37" s="117"/>
      <c r="FE37" s="117"/>
      <c r="FF37" s="117"/>
      <c r="FG37" s="117"/>
      <c r="FH37" s="117"/>
      <c r="FI37" s="117"/>
      <c r="FJ37" s="101"/>
      <c r="FK37" s="117"/>
      <c r="FL37" s="117"/>
      <c r="FM37" s="117"/>
      <c r="FN37" s="117"/>
      <c r="FO37" s="117"/>
      <c r="FP37" s="491"/>
      <c r="FQ37" s="491"/>
      <c r="FR37" s="491"/>
      <c r="FS37" s="117"/>
      <c r="FT37" s="117"/>
      <c r="FU37" s="117"/>
      <c r="FV37" s="117"/>
      <c r="FW37" s="117"/>
      <c r="FX37" s="117"/>
      <c r="FY37" s="117"/>
      <c r="FZ37" s="117"/>
      <c r="GA37" s="117"/>
      <c r="GB37" s="117"/>
      <c r="GC37" s="117"/>
      <c r="GD37" s="491"/>
      <c r="GE37" s="491"/>
      <c r="GF37" s="117"/>
      <c r="GG37" s="117"/>
      <c r="GH37" s="117"/>
      <c r="GI37" s="491"/>
      <c r="GJ37" s="491"/>
      <c r="GK37" s="117"/>
      <c r="GL37" s="117"/>
      <c r="GM37" s="117"/>
      <c r="GN37" s="117"/>
      <c r="GO37" s="117"/>
      <c r="GP37" s="117"/>
      <c r="GQ37" s="117"/>
      <c r="GR37" s="524"/>
      <c r="GS37" s="524"/>
      <c r="GT37" s="117"/>
      <c r="GU37" s="117"/>
      <c r="GV37" s="117"/>
      <c r="GW37" s="117"/>
      <c r="GX37" s="117"/>
      <c r="GY37" s="227"/>
      <c r="GZ37" s="117"/>
      <c r="HA37" s="117"/>
      <c r="HB37" s="117"/>
      <c r="HC37" s="117"/>
      <c r="HD37" s="117"/>
      <c r="HE37" s="117"/>
      <c r="HF37" s="117"/>
      <c r="HG37" s="117"/>
      <c r="HH37" s="117"/>
      <c r="HI37" s="117"/>
      <c r="HJ37" s="117"/>
      <c r="HK37" s="117"/>
      <c r="HL37" s="117"/>
      <c r="HM37" s="117"/>
      <c r="HN37" s="117"/>
      <c r="HO37" s="117"/>
      <c r="HP37" s="117"/>
      <c r="HQ37" s="117"/>
      <c r="HR37" s="117"/>
      <c r="HS37" s="117"/>
      <c r="HT37" s="117"/>
      <c r="HU37" s="117"/>
      <c r="HV37" s="117"/>
      <c r="HW37" s="117"/>
      <c r="HX37" s="117"/>
      <c r="HY37" s="117"/>
      <c r="HZ37" s="117"/>
      <c r="IA37" s="117"/>
      <c r="IB37" s="117"/>
      <c r="IC37" s="117"/>
      <c r="ID37" s="117"/>
      <c r="IE37" s="117"/>
      <c r="IF37" s="117"/>
      <c r="IG37" s="491"/>
      <c r="IH37" s="491"/>
      <c r="II37" s="117"/>
      <c r="IJ37" s="117"/>
      <c r="IK37" s="117"/>
      <c r="IL37" s="117"/>
      <c r="IM37" s="117"/>
      <c r="IN37" s="117"/>
      <c r="IO37" s="117"/>
      <c r="IP37" s="117"/>
      <c r="IQ37" s="117"/>
      <c r="IR37" s="117"/>
      <c r="IS37" s="117"/>
      <c r="IT37" s="117"/>
      <c r="IU37" s="117"/>
      <c r="IV37" s="117"/>
      <c r="IW37" s="117"/>
      <c r="IX37" s="117"/>
      <c r="IY37" s="117"/>
      <c r="IZ37" s="117"/>
      <c r="JA37" s="117"/>
      <c r="JB37" s="117"/>
      <c r="JC37" s="117"/>
      <c r="JD37" s="117"/>
      <c r="JE37" s="117"/>
      <c r="JF37" s="117"/>
      <c r="JG37" s="117"/>
      <c r="JH37" s="117"/>
      <c r="JI37" s="117"/>
      <c r="JJ37" s="117"/>
      <c r="JK37" s="117"/>
      <c r="JL37" s="117"/>
      <c r="JM37" s="117"/>
      <c r="JN37" s="117"/>
      <c r="JO37" s="117"/>
      <c r="JP37" s="491"/>
      <c r="JQ37" s="491"/>
      <c r="JR37" s="117"/>
      <c r="JS37" s="117"/>
      <c r="JT37" s="117"/>
      <c r="JU37" s="117"/>
      <c r="JV37" s="117"/>
      <c r="JW37" s="117"/>
      <c r="JX37" s="117"/>
      <c r="JY37" s="491"/>
      <c r="JZ37" s="491"/>
      <c r="KA37" s="491"/>
      <c r="KB37" s="117"/>
      <c r="KC37" s="227"/>
      <c r="KD37" s="117"/>
      <c r="KE37" s="117"/>
      <c r="KF37" s="117"/>
      <c r="KG37" s="117"/>
      <c r="KH37" s="117"/>
      <c r="KI37" s="117"/>
      <c r="KJ37" s="117"/>
      <c r="KK37" s="117"/>
      <c r="KL37" s="117"/>
      <c r="KM37" s="117"/>
      <c r="KN37" s="117"/>
      <c r="KO37" s="117"/>
      <c r="KP37" s="491"/>
      <c r="KQ37" s="491"/>
      <c r="KR37" s="117"/>
      <c r="KS37" s="117"/>
      <c r="KT37" s="117"/>
      <c r="KU37" s="117"/>
      <c r="KV37" s="117"/>
      <c r="KW37" s="117"/>
      <c r="KX37" s="117"/>
      <c r="KY37" s="117"/>
      <c r="KZ37" s="117"/>
      <c r="LA37" s="117"/>
      <c r="LB37" s="117"/>
      <c r="LC37" s="117"/>
      <c r="LD37" s="117"/>
      <c r="LE37" s="491"/>
      <c r="LF37" s="117"/>
      <c r="LG37" s="117"/>
      <c r="LH37" s="117"/>
      <c r="LI37" s="117"/>
      <c r="LJ37" s="117"/>
      <c r="LK37" s="117"/>
      <c r="LL37" s="117"/>
      <c r="LM37" s="117"/>
      <c r="LN37" s="117"/>
      <c r="LO37" s="117"/>
      <c r="LP37" s="117"/>
      <c r="LQ37" s="117"/>
      <c r="LR37" s="117"/>
      <c r="LS37" s="117"/>
      <c r="LT37" s="117"/>
    </row>
    <row r="38" spans="1:332" ht="24.95" customHeight="1">
      <c r="A38" s="985"/>
      <c r="B38" s="205" t="s">
        <v>167</v>
      </c>
      <c r="C38" s="203">
        <v>1</v>
      </c>
      <c r="D38" s="203">
        <v>250</v>
      </c>
      <c r="E38" s="226">
        <f t="shared" si="2"/>
        <v>0</v>
      </c>
      <c r="F38" s="220"/>
      <c r="G38" s="129"/>
      <c r="H38" s="129"/>
      <c r="I38" s="129"/>
      <c r="J38" s="129"/>
      <c r="K38" s="129"/>
      <c r="L38" s="129"/>
      <c r="M38" s="129"/>
      <c r="N38" s="354">
        <f t="shared" ref="N38:N45" si="4">SUM(F38:M38)</f>
        <v>0</v>
      </c>
      <c r="O38" s="187"/>
      <c r="P38" s="100"/>
      <c r="Q38" s="101"/>
      <c r="R38" s="101"/>
      <c r="S38" s="101"/>
      <c r="T38" s="103"/>
      <c r="U38" s="105" t="s">
        <v>437</v>
      </c>
      <c r="V38" s="106" t="s">
        <v>437</v>
      </c>
      <c r="W38" s="106" t="s">
        <v>437</v>
      </c>
      <c r="X38" s="106" t="s">
        <v>437</v>
      </c>
      <c r="Y38" s="107" t="s">
        <v>437</v>
      </c>
      <c r="Z38" s="102"/>
      <c r="AA38" s="101"/>
      <c r="AB38" s="101"/>
      <c r="AC38" s="101"/>
      <c r="AD38" s="98"/>
      <c r="AE38" s="281" t="s">
        <v>437</v>
      </c>
      <c r="AF38" s="106" t="s">
        <v>437</v>
      </c>
      <c r="AG38" s="106" t="s">
        <v>437</v>
      </c>
      <c r="AH38" s="106" t="s">
        <v>437</v>
      </c>
      <c r="AI38" s="106" t="s">
        <v>437</v>
      </c>
      <c r="AJ38" s="100"/>
      <c r="AK38" s="101"/>
      <c r="AL38" s="101"/>
      <c r="AM38" s="101"/>
      <c r="AN38" s="98"/>
      <c r="AO38" s="100"/>
      <c r="AP38" s="101"/>
      <c r="AQ38" s="101"/>
      <c r="AR38" s="101"/>
      <c r="AS38" s="98"/>
      <c r="AT38" s="100"/>
      <c r="AU38" s="101"/>
      <c r="AV38" s="101"/>
      <c r="AW38" s="101"/>
      <c r="AX38" s="103" t="s">
        <v>244</v>
      </c>
      <c r="AY38" s="376" t="s">
        <v>535</v>
      </c>
      <c r="AZ38" s="117"/>
      <c r="BA38" s="117"/>
      <c r="BB38" s="117"/>
      <c r="BC38" s="98"/>
      <c r="BD38" s="119"/>
      <c r="BE38" s="117"/>
      <c r="BF38" s="117"/>
      <c r="BG38" s="117"/>
      <c r="BH38" s="117"/>
      <c r="BJ38" s="336"/>
      <c r="BM38" s="101" t="s">
        <v>244</v>
      </c>
      <c r="BN38" s="103" t="s">
        <v>244</v>
      </c>
      <c r="BO38" s="100"/>
      <c r="BP38" s="101"/>
      <c r="BQ38" s="101"/>
      <c r="BR38" s="101"/>
      <c r="BS38" s="98"/>
      <c r="BT38" s="100"/>
      <c r="BU38" s="101"/>
      <c r="BV38" s="101"/>
      <c r="BW38" s="101"/>
      <c r="BX38" s="98"/>
      <c r="BY38" s="102"/>
      <c r="BZ38" s="101"/>
      <c r="CA38" s="101"/>
      <c r="CB38" s="101"/>
      <c r="CC38" s="98"/>
      <c r="CD38" s="102"/>
      <c r="CE38" s="101"/>
      <c r="CF38" s="101"/>
      <c r="CG38" s="101"/>
      <c r="CH38" s="98"/>
      <c r="CI38" s="100"/>
      <c r="CJ38" s="101"/>
      <c r="CK38" s="101"/>
      <c r="CL38" s="101"/>
      <c r="CM38" s="98"/>
      <c r="CN38" s="100"/>
      <c r="CO38" s="101"/>
      <c r="CP38" s="334" t="s">
        <v>536</v>
      </c>
      <c r="CQ38" s="101"/>
      <c r="CR38" s="98"/>
      <c r="CS38" s="100"/>
      <c r="CT38" s="101"/>
      <c r="CU38" s="101"/>
      <c r="CV38" s="101"/>
      <c r="CW38" s="98"/>
      <c r="CX38" s="102"/>
      <c r="CY38" s="101"/>
      <c r="CZ38" s="101"/>
      <c r="DA38" s="101"/>
      <c r="DB38" s="98"/>
      <c r="DC38" s="489"/>
      <c r="DD38" s="101"/>
      <c r="DE38" s="101"/>
      <c r="DF38" s="101"/>
      <c r="DG38" s="98"/>
      <c r="DH38" s="100"/>
      <c r="DN38" s="101"/>
      <c r="DP38" s="332"/>
      <c r="DR38" s="116"/>
      <c r="DS38" s="117"/>
      <c r="DT38" s="117"/>
      <c r="DU38" s="117"/>
      <c r="DV38" s="227"/>
      <c r="DW38" s="116"/>
      <c r="DX38" s="117"/>
      <c r="DY38" s="117"/>
      <c r="DZ38" s="117"/>
      <c r="EA38" s="227"/>
      <c r="EB38" s="489"/>
      <c r="EC38" s="117"/>
      <c r="ED38" s="117"/>
      <c r="EE38" s="117"/>
      <c r="EF38" s="118"/>
      <c r="EG38" s="119"/>
      <c r="EH38" s="117"/>
      <c r="EI38" s="117"/>
      <c r="EJ38" s="117"/>
      <c r="EK38" s="118"/>
      <c r="EL38" s="116"/>
      <c r="EM38" s="117"/>
      <c r="EN38" s="117"/>
      <c r="EO38" s="117"/>
      <c r="EP38" s="227"/>
      <c r="EQ38" s="117"/>
      <c r="ER38" s="117"/>
      <c r="ES38" s="117"/>
      <c r="ET38" s="117"/>
      <c r="EU38" s="117"/>
      <c r="EV38" s="117"/>
      <c r="EW38" s="117"/>
      <c r="EX38" s="117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01"/>
      <c r="FK38" s="117"/>
      <c r="FL38" s="117"/>
      <c r="FM38" s="117"/>
      <c r="FN38" s="117"/>
      <c r="FO38" s="117"/>
      <c r="FP38" s="491"/>
      <c r="FQ38" s="491"/>
      <c r="FR38" s="491"/>
      <c r="FS38" s="117"/>
      <c r="FT38" s="117"/>
      <c r="FU38" s="117"/>
      <c r="FV38" s="117"/>
      <c r="FW38" s="117"/>
      <c r="FX38" s="117"/>
      <c r="FY38" s="117"/>
      <c r="FZ38" s="117"/>
      <c r="GA38" s="117"/>
      <c r="GB38" s="117"/>
      <c r="GC38" s="117"/>
      <c r="GD38" s="491"/>
      <c r="GE38" s="491"/>
      <c r="GF38" s="117"/>
      <c r="GG38" s="117"/>
      <c r="GH38" s="117"/>
      <c r="GI38" s="491"/>
      <c r="GJ38" s="491"/>
      <c r="GK38" s="117"/>
      <c r="GL38" s="117"/>
      <c r="GM38" s="117"/>
      <c r="GN38" s="117"/>
      <c r="GO38" s="117"/>
      <c r="GP38" s="117"/>
      <c r="GQ38" s="117"/>
      <c r="GR38" s="117"/>
      <c r="GS38" s="117"/>
      <c r="GT38" s="117"/>
      <c r="GU38" s="117"/>
      <c r="GV38" s="117"/>
      <c r="GW38" s="117"/>
      <c r="GX38" s="117"/>
      <c r="GY38" s="227"/>
      <c r="GZ38" s="117"/>
      <c r="HA38" s="117"/>
      <c r="HB38" s="117"/>
      <c r="HC38" s="117"/>
      <c r="HD38" s="117"/>
      <c r="HE38" s="117"/>
      <c r="HF38" s="117"/>
      <c r="HG38" s="117"/>
      <c r="HH38" s="117"/>
      <c r="HI38" s="117"/>
      <c r="HJ38" s="117"/>
      <c r="HK38" s="117"/>
      <c r="HL38" s="117"/>
      <c r="HM38" s="117"/>
      <c r="HN38" s="117"/>
      <c r="HO38" s="117"/>
      <c r="HP38" s="117"/>
      <c r="HQ38" s="117"/>
      <c r="HR38" s="117"/>
      <c r="HS38" s="117"/>
      <c r="HT38" s="117"/>
      <c r="HU38" s="117"/>
      <c r="HV38" s="117"/>
      <c r="HW38" s="117"/>
      <c r="HX38" s="117"/>
      <c r="HY38" s="117"/>
      <c r="HZ38" s="117"/>
      <c r="IA38" s="117"/>
      <c r="IB38" s="117"/>
      <c r="IC38" s="117"/>
      <c r="ID38" s="117"/>
      <c r="IE38" s="117"/>
      <c r="IF38" s="117"/>
      <c r="IG38" s="491"/>
      <c r="IH38" s="491"/>
      <c r="II38" s="117"/>
      <c r="IJ38" s="117"/>
      <c r="IK38" s="117"/>
      <c r="IL38" s="117"/>
      <c r="IM38" s="117"/>
      <c r="IN38" s="117"/>
      <c r="IO38" s="117"/>
      <c r="IP38" s="117"/>
      <c r="IQ38" s="117"/>
      <c r="IR38" s="117"/>
      <c r="IS38" s="117"/>
      <c r="IT38" s="117"/>
      <c r="IU38" s="117"/>
      <c r="IV38" s="117"/>
      <c r="IW38" s="117"/>
      <c r="IX38" s="117"/>
      <c r="IY38" s="117"/>
      <c r="IZ38" s="117"/>
      <c r="JA38" s="117"/>
      <c r="JB38" s="117"/>
      <c r="JC38" s="117"/>
      <c r="JD38" s="117"/>
      <c r="JE38" s="117"/>
      <c r="JF38" s="117"/>
      <c r="JG38" s="117"/>
      <c r="JH38" s="117"/>
      <c r="JI38" s="117"/>
      <c r="JJ38" s="117"/>
      <c r="JK38" s="117"/>
      <c r="JL38" s="117"/>
      <c r="JM38" s="117"/>
      <c r="JN38" s="117"/>
      <c r="JO38" s="117"/>
      <c r="JP38" s="491"/>
      <c r="JQ38" s="491"/>
      <c r="JR38" s="117"/>
      <c r="JS38" s="117"/>
      <c r="JT38" s="117"/>
      <c r="JU38" s="117"/>
      <c r="JV38" s="117"/>
      <c r="JW38" s="117"/>
      <c r="JX38" s="117"/>
      <c r="JY38" s="491"/>
      <c r="JZ38" s="491"/>
      <c r="KA38" s="491"/>
      <c r="KB38" s="117"/>
      <c r="KC38" s="227"/>
      <c r="KD38" s="117"/>
      <c r="KE38" s="117"/>
      <c r="KF38" s="117"/>
      <c r="KG38" s="117"/>
      <c r="KH38" s="117"/>
      <c r="KI38" s="117"/>
      <c r="KJ38" s="117"/>
      <c r="KK38" s="117"/>
      <c r="KL38" s="117"/>
      <c r="KM38" s="117"/>
      <c r="KN38" s="117"/>
      <c r="KO38" s="117"/>
      <c r="KP38" s="491"/>
      <c r="KQ38" s="491"/>
      <c r="KR38" s="117"/>
      <c r="KS38" s="117"/>
      <c r="KT38" s="117"/>
      <c r="KU38" s="117"/>
      <c r="KV38" s="117"/>
      <c r="KW38" s="117"/>
      <c r="KX38" s="117"/>
      <c r="KY38" s="117"/>
      <c r="KZ38" s="117"/>
      <c r="LA38" s="117"/>
      <c r="LB38" s="117"/>
      <c r="LC38" s="117"/>
      <c r="LD38" s="117"/>
      <c r="LE38" s="491"/>
      <c r="LF38" s="117"/>
      <c r="LG38" s="117"/>
      <c r="LH38" s="117"/>
      <c r="LI38" s="117"/>
      <c r="LJ38" s="117"/>
      <c r="LK38" s="117"/>
      <c r="LL38" s="117"/>
      <c r="LM38" s="117"/>
      <c r="LN38" s="117"/>
      <c r="LO38" s="117"/>
      <c r="LP38" s="117"/>
      <c r="LQ38" s="117"/>
      <c r="LR38" s="117"/>
      <c r="LS38" s="117"/>
      <c r="LT38" s="117"/>
    </row>
    <row r="39" spans="1:332" ht="24.95" customHeight="1">
      <c r="A39" s="985"/>
      <c r="B39" s="129" t="s">
        <v>168</v>
      </c>
      <c r="C39" s="203">
        <v>2</v>
      </c>
      <c r="D39" s="203">
        <v>100</v>
      </c>
      <c r="E39" s="226">
        <f t="shared" si="2"/>
        <v>0</v>
      </c>
      <c r="F39" s="220"/>
      <c r="G39" s="129"/>
      <c r="H39" s="129"/>
      <c r="I39" s="129"/>
      <c r="J39" s="129"/>
      <c r="K39" s="129"/>
      <c r="L39" s="129"/>
      <c r="M39" s="129"/>
      <c r="N39" s="354">
        <f t="shared" si="4"/>
        <v>0</v>
      </c>
      <c r="O39" s="187"/>
      <c r="P39" s="100"/>
      <c r="Q39" s="101"/>
      <c r="R39" s="101"/>
      <c r="S39" s="101"/>
      <c r="T39" s="103"/>
      <c r="U39" s="105" t="s">
        <v>437</v>
      </c>
      <c r="V39" s="106" t="s">
        <v>437</v>
      </c>
      <c r="W39" s="106" t="s">
        <v>437</v>
      </c>
      <c r="X39" s="106" t="s">
        <v>437</v>
      </c>
      <c r="Y39" s="107" t="s">
        <v>437</v>
      </c>
      <c r="Z39" s="102"/>
      <c r="AA39" s="101"/>
      <c r="AB39" s="101"/>
      <c r="AC39" s="101"/>
      <c r="AD39" s="98"/>
      <c r="AE39" s="281" t="s">
        <v>437</v>
      </c>
      <c r="AF39" s="106" t="s">
        <v>437</v>
      </c>
      <c r="AG39" s="106" t="s">
        <v>437</v>
      </c>
      <c r="AH39" s="106" t="s">
        <v>437</v>
      </c>
      <c r="AI39" s="106" t="s">
        <v>437</v>
      </c>
      <c r="AJ39" s="100"/>
      <c r="AK39" s="101"/>
      <c r="AL39" s="101"/>
      <c r="AM39" s="101"/>
      <c r="AN39" s="98"/>
      <c r="AO39" s="100"/>
      <c r="AP39" s="101"/>
      <c r="AQ39" s="101"/>
      <c r="AR39" s="101"/>
      <c r="AS39" s="98"/>
      <c r="AT39" s="100"/>
      <c r="AU39" s="101"/>
      <c r="AV39" s="101"/>
      <c r="AW39" s="101"/>
      <c r="AX39" s="103" t="s">
        <v>244</v>
      </c>
      <c r="AY39" s="100"/>
      <c r="AZ39" s="101"/>
      <c r="BA39" s="101"/>
      <c r="BB39" s="101"/>
      <c r="BC39" s="98"/>
      <c r="BD39" s="102"/>
      <c r="BE39" s="104"/>
      <c r="BF39" s="104"/>
      <c r="BG39" s="104"/>
      <c r="BH39" s="104"/>
      <c r="BI39" s="392"/>
      <c r="BJ39" s="102"/>
      <c r="BK39" s="101"/>
      <c r="BL39" s="101"/>
      <c r="BM39" s="101" t="s">
        <v>244</v>
      </c>
      <c r="BN39" s="103" t="s">
        <v>244</v>
      </c>
      <c r="BO39" s="100"/>
      <c r="BP39" s="101"/>
      <c r="BQ39" s="101"/>
      <c r="BR39" s="101"/>
      <c r="BS39" s="98"/>
      <c r="BT39" s="100"/>
      <c r="BU39" s="101"/>
      <c r="BV39" s="101"/>
      <c r="BW39" s="101"/>
      <c r="BX39" s="98"/>
      <c r="BY39" s="102"/>
      <c r="BZ39" s="101"/>
      <c r="CA39" s="101"/>
      <c r="CB39" s="101"/>
      <c r="CC39" s="98"/>
      <c r="CD39" s="102"/>
      <c r="CE39" s="101"/>
      <c r="CF39" s="101"/>
      <c r="CG39" s="101"/>
      <c r="CH39" s="98"/>
      <c r="CI39" s="100"/>
      <c r="CJ39" s="101"/>
      <c r="CK39" s="101"/>
      <c r="CL39" s="101"/>
      <c r="CM39" s="98"/>
      <c r="CN39" s="100"/>
      <c r="CO39" s="101"/>
      <c r="CP39" s="101"/>
      <c r="CQ39" s="101"/>
      <c r="CR39" s="98"/>
      <c r="CS39" s="100"/>
      <c r="CT39" s="101"/>
      <c r="CU39" s="101"/>
      <c r="CV39" s="101"/>
      <c r="CW39" s="98"/>
      <c r="CX39" s="102"/>
      <c r="CY39" s="101"/>
      <c r="CZ39" s="101"/>
      <c r="DA39" s="101"/>
      <c r="DB39" s="98"/>
      <c r="DC39" s="489"/>
      <c r="DD39" s="101"/>
      <c r="DE39" s="101"/>
      <c r="DF39" s="101"/>
      <c r="DG39" s="98"/>
      <c r="DH39" s="100"/>
      <c r="DI39" s="101"/>
      <c r="DJ39" s="101"/>
      <c r="DK39" s="101"/>
      <c r="DL39" s="98"/>
      <c r="DM39" s="100"/>
      <c r="DN39" s="101"/>
      <c r="DO39" s="101"/>
      <c r="DP39" s="101"/>
      <c r="DQ39" s="103"/>
      <c r="DR39" s="116"/>
      <c r="DS39" s="117"/>
      <c r="DT39" s="117"/>
      <c r="DU39" s="117"/>
      <c r="DV39" s="227"/>
      <c r="DW39" s="116"/>
      <c r="DX39" s="117"/>
      <c r="DY39" s="117"/>
      <c r="DZ39" s="117"/>
      <c r="EA39" s="227"/>
      <c r="EB39" s="489"/>
      <c r="EC39" s="117"/>
      <c r="ED39" s="117"/>
      <c r="EE39" s="117"/>
      <c r="EF39" s="118"/>
      <c r="EG39" s="119"/>
      <c r="EH39" s="117"/>
      <c r="EI39" s="117"/>
      <c r="EJ39" s="117"/>
      <c r="EK39" s="118"/>
      <c r="EL39" s="116"/>
      <c r="EM39" s="117"/>
      <c r="EN39" s="117"/>
      <c r="EO39" s="117"/>
      <c r="EP39" s="227"/>
      <c r="EQ39" s="117"/>
      <c r="ER39" s="117"/>
      <c r="ES39" s="117"/>
      <c r="ET39" s="117"/>
      <c r="EU39" s="117"/>
      <c r="EV39" s="117"/>
      <c r="EW39" s="117"/>
      <c r="EX39" s="117"/>
      <c r="EY39" s="117"/>
      <c r="EZ39" s="117"/>
      <c r="FA39" s="117"/>
      <c r="FB39" s="117"/>
      <c r="FC39" s="117"/>
      <c r="FD39" s="117"/>
      <c r="FE39" s="117"/>
      <c r="FF39" s="117"/>
      <c r="FG39" s="117"/>
      <c r="FH39" s="117"/>
      <c r="FI39" s="117"/>
      <c r="FJ39" s="101"/>
      <c r="FK39" s="117"/>
      <c r="FL39" s="117"/>
      <c r="FM39" s="117"/>
      <c r="FN39" s="117"/>
      <c r="FO39" s="117"/>
      <c r="FP39" s="491"/>
      <c r="FQ39" s="491"/>
      <c r="FR39" s="491"/>
      <c r="FS39" s="117"/>
      <c r="FT39" s="117"/>
      <c r="FU39" s="117"/>
      <c r="FV39" s="117"/>
      <c r="FW39" s="117"/>
      <c r="FX39" s="117"/>
      <c r="FY39" s="117"/>
      <c r="FZ39" s="117"/>
      <c r="GA39" s="117"/>
      <c r="GB39" s="117"/>
      <c r="GC39" s="117"/>
      <c r="GD39" s="491"/>
      <c r="GE39" s="491"/>
      <c r="GF39" s="117"/>
      <c r="GG39" s="117"/>
      <c r="GH39" s="117"/>
      <c r="GI39" s="491"/>
      <c r="GJ39" s="491"/>
      <c r="GK39" s="117"/>
      <c r="GL39" s="117"/>
      <c r="GM39" s="117"/>
      <c r="GN39" s="117"/>
      <c r="GO39" s="117"/>
      <c r="GP39" s="117"/>
      <c r="GQ39" s="117"/>
      <c r="GR39" s="117"/>
      <c r="GS39" s="117"/>
      <c r="GT39" s="117"/>
      <c r="GU39" s="117"/>
      <c r="GV39" s="117"/>
      <c r="GW39" s="117"/>
      <c r="GX39" s="117"/>
      <c r="GY39" s="227"/>
      <c r="GZ39" s="117"/>
      <c r="HA39" s="117"/>
      <c r="HB39" s="117"/>
      <c r="HC39" s="117"/>
      <c r="HD39" s="117"/>
      <c r="HE39" s="117"/>
      <c r="HF39" s="117"/>
      <c r="HG39" s="117"/>
      <c r="HH39" s="117"/>
      <c r="HI39" s="117"/>
      <c r="HJ39" s="117"/>
      <c r="HK39" s="117"/>
      <c r="HL39" s="117"/>
      <c r="HM39" s="117"/>
      <c r="HN39" s="117"/>
      <c r="HO39" s="117"/>
      <c r="HP39" s="117"/>
      <c r="HQ39" s="117"/>
      <c r="HR39" s="117"/>
      <c r="HS39" s="117"/>
      <c r="HT39" s="117"/>
      <c r="HU39" s="117"/>
      <c r="HV39" s="117"/>
      <c r="HW39" s="117"/>
      <c r="HX39" s="117"/>
      <c r="HY39" s="117"/>
      <c r="HZ39" s="117"/>
      <c r="IA39" s="117"/>
      <c r="IB39" s="117"/>
      <c r="IC39" s="117"/>
      <c r="ID39" s="117"/>
      <c r="IE39" s="117"/>
      <c r="IF39" s="117"/>
      <c r="IG39" s="491"/>
      <c r="IH39" s="491"/>
      <c r="II39" s="117"/>
      <c r="IJ39" s="117"/>
      <c r="IK39" s="117"/>
      <c r="IL39" s="117"/>
      <c r="IM39" s="117"/>
      <c r="IN39" s="117"/>
      <c r="IO39" s="117"/>
      <c r="IP39" s="117"/>
      <c r="IQ39" s="117"/>
      <c r="IR39" s="117"/>
      <c r="IS39" s="117"/>
      <c r="IT39" s="117"/>
      <c r="IU39" s="117"/>
      <c r="IV39" s="117"/>
      <c r="IW39" s="117"/>
      <c r="IX39" s="117"/>
      <c r="IY39" s="117"/>
      <c r="IZ39" s="117"/>
      <c r="JA39" s="117"/>
      <c r="JB39" s="117"/>
      <c r="JC39" s="117"/>
      <c r="JD39" s="117"/>
      <c r="JE39" s="117"/>
      <c r="JF39" s="117"/>
      <c r="JG39" s="117"/>
      <c r="JH39" s="117"/>
      <c r="JI39" s="117"/>
      <c r="JJ39" s="117"/>
      <c r="JK39" s="117"/>
      <c r="JL39" s="117"/>
      <c r="JM39" s="117"/>
      <c r="JN39" s="117"/>
      <c r="JO39" s="117"/>
      <c r="JP39" s="491"/>
      <c r="JQ39" s="491"/>
      <c r="JR39" s="117"/>
      <c r="JS39" s="117"/>
      <c r="JT39" s="117"/>
      <c r="JU39" s="117"/>
      <c r="JV39" s="117"/>
      <c r="JW39" s="117"/>
      <c r="JX39" s="117"/>
      <c r="JY39" s="491"/>
      <c r="JZ39" s="491"/>
      <c r="KA39" s="491"/>
      <c r="KB39" s="117"/>
      <c r="KC39" s="227"/>
      <c r="KD39" s="117"/>
      <c r="KE39" s="117"/>
      <c r="KF39" s="117"/>
      <c r="KG39" s="117"/>
      <c r="KH39" s="117"/>
      <c r="KI39" s="117"/>
      <c r="KJ39" s="117"/>
      <c r="KK39" s="117"/>
      <c r="KL39" s="117"/>
      <c r="KM39" s="117"/>
      <c r="KN39" s="117"/>
      <c r="KO39" s="117"/>
      <c r="KP39" s="491"/>
      <c r="KQ39" s="491"/>
      <c r="KR39" s="117"/>
      <c r="KS39" s="117"/>
      <c r="KT39" s="117"/>
      <c r="KU39" s="117"/>
      <c r="KV39" s="117"/>
      <c r="KW39" s="117"/>
      <c r="KX39" s="117"/>
      <c r="KY39" s="117"/>
      <c r="KZ39" s="117"/>
      <c r="LA39" s="117"/>
      <c r="LB39" s="117"/>
      <c r="LC39" s="117"/>
      <c r="LD39" s="117"/>
      <c r="LE39" s="491"/>
      <c r="LF39" s="117"/>
      <c r="LG39" s="117"/>
      <c r="LH39" s="117"/>
      <c r="LI39" s="117"/>
      <c r="LJ39" s="117"/>
      <c r="LK39" s="117"/>
      <c r="LL39" s="117"/>
      <c r="LM39" s="117"/>
      <c r="LN39" s="117"/>
      <c r="LO39" s="117"/>
      <c r="LP39" s="117"/>
      <c r="LQ39" s="117"/>
      <c r="LR39" s="117"/>
      <c r="LS39" s="117"/>
      <c r="LT39" s="117"/>
    </row>
    <row r="40" spans="1:332" ht="24.95" customHeight="1">
      <c r="A40" s="985"/>
      <c r="B40" s="129" t="s">
        <v>169</v>
      </c>
      <c r="C40" s="203">
        <v>1</v>
      </c>
      <c r="D40" s="203">
        <v>150</v>
      </c>
      <c r="E40" s="226">
        <f t="shared" si="2"/>
        <v>0</v>
      </c>
      <c r="F40" s="220"/>
      <c r="G40" s="129"/>
      <c r="H40" s="129"/>
      <c r="I40" s="129"/>
      <c r="J40" s="129"/>
      <c r="K40" s="129"/>
      <c r="L40" s="129"/>
      <c r="M40" s="129"/>
      <c r="N40" s="354">
        <f t="shared" si="4"/>
        <v>0</v>
      </c>
      <c r="O40" s="187"/>
      <c r="P40" s="100"/>
      <c r="Q40" s="101"/>
      <c r="R40" s="101"/>
      <c r="S40" s="101"/>
      <c r="T40" s="103"/>
      <c r="U40" s="105" t="s">
        <v>437</v>
      </c>
      <c r="V40" s="106" t="s">
        <v>437</v>
      </c>
      <c r="W40" s="106" t="s">
        <v>437</v>
      </c>
      <c r="X40" s="106" t="s">
        <v>437</v>
      </c>
      <c r="Y40" s="107" t="s">
        <v>437</v>
      </c>
      <c r="Z40" s="102"/>
      <c r="AA40" s="101"/>
      <c r="AB40" s="101"/>
      <c r="AC40" s="101"/>
      <c r="AD40" s="98"/>
      <c r="AE40" s="281" t="s">
        <v>437</v>
      </c>
      <c r="AF40" s="106" t="s">
        <v>437</v>
      </c>
      <c r="AG40" s="106" t="s">
        <v>437</v>
      </c>
      <c r="AH40" s="106" t="s">
        <v>437</v>
      </c>
      <c r="AI40" s="106" t="s">
        <v>437</v>
      </c>
      <c r="AJ40" s="100"/>
      <c r="AK40" s="101"/>
      <c r="AL40" s="101"/>
      <c r="AM40" s="101"/>
      <c r="AN40" s="98"/>
      <c r="AO40" s="100"/>
      <c r="AP40" s="101"/>
      <c r="AQ40" s="101"/>
      <c r="AR40" s="101"/>
      <c r="AS40" s="98"/>
      <c r="AT40" s="100"/>
      <c r="AU40" s="101"/>
      <c r="AV40" s="101"/>
      <c r="AW40" s="101"/>
      <c r="AX40" s="103" t="s">
        <v>244</v>
      </c>
      <c r="AY40" s="100"/>
      <c r="AZ40" s="101"/>
      <c r="BA40" s="101"/>
      <c r="BB40" s="101"/>
      <c r="BC40" s="98"/>
      <c r="BD40" s="102"/>
      <c r="BE40" s="104"/>
      <c r="BF40" s="104"/>
      <c r="BG40" s="104"/>
      <c r="BH40" s="104"/>
      <c r="BI40" s="392"/>
      <c r="BJ40" s="102"/>
      <c r="BK40" s="101"/>
      <c r="BL40" s="101"/>
      <c r="BM40" s="101" t="s">
        <v>244</v>
      </c>
      <c r="BN40" s="103" t="s">
        <v>244</v>
      </c>
      <c r="BO40" s="100"/>
      <c r="BP40" s="101"/>
      <c r="BQ40" s="101"/>
      <c r="BR40" s="101"/>
      <c r="BS40" s="98"/>
      <c r="BT40" s="100"/>
      <c r="BU40" s="101"/>
      <c r="BV40" s="101"/>
      <c r="BW40" s="101"/>
      <c r="BX40" s="98"/>
      <c r="BY40" s="102"/>
      <c r="BZ40" s="101"/>
      <c r="CA40" s="101"/>
      <c r="CB40" s="101"/>
      <c r="CC40" s="98"/>
      <c r="CD40" s="102"/>
      <c r="CE40" s="101"/>
      <c r="CF40" s="101"/>
      <c r="CG40" s="101"/>
      <c r="CH40" s="98"/>
      <c r="CI40" s="100"/>
      <c r="CJ40" s="101"/>
      <c r="CK40" s="101"/>
      <c r="CL40" s="101"/>
      <c r="CM40" s="101"/>
      <c r="CN40" s="100"/>
      <c r="CO40" s="101"/>
      <c r="CP40" s="101"/>
      <c r="CQ40" s="101"/>
      <c r="CR40" s="98"/>
      <c r="CS40" s="100"/>
      <c r="CT40" s="101"/>
      <c r="CU40" s="101"/>
      <c r="CV40" s="101"/>
      <c r="CW40" s="98"/>
      <c r="CX40" s="102"/>
      <c r="CY40" s="101"/>
      <c r="CZ40" s="101"/>
      <c r="DA40" s="101"/>
      <c r="DB40" s="101"/>
      <c r="DC40" s="489"/>
      <c r="DD40" s="101"/>
      <c r="DE40" s="101"/>
      <c r="DF40" s="101"/>
      <c r="DG40" s="98"/>
      <c r="DH40" s="100"/>
      <c r="DI40" s="101"/>
      <c r="DJ40" s="101"/>
      <c r="DK40" s="101"/>
      <c r="DL40" s="98"/>
      <c r="DM40" s="100"/>
      <c r="DN40" s="101"/>
      <c r="DO40" s="101"/>
      <c r="DP40" s="101"/>
      <c r="DQ40" s="103"/>
      <c r="DR40" s="116"/>
      <c r="DS40" s="117"/>
      <c r="DT40" s="117"/>
      <c r="DU40" s="117"/>
      <c r="DV40" s="227"/>
      <c r="DW40" s="116"/>
      <c r="DX40" s="117"/>
      <c r="DY40" s="117"/>
      <c r="DZ40" s="117"/>
      <c r="EA40" s="227"/>
      <c r="EB40" s="489"/>
      <c r="EC40" s="117"/>
      <c r="ED40" s="117"/>
      <c r="EE40" s="117"/>
      <c r="EF40" s="118"/>
      <c r="EG40" s="119"/>
      <c r="EH40" s="117"/>
      <c r="EI40" s="117"/>
      <c r="EJ40" s="117"/>
      <c r="EK40" s="118"/>
      <c r="EL40" s="116"/>
      <c r="EM40" s="117"/>
      <c r="EN40" s="117"/>
      <c r="EO40" s="117"/>
      <c r="EP40" s="227"/>
      <c r="EQ40" s="117"/>
      <c r="ER40" s="117"/>
      <c r="ES40" s="117"/>
      <c r="ET40" s="117"/>
      <c r="EU40" s="117"/>
      <c r="EV40" s="117"/>
      <c r="EW40" s="117"/>
      <c r="EX40" s="117"/>
      <c r="EY40" s="117"/>
      <c r="EZ40" s="117"/>
      <c r="FA40" s="117"/>
      <c r="FB40" s="117"/>
      <c r="FC40" s="117"/>
      <c r="FD40" s="117"/>
      <c r="FE40" s="117"/>
      <c r="FF40" s="117"/>
      <c r="FG40" s="117"/>
      <c r="FH40" s="117"/>
      <c r="FI40" s="117"/>
      <c r="FJ40" s="101"/>
      <c r="FK40" s="117"/>
      <c r="FL40" s="117"/>
      <c r="FM40" s="117"/>
      <c r="FN40" s="117"/>
      <c r="FO40" s="117"/>
      <c r="FP40" s="491"/>
      <c r="FQ40" s="491"/>
      <c r="FR40" s="491"/>
      <c r="FS40" s="117"/>
      <c r="FT40" s="117"/>
      <c r="FU40" s="117"/>
      <c r="FV40" s="117"/>
      <c r="FW40" s="117"/>
      <c r="FX40" s="117"/>
      <c r="FY40" s="117"/>
      <c r="FZ40" s="117"/>
      <c r="GA40" s="117"/>
      <c r="GB40" s="117"/>
      <c r="GC40" s="117"/>
      <c r="GD40" s="491"/>
      <c r="GE40" s="491"/>
      <c r="GF40" s="117"/>
      <c r="GG40" s="117"/>
      <c r="GH40" s="117"/>
      <c r="GI40" s="491"/>
      <c r="GJ40" s="491"/>
      <c r="GK40" s="117"/>
      <c r="GL40" s="117"/>
      <c r="GM40" s="117"/>
      <c r="GN40" s="117"/>
      <c r="GO40" s="117"/>
      <c r="GP40" s="117"/>
      <c r="GQ40" s="117"/>
      <c r="GR40" s="117"/>
      <c r="GS40" s="117"/>
      <c r="GT40" s="117"/>
      <c r="GU40" s="117"/>
      <c r="GV40" s="117"/>
      <c r="GW40" s="117"/>
      <c r="GX40" s="117"/>
      <c r="GY40" s="227"/>
      <c r="GZ40" s="117"/>
      <c r="HA40" s="117"/>
      <c r="HB40" s="117"/>
      <c r="HC40" s="117"/>
      <c r="HD40" s="117"/>
      <c r="HE40" s="117"/>
      <c r="HF40" s="117"/>
      <c r="HG40" s="117"/>
      <c r="HH40" s="117"/>
      <c r="HI40" s="117"/>
      <c r="HJ40" s="117"/>
      <c r="HK40" s="117"/>
      <c r="HL40" s="117"/>
      <c r="HM40" s="117"/>
      <c r="HN40" s="117"/>
      <c r="HO40" s="117"/>
      <c r="HP40" s="117"/>
      <c r="HQ40" s="117"/>
      <c r="HR40" s="117"/>
      <c r="HS40" s="117"/>
      <c r="HT40" s="117"/>
      <c r="HU40" s="117"/>
      <c r="HV40" s="117"/>
      <c r="HW40" s="117"/>
      <c r="HX40" s="117"/>
      <c r="HY40" s="117"/>
      <c r="HZ40" s="117"/>
      <c r="IA40" s="117"/>
      <c r="IB40" s="117"/>
      <c r="IC40" s="117"/>
      <c r="ID40" s="117"/>
      <c r="IE40" s="117"/>
      <c r="IF40" s="117"/>
      <c r="IG40" s="491"/>
      <c r="IH40" s="491"/>
      <c r="II40" s="117"/>
      <c r="IJ40" s="117"/>
      <c r="IK40" s="117"/>
      <c r="IL40" s="117"/>
      <c r="IM40" s="117"/>
      <c r="IN40" s="117"/>
      <c r="IO40" s="117"/>
      <c r="IP40" s="117"/>
      <c r="IQ40" s="117"/>
      <c r="IR40" s="117"/>
      <c r="IS40" s="117"/>
      <c r="IT40" s="117"/>
      <c r="IU40" s="117"/>
      <c r="IV40" s="117"/>
      <c r="IW40" s="117"/>
      <c r="IX40" s="117"/>
      <c r="IY40" s="117"/>
      <c r="IZ40" s="117"/>
      <c r="JA40" s="117"/>
      <c r="JB40" s="117"/>
      <c r="JC40" s="117"/>
      <c r="JD40" s="117"/>
      <c r="JE40" s="117"/>
      <c r="JF40" s="117"/>
      <c r="JG40" s="117"/>
      <c r="JH40" s="117"/>
      <c r="JI40" s="117"/>
      <c r="JJ40" s="117"/>
      <c r="JK40" s="117"/>
      <c r="JL40" s="117"/>
      <c r="JM40" s="117"/>
      <c r="JN40" s="117"/>
      <c r="JO40" s="117"/>
      <c r="JP40" s="491"/>
      <c r="JQ40" s="491"/>
      <c r="JR40" s="117"/>
      <c r="JS40" s="117"/>
      <c r="JT40" s="117"/>
      <c r="JU40" s="117"/>
      <c r="JV40" s="117"/>
      <c r="JW40" s="117"/>
      <c r="JX40" s="117"/>
      <c r="JY40" s="491"/>
      <c r="JZ40" s="491"/>
      <c r="KA40" s="491"/>
      <c r="KB40" s="117"/>
      <c r="KC40" s="227"/>
      <c r="KD40" s="117"/>
      <c r="KE40" s="117"/>
      <c r="KF40" s="117"/>
      <c r="KG40" s="117"/>
      <c r="KH40" s="117"/>
      <c r="KI40" s="117"/>
      <c r="KJ40" s="117"/>
      <c r="KK40" s="117"/>
      <c r="KL40" s="117"/>
      <c r="KM40" s="117"/>
      <c r="KN40" s="117"/>
      <c r="KO40" s="117"/>
      <c r="KP40" s="491"/>
      <c r="KQ40" s="491"/>
      <c r="KR40" s="117"/>
      <c r="KS40" s="117"/>
      <c r="KT40" s="117"/>
      <c r="KU40" s="117"/>
      <c r="KV40" s="117"/>
      <c r="KW40" s="117"/>
      <c r="KX40" s="117"/>
      <c r="KY40" s="117"/>
      <c r="KZ40" s="117"/>
      <c r="LA40" s="117"/>
      <c r="LB40" s="117"/>
      <c r="LC40" s="117"/>
      <c r="LD40" s="117"/>
      <c r="LE40" s="491"/>
      <c r="LF40" s="117"/>
      <c r="LG40" s="117"/>
      <c r="LH40" s="117"/>
      <c r="LI40" s="117"/>
      <c r="LJ40" s="117"/>
      <c r="LK40" s="117"/>
      <c r="LL40" s="117"/>
      <c r="LM40" s="117"/>
      <c r="LN40" s="117"/>
      <c r="LO40" s="117"/>
      <c r="LP40" s="117"/>
      <c r="LQ40" s="117"/>
      <c r="LR40" s="117"/>
      <c r="LS40" s="117"/>
      <c r="LT40" s="117"/>
    </row>
    <row r="41" spans="1:332" ht="24.95" customHeight="1">
      <c r="A41" s="985"/>
      <c r="B41" s="129" t="s">
        <v>72</v>
      </c>
      <c r="C41" s="203">
        <v>2</v>
      </c>
      <c r="D41" s="203">
        <v>90</v>
      </c>
      <c r="E41" s="226">
        <f t="shared" si="2"/>
        <v>0</v>
      </c>
      <c r="F41" s="220"/>
      <c r="G41" s="129"/>
      <c r="H41" s="129"/>
      <c r="I41" s="129"/>
      <c r="J41" s="129"/>
      <c r="K41" s="129"/>
      <c r="L41" s="129"/>
      <c r="M41" s="129"/>
      <c r="N41" s="354">
        <f t="shared" si="4"/>
        <v>0</v>
      </c>
      <c r="O41" s="187"/>
      <c r="P41" s="100"/>
      <c r="Q41" s="101"/>
      <c r="R41" s="101"/>
      <c r="S41" s="101"/>
      <c r="T41" s="103"/>
      <c r="U41" s="105" t="s">
        <v>437</v>
      </c>
      <c r="V41" s="106" t="s">
        <v>437</v>
      </c>
      <c r="W41" s="106" t="s">
        <v>437</v>
      </c>
      <c r="X41" s="106" t="s">
        <v>437</v>
      </c>
      <c r="Y41" s="107" t="s">
        <v>437</v>
      </c>
      <c r="Z41" s="240"/>
      <c r="AA41" s="101"/>
      <c r="AB41" s="101"/>
      <c r="AC41" s="101"/>
      <c r="AD41" s="98"/>
      <c r="AE41" s="281" t="s">
        <v>437</v>
      </c>
      <c r="AF41" s="106" t="s">
        <v>437</v>
      </c>
      <c r="AG41" s="106" t="s">
        <v>437</v>
      </c>
      <c r="AH41" s="106" t="s">
        <v>437</v>
      </c>
      <c r="AI41" s="106" t="s">
        <v>437</v>
      </c>
      <c r="AJ41" s="100"/>
      <c r="AK41" s="101"/>
      <c r="AL41" s="101"/>
      <c r="AM41" s="101"/>
      <c r="AN41" s="98"/>
      <c r="AO41" s="100"/>
      <c r="AP41" s="101"/>
      <c r="AQ41" s="101"/>
      <c r="AR41" s="101"/>
      <c r="AS41" s="98"/>
      <c r="AT41" s="100"/>
      <c r="AU41" s="101"/>
      <c r="AV41" s="101"/>
      <c r="AW41" s="101"/>
      <c r="AX41" s="103" t="s">
        <v>244</v>
      </c>
      <c r="AY41" s="100"/>
      <c r="AZ41" s="101"/>
      <c r="BA41" s="101"/>
      <c r="BB41" s="101"/>
      <c r="BC41" s="98"/>
      <c r="BD41" s="102"/>
      <c r="BE41" s="104"/>
      <c r="BF41" s="104"/>
      <c r="BG41" s="104"/>
      <c r="BH41" s="104"/>
      <c r="BI41" s="392"/>
      <c r="BJ41" s="102"/>
      <c r="BK41" s="101"/>
      <c r="BL41" s="101"/>
      <c r="BM41" s="101" t="s">
        <v>244</v>
      </c>
      <c r="BN41" s="103" t="s">
        <v>244</v>
      </c>
      <c r="BO41" s="100"/>
      <c r="BP41" s="101"/>
      <c r="BQ41" s="101"/>
      <c r="BR41" s="101"/>
      <c r="BS41" s="98"/>
      <c r="BT41" s="376" t="s">
        <v>538</v>
      </c>
      <c r="BV41" s="101"/>
      <c r="BW41" s="101"/>
      <c r="BX41" s="98"/>
      <c r="BY41" s="102"/>
      <c r="BZ41" s="420"/>
      <c r="CA41" s="101"/>
      <c r="CB41" s="101"/>
      <c r="CC41" s="98"/>
      <c r="CE41" s="101"/>
      <c r="CF41" s="101"/>
      <c r="CG41" s="101"/>
      <c r="CH41" s="98"/>
      <c r="CI41" s="100"/>
      <c r="CJ41" s="442"/>
      <c r="CK41" s="101"/>
      <c r="CL41" s="110"/>
      <c r="CM41" s="110"/>
      <c r="CN41" s="100"/>
      <c r="CO41" s="101"/>
      <c r="CP41" s="101"/>
      <c r="CQ41" s="101"/>
      <c r="CR41" s="98"/>
      <c r="CS41" s="100"/>
      <c r="CT41" s="101"/>
      <c r="CU41" s="101"/>
      <c r="CV41" s="101"/>
      <c r="CW41" s="98"/>
      <c r="CX41" s="102"/>
      <c r="CY41" s="101"/>
      <c r="CZ41" s="101"/>
      <c r="DA41" s="101"/>
      <c r="DB41" s="98"/>
      <c r="DC41" s="489"/>
      <c r="DD41" s="101"/>
      <c r="DE41" s="101"/>
      <c r="DF41" s="101"/>
      <c r="DG41" s="98"/>
      <c r="DH41" s="100"/>
      <c r="DI41" s="101"/>
      <c r="DJ41" s="101"/>
      <c r="DK41" s="101"/>
      <c r="DL41" s="98"/>
      <c r="DM41" s="100"/>
      <c r="DN41" s="101"/>
      <c r="DO41" s="101"/>
      <c r="DP41" s="101"/>
      <c r="DQ41" s="103"/>
      <c r="DR41" s="116"/>
      <c r="DS41" s="117"/>
      <c r="DT41" s="117"/>
      <c r="DU41" s="117"/>
      <c r="DV41" s="227"/>
      <c r="DW41" s="116"/>
      <c r="DX41" s="117"/>
      <c r="DY41" s="117"/>
      <c r="DZ41" s="117"/>
      <c r="EA41" s="227"/>
      <c r="EB41" s="489"/>
      <c r="EC41" s="117"/>
      <c r="ED41" s="117"/>
      <c r="EE41" s="117"/>
      <c r="EF41" s="118"/>
      <c r="EG41" s="576"/>
      <c r="EH41" s="117"/>
      <c r="EI41" s="117"/>
      <c r="EJ41" s="117"/>
      <c r="EK41" s="334" t="s">
        <v>788</v>
      </c>
      <c r="EL41" s="116"/>
      <c r="EM41" s="117"/>
      <c r="EN41" s="117"/>
      <c r="EO41" s="117"/>
      <c r="EP41" s="227"/>
      <c r="EQ41" s="117"/>
      <c r="ER41" s="117"/>
      <c r="ES41" s="117"/>
      <c r="ET41" s="117"/>
      <c r="EU41" s="117"/>
      <c r="EV41" s="117"/>
      <c r="EW41" s="117"/>
      <c r="EX41" s="117"/>
      <c r="EY41" s="117"/>
      <c r="EZ41" s="117"/>
      <c r="FA41" s="117"/>
      <c r="FB41" s="117"/>
      <c r="FC41" s="117"/>
      <c r="FD41" s="117"/>
      <c r="FE41" s="117"/>
      <c r="FF41" s="117"/>
      <c r="FG41" s="117"/>
      <c r="FH41" s="117"/>
      <c r="FI41" s="117"/>
      <c r="FJ41" s="101"/>
      <c r="FK41" s="117"/>
      <c r="FL41" s="117"/>
      <c r="FM41" s="117"/>
      <c r="FN41" s="117"/>
      <c r="FO41" s="117"/>
      <c r="FP41" s="491"/>
      <c r="FQ41" s="491"/>
      <c r="FR41" s="491"/>
      <c r="FS41" s="117"/>
      <c r="FT41" s="117"/>
      <c r="FU41" s="117"/>
      <c r="FV41" s="117"/>
      <c r="FW41" s="117"/>
      <c r="FX41" s="117"/>
      <c r="FY41" s="117"/>
      <c r="FZ41" s="117"/>
      <c r="GA41" s="117"/>
      <c r="GB41" s="117"/>
      <c r="GC41" s="117"/>
      <c r="GD41" s="491"/>
      <c r="GE41" s="491"/>
      <c r="GF41" s="117"/>
      <c r="GG41" s="117"/>
      <c r="GH41" s="117"/>
      <c r="GI41" s="491"/>
      <c r="GJ41" s="491"/>
      <c r="GK41" s="117"/>
      <c r="GL41" s="117"/>
      <c r="GM41" s="117"/>
      <c r="GN41" s="117"/>
      <c r="GO41" s="117"/>
      <c r="GP41" s="117"/>
      <c r="GQ41" s="117"/>
      <c r="GT41" s="117"/>
      <c r="GU41" s="117"/>
      <c r="GV41" s="117"/>
      <c r="GW41" s="117"/>
      <c r="GX41" s="416"/>
      <c r="GY41" s="796"/>
      <c r="GZ41" s="117"/>
      <c r="HA41" s="117"/>
      <c r="HB41" s="117"/>
      <c r="HC41" s="117"/>
      <c r="HD41" s="117"/>
      <c r="HE41" s="117"/>
      <c r="HF41" s="117"/>
      <c r="HG41" s="117"/>
      <c r="HH41" s="117"/>
      <c r="HI41" s="117"/>
      <c r="HJ41" s="117"/>
      <c r="HK41" s="117"/>
      <c r="HL41" s="117"/>
      <c r="HM41" s="117"/>
      <c r="HN41" s="117"/>
      <c r="HO41" s="117"/>
      <c r="HP41" s="117"/>
      <c r="HQ41" s="117"/>
      <c r="HR41" s="117"/>
      <c r="HS41" s="117"/>
      <c r="HT41" s="117"/>
      <c r="HU41" s="117"/>
      <c r="HV41" s="117"/>
      <c r="HW41" s="117"/>
      <c r="HX41" s="117"/>
      <c r="HY41" s="117"/>
      <c r="HZ41" s="117"/>
      <c r="IA41" s="117"/>
      <c r="IB41" s="117"/>
      <c r="IC41" s="117"/>
      <c r="ID41" s="117"/>
      <c r="IE41" s="117"/>
      <c r="IF41" s="117"/>
      <c r="IG41" s="491"/>
      <c r="IH41" s="491"/>
      <c r="II41" s="117"/>
      <c r="IJ41" s="117"/>
      <c r="IK41" s="117"/>
      <c r="IL41" s="117"/>
      <c r="IM41" s="117"/>
      <c r="IN41" s="117"/>
      <c r="IO41" s="117"/>
      <c r="IP41" s="117"/>
      <c r="IQ41" s="117"/>
      <c r="IR41" s="117"/>
      <c r="IS41" s="117"/>
      <c r="IT41" s="117"/>
      <c r="IU41" s="117"/>
      <c r="IV41" s="117"/>
      <c r="IW41" s="117"/>
      <c r="IX41" s="117"/>
      <c r="IY41" s="117"/>
      <c r="IZ41" s="117"/>
      <c r="JA41" s="117"/>
      <c r="JB41" s="117"/>
      <c r="JC41" s="117"/>
      <c r="JD41" s="117"/>
      <c r="JE41" s="117"/>
      <c r="JF41" s="117"/>
      <c r="JG41" s="117"/>
      <c r="JH41" s="117"/>
      <c r="JI41" s="117"/>
      <c r="JJ41" s="117"/>
      <c r="JK41" s="117"/>
      <c r="JL41" s="117"/>
      <c r="JM41" s="117"/>
      <c r="JN41" s="117"/>
      <c r="JO41" s="117"/>
      <c r="JP41" s="491"/>
      <c r="JQ41" s="491"/>
      <c r="JR41" s="117"/>
      <c r="JS41" s="117"/>
      <c r="JT41" s="117"/>
      <c r="JU41" s="117"/>
      <c r="JV41" s="117"/>
      <c r="JW41" s="117"/>
      <c r="JX41" s="117"/>
      <c r="JY41" s="491"/>
      <c r="JZ41" s="491"/>
      <c r="KA41" s="491"/>
      <c r="KB41" s="117"/>
      <c r="KC41" s="227"/>
      <c r="KD41" s="117"/>
      <c r="KE41" s="117"/>
      <c r="KF41" s="117"/>
      <c r="KG41" s="117"/>
      <c r="KH41" s="117"/>
      <c r="KI41" s="117"/>
      <c r="KJ41" s="117"/>
      <c r="KK41" s="117"/>
      <c r="KL41" s="117"/>
      <c r="KM41" s="117"/>
      <c r="KN41" s="117"/>
      <c r="KO41" s="117"/>
      <c r="KP41" s="491"/>
      <c r="KQ41" s="491"/>
      <c r="KR41" s="117"/>
      <c r="KS41" s="117"/>
      <c r="KT41" s="117"/>
      <c r="KU41" s="117"/>
      <c r="KV41" s="117"/>
      <c r="KW41" s="117"/>
      <c r="KX41" s="117"/>
      <c r="KY41" s="117"/>
      <c r="KZ41" s="117"/>
      <c r="LA41" s="117"/>
      <c r="LB41" s="117"/>
      <c r="LC41" s="117"/>
      <c r="LD41" s="117"/>
      <c r="LE41" s="491"/>
      <c r="LF41" s="117"/>
      <c r="LG41" s="117"/>
      <c r="LH41" s="117"/>
      <c r="LI41" s="117"/>
      <c r="LJ41" s="117"/>
      <c r="LK41" s="117"/>
      <c r="LL41" s="117"/>
      <c r="LM41" s="117"/>
      <c r="LN41" s="117"/>
      <c r="LO41" s="117"/>
      <c r="LP41" s="117"/>
      <c r="LQ41" s="117"/>
      <c r="LR41" s="117"/>
      <c r="LS41" s="117"/>
      <c r="LT41" s="117"/>
    </row>
    <row r="42" spans="1:332" ht="24.95" customHeight="1">
      <c r="A42" s="985"/>
      <c r="B42" s="129" t="s">
        <v>170</v>
      </c>
      <c r="C42" s="203">
        <v>1</v>
      </c>
      <c r="D42" s="203">
        <v>160</v>
      </c>
      <c r="E42" s="226">
        <f t="shared" si="2"/>
        <v>0</v>
      </c>
      <c r="F42" s="220"/>
      <c r="G42" s="129"/>
      <c r="H42" s="129"/>
      <c r="I42" s="129"/>
      <c r="J42" s="129"/>
      <c r="K42" s="129"/>
      <c r="L42" s="129"/>
      <c r="M42" s="129"/>
      <c r="N42" s="354">
        <f t="shared" si="4"/>
        <v>0</v>
      </c>
      <c r="O42" s="187"/>
      <c r="P42" s="100"/>
      <c r="Q42" s="101"/>
      <c r="R42" s="101"/>
      <c r="S42" s="101"/>
      <c r="T42" s="103"/>
      <c r="U42" s="105" t="s">
        <v>437</v>
      </c>
      <c r="V42" s="106" t="s">
        <v>437</v>
      </c>
      <c r="W42" s="106" t="s">
        <v>437</v>
      </c>
      <c r="X42" s="106" t="s">
        <v>437</v>
      </c>
      <c r="Y42" s="107" t="s">
        <v>437</v>
      </c>
      <c r="Z42" s="102"/>
      <c r="AA42" s="241"/>
      <c r="AB42" s="101"/>
      <c r="AC42" s="101"/>
      <c r="AD42" s="98"/>
      <c r="AE42" s="281" t="s">
        <v>437</v>
      </c>
      <c r="AF42" s="106" t="s">
        <v>437</v>
      </c>
      <c r="AG42" s="106" t="s">
        <v>437</v>
      </c>
      <c r="AH42" s="106" t="s">
        <v>437</v>
      </c>
      <c r="AI42" s="106" t="s">
        <v>437</v>
      </c>
      <c r="AJ42" s="100"/>
      <c r="AK42" s="101"/>
      <c r="AL42" s="101"/>
      <c r="AM42" s="101"/>
      <c r="AN42" s="98"/>
      <c r="AO42" s="100"/>
      <c r="AP42" s="101"/>
      <c r="AQ42" s="101"/>
      <c r="AR42" s="101"/>
      <c r="AS42" s="98"/>
      <c r="AT42" s="100"/>
      <c r="AU42" s="101"/>
      <c r="AV42" s="101"/>
      <c r="AW42" s="101"/>
      <c r="AX42" s="103" t="s">
        <v>244</v>
      </c>
      <c r="AY42" s="100"/>
      <c r="AZ42" s="101"/>
      <c r="BA42" s="101"/>
      <c r="BB42" s="101"/>
      <c r="BC42" s="98"/>
      <c r="BD42" s="102"/>
      <c r="BE42" s="104"/>
      <c r="BF42" s="104"/>
      <c r="BG42" s="104"/>
      <c r="BH42" s="104"/>
      <c r="BI42" s="392"/>
      <c r="BJ42" s="102"/>
      <c r="BK42" s="101"/>
      <c r="BL42" s="101"/>
      <c r="BM42" s="101" t="s">
        <v>244</v>
      </c>
      <c r="BN42" s="103" t="s">
        <v>244</v>
      </c>
      <c r="BO42" s="100"/>
      <c r="BP42" s="101"/>
      <c r="BQ42" s="101"/>
      <c r="BR42" s="101"/>
      <c r="BS42" s="98"/>
      <c r="BT42" s="376" t="s">
        <v>538</v>
      </c>
      <c r="BV42" s="101"/>
      <c r="BW42" s="101"/>
      <c r="CA42" s="420"/>
      <c r="CB42" s="101"/>
      <c r="CC42" s="98"/>
      <c r="CE42" s="101"/>
      <c r="CF42" s="101"/>
      <c r="CG42" s="101"/>
      <c r="CH42" s="98"/>
      <c r="CI42" s="100"/>
      <c r="CJ42" s="101"/>
      <c r="CK42" s="101"/>
      <c r="CL42" s="101"/>
      <c r="CM42" s="98"/>
      <c r="CN42" s="100"/>
      <c r="CO42" s="101"/>
      <c r="CP42" s="101"/>
      <c r="CQ42" s="101"/>
      <c r="CR42" s="98"/>
      <c r="CS42" s="100"/>
      <c r="CT42" s="101"/>
      <c r="CU42" s="101"/>
      <c r="CV42" s="101"/>
      <c r="CW42" s="98"/>
      <c r="CX42" s="102"/>
      <c r="CY42" s="101"/>
      <c r="CZ42" s="101"/>
      <c r="DA42" s="101"/>
      <c r="DB42" s="98"/>
      <c r="DC42" s="489"/>
      <c r="DD42" s="101"/>
      <c r="DE42" s="101"/>
      <c r="DF42" s="101"/>
      <c r="DG42" s="98"/>
      <c r="DH42" s="100"/>
      <c r="DI42" s="101"/>
      <c r="DJ42" s="101"/>
      <c r="DK42" s="101"/>
      <c r="DL42" s="98"/>
      <c r="DM42" s="100"/>
      <c r="DN42" s="101"/>
      <c r="DO42" s="101"/>
      <c r="DP42" s="101"/>
      <c r="DQ42" s="103"/>
      <c r="DR42" s="116"/>
      <c r="DS42" s="117"/>
      <c r="DT42" s="117"/>
      <c r="DU42" s="117"/>
      <c r="DV42" s="227"/>
      <c r="DW42" s="116"/>
      <c r="DX42" s="117"/>
      <c r="DY42" s="117"/>
      <c r="DZ42" s="117"/>
      <c r="EA42" s="227"/>
      <c r="EB42" s="489"/>
      <c r="ED42" s="336"/>
      <c r="EE42" s="117"/>
      <c r="EF42" s="118"/>
      <c r="EG42" s="119"/>
      <c r="EH42" s="117"/>
      <c r="EI42" s="117"/>
      <c r="EJ42" s="117"/>
      <c r="EK42" s="334" t="s">
        <v>788</v>
      </c>
      <c r="EL42" s="116"/>
      <c r="EM42" s="117"/>
      <c r="EN42" s="117"/>
      <c r="EO42" s="117"/>
      <c r="EP42" s="227"/>
      <c r="EQ42" s="117"/>
      <c r="ER42" s="117"/>
      <c r="ES42" s="117"/>
      <c r="ET42" s="117"/>
      <c r="EU42" s="117"/>
      <c r="EV42" s="117"/>
      <c r="EW42" s="117"/>
      <c r="EX42" s="117"/>
      <c r="EY42" s="117"/>
      <c r="EZ42" s="117"/>
      <c r="FA42" s="117"/>
      <c r="FB42" s="117"/>
      <c r="FC42" s="117"/>
      <c r="FD42" s="117"/>
      <c r="FE42" s="117"/>
      <c r="FF42" s="117"/>
      <c r="FG42" s="117"/>
      <c r="FH42" s="117"/>
      <c r="FI42" s="117"/>
      <c r="FJ42" s="101"/>
      <c r="FK42" s="117"/>
      <c r="FL42" s="117"/>
      <c r="FM42" s="117"/>
      <c r="FN42" s="117"/>
      <c r="FO42" s="117"/>
      <c r="FP42" s="491"/>
      <c r="FQ42" s="491"/>
      <c r="FR42" s="491"/>
      <c r="FS42" s="117"/>
      <c r="FT42" s="117"/>
      <c r="FU42" s="117"/>
      <c r="FV42" s="117"/>
      <c r="FW42" s="117"/>
      <c r="FX42" s="117"/>
      <c r="FY42" s="117"/>
      <c r="FZ42" s="117"/>
      <c r="GA42" s="117"/>
      <c r="GB42" s="117"/>
      <c r="GC42" s="117"/>
      <c r="GD42" s="491"/>
      <c r="GE42" s="491"/>
      <c r="GF42" s="117"/>
      <c r="GG42" s="117"/>
      <c r="GH42" s="117"/>
      <c r="GI42" s="491"/>
      <c r="GJ42" s="491"/>
      <c r="GK42" s="117"/>
      <c r="GL42" s="117"/>
      <c r="GM42" s="117"/>
      <c r="GN42" s="117"/>
      <c r="GO42" s="117"/>
      <c r="GP42" s="117"/>
      <c r="GQ42" s="117"/>
      <c r="GR42" s="117"/>
      <c r="GS42" s="117"/>
      <c r="GT42" s="117"/>
      <c r="GU42" s="117"/>
      <c r="GV42" s="117"/>
      <c r="GW42" s="117"/>
      <c r="GX42" s="117"/>
      <c r="GY42" s="227"/>
      <c r="GZ42" s="117"/>
      <c r="HA42" s="117"/>
      <c r="HB42" s="117"/>
      <c r="HC42" s="117"/>
      <c r="HD42" s="117"/>
      <c r="HE42" s="117"/>
      <c r="HF42" s="117"/>
      <c r="HG42" s="117"/>
      <c r="HH42" s="117"/>
      <c r="HI42" s="117"/>
      <c r="HJ42" s="117"/>
      <c r="HK42" s="117"/>
      <c r="HL42" s="117"/>
      <c r="HM42" s="117"/>
      <c r="HN42" s="117"/>
      <c r="HO42" s="117"/>
      <c r="HP42" s="117"/>
      <c r="HQ42" s="117"/>
      <c r="HR42" s="117"/>
      <c r="HS42" s="117"/>
      <c r="HT42" s="117"/>
      <c r="HU42" s="117"/>
      <c r="HV42" s="117"/>
      <c r="HW42" s="117"/>
      <c r="HX42" s="117"/>
      <c r="HY42" s="117"/>
      <c r="HZ42" s="117"/>
      <c r="IA42" s="117"/>
      <c r="IB42" s="117"/>
      <c r="IC42" s="117"/>
      <c r="ID42" s="117"/>
      <c r="IE42" s="117"/>
      <c r="IF42" s="117"/>
      <c r="IG42" s="491"/>
      <c r="IH42" s="491"/>
      <c r="II42" s="117"/>
      <c r="IJ42" s="117"/>
      <c r="IK42" s="117"/>
      <c r="IL42" s="117"/>
      <c r="IM42" s="117"/>
      <c r="IN42" s="117"/>
      <c r="IO42" s="117"/>
      <c r="IP42" s="117"/>
      <c r="IQ42" s="117"/>
      <c r="IR42" s="117"/>
      <c r="IS42" s="117"/>
      <c r="IT42" s="117"/>
      <c r="IU42" s="117"/>
      <c r="IV42" s="117"/>
      <c r="IW42" s="117"/>
      <c r="IX42" s="117"/>
      <c r="IY42" s="117"/>
      <c r="IZ42" s="117"/>
      <c r="JA42" s="117"/>
      <c r="JB42" s="117"/>
      <c r="JC42" s="117"/>
      <c r="JD42" s="117"/>
      <c r="JE42" s="117"/>
      <c r="JF42" s="117"/>
      <c r="JG42" s="117"/>
      <c r="JH42" s="117"/>
      <c r="JI42" s="117"/>
      <c r="JJ42" s="117"/>
      <c r="JK42" s="117"/>
      <c r="JL42" s="117"/>
      <c r="JM42" s="117"/>
      <c r="JN42" s="117"/>
      <c r="JO42" s="117"/>
      <c r="JP42" s="491"/>
      <c r="JQ42" s="491"/>
      <c r="JR42" s="117"/>
      <c r="JS42" s="117"/>
      <c r="JT42" s="117"/>
      <c r="JU42" s="117"/>
      <c r="JV42" s="117"/>
      <c r="JW42" s="117"/>
      <c r="JX42" s="117"/>
      <c r="JY42" s="491"/>
      <c r="JZ42" s="491"/>
      <c r="KA42" s="491"/>
      <c r="KB42" s="117"/>
      <c r="KC42" s="227"/>
      <c r="KD42" s="117"/>
      <c r="KE42" s="117"/>
      <c r="KF42" s="117"/>
      <c r="KG42" s="117"/>
      <c r="KH42" s="117"/>
      <c r="KI42" s="117"/>
      <c r="KJ42" s="117"/>
      <c r="KK42" s="117"/>
      <c r="KL42" s="117"/>
      <c r="KM42" s="117"/>
      <c r="KN42" s="117"/>
      <c r="KO42" s="117"/>
      <c r="KP42" s="491"/>
      <c r="KQ42" s="491"/>
      <c r="KR42" s="117"/>
      <c r="KS42" s="117"/>
      <c r="KT42" s="117"/>
      <c r="KU42" s="117"/>
      <c r="KV42" s="117"/>
      <c r="KW42" s="117"/>
      <c r="KX42" s="117"/>
      <c r="KY42" s="117"/>
      <c r="KZ42" s="117"/>
      <c r="LA42" s="117"/>
      <c r="LB42" s="117"/>
      <c r="LC42" s="117"/>
      <c r="LD42" s="117"/>
      <c r="LE42" s="491"/>
      <c r="LF42" s="117"/>
      <c r="LG42" s="117"/>
      <c r="LH42" s="117"/>
      <c r="LI42" s="117"/>
      <c r="LJ42" s="117"/>
      <c r="LK42" s="117"/>
      <c r="LL42" s="117"/>
      <c r="LM42" s="117"/>
      <c r="LN42" s="117"/>
      <c r="LO42" s="117"/>
      <c r="LP42" s="117"/>
      <c r="LQ42" s="117"/>
      <c r="LR42" s="117"/>
      <c r="LS42" s="117"/>
      <c r="LT42" s="117"/>
    </row>
    <row r="43" spans="1:332" ht="24.95" customHeight="1">
      <c r="A43" s="985"/>
      <c r="B43" s="205" t="s">
        <v>428</v>
      </c>
      <c r="C43" s="203">
        <v>2</v>
      </c>
      <c r="D43" s="203">
        <v>300</v>
      </c>
      <c r="E43" s="226">
        <f t="shared" si="2"/>
        <v>0</v>
      </c>
      <c r="F43" s="220"/>
      <c r="G43" s="129"/>
      <c r="H43" s="129"/>
      <c r="I43" s="129"/>
      <c r="J43" s="129"/>
      <c r="K43" s="129"/>
      <c r="L43" s="129"/>
      <c r="M43" s="129"/>
      <c r="N43" s="354">
        <f t="shared" si="4"/>
        <v>0</v>
      </c>
      <c r="O43" s="187"/>
      <c r="P43" s="100"/>
      <c r="Q43" s="101"/>
      <c r="R43" s="101"/>
      <c r="S43" s="101"/>
      <c r="T43" s="103"/>
      <c r="U43" s="105" t="s">
        <v>437</v>
      </c>
      <c r="V43" s="106" t="s">
        <v>437</v>
      </c>
      <c r="W43" s="106" t="s">
        <v>437</v>
      </c>
      <c r="X43" s="106" t="s">
        <v>437</v>
      </c>
      <c r="Y43" s="107" t="s">
        <v>437</v>
      </c>
      <c r="Z43" s="102"/>
      <c r="AA43" s="101"/>
      <c r="AB43" s="101"/>
      <c r="AC43" s="101"/>
      <c r="AD43" s="98"/>
      <c r="AE43" s="281" t="s">
        <v>437</v>
      </c>
      <c r="AF43" s="106" t="s">
        <v>437</v>
      </c>
      <c r="AG43" s="106" t="s">
        <v>437</v>
      </c>
      <c r="AH43" s="106" t="s">
        <v>437</v>
      </c>
      <c r="AI43" s="106" t="s">
        <v>437</v>
      </c>
      <c r="AJ43" s="100"/>
      <c r="AK43" s="101"/>
      <c r="AL43" s="101"/>
      <c r="AM43" s="101"/>
      <c r="AN43" s="98"/>
      <c r="AO43" s="100"/>
      <c r="AP43" s="101"/>
      <c r="AQ43" s="101"/>
      <c r="AR43" s="101"/>
      <c r="AS43" s="98"/>
      <c r="AT43" s="100"/>
      <c r="AU43" s="101"/>
      <c r="AV43" s="101"/>
      <c r="AW43" s="101"/>
      <c r="AX43" s="103" t="s">
        <v>244</v>
      </c>
      <c r="AY43" s="100"/>
      <c r="AZ43" s="101"/>
      <c r="BA43" s="101"/>
      <c r="BB43" s="101"/>
      <c r="BC43" s="98"/>
      <c r="BD43" s="102"/>
      <c r="BE43" s="104"/>
      <c r="BF43" s="104"/>
      <c r="BG43" s="104"/>
      <c r="BH43" s="104"/>
      <c r="BI43" s="392"/>
      <c r="BJ43" s="102"/>
      <c r="BK43" s="101"/>
      <c r="BL43" s="101"/>
      <c r="BM43" s="101" t="s">
        <v>244</v>
      </c>
      <c r="BN43" s="103" t="s">
        <v>244</v>
      </c>
      <c r="BO43" s="100"/>
      <c r="BP43" s="101"/>
      <c r="BQ43" s="101"/>
      <c r="BR43" s="101"/>
      <c r="BS43" s="98"/>
      <c r="BT43" s="425"/>
      <c r="BU43" s="101"/>
      <c r="BV43" s="101"/>
      <c r="BW43" s="101"/>
      <c r="BX43" s="98"/>
      <c r="BY43" s="102"/>
      <c r="BZ43" s="101"/>
      <c r="CA43" s="101"/>
      <c r="CB43" s="101"/>
      <c r="CC43" s="98"/>
      <c r="CD43" s="376" t="s">
        <v>537</v>
      </c>
      <c r="CE43" s="101"/>
      <c r="CF43" s="101"/>
      <c r="CG43" s="101"/>
      <c r="CH43" s="98"/>
      <c r="CI43" s="100"/>
      <c r="CJ43" s="101"/>
      <c r="CK43" s="101"/>
      <c r="CM43" s="98"/>
      <c r="CN43" s="400"/>
      <c r="CO43" s="101"/>
      <c r="CP43" s="101"/>
      <c r="CQ43" s="101"/>
      <c r="CR43" s="98"/>
      <c r="CS43" s="100"/>
      <c r="CT43" s="101"/>
      <c r="CU43" s="101"/>
      <c r="CV43" s="101"/>
      <c r="CW43" s="98"/>
      <c r="CX43" s="102"/>
      <c r="CY43" s="101"/>
      <c r="CZ43" s="101"/>
      <c r="DA43" s="101"/>
      <c r="DB43" s="98"/>
      <c r="DC43" s="489"/>
      <c r="DD43" s="101"/>
      <c r="DE43" s="101"/>
      <c r="DF43" s="101"/>
      <c r="DG43" s="98"/>
      <c r="DH43" s="100"/>
      <c r="DI43" s="101"/>
      <c r="DJ43" s="101"/>
      <c r="DK43" s="101"/>
      <c r="DL43" s="98"/>
      <c r="DM43" s="100"/>
      <c r="DN43" s="101"/>
      <c r="DO43" s="101"/>
      <c r="DP43" s="101"/>
      <c r="DQ43" s="103"/>
      <c r="DR43" s="116"/>
      <c r="DS43" s="117"/>
      <c r="DT43" s="117"/>
      <c r="DU43" s="117"/>
      <c r="DV43" s="227"/>
      <c r="DW43" s="116"/>
      <c r="DX43" s="117"/>
      <c r="DY43" s="117"/>
      <c r="DZ43" s="117"/>
      <c r="EA43" s="227"/>
      <c r="EB43" s="489"/>
      <c r="EC43" s="117"/>
      <c r="ED43" s="117"/>
      <c r="EE43" s="117"/>
      <c r="EF43" s="118"/>
      <c r="EG43" s="119"/>
      <c r="EH43" s="117"/>
      <c r="EI43" s="117"/>
      <c r="EJ43" s="117"/>
      <c r="EK43" s="118"/>
      <c r="EL43" s="428"/>
      <c r="EM43" s="117"/>
      <c r="EN43" s="117"/>
      <c r="EO43" s="117"/>
      <c r="EP43" s="334" t="s">
        <v>788</v>
      </c>
      <c r="EQ43" s="117"/>
      <c r="ER43" s="117"/>
      <c r="ES43" s="117"/>
      <c r="ET43" s="117"/>
      <c r="EU43" s="117"/>
      <c r="EV43" s="117"/>
      <c r="EW43" s="117"/>
      <c r="EX43" s="117"/>
      <c r="EY43" s="117"/>
      <c r="EZ43" s="117"/>
      <c r="FA43" s="117"/>
      <c r="FB43" s="117"/>
      <c r="FC43" s="117"/>
      <c r="FD43" s="117"/>
      <c r="FE43" s="117"/>
      <c r="FF43" s="117"/>
      <c r="FG43" s="117"/>
      <c r="FH43" s="117"/>
      <c r="FI43" s="117"/>
      <c r="FJ43" s="101"/>
      <c r="FK43" s="117"/>
      <c r="FL43" s="117"/>
      <c r="FM43" s="117"/>
      <c r="FN43" s="117"/>
      <c r="FO43" s="117"/>
      <c r="FP43" s="491"/>
      <c r="FQ43" s="491"/>
      <c r="FR43" s="491"/>
      <c r="FS43" s="117"/>
      <c r="FT43" s="117"/>
      <c r="FU43" s="117"/>
      <c r="FV43" s="117"/>
      <c r="FW43" s="117"/>
      <c r="FX43" s="117"/>
      <c r="FY43" s="117"/>
      <c r="FZ43" s="117"/>
      <c r="GA43" s="117"/>
      <c r="GB43" s="117"/>
      <c r="GC43" s="117"/>
      <c r="GD43" s="491"/>
      <c r="GE43" s="491"/>
      <c r="GF43" s="117"/>
      <c r="GG43" s="117"/>
      <c r="GH43" s="117"/>
      <c r="GI43" s="491"/>
      <c r="GJ43" s="491"/>
      <c r="GK43" s="117"/>
      <c r="GL43" s="117"/>
      <c r="GM43" s="117"/>
      <c r="GN43" s="117"/>
      <c r="GO43" s="117"/>
      <c r="GP43" s="400"/>
      <c r="GQ43" s="117"/>
      <c r="GR43" s="117"/>
      <c r="GS43" s="117"/>
      <c r="GT43" s="117"/>
      <c r="GU43" s="117"/>
      <c r="GV43" s="117"/>
      <c r="GW43" s="117"/>
      <c r="GX43" s="117"/>
      <c r="GY43" s="227"/>
      <c r="GZ43" s="117"/>
      <c r="HA43" s="117"/>
      <c r="HB43" s="117"/>
      <c r="HC43" s="117"/>
      <c r="HD43" s="117"/>
      <c r="HE43" s="117"/>
      <c r="HF43" s="117"/>
      <c r="HG43" s="117"/>
      <c r="HH43" s="117"/>
      <c r="HI43" s="117"/>
      <c r="HJ43" s="117"/>
      <c r="HK43" s="117"/>
      <c r="HL43" s="117"/>
      <c r="HM43" s="117"/>
      <c r="HN43" s="117"/>
      <c r="HO43" s="117"/>
      <c r="HP43" s="117"/>
      <c r="HQ43" s="117"/>
      <c r="HR43" s="117"/>
      <c r="HS43" s="117"/>
      <c r="HT43" s="117"/>
      <c r="HU43" s="117"/>
      <c r="HV43" s="117"/>
      <c r="HW43" s="117"/>
      <c r="HX43" s="117"/>
      <c r="HY43" s="117"/>
      <c r="HZ43" s="117"/>
      <c r="IA43" s="117"/>
      <c r="IB43" s="117"/>
      <c r="IC43" s="117"/>
      <c r="ID43" s="117"/>
      <c r="IE43" s="117"/>
      <c r="IF43" s="117"/>
      <c r="IG43" s="491"/>
      <c r="IH43" s="491"/>
      <c r="II43" s="117"/>
      <c r="IJ43" s="117"/>
      <c r="IK43" s="117"/>
      <c r="IL43" s="117"/>
      <c r="IM43" s="117"/>
      <c r="IN43" s="117"/>
      <c r="IO43" s="117"/>
      <c r="IP43" s="117"/>
      <c r="IQ43" s="117"/>
      <c r="IR43" s="117"/>
      <c r="IS43" s="117"/>
      <c r="IT43" s="117"/>
      <c r="IU43" s="117"/>
      <c r="IV43" s="117"/>
      <c r="IW43" s="117"/>
      <c r="IX43" s="117"/>
      <c r="IY43" s="117"/>
      <c r="IZ43" s="117"/>
      <c r="JA43" s="117"/>
      <c r="JB43" s="117"/>
      <c r="JC43" s="117"/>
      <c r="JD43" s="117"/>
      <c r="JE43" s="117"/>
      <c r="JF43" s="117"/>
      <c r="JG43" s="117"/>
      <c r="JH43" s="117"/>
      <c r="JI43" s="117"/>
      <c r="JJ43" s="117"/>
      <c r="JK43" s="117"/>
      <c r="JL43" s="117"/>
      <c r="JM43" s="117"/>
      <c r="JN43" s="117"/>
      <c r="JO43" s="117"/>
      <c r="JP43" s="491"/>
      <c r="JQ43" s="491"/>
      <c r="JR43" s="117"/>
      <c r="JS43" s="117"/>
      <c r="JT43" s="117"/>
      <c r="JU43" s="117"/>
      <c r="JV43" s="117"/>
      <c r="JW43" s="117"/>
      <c r="JX43" s="117"/>
      <c r="JY43" s="491"/>
      <c r="JZ43" s="491"/>
      <c r="KA43" s="491"/>
      <c r="KB43" s="117"/>
      <c r="KC43" s="227"/>
      <c r="KD43" s="117"/>
      <c r="KE43" s="117"/>
      <c r="KF43" s="117"/>
      <c r="KG43" s="117"/>
      <c r="KH43" s="117"/>
      <c r="KI43" s="117"/>
      <c r="KJ43" s="117"/>
      <c r="KK43" s="117"/>
      <c r="KL43" s="117"/>
      <c r="KM43" s="117"/>
      <c r="KN43" s="117"/>
      <c r="KO43" s="117"/>
      <c r="KP43" s="491"/>
      <c r="KQ43" s="491"/>
      <c r="KR43" s="117"/>
      <c r="KS43" s="117"/>
      <c r="KT43" s="117"/>
      <c r="KU43" s="117"/>
      <c r="KV43" s="117"/>
      <c r="KW43" s="117"/>
      <c r="KX43" s="117"/>
      <c r="KY43" s="117"/>
      <c r="KZ43" s="117"/>
      <c r="LA43" s="117"/>
      <c r="LB43" s="117"/>
      <c r="LC43" s="117"/>
      <c r="LD43" s="117"/>
      <c r="LE43" s="491"/>
      <c r="LF43" s="117"/>
      <c r="LG43" s="117"/>
      <c r="LH43" s="117"/>
      <c r="LI43" s="117"/>
      <c r="LJ43" s="117"/>
      <c r="LK43" s="117"/>
      <c r="LL43" s="117"/>
      <c r="LM43" s="117"/>
      <c r="LN43" s="117"/>
      <c r="LO43" s="117"/>
      <c r="LP43" s="117"/>
      <c r="LQ43" s="117"/>
      <c r="LR43" s="117"/>
      <c r="LS43" s="117"/>
      <c r="LT43" s="117"/>
    </row>
    <row r="44" spans="1:332" ht="24.95" customHeight="1">
      <c r="A44" s="985"/>
      <c r="B44" s="205" t="s">
        <v>429</v>
      </c>
      <c r="C44" s="203">
        <v>2</v>
      </c>
      <c r="D44" s="203">
        <v>300</v>
      </c>
      <c r="E44" s="226">
        <f t="shared" si="2"/>
        <v>0</v>
      </c>
      <c r="F44" s="220"/>
      <c r="G44" s="129"/>
      <c r="H44" s="129"/>
      <c r="I44" s="129"/>
      <c r="J44" s="129"/>
      <c r="K44" s="129"/>
      <c r="L44" s="129"/>
      <c r="M44" s="129"/>
      <c r="N44" s="354">
        <f t="shared" si="4"/>
        <v>0</v>
      </c>
      <c r="O44" s="187"/>
      <c r="P44" s="100"/>
      <c r="Q44" s="101"/>
      <c r="R44" s="101"/>
      <c r="S44" s="101"/>
      <c r="T44" s="103"/>
      <c r="U44" s="105" t="s">
        <v>437</v>
      </c>
      <c r="V44" s="106" t="s">
        <v>437</v>
      </c>
      <c r="W44" s="106" t="s">
        <v>437</v>
      </c>
      <c r="X44" s="106" t="s">
        <v>437</v>
      </c>
      <c r="Y44" s="107" t="s">
        <v>437</v>
      </c>
      <c r="Z44" s="102"/>
      <c r="AA44" s="101"/>
      <c r="AB44" s="101"/>
      <c r="AC44" s="101"/>
      <c r="AD44" s="98"/>
      <c r="AE44" s="281" t="s">
        <v>437</v>
      </c>
      <c r="AF44" s="106" t="s">
        <v>437</v>
      </c>
      <c r="AG44" s="106" t="s">
        <v>437</v>
      </c>
      <c r="AH44" s="106" t="s">
        <v>437</v>
      </c>
      <c r="AI44" s="106" t="s">
        <v>437</v>
      </c>
      <c r="AJ44" s="100"/>
      <c r="AK44" s="101"/>
      <c r="AL44" s="101"/>
      <c r="AM44" s="101"/>
      <c r="AN44" s="98"/>
      <c r="AO44" s="334" t="s">
        <v>535</v>
      </c>
      <c r="AQ44" s="101"/>
      <c r="AR44" s="315"/>
      <c r="AS44" s="316"/>
      <c r="AT44" s="100"/>
      <c r="AU44" s="101"/>
      <c r="AV44" s="101"/>
      <c r="AW44" s="101"/>
      <c r="AX44" s="103" t="s">
        <v>244</v>
      </c>
      <c r="AY44" s="100"/>
      <c r="AZ44" s="101"/>
      <c r="BA44" s="101"/>
      <c r="BB44" s="101"/>
      <c r="BC44" s="98"/>
      <c r="BD44" s="102"/>
      <c r="BE44" s="104"/>
      <c r="BF44" s="104"/>
      <c r="BG44" s="104"/>
      <c r="BH44" s="104"/>
      <c r="BI44" s="392"/>
      <c r="BJ44" s="102"/>
      <c r="BK44" s="101"/>
      <c r="BL44" s="101"/>
      <c r="BM44" s="101" t="s">
        <v>244</v>
      </c>
      <c r="BN44" s="103" t="s">
        <v>244</v>
      </c>
      <c r="BO44" s="100"/>
      <c r="BP44" s="101"/>
      <c r="BQ44" s="101"/>
      <c r="BR44" s="101"/>
      <c r="BS44" s="98"/>
      <c r="BT44" s="425"/>
      <c r="BU44" s="101"/>
      <c r="BV44" s="101"/>
      <c r="BW44" s="101"/>
      <c r="BX44" s="98"/>
      <c r="BY44" s="102"/>
      <c r="BZ44" s="101"/>
      <c r="CA44" s="101"/>
      <c r="CB44" s="101"/>
      <c r="CC44" s="98"/>
      <c r="CD44" s="376" t="s">
        <v>536</v>
      </c>
      <c r="CE44" s="101"/>
      <c r="CF44" s="101"/>
      <c r="CG44" s="101"/>
      <c r="CH44" s="98"/>
      <c r="CI44" s="100"/>
      <c r="CJ44" s="101"/>
      <c r="CK44" s="101"/>
      <c r="CL44" s="101"/>
      <c r="CM44" s="98"/>
      <c r="CN44" s="100"/>
      <c r="CO44" s="101"/>
      <c r="CP44" s="101"/>
      <c r="CQ44" s="101"/>
      <c r="CR44" s="98"/>
      <c r="CS44" s="100"/>
      <c r="CT44" s="101"/>
      <c r="CU44" s="101"/>
      <c r="CV44" s="101"/>
      <c r="CW44" s="98"/>
      <c r="CX44" s="102"/>
      <c r="CY44" s="101"/>
      <c r="CZ44" s="101"/>
      <c r="DA44" s="101"/>
      <c r="DB44" s="98"/>
      <c r="DC44" s="489"/>
      <c r="DD44" s="101"/>
      <c r="DE44" s="101"/>
      <c r="DF44" s="101"/>
      <c r="DG44" s="98"/>
      <c r="DH44" s="100"/>
      <c r="DI44" s="101"/>
      <c r="DJ44" s="101"/>
      <c r="DK44" s="101"/>
      <c r="DL44" s="98"/>
      <c r="DM44" s="100"/>
      <c r="DN44" s="101"/>
      <c r="DO44" s="101"/>
      <c r="DP44" s="101"/>
      <c r="DQ44" s="103"/>
      <c r="DR44" s="116"/>
      <c r="DS44" s="117"/>
      <c r="DT44" s="117"/>
      <c r="DU44" s="117"/>
      <c r="DV44" s="227"/>
      <c r="DW44" s="116"/>
      <c r="DX44" s="117"/>
      <c r="DY44" s="117"/>
      <c r="DZ44" s="117"/>
      <c r="EA44" s="227"/>
      <c r="EB44" s="489"/>
      <c r="EC44" s="117"/>
      <c r="ED44" s="117"/>
      <c r="EE44" s="117"/>
      <c r="EF44" s="118"/>
      <c r="EG44" s="119"/>
      <c r="EH44" s="117"/>
      <c r="EI44" s="117"/>
      <c r="EJ44" s="117"/>
      <c r="EK44" s="118"/>
      <c r="EL44" s="116"/>
      <c r="EN44" s="117"/>
      <c r="EO44" s="117"/>
      <c r="EP44" s="334" t="s">
        <v>788</v>
      </c>
      <c r="EQ44" s="428"/>
      <c r="ES44" s="117"/>
      <c r="ET44" s="117"/>
      <c r="EU44" s="117"/>
      <c r="EV44" s="117"/>
      <c r="EW44" s="117"/>
      <c r="EX44" s="117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01"/>
      <c r="FK44" s="117"/>
      <c r="FL44" s="117"/>
      <c r="FM44" s="117"/>
      <c r="FN44" s="117"/>
      <c r="FO44" s="117"/>
      <c r="FP44" s="491"/>
      <c r="FQ44" s="491"/>
      <c r="FR44" s="491"/>
      <c r="FS44" s="117"/>
      <c r="FT44" s="117"/>
      <c r="FU44" s="117"/>
      <c r="FV44" s="117"/>
      <c r="FW44" s="117"/>
      <c r="FX44" s="117"/>
      <c r="FY44" s="117"/>
      <c r="FZ44" s="117"/>
      <c r="GA44" s="117"/>
      <c r="GB44" s="117"/>
      <c r="GC44" s="117"/>
      <c r="GD44" s="491"/>
      <c r="GE44" s="491"/>
      <c r="GF44" s="117"/>
      <c r="GG44" s="117"/>
      <c r="GH44" s="117"/>
      <c r="GI44" s="491"/>
      <c r="GJ44" s="491"/>
      <c r="GK44" s="117"/>
      <c r="GL44" s="117"/>
      <c r="GM44" s="117"/>
      <c r="GN44" s="117"/>
      <c r="GO44" s="117"/>
      <c r="GP44" s="117"/>
      <c r="GQ44" s="400"/>
      <c r="GR44" s="117"/>
      <c r="GS44" s="117"/>
      <c r="GT44" s="117"/>
      <c r="GU44" s="117"/>
      <c r="GV44" s="117"/>
      <c r="GW44" s="117"/>
      <c r="GX44" s="117"/>
      <c r="GY44" s="227"/>
      <c r="GZ44" s="117"/>
      <c r="HA44" s="117"/>
      <c r="HB44" s="117"/>
      <c r="HC44" s="117"/>
      <c r="HD44" s="117"/>
      <c r="HE44" s="117"/>
      <c r="HF44" s="117"/>
      <c r="HG44" s="117"/>
      <c r="HH44" s="117"/>
      <c r="HI44" s="117"/>
      <c r="HJ44" s="117"/>
      <c r="HK44" s="117"/>
      <c r="HL44" s="117"/>
      <c r="HM44" s="117"/>
      <c r="HN44" s="117"/>
      <c r="HO44" s="117"/>
      <c r="HP44" s="117"/>
      <c r="HQ44" s="117"/>
      <c r="HR44" s="117"/>
      <c r="HS44" s="117"/>
      <c r="HT44" s="117"/>
      <c r="HU44" s="117"/>
      <c r="HV44" s="117"/>
      <c r="HW44" s="117"/>
      <c r="HX44" s="117"/>
      <c r="HY44" s="117"/>
      <c r="HZ44" s="117"/>
      <c r="IA44" s="117"/>
      <c r="IB44" s="117"/>
      <c r="IC44" s="117"/>
      <c r="ID44" s="117"/>
      <c r="IE44" s="117"/>
      <c r="IF44" s="117"/>
      <c r="IG44" s="491"/>
      <c r="IH44" s="491"/>
      <c r="II44" s="117"/>
      <c r="IJ44" s="117"/>
      <c r="IK44" s="117"/>
      <c r="IL44" s="117"/>
      <c r="IM44" s="117"/>
      <c r="IN44" s="117"/>
      <c r="IO44" s="117"/>
      <c r="IP44" s="117"/>
      <c r="IQ44" s="117"/>
      <c r="IR44" s="117"/>
      <c r="IS44" s="117"/>
      <c r="IT44" s="117"/>
      <c r="IU44" s="117"/>
      <c r="IV44" s="117"/>
      <c r="IW44" s="117"/>
      <c r="IX44" s="117"/>
      <c r="IY44" s="117"/>
      <c r="IZ44" s="117"/>
      <c r="JA44" s="117"/>
      <c r="JB44" s="117"/>
      <c r="JC44" s="117"/>
      <c r="JD44" s="117"/>
      <c r="JE44" s="117"/>
      <c r="JF44" s="117"/>
      <c r="JG44" s="117"/>
      <c r="JH44" s="117"/>
      <c r="JI44" s="117"/>
      <c r="JJ44" s="117"/>
      <c r="JK44" s="117"/>
      <c r="JL44" s="117"/>
      <c r="JM44" s="117"/>
      <c r="JN44" s="117"/>
      <c r="JO44" s="117"/>
      <c r="JP44" s="491"/>
      <c r="JQ44" s="491"/>
      <c r="JR44" s="117"/>
      <c r="JS44" s="117"/>
      <c r="JT44" s="117"/>
      <c r="JU44" s="117"/>
      <c r="JV44" s="117"/>
      <c r="JW44" s="117"/>
      <c r="JX44" s="117"/>
      <c r="JY44" s="491"/>
      <c r="JZ44" s="491"/>
      <c r="KA44" s="491"/>
      <c r="KB44" s="117"/>
      <c r="KC44" s="227"/>
      <c r="KD44" s="117"/>
      <c r="KE44" s="117"/>
      <c r="KF44" s="117"/>
      <c r="KG44" s="117"/>
      <c r="KH44" s="117"/>
      <c r="KI44" s="117"/>
      <c r="KJ44" s="117"/>
      <c r="KK44" s="117"/>
      <c r="KL44" s="117"/>
      <c r="KM44" s="117"/>
      <c r="KN44" s="117"/>
      <c r="KO44" s="117"/>
      <c r="KP44" s="491"/>
      <c r="KQ44" s="491"/>
      <c r="KR44" s="117"/>
      <c r="KS44" s="117"/>
      <c r="KT44" s="117"/>
      <c r="KU44" s="117"/>
      <c r="KV44" s="117"/>
      <c r="KW44" s="117"/>
      <c r="KX44" s="117"/>
      <c r="KY44" s="117"/>
      <c r="KZ44" s="117"/>
      <c r="LA44" s="117"/>
      <c r="LB44" s="117"/>
      <c r="LC44" s="117"/>
      <c r="LD44" s="117"/>
      <c r="LE44" s="491"/>
      <c r="LF44" s="117"/>
      <c r="LG44" s="117"/>
      <c r="LH44" s="117"/>
      <c r="LI44" s="117"/>
      <c r="LJ44" s="117"/>
      <c r="LK44" s="117"/>
      <c r="LL44" s="117"/>
      <c r="LM44" s="117"/>
      <c r="LN44" s="117"/>
      <c r="LO44" s="117"/>
      <c r="LP44" s="117"/>
      <c r="LQ44" s="117"/>
      <c r="LR44" s="117"/>
      <c r="LS44" s="117"/>
      <c r="LT44" s="117"/>
    </row>
    <row r="45" spans="1:332" ht="24.95" customHeight="1">
      <c r="A45" s="985"/>
      <c r="B45" s="205" t="s">
        <v>171</v>
      </c>
      <c r="C45" s="203">
        <v>1</v>
      </c>
      <c r="D45" s="203">
        <v>350</v>
      </c>
      <c r="E45" s="226">
        <f t="shared" si="2"/>
        <v>0</v>
      </c>
      <c r="F45" s="220"/>
      <c r="G45" s="129"/>
      <c r="H45" s="129"/>
      <c r="I45" s="129"/>
      <c r="J45" s="129"/>
      <c r="K45" s="129"/>
      <c r="L45" s="129"/>
      <c r="M45" s="129"/>
      <c r="N45" s="354">
        <f t="shared" si="4"/>
        <v>0</v>
      </c>
      <c r="O45" s="187"/>
      <c r="P45" s="100"/>
      <c r="Q45" s="101"/>
      <c r="R45" s="101"/>
      <c r="S45" s="101"/>
      <c r="T45" s="103"/>
      <c r="U45" s="105" t="s">
        <v>437</v>
      </c>
      <c r="V45" s="106" t="s">
        <v>437</v>
      </c>
      <c r="W45" s="106" t="s">
        <v>437</v>
      </c>
      <c r="X45" s="106" t="s">
        <v>437</v>
      </c>
      <c r="Y45" s="107" t="s">
        <v>437</v>
      </c>
      <c r="Z45" s="102"/>
      <c r="AA45" s="101"/>
      <c r="AB45" s="101"/>
      <c r="AC45" s="101"/>
      <c r="AD45" s="98"/>
      <c r="AE45" s="281" t="s">
        <v>437</v>
      </c>
      <c r="AF45" s="106" t="s">
        <v>437</v>
      </c>
      <c r="AG45" s="106" t="s">
        <v>437</v>
      </c>
      <c r="AH45" s="106" t="s">
        <v>437</v>
      </c>
      <c r="AI45" s="106" t="s">
        <v>437</v>
      </c>
      <c r="AJ45" s="100"/>
      <c r="AK45" s="101"/>
      <c r="AL45" s="101"/>
      <c r="AM45" s="315"/>
      <c r="AN45" s="316"/>
      <c r="AO45" s="334" t="s">
        <v>535</v>
      </c>
      <c r="AQ45" s="101"/>
      <c r="AR45" s="101"/>
      <c r="AS45" s="98"/>
      <c r="AT45" s="100"/>
      <c r="AU45" s="101"/>
      <c r="AV45" s="101"/>
      <c r="AW45" s="101"/>
      <c r="AX45" s="103" t="s">
        <v>244</v>
      </c>
      <c r="AY45" s="100"/>
      <c r="AZ45" s="101"/>
      <c r="BA45" s="101"/>
      <c r="BB45" s="101"/>
      <c r="BC45" s="98"/>
      <c r="BD45" s="102"/>
      <c r="BE45" s="104"/>
      <c r="BF45" s="104"/>
      <c r="BG45" s="104"/>
      <c r="BH45" s="104"/>
      <c r="BI45" s="392"/>
      <c r="BJ45" s="102"/>
      <c r="BK45" s="101"/>
      <c r="BL45" s="101"/>
      <c r="BM45" s="101" t="s">
        <v>244</v>
      </c>
      <c r="BN45" s="103" t="s">
        <v>244</v>
      </c>
      <c r="BO45" s="100"/>
      <c r="BP45" s="101"/>
      <c r="BQ45" s="101"/>
      <c r="BR45" s="101"/>
      <c r="BS45" s="98"/>
      <c r="BT45" s="425"/>
      <c r="BU45" s="101"/>
      <c r="BV45" s="101"/>
      <c r="BW45" s="101"/>
      <c r="BX45" s="98"/>
      <c r="BY45" s="102"/>
      <c r="BZ45" s="101"/>
      <c r="CA45" s="101"/>
      <c r="CB45" s="101"/>
      <c r="CC45" s="98"/>
      <c r="CD45" s="376" t="s">
        <v>536</v>
      </c>
      <c r="CE45" s="101"/>
      <c r="CF45" s="101"/>
      <c r="CG45" s="101"/>
      <c r="CH45" s="98"/>
      <c r="CI45" s="100"/>
      <c r="CJ45" s="101"/>
      <c r="CK45" s="101"/>
      <c r="CL45" s="101"/>
      <c r="CM45" s="98"/>
      <c r="CN45" s="100"/>
      <c r="CO45" s="101"/>
      <c r="CP45" s="101"/>
      <c r="CQ45" s="101"/>
      <c r="CR45" s="98"/>
      <c r="CS45" s="100"/>
      <c r="CT45" s="101"/>
      <c r="CU45" s="101"/>
      <c r="CV45" s="101"/>
      <c r="CW45" s="98"/>
      <c r="CX45" s="102"/>
      <c r="CY45" s="101"/>
      <c r="CZ45" s="101"/>
      <c r="DA45" s="101"/>
      <c r="DB45" s="98"/>
      <c r="DC45" s="489"/>
      <c r="DD45" s="101"/>
      <c r="DE45" s="101"/>
      <c r="DF45" s="101"/>
      <c r="DG45" s="98"/>
      <c r="DH45" s="100"/>
      <c r="DI45" s="101"/>
      <c r="DJ45" s="101"/>
      <c r="DK45" s="101"/>
      <c r="DM45" s="100"/>
      <c r="DN45" s="101"/>
      <c r="DO45" s="101"/>
      <c r="DP45" s="98"/>
      <c r="DQ45" s="103"/>
      <c r="DR45" s="534"/>
      <c r="DS45" s="117"/>
      <c r="DT45" s="117"/>
      <c r="DU45" s="117"/>
      <c r="DV45" s="227"/>
      <c r="DW45" s="116"/>
      <c r="DX45" s="117"/>
      <c r="DY45" s="117"/>
      <c r="DZ45" s="117"/>
      <c r="EA45" s="227"/>
      <c r="EB45" s="489"/>
      <c r="EC45" s="117"/>
      <c r="ED45" s="117"/>
      <c r="EE45" s="117"/>
      <c r="EF45" s="118"/>
      <c r="EG45" s="119"/>
      <c r="EH45" s="117"/>
      <c r="EI45" s="117"/>
      <c r="EJ45" s="117"/>
      <c r="EL45" s="116"/>
      <c r="EM45" s="428"/>
      <c r="EO45" s="117"/>
      <c r="EP45" s="334" t="s">
        <v>788</v>
      </c>
      <c r="EQ45" s="117"/>
      <c r="ER45" s="117"/>
      <c r="ES45" s="117"/>
      <c r="ET45" s="117"/>
      <c r="EU45" s="117"/>
      <c r="EV45" s="117"/>
      <c r="EW45" s="117"/>
      <c r="EX45" s="117"/>
      <c r="EY45" s="117"/>
      <c r="EZ45" s="117"/>
      <c r="FA45" s="117"/>
      <c r="FB45" s="117"/>
      <c r="FC45" s="117"/>
      <c r="FD45" s="117"/>
      <c r="FE45" s="117"/>
      <c r="FF45" s="117"/>
      <c r="FG45" s="117"/>
      <c r="FH45" s="117"/>
      <c r="FI45" s="117"/>
      <c r="FJ45" s="101"/>
      <c r="FK45" s="117"/>
      <c r="FL45" s="117"/>
      <c r="FM45" s="117"/>
      <c r="FN45" s="117"/>
      <c r="FO45" s="117"/>
      <c r="FP45" s="491"/>
      <c r="FQ45" s="491"/>
      <c r="FR45" s="491"/>
      <c r="FS45" s="117"/>
      <c r="FT45" s="117"/>
      <c r="FU45" s="117"/>
      <c r="FV45" s="117"/>
      <c r="FW45" s="117"/>
      <c r="FX45" s="117"/>
      <c r="FY45" s="117"/>
      <c r="FZ45" s="117"/>
      <c r="GA45" s="117"/>
      <c r="GB45" s="117"/>
      <c r="GC45" s="117"/>
      <c r="GD45" s="491"/>
      <c r="GE45" s="491"/>
      <c r="GF45" s="117"/>
      <c r="GG45" s="117"/>
      <c r="GH45" s="117"/>
      <c r="GI45" s="491"/>
      <c r="GJ45" s="491"/>
      <c r="GK45" s="117"/>
      <c r="GL45" s="117"/>
      <c r="GM45" s="117"/>
      <c r="GN45" s="117"/>
      <c r="GO45" s="117"/>
      <c r="GP45" s="117"/>
      <c r="GQ45" s="117"/>
      <c r="GR45" s="117"/>
      <c r="GS45" s="117"/>
      <c r="GU45" s="552"/>
      <c r="GW45" s="117"/>
      <c r="GX45" s="117"/>
      <c r="GY45" s="227"/>
      <c r="GZ45" s="552"/>
      <c r="HA45" s="117"/>
      <c r="HB45" s="117"/>
      <c r="HC45" s="117"/>
      <c r="HD45" s="117"/>
      <c r="HE45" s="117"/>
      <c r="HF45" s="117"/>
      <c r="HG45" s="117"/>
      <c r="HH45" s="117"/>
      <c r="HI45" s="117"/>
      <c r="HJ45" s="117"/>
      <c r="HK45" s="117"/>
      <c r="HL45" s="117"/>
      <c r="HM45" s="117"/>
      <c r="HN45" s="117"/>
      <c r="HO45" s="117"/>
      <c r="HP45" s="117"/>
      <c r="HQ45" s="117"/>
      <c r="HR45" s="117"/>
      <c r="HS45" s="117"/>
      <c r="HT45" s="117"/>
      <c r="HU45" s="117"/>
      <c r="HV45" s="117"/>
      <c r="HW45" s="117"/>
      <c r="HX45" s="117"/>
      <c r="HY45" s="117"/>
      <c r="HZ45" s="117"/>
      <c r="IA45" s="117"/>
      <c r="IB45" s="117"/>
      <c r="IC45" s="117"/>
      <c r="ID45" s="117"/>
      <c r="IE45" s="117"/>
      <c r="IF45" s="117"/>
      <c r="IG45" s="491"/>
      <c r="IH45" s="491"/>
      <c r="II45" s="117"/>
      <c r="IJ45" s="117"/>
      <c r="IK45" s="117"/>
      <c r="IL45" s="117"/>
      <c r="IM45" s="117"/>
      <c r="IN45" s="117"/>
      <c r="IO45" s="117"/>
      <c r="IP45" s="117"/>
      <c r="IQ45" s="117"/>
      <c r="IR45" s="117"/>
      <c r="IS45" s="117"/>
      <c r="IT45" s="117"/>
      <c r="IU45" s="117"/>
      <c r="IV45" s="117"/>
      <c r="IW45" s="117"/>
      <c r="IX45" s="117"/>
      <c r="IY45" s="117"/>
      <c r="IZ45" s="117"/>
      <c r="JA45" s="117"/>
      <c r="JB45" s="117"/>
      <c r="JC45" s="117"/>
      <c r="JD45" s="117"/>
      <c r="JE45" s="117"/>
      <c r="JF45" s="117"/>
      <c r="JG45" s="117"/>
      <c r="JH45" s="117"/>
      <c r="JI45" s="117"/>
      <c r="JJ45" s="117"/>
      <c r="JK45" s="117"/>
      <c r="JL45" s="117"/>
      <c r="JM45" s="117"/>
      <c r="JN45" s="117"/>
      <c r="JO45" s="117"/>
      <c r="JP45" s="491"/>
      <c r="JQ45" s="491"/>
      <c r="JR45" s="117"/>
      <c r="JS45" s="117"/>
      <c r="JT45" s="117"/>
      <c r="JU45" s="117"/>
      <c r="JV45" s="117"/>
      <c r="JW45" s="117"/>
      <c r="JX45" s="117"/>
      <c r="JY45" s="491"/>
      <c r="JZ45" s="491"/>
      <c r="KA45" s="491"/>
      <c r="KB45" s="117"/>
      <c r="KC45" s="227"/>
      <c r="KD45" s="117"/>
      <c r="KE45" s="117"/>
      <c r="KF45" s="117"/>
      <c r="KG45" s="117"/>
      <c r="KH45" s="117"/>
      <c r="KI45" s="117"/>
      <c r="KJ45" s="117"/>
      <c r="KK45" s="117"/>
      <c r="KL45" s="117"/>
      <c r="KM45" s="117"/>
      <c r="KN45" s="117"/>
      <c r="KO45" s="117"/>
      <c r="KP45" s="491"/>
      <c r="KQ45" s="491"/>
      <c r="KR45" s="117"/>
      <c r="KS45" s="117"/>
      <c r="KT45" s="117"/>
      <c r="KU45" s="117"/>
      <c r="KV45" s="117"/>
      <c r="KW45" s="117"/>
      <c r="KX45" s="117"/>
      <c r="KY45" s="117"/>
      <c r="KZ45" s="117"/>
      <c r="LA45" s="117"/>
      <c r="LB45" s="117"/>
      <c r="LC45" s="117"/>
      <c r="LD45" s="117"/>
      <c r="LE45" s="491"/>
      <c r="LF45" s="117"/>
      <c r="LG45" s="117"/>
      <c r="LH45" s="117"/>
      <c r="LI45" s="117"/>
      <c r="LJ45" s="117"/>
      <c r="LK45" s="117"/>
      <c r="LL45" s="117"/>
      <c r="LM45" s="117"/>
      <c r="LN45" s="117"/>
      <c r="LO45" s="117"/>
      <c r="LP45" s="117"/>
      <c r="LQ45" s="117"/>
      <c r="LR45" s="117"/>
      <c r="LS45" s="117"/>
      <c r="LT45" s="117"/>
    </row>
    <row r="46" spans="1:332" ht="24.95" customHeight="1">
      <c r="A46" s="985" t="s">
        <v>34</v>
      </c>
      <c r="B46" s="129" t="s">
        <v>172</v>
      </c>
      <c r="C46" s="203">
        <v>1</v>
      </c>
      <c r="D46" s="203"/>
      <c r="E46" s="226" t="e">
        <f t="shared" ref="E46:E67" si="5">N46/D46</f>
        <v>#DIV/0!</v>
      </c>
      <c r="F46" s="203"/>
      <c r="G46" s="129"/>
      <c r="H46" s="129"/>
      <c r="I46" s="129"/>
      <c r="J46" s="129"/>
      <c r="K46" s="129"/>
      <c r="L46" s="129"/>
      <c r="M46" s="129"/>
      <c r="N46" s="354"/>
      <c r="O46" s="187"/>
      <c r="P46" s="100"/>
      <c r="Q46" s="101"/>
      <c r="R46" s="101"/>
      <c r="S46" s="101"/>
      <c r="T46" s="103"/>
      <c r="U46" s="105" t="s">
        <v>437</v>
      </c>
      <c r="V46" s="106" t="s">
        <v>437</v>
      </c>
      <c r="W46" s="106" t="s">
        <v>437</v>
      </c>
      <c r="X46" s="106" t="s">
        <v>437</v>
      </c>
      <c r="Y46" s="107" t="s">
        <v>437</v>
      </c>
      <c r="Z46" s="102"/>
      <c r="AA46" s="101"/>
      <c r="AB46" s="101"/>
      <c r="AC46" s="101"/>
      <c r="AD46" s="98"/>
      <c r="AE46" s="281" t="s">
        <v>437</v>
      </c>
      <c r="AF46" s="106" t="s">
        <v>437</v>
      </c>
      <c r="AG46" s="106" t="s">
        <v>437</v>
      </c>
      <c r="AH46" s="106" t="s">
        <v>437</v>
      </c>
      <c r="AI46" s="106" t="s">
        <v>437</v>
      </c>
      <c r="AJ46" s="100"/>
      <c r="AK46" s="101"/>
      <c r="AL46" s="101"/>
      <c r="AM46" s="101"/>
      <c r="AN46" s="98"/>
      <c r="AO46" s="100"/>
      <c r="AP46" s="101"/>
      <c r="AQ46" s="101"/>
      <c r="AR46" s="101"/>
      <c r="AS46" s="98"/>
      <c r="AT46" s="100"/>
      <c r="AU46" s="101"/>
      <c r="AV46" s="101"/>
      <c r="AW46" s="101"/>
      <c r="AX46" s="103" t="s">
        <v>244</v>
      </c>
      <c r="AY46" s="100"/>
      <c r="AZ46" s="101"/>
      <c r="BA46" s="101"/>
      <c r="BB46" s="101"/>
      <c r="BC46" s="98"/>
      <c r="BD46" s="102"/>
      <c r="BE46" s="104"/>
      <c r="BF46" s="104"/>
      <c r="BG46" s="104"/>
      <c r="BH46" s="104"/>
      <c r="BI46" s="392"/>
      <c r="BJ46" s="102"/>
      <c r="BK46" s="101"/>
      <c r="BL46" s="101"/>
      <c r="BM46" s="101" t="s">
        <v>244</v>
      </c>
      <c r="BN46" s="103" t="s">
        <v>244</v>
      </c>
      <c r="BO46" s="100"/>
      <c r="BP46" s="101"/>
      <c r="BQ46" s="101"/>
      <c r="BR46" s="101"/>
      <c r="BS46" s="98"/>
      <c r="BT46" s="100"/>
      <c r="BU46" s="101"/>
      <c r="BV46" s="101"/>
      <c r="BW46" s="101"/>
      <c r="BX46" s="98"/>
      <c r="BY46" s="102"/>
      <c r="BZ46" s="101"/>
      <c r="CA46" s="101"/>
      <c r="CB46" s="101"/>
      <c r="CC46" s="98"/>
      <c r="CD46" s="102"/>
      <c r="CE46" s="101"/>
      <c r="CF46" s="101"/>
      <c r="CG46" s="101"/>
      <c r="CH46" s="98"/>
      <c r="CI46" s="100"/>
      <c r="CJ46" s="101"/>
      <c r="CK46" s="101"/>
      <c r="CL46" s="101"/>
      <c r="CM46" s="98"/>
      <c r="CN46" s="100"/>
      <c r="CO46" s="101"/>
      <c r="CP46" s="101"/>
      <c r="CQ46" s="101"/>
      <c r="CR46" s="98"/>
      <c r="CS46" s="100"/>
      <c r="CT46" s="101"/>
      <c r="CU46" s="101"/>
      <c r="CV46" s="101"/>
      <c r="CW46" s="98"/>
      <c r="CX46" s="102"/>
      <c r="CY46" s="101"/>
      <c r="CZ46" s="101"/>
      <c r="DA46" s="101"/>
      <c r="DB46" s="98"/>
      <c r="DC46" s="489"/>
      <c r="DD46" s="101"/>
      <c r="DE46" s="101"/>
      <c r="DF46" s="101"/>
      <c r="DG46" s="98"/>
      <c r="DH46" s="100"/>
      <c r="DI46" s="101"/>
      <c r="DJ46" s="101"/>
      <c r="DK46" s="101"/>
      <c r="DL46" s="98"/>
      <c r="DM46" s="100"/>
      <c r="DN46" s="101"/>
      <c r="DO46" s="101"/>
      <c r="DP46" s="101"/>
      <c r="DQ46" s="103"/>
      <c r="DR46" s="116"/>
      <c r="DS46" s="117"/>
      <c r="DT46" s="117"/>
      <c r="DU46" s="117"/>
      <c r="DV46" s="227"/>
      <c r="DW46" s="116"/>
      <c r="DX46" s="117"/>
      <c r="DY46" s="117"/>
      <c r="DZ46" s="117"/>
      <c r="EA46" s="227"/>
      <c r="EB46" s="489"/>
      <c r="EC46" s="117"/>
      <c r="ED46" s="117"/>
      <c r="EE46" s="117"/>
      <c r="EF46" s="118"/>
      <c r="EG46" s="119"/>
      <c r="EH46" s="117"/>
      <c r="EI46" s="117"/>
      <c r="EJ46" s="117"/>
      <c r="EK46" s="118"/>
      <c r="EL46" s="116"/>
      <c r="EM46" s="117"/>
      <c r="EN46" s="117"/>
      <c r="EO46" s="117"/>
      <c r="EP46" s="227"/>
      <c r="EQ46" s="117"/>
      <c r="ER46" s="117"/>
      <c r="ES46" s="117"/>
      <c r="ET46" s="117"/>
      <c r="EU46" s="117"/>
      <c r="EV46" s="117"/>
      <c r="EW46" s="117"/>
      <c r="EX46" s="117"/>
      <c r="EY46" s="117"/>
      <c r="EZ46" s="117"/>
      <c r="FA46" s="117"/>
      <c r="FB46" s="117"/>
      <c r="FC46" s="117"/>
      <c r="FD46" s="117"/>
      <c r="FE46" s="117"/>
      <c r="FF46" s="117"/>
      <c r="FG46" s="117"/>
      <c r="FH46" s="117"/>
      <c r="FI46" s="117"/>
      <c r="FJ46" s="101"/>
      <c r="FK46" s="117"/>
      <c r="FL46" s="117"/>
      <c r="FM46" s="117"/>
      <c r="FN46" s="117"/>
      <c r="FO46" s="117"/>
      <c r="FP46" s="491"/>
      <c r="FQ46" s="491"/>
      <c r="FR46" s="491"/>
      <c r="FS46" s="117"/>
      <c r="FT46" s="117"/>
      <c r="FU46" s="117"/>
      <c r="FV46" s="117"/>
      <c r="FW46" s="117"/>
      <c r="FX46" s="117"/>
      <c r="FY46" s="117"/>
      <c r="FZ46" s="117"/>
      <c r="GA46" s="117"/>
      <c r="GB46" s="117"/>
      <c r="GC46" s="117"/>
      <c r="GD46" s="491"/>
      <c r="GE46" s="491"/>
      <c r="GF46" s="117"/>
      <c r="GG46" s="117"/>
      <c r="GH46" s="117"/>
      <c r="GI46" s="491"/>
      <c r="GJ46" s="491"/>
      <c r="GK46" s="117"/>
      <c r="GL46" s="117"/>
      <c r="GM46" s="117"/>
      <c r="GN46" s="117"/>
      <c r="GO46" s="117"/>
      <c r="GP46" s="117"/>
      <c r="GQ46" s="117"/>
      <c r="GR46" s="117"/>
      <c r="GS46" s="117"/>
      <c r="GT46" s="117"/>
      <c r="GU46" s="117"/>
      <c r="GV46" s="117"/>
      <c r="GW46" s="117"/>
      <c r="GX46" s="117"/>
      <c r="GY46" s="227"/>
      <c r="GZ46" s="117"/>
      <c r="HA46" s="117"/>
      <c r="HB46" s="117"/>
      <c r="HC46" s="117"/>
      <c r="HD46" s="117"/>
      <c r="HE46" s="117"/>
      <c r="HF46" s="117"/>
      <c r="HG46" s="117"/>
      <c r="HH46" s="117"/>
      <c r="HI46" s="117"/>
      <c r="HJ46" s="117"/>
      <c r="HK46" s="117"/>
      <c r="HL46" s="117"/>
      <c r="HM46" s="117"/>
      <c r="HN46" s="117"/>
      <c r="HO46" s="117"/>
      <c r="HP46" s="117"/>
      <c r="HQ46" s="117"/>
      <c r="HR46" s="117"/>
      <c r="HS46" s="117"/>
      <c r="HT46" s="117"/>
      <c r="HU46" s="117"/>
      <c r="HV46" s="117"/>
      <c r="HW46" s="117"/>
      <c r="HX46" s="117"/>
      <c r="HY46" s="117"/>
      <c r="HZ46" s="117"/>
      <c r="IA46" s="117"/>
      <c r="IB46" s="117"/>
      <c r="IC46" s="117"/>
      <c r="ID46" s="117"/>
      <c r="IE46" s="117"/>
      <c r="IF46" s="117"/>
      <c r="IG46" s="491"/>
      <c r="IH46" s="491"/>
      <c r="II46" s="117"/>
      <c r="IJ46" s="117"/>
      <c r="IK46" s="117"/>
      <c r="IL46" s="117"/>
      <c r="IM46" s="117"/>
      <c r="IN46" s="117"/>
      <c r="IO46" s="117"/>
      <c r="IP46" s="117"/>
      <c r="IQ46" s="117"/>
      <c r="IR46" s="117"/>
      <c r="IS46" s="117"/>
      <c r="IT46" s="117"/>
      <c r="IU46" s="117"/>
      <c r="IV46" s="117"/>
      <c r="IW46" s="117"/>
      <c r="IX46" s="117"/>
      <c r="IY46" s="117"/>
      <c r="IZ46" s="117"/>
      <c r="JA46" s="117"/>
      <c r="JB46" s="117"/>
      <c r="JC46" s="117"/>
      <c r="JD46" s="117"/>
      <c r="JE46" s="117"/>
      <c r="JF46" s="117"/>
      <c r="JG46" s="117"/>
      <c r="JH46" s="117"/>
      <c r="JI46" s="117"/>
      <c r="JJ46" s="117"/>
      <c r="JK46" s="117"/>
      <c r="JL46" s="117"/>
      <c r="JM46" s="117"/>
      <c r="JN46" s="117"/>
      <c r="JO46" s="117"/>
      <c r="JP46" s="491"/>
      <c r="JQ46" s="491"/>
      <c r="JR46" s="117"/>
      <c r="JS46" s="117"/>
      <c r="JT46" s="117"/>
      <c r="JU46" s="117"/>
      <c r="JV46" s="117"/>
      <c r="JW46" s="117"/>
      <c r="JX46" s="117"/>
      <c r="JY46" s="491"/>
      <c r="JZ46" s="491"/>
      <c r="KA46" s="491"/>
      <c r="KB46" s="117"/>
      <c r="KC46" s="227"/>
      <c r="KD46" s="117"/>
      <c r="KE46" s="117"/>
      <c r="KF46" s="117"/>
      <c r="KG46" s="117"/>
      <c r="KH46" s="117"/>
      <c r="KI46" s="117"/>
      <c r="KJ46" s="117"/>
      <c r="KK46" s="117"/>
      <c r="KL46" s="117"/>
      <c r="KM46" s="117"/>
      <c r="KN46" s="117"/>
      <c r="KO46" s="117"/>
      <c r="KP46" s="491"/>
      <c r="KQ46" s="491"/>
      <c r="KR46" s="117"/>
      <c r="KS46" s="117"/>
      <c r="KT46" s="117"/>
      <c r="KU46" s="117"/>
      <c r="KV46" s="117"/>
      <c r="KW46" s="117"/>
      <c r="KX46" s="117"/>
      <c r="KY46" s="117"/>
      <c r="KZ46" s="117"/>
      <c r="LA46" s="117"/>
      <c r="LB46" s="117"/>
      <c r="LC46" s="117"/>
      <c r="LD46" s="117"/>
      <c r="LE46" s="491"/>
      <c r="LF46" s="117"/>
      <c r="LG46" s="117"/>
      <c r="LH46" s="117"/>
      <c r="LI46" s="117"/>
      <c r="LJ46" s="117"/>
      <c r="LK46" s="117"/>
      <c r="LL46" s="117"/>
      <c r="LM46" s="117"/>
      <c r="LN46" s="117"/>
      <c r="LO46" s="117"/>
      <c r="LP46" s="117"/>
      <c r="LQ46" s="117"/>
      <c r="LR46" s="117"/>
      <c r="LS46" s="117"/>
      <c r="LT46" s="117"/>
    </row>
    <row r="47" spans="1:332" ht="24.95" customHeight="1">
      <c r="A47" s="985"/>
      <c r="B47" s="205" t="s">
        <v>604</v>
      </c>
      <c r="C47" s="203">
        <v>1</v>
      </c>
      <c r="D47" s="203">
        <v>90</v>
      </c>
      <c r="E47" s="226">
        <f t="shared" si="5"/>
        <v>4.4444444444444446</v>
      </c>
      <c r="F47" s="773">
        <f>400</f>
        <v>400</v>
      </c>
      <c r="G47" s="129"/>
      <c r="H47" s="129"/>
      <c r="I47" s="129"/>
      <c r="J47" s="129"/>
      <c r="K47" s="129"/>
      <c r="L47" s="129"/>
      <c r="M47" s="129"/>
      <c r="N47" s="482">
        <f>SUM(F47:M47)</f>
        <v>400</v>
      </c>
      <c r="O47" s="187"/>
      <c r="P47" s="100"/>
      <c r="Q47" s="101"/>
      <c r="R47" s="101"/>
      <c r="S47" s="101"/>
      <c r="T47" s="103"/>
      <c r="U47" s="105" t="s">
        <v>437</v>
      </c>
      <c r="V47" s="106" t="s">
        <v>437</v>
      </c>
      <c r="W47" s="106" t="s">
        <v>437</v>
      </c>
      <c r="X47" s="106" t="s">
        <v>437</v>
      </c>
      <c r="Y47" s="107" t="s">
        <v>437</v>
      </c>
      <c r="Z47" s="102"/>
      <c r="AA47" s="101"/>
      <c r="AB47" s="101"/>
      <c r="AC47" s="101"/>
      <c r="AD47" s="98"/>
      <c r="AE47" s="281" t="s">
        <v>437</v>
      </c>
      <c r="AF47" s="106" t="s">
        <v>437</v>
      </c>
      <c r="AG47" s="106" t="s">
        <v>437</v>
      </c>
      <c r="AH47" s="106" t="s">
        <v>437</v>
      </c>
      <c r="AI47" s="106" t="s">
        <v>437</v>
      </c>
      <c r="AJ47" s="100"/>
      <c r="AK47" s="101"/>
      <c r="AL47" s="101"/>
      <c r="AM47" s="101"/>
      <c r="AN47" s="98"/>
      <c r="AO47" s="100"/>
      <c r="AP47" s="101"/>
      <c r="AQ47" s="101"/>
      <c r="AR47" s="101"/>
      <c r="AS47" s="98"/>
      <c r="AT47" s="100"/>
      <c r="AU47" s="101"/>
      <c r="AV47" s="101"/>
      <c r="AW47" s="101"/>
      <c r="AX47" s="103" t="s">
        <v>244</v>
      </c>
      <c r="AY47" s="100"/>
      <c r="AZ47" s="101"/>
      <c r="BA47" s="101"/>
      <c r="BB47" s="101"/>
      <c r="BC47" s="98"/>
      <c r="BD47" s="102"/>
      <c r="BE47" s="104"/>
      <c r="BF47" s="104"/>
      <c r="BG47" s="104"/>
      <c r="BH47" s="104"/>
      <c r="BI47" s="392"/>
      <c r="BJ47" s="102"/>
      <c r="BK47" s="101"/>
      <c r="BL47" s="101"/>
      <c r="BM47" s="101" t="s">
        <v>244</v>
      </c>
      <c r="BN47" s="103" t="s">
        <v>244</v>
      </c>
      <c r="BO47" s="100"/>
      <c r="BP47" s="101"/>
      <c r="BQ47" s="101"/>
      <c r="BR47" s="101"/>
      <c r="BS47" s="98"/>
      <c r="BT47" s="100"/>
      <c r="BU47" s="101"/>
      <c r="BV47" s="101"/>
      <c r="BW47" s="101"/>
      <c r="BX47" s="98"/>
      <c r="BY47" s="102"/>
      <c r="BZ47" s="101"/>
      <c r="CA47" s="101"/>
      <c r="CB47" s="101"/>
      <c r="CC47" s="98"/>
      <c r="CD47" s="102"/>
      <c r="CE47" s="101"/>
      <c r="CF47" s="101"/>
      <c r="CG47" s="101"/>
      <c r="CH47" s="98"/>
      <c r="CI47" s="100"/>
      <c r="CJ47" s="101"/>
      <c r="CK47" s="101"/>
      <c r="CL47" s="101"/>
      <c r="CM47" s="98"/>
      <c r="CN47" s="100"/>
      <c r="CO47" s="101"/>
      <c r="CP47" s="101"/>
      <c r="CQ47" s="101"/>
      <c r="CR47" s="98"/>
      <c r="CS47" s="100"/>
      <c r="CT47" s="101"/>
      <c r="CU47" s="101"/>
      <c r="CV47" s="101"/>
      <c r="CW47" s="98"/>
      <c r="CX47" s="102"/>
      <c r="CY47" s="101"/>
      <c r="CZ47" s="101"/>
      <c r="DA47" s="101"/>
      <c r="DB47" s="98"/>
      <c r="DC47" s="489"/>
      <c r="DD47" s="101"/>
      <c r="DE47" s="243"/>
      <c r="DF47" s="400"/>
      <c r="DH47" s="100"/>
      <c r="DI47" s="101"/>
      <c r="DJ47" s="101"/>
      <c r="DK47" s="101"/>
      <c r="DL47" s="98"/>
      <c r="DM47" s="100"/>
      <c r="DN47" s="101"/>
      <c r="DO47" s="101"/>
      <c r="DP47" s="101"/>
      <c r="DQ47" s="103"/>
      <c r="DR47" s="116"/>
      <c r="DS47" s="117"/>
      <c r="DT47" s="117"/>
      <c r="DU47" s="117"/>
      <c r="DV47" s="227"/>
      <c r="DW47" s="116"/>
      <c r="DX47" s="117"/>
      <c r="DY47" s="117"/>
      <c r="DZ47" s="117"/>
      <c r="EA47" s="227"/>
      <c r="EB47" s="489"/>
      <c r="EC47" s="117"/>
      <c r="ED47" s="117"/>
      <c r="EE47" s="117"/>
      <c r="EF47" s="118"/>
      <c r="EG47" s="119"/>
      <c r="EH47" s="117"/>
      <c r="EI47" s="117"/>
      <c r="EJ47" s="117"/>
      <c r="EK47" s="118"/>
      <c r="EL47" s="116"/>
      <c r="EM47" s="117"/>
      <c r="EN47" s="117"/>
      <c r="EO47" s="117"/>
      <c r="EP47" s="227"/>
      <c r="EQ47" s="117"/>
      <c r="ER47" s="117"/>
      <c r="ES47" s="117"/>
      <c r="ET47" s="117"/>
      <c r="EU47" s="117"/>
      <c r="EV47" s="117"/>
      <c r="EW47" s="117"/>
      <c r="EX47" s="117"/>
      <c r="EY47" s="117"/>
      <c r="EZ47" s="117"/>
      <c r="FA47" s="117"/>
      <c r="FB47" s="117"/>
      <c r="FC47" s="117"/>
      <c r="FD47" s="117"/>
      <c r="FE47" s="334" t="s">
        <v>788</v>
      </c>
      <c r="FF47" s="117"/>
      <c r="FG47" s="117"/>
      <c r="FH47" s="117"/>
      <c r="FI47" s="117"/>
      <c r="FJ47" s="101"/>
      <c r="FK47" s="117"/>
      <c r="FL47" s="117"/>
      <c r="FM47" s="117"/>
      <c r="FN47" s="117"/>
      <c r="FO47" s="117"/>
      <c r="FP47" s="491"/>
      <c r="FQ47" s="491"/>
      <c r="FR47" s="491"/>
      <c r="FS47" s="117"/>
      <c r="FT47" s="117"/>
      <c r="FU47" s="117"/>
      <c r="FX47" s="756"/>
      <c r="FY47" s="756"/>
      <c r="FZ47" s="756"/>
      <c r="GA47" s="756"/>
      <c r="GB47" s="756" t="s">
        <v>256</v>
      </c>
      <c r="GC47" s="117"/>
      <c r="GD47" s="491"/>
      <c r="GE47" s="491"/>
      <c r="GF47" s="117"/>
      <c r="GG47" s="117"/>
      <c r="GH47" s="117"/>
      <c r="GI47" s="491"/>
      <c r="GJ47" s="491"/>
      <c r="GK47" s="552" t="s">
        <v>924</v>
      </c>
      <c r="GL47" s="552" t="s">
        <v>924</v>
      </c>
      <c r="GM47" s="552" t="s">
        <v>924</v>
      </c>
      <c r="GN47" s="117"/>
      <c r="GO47" s="117"/>
      <c r="GP47" s="117"/>
      <c r="GQ47" s="117"/>
      <c r="GR47" s="117"/>
      <c r="GS47" s="117"/>
      <c r="GT47" s="117"/>
      <c r="GU47" s="117"/>
      <c r="GV47" s="117"/>
      <c r="GW47" s="117"/>
      <c r="GX47" s="117"/>
      <c r="GY47" s="227"/>
      <c r="GZ47" s="117"/>
      <c r="HA47" s="117"/>
      <c r="HB47" s="117"/>
      <c r="HC47" s="117"/>
      <c r="HD47" s="117"/>
      <c r="HE47" s="117"/>
      <c r="HF47" s="117"/>
      <c r="HG47" s="117"/>
      <c r="HH47" s="117"/>
      <c r="HI47" s="117"/>
      <c r="HJ47" s="117"/>
      <c r="HK47" s="117"/>
      <c r="HL47" s="117"/>
      <c r="HM47" s="117"/>
      <c r="HN47" s="117"/>
      <c r="HO47" s="117"/>
      <c r="HP47" s="117"/>
      <c r="HQ47" s="117"/>
      <c r="HR47" s="117"/>
      <c r="HS47" s="117"/>
      <c r="HT47" s="117"/>
      <c r="HU47" s="117"/>
      <c r="HV47" s="117"/>
      <c r="HW47" s="117"/>
      <c r="HX47" s="117"/>
      <c r="HY47" s="117"/>
      <c r="HZ47" s="117"/>
      <c r="IA47" s="117"/>
      <c r="IB47" s="117"/>
      <c r="IC47" s="117"/>
      <c r="ID47" s="117"/>
      <c r="IE47" s="117"/>
      <c r="IF47" s="117"/>
      <c r="IG47" s="491"/>
      <c r="IH47" s="491"/>
      <c r="II47" s="117"/>
      <c r="IJ47" s="117"/>
      <c r="IK47" s="117"/>
      <c r="IL47" s="117"/>
      <c r="IM47" s="117"/>
      <c r="IN47" s="117"/>
      <c r="IO47" s="117"/>
      <c r="IP47" s="117"/>
      <c r="IQ47" s="117"/>
      <c r="IR47" s="117"/>
      <c r="IS47" s="117"/>
      <c r="IT47" s="117"/>
      <c r="IU47" s="117"/>
      <c r="IV47" s="117"/>
      <c r="IW47" s="117"/>
      <c r="IX47" s="117"/>
      <c r="IY47" s="117"/>
      <c r="IZ47" s="117"/>
      <c r="JA47" s="117"/>
      <c r="JB47" s="117"/>
      <c r="JC47" s="117"/>
      <c r="JD47" s="117"/>
      <c r="JE47" s="117"/>
      <c r="JF47" s="117"/>
      <c r="JG47" s="117"/>
      <c r="JH47" s="117"/>
      <c r="JI47" s="117"/>
      <c r="JJ47" s="117"/>
      <c r="JK47" s="117"/>
      <c r="JL47" s="117"/>
      <c r="JM47" s="117"/>
      <c r="JN47" s="117"/>
      <c r="JO47" s="117"/>
      <c r="JP47" s="491"/>
      <c r="JQ47" s="491"/>
      <c r="JR47" s="117"/>
      <c r="JS47" s="117"/>
      <c r="JT47" s="117"/>
      <c r="JU47" s="117"/>
      <c r="JV47" s="117"/>
      <c r="JW47" s="117"/>
      <c r="JX47" s="117"/>
      <c r="JY47" s="491"/>
      <c r="JZ47" s="491"/>
      <c r="KA47" s="491"/>
      <c r="KB47" s="117"/>
      <c r="KC47" s="227"/>
      <c r="KD47" s="117"/>
      <c r="KE47" s="117"/>
      <c r="KF47" s="117"/>
      <c r="KG47" s="117"/>
      <c r="KH47" s="117"/>
      <c r="KI47" s="117"/>
      <c r="KJ47" s="117"/>
      <c r="KK47" s="117"/>
      <c r="KL47" s="117"/>
      <c r="KM47" s="117"/>
      <c r="KN47" s="117"/>
      <c r="KO47" s="117"/>
      <c r="KP47" s="491"/>
      <c r="KQ47" s="491"/>
      <c r="KR47" s="117"/>
      <c r="KS47" s="117"/>
      <c r="KT47" s="117"/>
      <c r="KU47" s="117"/>
      <c r="KV47" s="117"/>
      <c r="KW47" s="117"/>
      <c r="KX47" s="117"/>
      <c r="KY47" s="117"/>
      <c r="KZ47" s="117"/>
      <c r="LA47" s="117"/>
      <c r="LB47" s="117"/>
      <c r="LC47" s="117"/>
      <c r="LD47" s="117"/>
      <c r="LE47" s="491"/>
      <c r="LF47" s="117"/>
      <c r="LG47" s="117"/>
      <c r="LH47" s="117"/>
      <c r="LI47" s="117"/>
      <c r="LJ47" s="117"/>
      <c r="LK47" s="117"/>
      <c r="LL47" s="117"/>
      <c r="LM47" s="117"/>
      <c r="LN47" s="117"/>
      <c r="LO47" s="117"/>
      <c r="LP47" s="117"/>
      <c r="LQ47" s="117"/>
      <c r="LR47" s="117"/>
      <c r="LS47" s="117"/>
      <c r="LT47" s="117"/>
    </row>
    <row r="48" spans="1:332" ht="24.95" customHeight="1">
      <c r="A48" s="985"/>
      <c r="B48" s="205" t="s">
        <v>173</v>
      </c>
      <c r="C48" s="203">
        <v>1</v>
      </c>
      <c r="D48" s="203"/>
      <c r="E48" s="226" t="e">
        <f t="shared" si="5"/>
        <v>#DIV/0!</v>
      </c>
      <c r="F48" s="203"/>
      <c r="G48" s="129"/>
      <c r="H48" s="129"/>
      <c r="I48" s="129"/>
      <c r="J48" s="129"/>
      <c r="K48" s="129"/>
      <c r="L48" s="129"/>
      <c r="M48" s="129"/>
      <c r="N48" s="354"/>
      <c r="O48" s="187"/>
      <c r="P48" s="100"/>
      <c r="Q48" s="101"/>
      <c r="R48" s="101"/>
      <c r="S48" s="101"/>
      <c r="T48" s="103"/>
      <c r="U48" s="105" t="s">
        <v>437</v>
      </c>
      <c r="V48" s="106" t="s">
        <v>437</v>
      </c>
      <c r="W48" s="106" t="s">
        <v>437</v>
      </c>
      <c r="X48" s="106" t="s">
        <v>437</v>
      </c>
      <c r="Y48" s="107" t="s">
        <v>437</v>
      </c>
      <c r="Z48" s="102"/>
      <c r="AA48" s="101"/>
      <c r="AB48" s="101"/>
      <c r="AC48" s="101"/>
      <c r="AD48" s="98"/>
      <c r="AE48" s="281" t="s">
        <v>437</v>
      </c>
      <c r="AF48" s="106" t="s">
        <v>437</v>
      </c>
      <c r="AG48" s="106" t="s">
        <v>437</v>
      </c>
      <c r="AH48" s="106" t="s">
        <v>437</v>
      </c>
      <c r="AI48" s="106" t="s">
        <v>437</v>
      </c>
      <c r="AJ48" s="100"/>
      <c r="AK48" s="101"/>
      <c r="AL48" s="101"/>
      <c r="AM48" s="101"/>
      <c r="AN48" s="98"/>
      <c r="AO48" s="100"/>
      <c r="AP48" s="101"/>
      <c r="AQ48" s="101"/>
      <c r="AR48" s="101"/>
      <c r="AS48" s="98"/>
      <c r="AT48" s="100"/>
      <c r="AU48" s="101"/>
      <c r="AV48" s="101"/>
      <c r="AW48" s="101"/>
      <c r="AX48" s="103" t="s">
        <v>244</v>
      </c>
      <c r="AY48" s="100"/>
      <c r="AZ48" s="101"/>
      <c r="BA48" s="101"/>
      <c r="BB48" s="101"/>
      <c r="BC48" s="98"/>
      <c r="BD48" s="102"/>
      <c r="BE48" s="104"/>
      <c r="BF48" s="104"/>
      <c r="BG48" s="104"/>
      <c r="BH48" s="104"/>
      <c r="BI48" s="392"/>
      <c r="BJ48" s="102"/>
      <c r="BK48" s="101"/>
      <c r="BL48" s="101"/>
      <c r="BM48" s="101" t="s">
        <v>244</v>
      </c>
      <c r="BN48" s="103" t="s">
        <v>244</v>
      </c>
      <c r="BO48" s="100"/>
      <c r="BP48" s="101"/>
      <c r="BQ48" s="101"/>
      <c r="BR48" s="101"/>
      <c r="BS48" s="98"/>
      <c r="BT48" s="100"/>
      <c r="BU48" s="101"/>
      <c r="BV48" s="101"/>
      <c r="BW48" s="101"/>
      <c r="BX48" s="98"/>
      <c r="BY48" s="102"/>
      <c r="BZ48" s="101"/>
      <c r="CA48" s="101"/>
      <c r="CB48" s="101"/>
      <c r="CC48" s="98"/>
      <c r="CD48" s="102"/>
      <c r="CE48" s="101"/>
      <c r="CF48" s="101"/>
      <c r="CG48" s="101"/>
      <c r="CH48" s="98"/>
      <c r="CI48" s="100"/>
      <c r="CJ48" s="101"/>
      <c r="CK48" s="101"/>
      <c r="CL48" s="101"/>
      <c r="CM48" s="98"/>
      <c r="CN48" s="100"/>
      <c r="CO48" s="101"/>
      <c r="CP48" s="101"/>
      <c r="CQ48" s="101"/>
      <c r="CR48" s="98"/>
      <c r="CS48" s="100"/>
      <c r="CT48" s="101"/>
      <c r="CU48" s="101"/>
      <c r="CV48" s="101"/>
      <c r="CW48" s="98"/>
      <c r="CX48" s="102"/>
      <c r="CY48" s="101"/>
      <c r="CZ48" s="101"/>
      <c r="DA48" s="101"/>
      <c r="DB48" s="98"/>
      <c r="DC48" s="489"/>
      <c r="DD48" s="101"/>
      <c r="DE48" s="101"/>
      <c r="DF48" s="101"/>
      <c r="DG48" s="98"/>
      <c r="DH48" s="100"/>
      <c r="DI48" s="101"/>
      <c r="DJ48" s="101"/>
      <c r="DK48" s="101"/>
      <c r="DL48" s="98"/>
      <c r="DM48" s="100"/>
      <c r="DN48" s="101"/>
      <c r="DO48" s="101"/>
      <c r="DP48" s="101"/>
      <c r="DQ48" s="103"/>
      <c r="DR48" s="116"/>
      <c r="DS48" s="117"/>
      <c r="DT48" s="117"/>
      <c r="DU48" s="117"/>
      <c r="DV48" s="227"/>
      <c r="DW48" s="116"/>
      <c r="DX48" s="117"/>
      <c r="DY48" s="117"/>
      <c r="DZ48" s="117"/>
      <c r="EA48" s="227"/>
      <c r="EB48" s="489"/>
      <c r="EC48" s="117"/>
      <c r="ED48" s="117"/>
      <c r="EE48" s="117"/>
      <c r="EF48" s="118"/>
      <c r="EG48" s="119"/>
      <c r="EH48" s="117"/>
      <c r="EI48" s="117"/>
      <c r="EJ48" s="117"/>
      <c r="EK48" s="118"/>
      <c r="EL48" s="116"/>
      <c r="EM48" s="117"/>
      <c r="EN48" s="117"/>
      <c r="EO48" s="117"/>
      <c r="EP48" s="227"/>
      <c r="EQ48" s="117"/>
      <c r="ER48" s="117"/>
      <c r="ES48" s="117"/>
      <c r="ET48" s="117"/>
      <c r="EU48" s="117"/>
      <c r="EV48" s="117"/>
      <c r="EW48" s="117"/>
      <c r="EX48" s="117"/>
      <c r="EY48" s="117"/>
      <c r="EZ48" s="117"/>
      <c r="FA48" s="117"/>
      <c r="FB48" s="117"/>
      <c r="FC48" s="117"/>
      <c r="FD48" s="117"/>
      <c r="FE48" s="117"/>
      <c r="FF48" s="117"/>
      <c r="FG48" s="117"/>
      <c r="FH48" s="117"/>
      <c r="FI48" s="117"/>
      <c r="FJ48" s="101"/>
      <c r="FK48" s="117"/>
      <c r="FL48" s="117"/>
      <c r="FM48" s="117"/>
      <c r="FN48" s="117"/>
      <c r="FO48" s="117"/>
      <c r="FP48" s="491"/>
      <c r="FQ48" s="491"/>
      <c r="FR48" s="491"/>
      <c r="FS48" s="117"/>
      <c r="FT48" s="117"/>
      <c r="FU48" s="117"/>
      <c r="FV48" s="117"/>
      <c r="FW48" s="117"/>
      <c r="FX48" s="117"/>
      <c r="FY48" s="117"/>
      <c r="FZ48" s="117"/>
      <c r="GA48" s="117"/>
      <c r="GB48" s="117"/>
      <c r="GC48" s="117"/>
      <c r="GD48" s="491"/>
      <c r="GE48" s="491"/>
      <c r="GF48" s="117"/>
      <c r="GG48" s="117"/>
      <c r="GH48" s="117"/>
      <c r="GI48" s="491"/>
      <c r="GJ48" s="491"/>
      <c r="GK48" s="117"/>
      <c r="GL48" s="117"/>
      <c r="GM48" s="117"/>
      <c r="GN48" s="117"/>
      <c r="GO48" s="117"/>
      <c r="GP48" s="117"/>
      <c r="GQ48" s="117"/>
      <c r="GR48" s="117"/>
      <c r="GS48" s="117"/>
      <c r="GT48" s="117"/>
      <c r="GU48" s="117"/>
      <c r="GV48" s="117"/>
      <c r="GW48" s="117"/>
      <c r="GX48" s="117"/>
      <c r="GY48" s="227"/>
      <c r="GZ48" s="117"/>
      <c r="HA48" s="117"/>
      <c r="HB48" s="117"/>
      <c r="HC48" s="117"/>
      <c r="HD48" s="117"/>
      <c r="HE48" s="117"/>
      <c r="HF48" s="117"/>
      <c r="HG48" s="117"/>
      <c r="HH48" s="117"/>
      <c r="HI48" s="117"/>
      <c r="HJ48" s="117"/>
      <c r="HK48" s="117"/>
      <c r="HL48" s="117"/>
      <c r="HM48" s="117"/>
      <c r="HN48" s="117"/>
      <c r="HO48" s="117"/>
      <c r="HP48" s="117"/>
      <c r="HQ48" s="117"/>
      <c r="HR48" s="117"/>
      <c r="HS48" s="117"/>
      <c r="HT48" s="117"/>
      <c r="HU48" s="117"/>
      <c r="HV48" s="117"/>
      <c r="HW48" s="117"/>
      <c r="HX48" s="117"/>
      <c r="HY48" s="117"/>
      <c r="HZ48" s="117"/>
      <c r="IA48" s="117"/>
      <c r="IB48" s="117"/>
      <c r="IC48" s="117"/>
      <c r="ID48" s="117"/>
      <c r="IE48" s="117"/>
      <c r="IF48" s="117"/>
      <c r="IG48" s="491"/>
      <c r="IH48" s="491"/>
      <c r="II48" s="117"/>
      <c r="IJ48" s="117"/>
      <c r="IK48" s="117"/>
      <c r="IL48" s="117"/>
      <c r="IM48" s="117"/>
      <c r="IN48" s="117"/>
      <c r="IO48" s="117"/>
      <c r="IP48" s="117"/>
      <c r="IQ48" s="117"/>
      <c r="IR48" s="117"/>
      <c r="IS48" s="117"/>
      <c r="IT48" s="117"/>
      <c r="IU48" s="117"/>
      <c r="IV48" s="117"/>
      <c r="IW48" s="117"/>
      <c r="IX48" s="117"/>
      <c r="IY48" s="117"/>
      <c r="IZ48" s="117"/>
      <c r="JA48" s="117"/>
      <c r="JB48" s="117"/>
      <c r="JC48" s="117"/>
      <c r="JD48" s="117"/>
      <c r="JE48" s="117"/>
      <c r="JF48" s="117"/>
      <c r="JG48" s="117"/>
      <c r="JH48" s="117"/>
      <c r="JI48" s="117"/>
      <c r="JJ48" s="117"/>
      <c r="JK48" s="117"/>
      <c r="JL48" s="117"/>
      <c r="JM48" s="117"/>
      <c r="JN48" s="117"/>
      <c r="JO48" s="117"/>
      <c r="JP48" s="491"/>
      <c r="JQ48" s="491"/>
      <c r="JR48" s="117"/>
      <c r="JS48" s="117"/>
      <c r="JT48" s="117"/>
      <c r="JU48" s="117"/>
      <c r="JV48" s="117"/>
      <c r="JW48" s="117"/>
      <c r="JX48" s="117"/>
      <c r="JY48" s="491"/>
      <c r="JZ48" s="491"/>
      <c r="KA48" s="491"/>
      <c r="KB48" s="117"/>
      <c r="KC48" s="227"/>
      <c r="KD48" s="117"/>
      <c r="KE48" s="117"/>
      <c r="KF48" s="117"/>
      <c r="KG48" s="117"/>
      <c r="KH48" s="117"/>
      <c r="KI48" s="117"/>
      <c r="KJ48" s="117"/>
      <c r="KK48" s="117"/>
      <c r="KL48" s="117"/>
      <c r="KM48" s="117"/>
      <c r="KN48" s="117"/>
      <c r="KO48" s="117"/>
      <c r="KP48" s="491"/>
      <c r="KQ48" s="491"/>
      <c r="KR48" s="117"/>
      <c r="KS48" s="117"/>
      <c r="KT48" s="117"/>
      <c r="KU48" s="117"/>
      <c r="KV48" s="117"/>
      <c r="KW48" s="117"/>
      <c r="KX48" s="117"/>
      <c r="KY48" s="117"/>
      <c r="KZ48" s="117"/>
      <c r="LA48" s="117"/>
      <c r="LB48" s="117"/>
      <c r="LC48" s="117"/>
      <c r="LD48" s="117"/>
      <c r="LE48" s="491"/>
      <c r="LF48" s="117"/>
      <c r="LG48" s="117"/>
      <c r="LH48" s="117"/>
      <c r="LI48" s="117"/>
      <c r="LJ48" s="117"/>
      <c r="LK48" s="117"/>
      <c r="LL48" s="117"/>
      <c r="LM48" s="117"/>
      <c r="LN48" s="117"/>
      <c r="LO48" s="117"/>
      <c r="LP48" s="117"/>
      <c r="LQ48" s="117"/>
      <c r="LR48" s="117"/>
      <c r="LS48" s="117"/>
      <c r="LT48" s="117"/>
    </row>
    <row r="49" spans="1:335" ht="24.95" customHeight="1">
      <c r="A49" s="985"/>
      <c r="B49" s="205" t="s">
        <v>174</v>
      </c>
      <c r="C49" s="203">
        <v>1</v>
      </c>
      <c r="D49" s="203"/>
      <c r="E49" s="226" t="e">
        <f t="shared" si="5"/>
        <v>#DIV/0!</v>
      </c>
      <c r="F49" s="203"/>
      <c r="G49" s="129"/>
      <c r="H49" s="129"/>
      <c r="I49" s="129"/>
      <c r="J49" s="129"/>
      <c r="K49" s="129"/>
      <c r="L49" s="129"/>
      <c r="M49" s="129"/>
      <c r="N49" s="354"/>
      <c r="O49" s="187"/>
      <c r="P49" s="100"/>
      <c r="Q49" s="101"/>
      <c r="R49" s="101"/>
      <c r="S49" s="101"/>
      <c r="T49" s="103"/>
      <c r="U49" s="105" t="s">
        <v>437</v>
      </c>
      <c r="V49" s="106" t="s">
        <v>437</v>
      </c>
      <c r="W49" s="106" t="s">
        <v>437</v>
      </c>
      <c r="X49" s="106" t="s">
        <v>437</v>
      </c>
      <c r="Y49" s="107" t="s">
        <v>437</v>
      </c>
      <c r="Z49" s="102"/>
      <c r="AA49" s="101"/>
      <c r="AB49" s="101"/>
      <c r="AC49" s="101"/>
      <c r="AD49" s="98"/>
      <c r="AE49" s="281" t="s">
        <v>437</v>
      </c>
      <c r="AF49" s="106" t="s">
        <v>437</v>
      </c>
      <c r="AG49" s="106" t="s">
        <v>437</v>
      </c>
      <c r="AH49" s="106" t="s">
        <v>437</v>
      </c>
      <c r="AI49" s="106" t="s">
        <v>437</v>
      </c>
      <c r="AJ49" s="100"/>
      <c r="AK49" s="101"/>
      <c r="AL49" s="101"/>
      <c r="AM49" s="101"/>
      <c r="AN49" s="98"/>
      <c r="AO49" s="100"/>
      <c r="AP49" s="101"/>
      <c r="AQ49" s="101"/>
      <c r="AR49" s="101"/>
      <c r="AS49" s="98"/>
      <c r="AT49" s="100"/>
      <c r="AU49" s="101"/>
      <c r="AV49" s="101"/>
      <c r="AW49" s="101"/>
      <c r="AX49" s="103" t="s">
        <v>244</v>
      </c>
      <c r="AY49" s="100"/>
      <c r="AZ49" s="101"/>
      <c r="BA49" s="101"/>
      <c r="BB49" s="101"/>
      <c r="BC49" s="98"/>
      <c r="BD49" s="102"/>
      <c r="BE49" s="104"/>
      <c r="BF49" s="104"/>
      <c r="BG49" s="104"/>
      <c r="BH49" s="104"/>
      <c r="BI49" s="392"/>
      <c r="BJ49" s="102"/>
      <c r="BK49" s="101"/>
      <c r="BL49" s="101"/>
      <c r="BM49" s="101" t="s">
        <v>244</v>
      </c>
      <c r="BN49" s="103" t="s">
        <v>244</v>
      </c>
      <c r="BO49" s="100"/>
      <c r="BP49" s="101"/>
      <c r="BQ49" s="101"/>
      <c r="BR49" s="101"/>
      <c r="BS49" s="98"/>
      <c r="BT49" s="100"/>
      <c r="BU49" s="101"/>
      <c r="BV49" s="101"/>
      <c r="BW49" s="101"/>
      <c r="BX49" s="98"/>
      <c r="BY49" s="102"/>
      <c r="BZ49" s="101"/>
      <c r="CA49" s="101"/>
      <c r="CB49" s="101"/>
      <c r="CC49" s="98"/>
      <c r="CD49" s="102"/>
      <c r="CE49" s="101"/>
      <c r="CF49" s="101"/>
      <c r="CG49" s="101"/>
      <c r="CH49" s="98"/>
      <c r="CI49" s="100"/>
      <c r="CJ49" s="101"/>
      <c r="CK49" s="101"/>
      <c r="CL49" s="101"/>
      <c r="CM49" s="98"/>
      <c r="CN49" s="100"/>
      <c r="CO49" s="101"/>
      <c r="CP49" s="101"/>
      <c r="CQ49" s="101"/>
      <c r="CR49" s="98"/>
      <c r="CS49" s="100"/>
      <c r="CT49" s="101"/>
      <c r="CU49" s="101"/>
      <c r="CV49" s="101"/>
      <c r="CW49" s="98"/>
      <c r="CX49" s="102"/>
      <c r="CY49" s="101"/>
      <c r="CZ49" s="101"/>
      <c r="DA49" s="101"/>
      <c r="DB49" s="98"/>
      <c r="DC49" s="489"/>
      <c r="DD49" s="101"/>
      <c r="DE49" s="101"/>
      <c r="DF49" s="101"/>
      <c r="DG49" s="98"/>
      <c r="DH49" s="100"/>
      <c r="DI49" s="101"/>
      <c r="DJ49" s="101"/>
      <c r="DK49" s="101"/>
      <c r="DL49" s="98"/>
      <c r="DM49" s="100"/>
      <c r="DN49" s="101"/>
      <c r="DO49" s="101"/>
      <c r="DP49" s="101"/>
      <c r="DQ49" s="103"/>
      <c r="DR49" s="116"/>
      <c r="DS49" s="117"/>
      <c r="DT49" s="117"/>
      <c r="DU49" s="117"/>
      <c r="DV49" s="227"/>
      <c r="DW49" s="116"/>
      <c r="DX49" s="117"/>
      <c r="DY49" s="117"/>
      <c r="DZ49" s="117"/>
      <c r="EA49" s="227"/>
      <c r="EB49" s="489"/>
      <c r="EC49" s="117"/>
      <c r="ED49" s="117"/>
      <c r="EE49" s="117"/>
      <c r="EF49" s="118"/>
      <c r="EG49" s="119"/>
      <c r="EH49" s="117"/>
      <c r="EI49" s="117"/>
      <c r="EJ49" s="117"/>
      <c r="EK49" s="118"/>
      <c r="EL49" s="116"/>
      <c r="EM49" s="117"/>
      <c r="EN49" s="117"/>
      <c r="EO49" s="117"/>
      <c r="EP49" s="227"/>
      <c r="EQ49" s="117"/>
      <c r="ER49" s="117"/>
      <c r="ES49" s="117"/>
      <c r="ET49" s="117"/>
      <c r="EU49" s="117"/>
      <c r="EV49" s="117"/>
      <c r="EW49" s="117"/>
      <c r="EX49" s="117"/>
      <c r="EY49" s="117"/>
      <c r="EZ49" s="117"/>
      <c r="FA49" s="117"/>
      <c r="FB49" s="117"/>
      <c r="FC49" s="117"/>
      <c r="FD49" s="117"/>
      <c r="FE49" s="117"/>
      <c r="FF49" s="117"/>
      <c r="FG49" s="117"/>
      <c r="FH49" s="117"/>
      <c r="FI49" s="117"/>
      <c r="FJ49" s="101"/>
      <c r="FK49" s="117"/>
      <c r="FL49" s="117"/>
      <c r="FM49" s="117"/>
      <c r="FN49" s="117"/>
      <c r="FO49" s="117"/>
      <c r="FP49" s="491"/>
      <c r="FQ49" s="491"/>
      <c r="FR49" s="491"/>
      <c r="FS49" s="117"/>
      <c r="FT49" s="117"/>
      <c r="FU49" s="117"/>
      <c r="FV49" s="117"/>
      <c r="FW49" s="117"/>
      <c r="FX49" s="117"/>
      <c r="FY49" s="117"/>
      <c r="FZ49" s="117"/>
      <c r="GA49" s="117"/>
      <c r="GB49" s="117"/>
      <c r="GC49" s="117"/>
      <c r="GD49" s="491"/>
      <c r="GE49" s="491"/>
      <c r="GF49" s="117"/>
      <c r="GG49" s="117"/>
      <c r="GH49" s="117"/>
      <c r="GI49" s="491"/>
      <c r="GJ49" s="491"/>
      <c r="GK49" s="117"/>
      <c r="GL49" s="117"/>
      <c r="GM49" s="117"/>
      <c r="GN49" s="117"/>
      <c r="GO49" s="117"/>
      <c r="GP49" s="117"/>
      <c r="GQ49" s="117"/>
      <c r="GR49" s="117"/>
      <c r="GS49" s="117"/>
      <c r="GT49" s="117"/>
      <c r="GU49" s="117"/>
      <c r="GV49" s="117"/>
      <c r="GW49" s="117"/>
      <c r="GX49" s="117"/>
      <c r="GY49" s="227"/>
      <c r="GZ49" s="117"/>
      <c r="HA49" s="117"/>
      <c r="HB49" s="117"/>
      <c r="HC49" s="117"/>
      <c r="HD49" s="117"/>
      <c r="HE49" s="117"/>
      <c r="HF49" s="117"/>
      <c r="HG49" s="117"/>
      <c r="HH49" s="117"/>
      <c r="HI49" s="117"/>
      <c r="HJ49" s="117"/>
      <c r="HK49" s="117"/>
      <c r="HL49" s="117"/>
      <c r="HM49" s="117"/>
      <c r="HN49" s="117"/>
      <c r="HO49" s="117"/>
      <c r="HP49" s="117"/>
      <c r="HQ49" s="117"/>
      <c r="HR49" s="117"/>
      <c r="HS49" s="117"/>
      <c r="HT49" s="117"/>
      <c r="HU49" s="117"/>
      <c r="HV49" s="117"/>
      <c r="HW49" s="117"/>
      <c r="HX49" s="117"/>
      <c r="HY49" s="117"/>
      <c r="HZ49" s="117"/>
      <c r="IA49" s="117"/>
      <c r="IB49" s="117"/>
      <c r="IC49" s="117"/>
      <c r="ID49" s="117"/>
      <c r="IE49" s="117"/>
      <c r="IF49" s="117"/>
      <c r="IG49" s="491"/>
      <c r="IH49" s="491"/>
      <c r="II49" s="117"/>
      <c r="IJ49" s="117"/>
      <c r="IK49" s="117"/>
      <c r="IL49" s="117"/>
      <c r="IM49" s="117"/>
      <c r="IN49" s="117"/>
      <c r="IO49" s="117"/>
      <c r="IP49" s="117"/>
      <c r="IQ49" s="117"/>
      <c r="IR49" s="117"/>
      <c r="IS49" s="117"/>
      <c r="IT49" s="117"/>
      <c r="IU49" s="117"/>
      <c r="IV49" s="117"/>
      <c r="IW49" s="117"/>
      <c r="IX49" s="117"/>
      <c r="IY49" s="117"/>
      <c r="IZ49" s="117"/>
      <c r="JA49" s="117"/>
      <c r="JB49" s="117"/>
      <c r="JC49" s="117"/>
      <c r="JD49" s="117"/>
      <c r="JE49" s="117"/>
      <c r="JF49" s="117"/>
      <c r="JG49" s="117"/>
      <c r="JH49" s="117"/>
      <c r="JI49" s="117"/>
      <c r="JJ49" s="117"/>
      <c r="JK49" s="117"/>
      <c r="JL49" s="117"/>
      <c r="JM49" s="117"/>
      <c r="JN49" s="117"/>
      <c r="JO49" s="117"/>
      <c r="JP49" s="491"/>
      <c r="JQ49" s="491"/>
      <c r="JR49" s="117"/>
      <c r="JS49" s="117"/>
      <c r="JT49" s="117"/>
      <c r="JU49" s="117"/>
      <c r="JV49" s="117"/>
      <c r="JW49" s="117"/>
      <c r="JX49" s="117"/>
      <c r="JY49" s="491"/>
      <c r="JZ49" s="491"/>
      <c r="KA49" s="491"/>
      <c r="KB49" s="117"/>
      <c r="KC49" s="227"/>
      <c r="KD49" s="117"/>
      <c r="KE49" s="117"/>
      <c r="KF49" s="117"/>
      <c r="KG49" s="117"/>
      <c r="KH49" s="117"/>
      <c r="KI49" s="117"/>
      <c r="KJ49" s="117"/>
      <c r="KK49" s="117"/>
      <c r="KL49" s="117"/>
      <c r="KM49" s="117"/>
      <c r="KN49" s="117"/>
      <c r="KO49" s="117"/>
      <c r="KP49" s="491"/>
      <c r="KQ49" s="491"/>
      <c r="KR49" s="117"/>
      <c r="KS49" s="117"/>
      <c r="KT49" s="117"/>
      <c r="KU49" s="117"/>
      <c r="KV49" s="117"/>
      <c r="KW49" s="117"/>
      <c r="KX49" s="117"/>
      <c r="KY49" s="117"/>
      <c r="KZ49" s="117"/>
      <c r="LA49" s="117"/>
      <c r="LB49" s="117"/>
      <c r="LC49" s="117"/>
      <c r="LD49" s="117"/>
      <c r="LE49" s="491"/>
      <c r="LF49" s="117"/>
      <c r="LG49" s="117"/>
      <c r="LH49" s="117"/>
      <c r="LI49" s="117"/>
      <c r="LJ49" s="117"/>
      <c r="LK49" s="117"/>
      <c r="LL49" s="117"/>
      <c r="LM49" s="117"/>
      <c r="LN49" s="117"/>
      <c r="LO49" s="117"/>
      <c r="LP49" s="117"/>
      <c r="LQ49" s="117"/>
      <c r="LR49" s="117"/>
      <c r="LS49" s="117"/>
      <c r="LT49" s="117"/>
    </row>
    <row r="50" spans="1:335" ht="24.95" customHeight="1">
      <c r="A50" s="985"/>
      <c r="B50" s="757" t="s">
        <v>432</v>
      </c>
      <c r="C50" s="203">
        <v>1</v>
      </c>
      <c r="D50" s="203">
        <v>50</v>
      </c>
      <c r="E50" s="226">
        <f t="shared" si="5"/>
        <v>2.92</v>
      </c>
      <c r="F50" s="203">
        <v>146</v>
      </c>
      <c r="G50" s="130"/>
      <c r="H50" s="130"/>
      <c r="I50" s="130"/>
      <c r="J50" s="130"/>
      <c r="K50" s="130"/>
      <c r="L50" s="130"/>
      <c r="M50" s="130"/>
      <c r="N50" s="482">
        <f>SUM(F50:M50)</f>
        <v>146</v>
      </c>
      <c r="O50" s="187"/>
      <c r="P50" s="100"/>
      <c r="Q50" s="101"/>
      <c r="R50" s="101"/>
      <c r="S50" s="101"/>
      <c r="T50" s="103"/>
      <c r="U50" s="105" t="s">
        <v>437</v>
      </c>
      <c r="V50" s="106" t="s">
        <v>437</v>
      </c>
      <c r="W50" s="106" t="s">
        <v>437</v>
      </c>
      <c r="X50" s="106" t="s">
        <v>437</v>
      </c>
      <c r="Y50" s="107" t="s">
        <v>437</v>
      </c>
      <c r="Z50" s="102"/>
      <c r="AA50" s="101"/>
      <c r="AB50" s="101"/>
      <c r="AC50" s="101"/>
      <c r="AD50" s="98"/>
      <c r="AE50" s="281" t="s">
        <v>437</v>
      </c>
      <c r="AF50" s="106" t="s">
        <v>437</v>
      </c>
      <c r="AG50" s="106" t="s">
        <v>437</v>
      </c>
      <c r="AH50" s="106" t="s">
        <v>437</v>
      </c>
      <c r="AI50" s="106" t="s">
        <v>437</v>
      </c>
      <c r="AJ50" s="100"/>
      <c r="AK50" s="101"/>
      <c r="AL50" s="101"/>
      <c r="AM50" s="101"/>
      <c r="AN50" s="98"/>
      <c r="AO50" s="100"/>
      <c r="AP50" s="101"/>
      <c r="AQ50" s="101"/>
      <c r="AR50" s="101"/>
      <c r="AS50" s="98"/>
      <c r="AT50" s="100"/>
      <c r="AU50" s="101"/>
      <c r="AV50" s="101"/>
      <c r="AW50" s="101"/>
      <c r="AX50" s="103" t="s">
        <v>244</v>
      </c>
      <c r="AY50" s="100"/>
      <c r="AZ50" s="101"/>
      <c r="BA50" s="101"/>
      <c r="BB50" s="101"/>
      <c r="BC50" s="98"/>
      <c r="BD50" s="102"/>
      <c r="BE50" s="388"/>
      <c r="BF50" s="388"/>
      <c r="BG50" s="104"/>
      <c r="BH50" s="104"/>
      <c r="BI50" s="392"/>
      <c r="BJ50" s="102"/>
      <c r="BK50" s="101"/>
      <c r="BL50" s="101"/>
      <c r="BM50" s="101" t="s">
        <v>244</v>
      </c>
      <c r="BN50" s="103" t="s">
        <v>244</v>
      </c>
      <c r="BO50" s="100"/>
      <c r="BP50" s="101"/>
      <c r="BQ50" s="101"/>
      <c r="BR50" s="101"/>
      <c r="BS50" s="98"/>
      <c r="BT50" s="100"/>
      <c r="BU50" s="101"/>
      <c r="BV50" s="101"/>
      <c r="BW50" s="101"/>
      <c r="BX50" s="98"/>
      <c r="BY50" s="102"/>
      <c r="BZ50" s="101"/>
      <c r="CA50" s="101"/>
      <c r="CB50" s="101"/>
      <c r="CC50" s="98"/>
      <c r="CD50" s="102"/>
      <c r="CE50" s="101"/>
      <c r="CF50" s="101"/>
      <c r="CG50" s="101"/>
      <c r="CH50" s="98"/>
      <c r="CI50" s="100"/>
      <c r="CJ50" s="101"/>
      <c r="CK50" s="101"/>
      <c r="CL50" s="101"/>
      <c r="CM50" s="98"/>
      <c r="CN50" s="100"/>
      <c r="CO50" s="101"/>
      <c r="CP50" s="101"/>
      <c r="CQ50" s="101"/>
      <c r="CR50" s="98"/>
      <c r="CS50" s="100"/>
      <c r="CT50" s="101"/>
      <c r="CU50" s="101"/>
      <c r="CV50" s="101"/>
      <c r="CW50" s="98"/>
      <c r="CX50" s="102"/>
      <c r="CY50" s="101"/>
      <c r="CZ50" s="101"/>
      <c r="DA50" s="101"/>
      <c r="DB50" s="98"/>
      <c r="DC50" s="489"/>
      <c r="DD50" s="101"/>
      <c r="DE50" s="101"/>
      <c r="DF50" s="101"/>
      <c r="DG50" s="98"/>
      <c r="DH50" s="100"/>
      <c r="DI50" s="101"/>
      <c r="DJ50" s="101"/>
      <c r="DK50" s="101"/>
      <c r="DL50" s="98"/>
      <c r="DM50" s="100"/>
      <c r="DN50" s="101"/>
      <c r="DO50" s="101"/>
      <c r="DP50" s="101"/>
      <c r="DQ50" s="103"/>
      <c r="DR50" s="116"/>
      <c r="DS50" s="117"/>
      <c r="DT50" s="117"/>
      <c r="DU50" s="117"/>
      <c r="DV50" s="227"/>
      <c r="DW50" s="116"/>
      <c r="DX50" s="117"/>
      <c r="DY50" s="117"/>
      <c r="DZ50" s="117"/>
      <c r="EA50" s="227"/>
      <c r="EB50" s="489"/>
      <c r="EC50" s="117"/>
      <c r="ED50" s="117"/>
      <c r="EE50" s="117"/>
      <c r="EF50" s="118"/>
      <c r="EG50" s="119"/>
      <c r="EH50" s="117"/>
      <c r="EI50" s="117"/>
      <c r="EJ50" s="117"/>
      <c r="EK50" s="118"/>
      <c r="EL50" s="116"/>
      <c r="EM50" s="117"/>
      <c r="EN50" s="117"/>
      <c r="EO50" s="117"/>
      <c r="EP50" s="227"/>
      <c r="EQ50" s="117"/>
      <c r="ER50" s="117"/>
      <c r="ES50" s="117"/>
      <c r="ET50" s="117"/>
      <c r="EU50" s="117"/>
      <c r="EV50" s="117"/>
      <c r="EW50" s="117"/>
      <c r="EX50" s="117"/>
      <c r="EY50" s="117"/>
      <c r="EZ50" s="117"/>
      <c r="FA50" s="117"/>
      <c r="FB50" s="117"/>
      <c r="FC50" s="117"/>
      <c r="FD50" s="117"/>
      <c r="FE50" s="117"/>
      <c r="FF50" s="117"/>
      <c r="FG50" s="117"/>
      <c r="FH50" s="117"/>
      <c r="FI50" s="117"/>
      <c r="FJ50" s="101"/>
      <c r="FK50" s="117"/>
      <c r="FL50" s="117"/>
      <c r="FM50" s="117"/>
      <c r="FN50" s="117"/>
      <c r="FO50" s="117"/>
      <c r="FP50" s="491"/>
      <c r="FQ50" s="491"/>
      <c r="FR50" s="491"/>
      <c r="FS50" s="117"/>
      <c r="FT50" s="117"/>
      <c r="FU50" s="117"/>
      <c r="FV50" s="117"/>
      <c r="FW50" s="117"/>
      <c r="FX50" s="117"/>
      <c r="FY50" s="117"/>
      <c r="FZ50" s="117"/>
      <c r="GA50" s="117"/>
      <c r="GB50" s="117"/>
      <c r="GC50" s="117"/>
      <c r="GD50" s="491"/>
      <c r="GE50" s="491"/>
      <c r="GF50" s="117"/>
      <c r="GG50" s="117"/>
      <c r="GH50" s="117"/>
      <c r="GI50" s="491"/>
      <c r="GJ50" s="491"/>
      <c r="GK50" s="117"/>
      <c r="GL50" s="117"/>
      <c r="GM50" s="117"/>
      <c r="GN50" s="117"/>
      <c r="GO50" s="117"/>
      <c r="GP50" s="117"/>
      <c r="GQ50" s="117"/>
      <c r="GR50" s="117"/>
      <c r="GS50" s="117"/>
      <c r="GT50" s="117"/>
      <c r="GU50" s="117"/>
      <c r="GV50" s="117"/>
      <c r="GW50" s="117"/>
      <c r="GX50" s="117"/>
      <c r="GY50" s="227"/>
      <c r="GZ50" s="117"/>
      <c r="HA50" s="117"/>
      <c r="HB50" s="117"/>
      <c r="HC50" s="117"/>
      <c r="HD50" s="117"/>
      <c r="HE50" s="117"/>
      <c r="HF50" s="117"/>
      <c r="HG50" s="117"/>
      <c r="HH50" s="117"/>
      <c r="HI50" s="117"/>
      <c r="HJ50" s="117"/>
      <c r="HK50" s="117"/>
      <c r="HL50" s="117"/>
      <c r="HM50" s="117"/>
      <c r="HN50" s="117"/>
      <c r="HO50" s="117"/>
      <c r="HP50" s="117"/>
      <c r="HQ50" s="117"/>
      <c r="HR50" s="117"/>
      <c r="HS50" s="117"/>
      <c r="HT50" s="117"/>
      <c r="HU50" s="117"/>
      <c r="HV50" s="117"/>
      <c r="HW50" s="117"/>
      <c r="HX50" s="117"/>
      <c r="HY50" s="117"/>
      <c r="HZ50" s="117"/>
      <c r="IA50" s="117"/>
      <c r="IB50" s="117"/>
      <c r="IC50" s="117"/>
      <c r="ID50" s="117"/>
      <c r="IE50" s="117"/>
      <c r="IF50" s="117"/>
      <c r="IG50" s="491"/>
      <c r="IH50" s="491"/>
      <c r="II50" s="117"/>
      <c r="IJ50" s="117"/>
      <c r="IK50" s="117"/>
      <c r="IL50" s="117"/>
      <c r="IM50" s="117"/>
      <c r="IN50" s="117"/>
      <c r="IO50" s="117"/>
      <c r="IP50" s="117"/>
      <c r="IQ50" s="117"/>
      <c r="IR50" s="117"/>
      <c r="IS50" s="117"/>
      <c r="IT50" s="117"/>
      <c r="IU50" s="117"/>
      <c r="IV50" s="117"/>
      <c r="IW50" s="117"/>
      <c r="IX50" s="117"/>
      <c r="IY50" s="117"/>
      <c r="IZ50" s="117"/>
      <c r="JA50" s="117"/>
      <c r="JB50" s="117"/>
      <c r="JC50" s="117"/>
      <c r="JD50" s="117"/>
      <c r="JE50" s="117"/>
      <c r="JF50" s="117"/>
      <c r="JG50" s="117"/>
      <c r="JH50" s="117"/>
      <c r="JI50" s="117"/>
      <c r="JJ50" s="117"/>
      <c r="JK50" s="117"/>
      <c r="JL50" s="117"/>
      <c r="JM50" s="117"/>
      <c r="JN50" s="117"/>
      <c r="JO50" s="117"/>
      <c r="JP50" s="491"/>
      <c r="JQ50" s="491"/>
      <c r="JR50" s="117"/>
      <c r="JS50" s="117"/>
      <c r="JT50" s="117"/>
      <c r="JU50" s="117"/>
      <c r="JV50" s="117"/>
      <c r="JW50" s="117"/>
      <c r="JX50" s="117"/>
      <c r="JY50" s="491"/>
      <c r="JZ50" s="491"/>
      <c r="KA50" s="491"/>
      <c r="KB50" s="117"/>
      <c r="KC50" s="227"/>
      <c r="KD50" s="117"/>
      <c r="KE50" s="117"/>
      <c r="KF50" s="117"/>
      <c r="KG50" s="117"/>
      <c r="KH50" s="117"/>
      <c r="KI50" s="117"/>
      <c r="KJ50" s="117"/>
      <c r="KK50" s="117"/>
      <c r="KL50" s="117"/>
      <c r="KM50" s="117"/>
      <c r="KN50" s="117"/>
      <c r="KO50" s="117"/>
      <c r="KP50" s="491"/>
      <c r="KQ50" s="491"/>
      <c r="KR50" s="117"/>
      <c r="KS50" s="117"/>
      <c r="KT50" s="117"/>
      <c r="KU50" s="117"/>
      <c r="KV50" s="117"/>
      <c r="KW50" s="117"/>
      <c r="KX50" s="117"/>
      <c r="KY50" s="117"/>
      <c r="KZ50" s="117"/>
      <c r="LA50" s="117"/>
      <c r="LB50" s="117"/>
      <c r="LC50" s="117"/>
      <c r="LD50" s="117"/>
      <c r="LE50" s="491"/>
      <c r="LF50" s="117"/>
      <c r="LG50" s="117"/>
      <c r="LH50" s="117"/>
      <c r="LI50" s="117"/>
      <c r="LJ50" s="117"/>
      <c r="LK50" s="117"/>
      <c r="LL50" s="117"/>
      <c r="LM50" s="117"/>
      <c r="LN50" s="117"/>
      <c r="LO50" s="117"/>
      <c r="LP50" s="117"/>
      <c r="LQ50" s="117"/>
      <c r="LR50" s="117"/>
      <c r="LS50" s="117"/>
      <c r="LT50" s="117"/>
    </row>
    <row r="51" spans="1:335" ht="24.95" customHeight="1">
      <c r="A51" s="985"/>
      <c r="B51" s="205" t="s">
        <v>175</v>
      </c>
      <c r="C51" s="203">
        <v>1</v>
      </c>
      <c r="D51" s="203">
        <v>150</v>
      </c>
      <c r="E51" s="226">
        <f t="shared" si="5"/>
        <v>3.3333333333333335</v>
      </c>
      <c r="F51" s="220">
        <v>500</v>
      </c>
      <c r="G51" s="129"/>
      <c r="H51" s="129"/>
      <c r="I51" s="129"/>
      <c r="J51" s="129"/>
      <c r="K51" s="129"/>
      <c r="L51" s="129"/>
      <c r="M51" s="129"/>
      <c r="N51" s="482">
        <f>F51</f>
        <v>500</v>
      </c>
      <c r="O51" s="187"/>
      <c r="P51" s="100"/>
      <c r="Q51" s="101"/>
      <c r="R51" s="101"/>
      <c r="S51" s="101"/>
      <c r="T51" s="103"/>
      <c r="U51" s="105" t="s">
        <v>437</v>
      </c>
      <c r="V51" s="106" t="s">
        <v>437</v>
      </c>
      <c r="W51" s="106" t="s">
        <v>437</v>
      </c>
      <c r="X51" s="106" t="s">
        <v>437</v>
      </c>
      <c r="Y51" s="107" t="s">
        <v>437</v>
      </c>
      <c r="Z51" s="102"/>
      <c r="AA51" s="101"/>
      <c r="AB51" s="101"/>
      <c r="AC51" s="244"/>
      <c r="AD51" s="244"/>
      <c r="AE51" s="281" t="s">
        <v>437</v>
      </c>
      <c r="AF51" s="106" t="s">
        <v>437</v>
      </c>
      <c r="AG51" s="106" t="s">
        <v>437</v>
      </c>
      <c r="AH51" s="106" t="s">
        <v>437</v>
      </c>
      <c r="AI51" s="106" t="s">
        <v>437</v>
      </c>
      <c r="AJ51" s="100"/>
      <c r="AK51" s="101"/>
      <c r="AL51" s="101"/>
      <c r="AM51" s="101"/>
      <c r="AN51" s="98"/>
      <c r="AO51" s="100"/>
      <c r="AP51" s="101"/>
      <c r="AQ51" s="101"/>
      <c r="AR51" s="101"/>
      <c r="AS51" s="333"/>
      <c r="AV51" s="332"/>
      <c r="AW51" s="331"/>
      <c r="AX51" s="103" t="s">
        <v>244</v>
      </c>
      <c r="AY51" s="331"/>
      <c r="AZ51" s="332"/>
      <c r="BA51" s="101"/>
      <c r="BB51" s="334" t="s">
        <v>536</v>
      </c>
      <c r="BC51" s="98"/>
      <c r="BD51" s="102"/>
      <c r="BE51" s="104"/>
      <c r="BF51" s="104"/>
      <c r="BG51" s="104"/>
      <c r="BH51" s="104"/>
      <c r="BI51" s="392"/>
      <c r="BJ51" s="102"/>
      <c r="BK51" s="101"/>
      <c r="BL51" s="101"/>
      <c r="BM51" s="101" t="s">
        <v>244</v>
      </c>
      <c r="BN51" s="103" t="s">
        <v>244</v>
      </c>
      <c r="BO51" s="100"/>
      <c r="BP51" s="101"/>
      <c r="BQ51" s="101"/>
      <c r="BR51" s="101"/>
      <c r="BS51" s="98"/>
      <c r="BT51" s="100"/>
      <c r="BU51" s="430"/>
      <c r="BV51" s="430"/>
      <c r="BW51" s="430"/>
      <c r="BX51" s="409" t="s">
        <v>539</v>
      </c>
      <c r="BY51" s="102"/>
      <c r="BZ51" s="101"/>
      <c r="CA51" s="101"/>
      <c r="CB51" s="101"/>
      <c r="CC51" s="98"/>
      <c r="CD51" s="102"/>
      <c r="CE51" s="101"/>
      <c r="CF51" s="101"/>
      <c r="CG51" s="101"/>
      <c r="CH51" s="98"/>
      <c r="CI51" s="100"/>
      <c r="CJ51" s="101"/>
      <c r="CK51" s="101"/>
      <c r="CL51" s="101"/>
      <c r="CM51" s="98"/>
      <c r="CN51" s="100"/>
      <c r="CO51" s="101"/>
      <c r="CP51" s="101"/>
      <c r="CQ51" s="101"/>
      <c r="CR51" s="98"/>
      <c r="CS51" s="100"/>
      <c r="CT51" s="101"/>
      <c r="CU51" s="101"/>
      <c r="CV51" s="334" t="s">
        <v>540</v>
      </c>
      <c r="CW51" s="98"/>
      <c r="CX51" s="485"/>
      <c r="CY51" s="486"/>
      <c r="CZ51" s="486"/>
      <c r="DA51" s="486"/>
      <c r="DB51" s="426"/>
      <c r="DC51" s="489"/>
      <c r="DD51" s="101"/>
      <c r="DE51" s="101"/>
      <c r="DF51" s="101"/>
      <c r="DG51" s="98"/>
      <c r="DH51" s="100"/>
      <c r="DI51" s="101"/>
      <c r="DJ51" s="101"/>
      <c r="DK51" s="101"/>
      <c r="DL51" s="98"/>
      <c r="DM51" s="100"/>
      <c r="DN51" s="101"/>
      <c r="DO51" s="101"/>
      <c r="DP51" s="101"/>
      <c r="DQ51" s="103"/>
      <c r="DR51" s="116"/>
      <c r="DS51" s="117"/>
      <c r="DT51" s="117"/>
      <c r="DU51" s="117"/>
      <c r="DV51" s="227"/>
      <c r="DW51" s="533"/>
      <c r="DX51" s="494"/>
      <c r="DY51" s="494"/>
      <c r="EA51" s="227"/>
      <c r="EB51" s="489"/>
      <c r="EC51" s="117"/>
      <c r="ED51" s="117"/>
      <c r="EE51" s="117"/>
      <c r="EF51" s="118"/>
      <c r="EG51" s="119"/>
      <c r="EH51" s="117"/>
      <c r="EI51" s="117"/>
      <c r="EJ51" s="117"/>
      <c r="EK51" s="118"/>
      <c r="EL51" s="116"/>
      <c r="EM51" s="117"/>
      <c r="EN51" s="117"/>
      <c r="EO51" s="117"/>
      <c r="EQ51" s="242" t="s">
        <v>830</v>
      </c>
      <c r="ER51" s="242" t="s">
        <v>830</v>
      </c>
      <c r="ES51" s="242" t="s">
        <v>830</v>
      </c>
      <c r="ET51" s="242" t="s">
        <v>831</v>
      </c>
      <c r="EU51" s="242" t="s">
        <v>831</v>
      </c>
      <c r="EV51" s="242" t="s">
        <v>831</v>
      </c>
      <c r="EW51" s="242" t="s">
        <v>831</v>
      </c>
      <c r="EX51" s="117"/>
      <c r="EY51" s="117"/>
      <c r="EZ51" s="334" t="s">
        <v>830</v>
      </c>
      <c r="FA51" s="117"/>
      <c r="FD51" s="117"/>
      <c r="FE51" s="117"/>
      <c r="FF51" s="117"/>
      <c r="FG51" s="117"/>
      <c r="FH51" s="117"/>
      <c r="FI51" s="117"/>
      <c r="FJ51" s="101"/>
      <c r="FK51" s="117"/>
      <c r="FL51" s="117"/>
      <c r="FM51" s="117"/>
      <c r="FN51" s="117"/>
      <c r="FO51" s="117"/>
      <c r="FP51" s="491"/>
      <c r="FQ51" s="491"/>
      <c r="FR51" s="491"/>
      <c r="FS51" s="117"/>
      <c r="FT51" s="117"/>
      <c r="FU51" s="336"/>
      <c r="FV51" s="336"/>
      <c r="FW51" s="762" t="s">
        <v>831</v>
      </c>
      <c r="FX51" s="117"/>
      <c r="FY51" s="117"/>
      <c r="FZ51" s="117"/>
      <c r="GA51" s="117"/>
      <c r="GB51" s="117"/>
      <c r="GC51" s="117"/>
      <c r="GD51" s="491"/>
      <c r="GE51" s="491"/>
      <c r="GF51" s="117"/>
      <c r="GG51" s="117"/>
      <c r="GH51" s="117"/>
      <c r="GI51" s="491"/>
      <c r="GJ51" s="491"/>
      <c r="GK51" s="552" t="s">
        <v>922</v>
      </c>
      <c r="GL51" s="552" t="s">
        <v>922</v>
      </c>
      <c r="GM51" s="552" t="s">
        <v>922</v>
      </c>
      <c r="GN51" s="552" t="s">
        <v>922</v>
      </c>
      <c r="GO51" s="552" t="s">
        <v>923</v>
      </c>
      <c r="GP51" s="552" t="s">
        <v>923</v>
      </c>
      <c r="GQ51" s="552" t="s">
        <v>923</v>
      </c>
      <c r="GR51" s="552" t="s">
        <v>923</v>
      </c>
      <c r="GS51" s="552" t="s">
        <v>923</v>
      </c>
      <c r="GX51" s="117"/>
      <c r="GY51" s="227"/>
      <c r="GZ51" s="117"/>
      <c r="HA51" s="117"/>
      <c r="HB51" s="117"/>
      <c r="HC51" s="117"/>
      <c r="HD51" s="117"/>
      <c r="HE51" s="117"/>
      <c r="HF51" s="117"/>
      <c r="HG51" s="117"/>
      <c r="HO51" s="316" t="s">
        <v>976</v>
      </c>
      <c r="HP51" s="316" t="s">
        <v>976</v>
      </c>
      <c r="HQ51" s="316" t="s">
        <v>976</v>
      </c>
      <c r="HR51" s="316" t="s">
        <v>256</v>
      </c>
      <c r="HT51" s="117"/>
      <c r="HU51" s="117"/>
      <c r="HV51" s="117"/>
      <c r="HW51" s="117"/>
      <c r="HX51" s="117"/>
      <c r="HY51" s="117"/>
      <c r="HZ51" s="117"/>
      <c r="IA51" s="117"/>
      <c r="IB51" s="117"/>
      <c r="IC51" s="117"/>
      <c r="ID51" s="117"/>
      <c r="IE51" s="117"/>
      <c r="IF51" s="117"/>
      <c r="IG51" s="491"/>
      <c r="IH51" s="491"/>
      <c r="II51" s="117"/>
      <c r="IJ51" s="117"/>
      <c r="IK51" s="117"/>
      <c r="IL51" s="117"/>
      <c r="IM51" s="117"/>
      <c r="IN51" s="117"/>
      <c r="IO51" s="117"/>
      <c r="IP51" s="117"/>
      <c r="IQ51" s="117"/>
      <c r="IR51" s="117"/>
      <c r="IS51" s="117"/>
      <c r="IT51" s="117"/>
      <c r="IU51" s="117"/>
      <c r="IV51" s="117"/>
      <c r="IW51" s="117"/>
      <c r="IX51" s="117"/>
      <c r="IY51" s="117"/>
      <c r="IZ51" s="117"/>
      <c r="JA51" s="117"/>
      <c r="JB51" s="117"/>
      <c r="JC51" s="117"/>
      <c r="JD51" s="117"/>
      <c r="JE51" s="117"/>
      <c r="JF51" s="117"/>
      <c r="JG51" s="117"/>
      <c r="JH51" s="117"/>
      <c r="JI51" s="117"/>
      <c r="JJ51" s="117"/>
      <c r="JK51" s="117"/>
      <c r="JL51" s="117"/>
      <c r="JM51" s="117"/>
      <c r="JN51" s="117"/>
      <c r="JO51" s="117"/>
      <c r="JP51" s="491"/>
      <c r="JQ51" s="491"/>
      <c r="JR51" s="117"/>
      <c r="JS51" s="117"/>
      <c r="JT51" s="117"/>
      <c r="JU51" s="117"/>
      <c r="JV51" s="117"/>
      <c r="JW51" s="117"/>
      <c r="JX51" s="117"/>
      <c r="JY51" s="491"/>
      <c r="JZ51" s="491"/>
      <c r="KA51" s="491"/>
      <c r="KB51" s="117"/>
      <c r="KC51" s="227"/>
      <c r="KD51" s="117"/>
      <c r="KE51" s="117"/>
      <c r="KF51" s="117"/>
      <c r="KG51" s="117"/>
      <c r="KH51" s="117"/>
      <c r="KI51" s="117"/>
      <c r="KJ51" s="117"/>
      <c r="KK51" s="117"/>
      <c r="KL51" s="117"/>
      <c r="KM51" s="117"/>
      <c r="KN51" s="117"/>
      <c r="KO51" s="117"/>
      <c r="KP51" s="491"/>
      <c r="KQ51" s="491"/>
      <c r="KR51" s="117"/>
      <c r="KS51" s="117"/>
      <c r="KT51" s="117"/>
      <c r="KU51" s="117"/>
      <c r="KV51" s="117"/>
      <c r="KW51" s="117"/>
      <c r="KX51" s="117"/>
      <c r="KY51" s="117"/>
      <c r="KZ51" s="117"/>
      <c r="LA51" s="117"/>
      <c r="LB51" s="117"/>
      <c r="LC51" s="117"/>
      <c r="LD51" s="117"/>
      <c r="LE51" s="491"/>
      <c r="LF51" s="117"/>
      <c r="LG51" s="117"/>
      <c r="LH51" s="117"/>
      <c r="LI51" s="117"/>
      <c r="LJ51" s="117"/>
      <c r="LK51" s="117"/>
      <c r="LL51" s="117"/>
      <c r="LM51" s="117"/>
      <c r="LN51" s="117"/>
      <c r="LO51" s="117"/>
      <c r="LP51" s="117"/>
      <c r="LQ51" s="117"/>
      <c r="LR51" s="117"/>
      <c r="LS51" s="117"/>
      <c r="LT51" s="117"/>
    </row>
    <row r="52" spans="1:335" ht="24.95" customHeight="1">
      <c r="A52" s="985"/>
      <c r="B52" s="130" t="s">
        <v>176</v>
      </c>
      <c r="C52" s="203">
        <v>1</v>
      </c>
      <c r="D52" s="203">
        <v>150</v>
      </c>
      <c r="E52" s="226">
        <f>N52/D52</f>
        <v>6.666666666666667</v>
      </c>
      <c r="F52" s="203">
        <f>500+500</f>
        <v>1000</v>
      </c>
      <c r="G52" s="130"/>
      <c r="H52" s="130"/>
      <c r="I52" s="130"/>
      <c r="J52" s="130"/>
      <c r="K52" s="130"/>
      <c r="L52" s="130"/>
      <c r="M52" s="130"/>
      <c r="N52" s="482">
        <f>F52</f>
        <v>1000</v>
      </c>
      <c r="O52" s="189"/>
      <c r="P52" s="111"/>
      <c r="Q52" s="112"/>
      <c r="R52" s="112"/>
      <c r="S52" s="112"/>
      <c r="T52" s="115"/>
      <c r="U52" s="105" t="s">
        <v>437</v>
      </c>
      <c r="V52" s="106" t="s">
        <v>437</v>
      </c>
      <c r="W52" s="106" t="s">
        <v>437</v>
      </c>
      <c r="X52" s="106" t="s">
        <v>437</v>
      </c>
      <c r="Y52" s="107" t="s">
        <v>437</v>
      </c>
      <c r="Z52" s="114"/>
      <c r="AA52" s="112"/>
      <c r="AB52" s="112"/>
      <c r="AC52" s="112"/>
      <c r="AD52" s="113"/>
      <c r="AE52" s="281" t="s">
        <v>437</v>
      </c>
      <c r="AF52" s="106" t="s">
        <v>437</v>
      </c>
      <c r="AG52" s="106" t="s">
        <v>437</v>
      </c>
      <c r="AH52" s="106" t="s">
        <v>437</v>
      </c>
      <c r="AI52" s="106" t="s">
        <v>437</v>
      </c>
      <c r="AJ52" s="111"/>
      <c r="AK52" s="112"/>
      <c r="AL52" s="112"/>
      <c r="AM52" s="112"/>
      <c r="AN52" s="113"/>
      <c r="AO52" s="111"/>
      <c r="AP52" s="112"/>
      <c r="AQ52" s="112"/>
      <c r="AR52" s="112"/>
      <c r="AS52" s="113"/>
      <c r="AT52" s="111"/>
      <c r="AU52" s="112"/>
      <c r="AV52" s="112"/>
      <c r="AW52" s="112"/>
      <c r="AX52" s="103" t="s">
        <v>244</v>
      </c>
      <c r="AY52" s="100"/>
      <c r="AZ52" s="101"/>
      <c r="BA52" s="101"/>
      <c r="BB52" s="101"/>
      <c r="BC52" s="98"/>
      <c r="BD52" s="102"/>
      <c r="BE52" s="104"/>
      <c r="BF52" s="104"/>
      <c r="BG52" s="104"/>
      <c r="BH52" s="104"/>
      <c r="BI52" s="392"/>
      <c r="BJ52" s="114"/>
      <c r="BK52" s="112"/>
      <c r="BL52" s="112"/>
      <c r="BM52" s="101" t="s">
        <v>244</v>
      </c>
      <c r="BN52" s="103" t="s">
        <v>244</v>
      </c>
      <c r="BO52" s="111"/>
      <c r="BP52" s="112"/>
      <c r="BQ52" s="112"/>
      <c r="BR52" s="112"/>
      <c r="BS52" s="113"/>
      <c r="BT52" s="111"/>
      <c r="BU52" s="112"/>
      <c r="BV52" s="115"/>
      <c r="BW52" s="101"/>
      <c r="BX52" s="113"/>
      <c r="BY52" s="114"/>
      <c r="BZ52" s="112"/>
      <c r="CA52" s="112"/>
      <c r="CB52" s="112"/>
      <c r="CC52" s="113"/>
      <c r="CD52" s="114"/>
      <c r="CE52" s="112"/>
      <c r="CF52" s="112"/>
      <c r="CG52" s="112"/>
      <c r="CH52" s="113"/>
      <c r="CI52" s="111"/>
      <c r="CJ52" s="112"/>
      <c r="CK52" s="112"/>
      <c r="CL52" s="112"/>
      <c r="CM52" s="113"/>
      <c r="CN52" s="111"/>
      <c r="CO52" s="112"/>
      <c r="CP52" s="112"/>
      <c r="CQ52" s="112"/>
      <c r="CR52" s="113"/>
      <c r="CS52" s="111"/>
      <c r="CT52" s="112"/>
      <c r="CU52" s="112"/>
      <c r="CV52" s="112"/>
      <c r="CW52" s="113"/>
      <c r="CX52" s="114"/>
      <c r="CY52" s="112"/>
      <c r="CZ52" s="112"/>
      <c r="DA52" s="112"/>
      <c r="DB52" s="113"/>
      <c r="DC52" s="490"/>
      <c r="DD52" s="112"/>
      <c r="DE52" s="112"/>
      <c r="DF52" s="112"/>
      <c r="DG52" s="113"/>
      <c r="DH52" s="111"/>
      <c r="DI52" s="112"/>
      <c r="DJ52" s="112"/>
      <c r="DK52" s="112"/>
      <c r="DL52" s="113"/>
      <c r="DM52" s="111"/>
      <c r="DN52" s="112"/>
      <c r="DO52" s="112"/>
      <c r="DP52" s="112"/>
      <c r="DQ52" s="115"/>
      <c r="DR52" s="116"/>
      <c r="DS52" s="117"/>
      <c r="DT52" s="117"/>
      <c r="DU52" s="117"/>
      <c r="DV52" s="227"/>
      <c r="DW52" s="116"/>
      <c r="DX52" s="117"/>
      <c r="DY52" s="117"/>
      <c r="DZ52" s="117"/>
      <c r="EA52" s="227"/>
      <c r="EB52" s="490"/>
      <c r="EC52" s="117"/>
      <c r="ED52" s="117"/>
      <c r="EE52" s="117"/>
      <c r="EF52" s="118"/>
      <c r="EG52" s="119"/>
      <c r="EH52" s="117"/>
      <c r="EI52" s="117"/>
      <c r="EJ52" s="117"/>
      <c r="EK52" s="118"/>
      <c r="EL52" s="116"/>
      <c r="EM52" s="117"/>
      <c r="EN52" s="117"/>
      <c r="EO52" s="117"/>
      <c r="EP52" s="227"/>
      <c r="EQ52" s="117"/>
      <c r="ER52" s="117"/>
      <c r="ES52" s="117"/>
      <c r="ET52" s="117"/>
      <c r="EU52" s="117"/>
      <c r="EV52" s="117"/>
      <c r="EW52" s="117"/>
      <c r="EX52" s="117"/>
      <c r="EY52" s="117"/>
      <c r="EZ52" s="117"/>
      <c r="FA52" s="117"/>
      <c r="FB52" s="117"/>
      <c r="FC52" s="117"/>
      <c r="FD52" s="117"/>
      <c r="FE52" s="117"/>
      <c r="FF52" s="117"/>
      <c r="FG52" s="117"/>
      <c r="FH52" s="117"/>
      <c r="FI52" s="117"/>
      <c r="FJ52" s="101"/>
      <c r="FK52" s="117"/>
      <c r="FL52" s="117"/>
      <c r="FM52" s="117"/>
      <c r="FN52" s="117"/>
      <c r="FO52" s="117"/>
      <c r="FP52" s="491"/>
      <c r="FQ52" s="491"/>
      <c r="FR52" s="491"/>
      <c r="FS52" s="117"/>
      <c r="FT52" s="117"/>
      <c r="FU52" s="117"/>
      <c r="FV52" s="117"/>
      <c r="FW52" s="117"/>
      <c r="FX52" s="117"/>
      <c r="FY52" s="117"/>
      <c r="FZ52" s="117"/>
      <c r="GA52" s="117"/>
      <c r="GB52" s="117"/>
      <c r="GC52" s="117"/>
      <c r="GD52" s="491"/>
      <c r="GE52" s="491"/>
      <c r="GF52" s="117"/>
      <c r="GG52" s="117"/>
      <c r="GH52" s="117"/>
      <c r="GI52" s="491"/>
      <c r="GJ52" s="491"/>
      <c r="GK52" s="117"/>
      <c r="GL52" s="117"/>
      <c r="GM52" s="117"/>
      <c r="GN52" s="117"/>
      <c r="GO52" s="117"/>
      <c r="GP52" s="117"/>
      <c r="GQ52" s="117"/>
      <c r="GR52" s="117"/>
      <c r="GS52" s="117"/>
      <c r="GT52" s="117"/>
      <c r="GU52" s="117"/>
      <c r="GV52" s="117"/>
      <c r="GW52" s="117"/>
      <c r="GX52" s="117"/>
      <c r="GY52" s="227"/>
      <c r="GZ52" s="117"/>
      <c r="HA52" s="117"/>
      <c r="HB52" s="117"/>
      <c r="HC52" s="117"/>
      <c r="HD52" s="117"/>
      <c r="HE52" s="117"/>
      <c r="HF52" s="117"/>
      <c r="HG52" s="117"/>
      <c r="HH52" s="316" t="s">
        <v>923</v>
      </c>
      <c r="HI52" s="316" t="s">
        <v>923</v>
      </c>
      <c r="HJ52" s="316" t="s">
        <v>923</v>
      </c>
      <c r="HK52" s="316" t="s">
        <v>977</v>
      </c>
      <c r="HL52" s="316" t="s">
        <v>976</v>
      </c>
      <c r="HM52" s="316" t="s">
        <v>976</v>
      </c>
      <c r="HN52" s="316" t="s">
        <v>976</v>
      </c>
      <c r="HO52" s="117"/>
      <c r="HP52" s="117"/>
      <c r="HQ52" s="117"/>
      <c r="HR52" s="117"/>
      <c r="HS52" s="117"/>
      <c r="HT52" s="117"/>
      <c r="HU52" s="117"/>
      <c r="HV52" s="117"/>
      <c r="HW52" s="117"/>
      <c r="HX52" s="117"/>
      <c r="HY52" s="117"/>
      <c r="HZ52" s="117"/>
      <c r="IA52" s="117"/>
      <c r="IB52" s="117"/>
      <c r="IC52" s="117"/>
      <c r="ID52" s="117"/>
      <c r="IE52" s="117"/>
      <c r="IF52" s="117"/>
      <c r="IG52" s="491"/>
      <c r="IH52" s="491"/>
      <c r="II52" s="117"/>
      <c r="IJ52" s="117"/>
      <c r="IK52" s="117"/>
      <c r="IL52" s="117"/>
      <c r="IM52" s="117"/>
      <c r="IN52" s="117"/>
      <c r="IO52" s="117"/>
      <c r="IP52" s="117"/>
      <c r="IQ52" s="117"/>
      <c r="IR52" s="117"/>
      <c r="IS52" s="117"/>
      <c r="IT52" s="117"/>
      <c r="IU52" s="117"/>
      <c r="IV52" s="117"/>
      <c r="IW52" s="117"/>
      <c r="IX52" s="117"/>
      <c r="IY52" s="117"/>
      <c r="IZ52" s="117"/>
      <c r="JA52" s="117"/>
      <c r="JB52" s="117"/>
      <c r="JC52" s="117"/>
      <c r="JD52" s="117"/>
      <c r="JE52" s="117"/>
      <c r="JF52" s="117"/>
      <c r="JG52" s="117"/>
      <c r="JH52" s="117"/>
      <c r="JI52" s="117"/>
      <c r="JJ52" s="117"/>
      <c r="JK52" s="117"/>
      <c r="JL52" s="117"/>
      <c r="JM52" s="117"/>
      <c r="JN52" s="117"/>
      <c r="JO52" s="117"/>
      <c r="JP52" s="491"/>
      <c r="JQ52" s="491"/>
      <c r="JR52" s="117"/>
      <c r="JS52" s="117"/>
      <c r="JT52" s="117"/>
      <c r="JU52" s="117"/>
      <c r="JV52" s="117"/>
      <c r="JW52" s="117"/>
      <c r="JX52" s="117"/>
      <c r="JY52" s="491"/>
      <c r="JZ52" s="491"/>
      <c r="KA52" s="491"/>
      <c r="KB52" s="117"/>
      <c r="KC52" s="227"/>
      <c r="KD52" s="117"/>
      <c r="KE52" s="117"/>
      <c r="KF52" s="117"/>
      <c r="KG52" s="117"/>
      <c r="KH52" s="117"/>
      <c r="KI52" s="117"/>
      <c r="KJ52" s="117"/>
      <c r="KK52" s="117"/>
      <c r="KL52" s="117"/>
      <c r="KM52" s="117"/>
      <c r="KN52" s="117"/>
      <c r="KO52" s="117"/>
      <c r="KP52" s="491"/>
      <c r="KQ52" s="491"/>
      <c r="KR52" s="117"/>
      <c r="KS52" s="117"/>
      <c r="KT52" s="117"/>
      <c r="KU52" s="117"/>
      <c r="KV52" s="117"/>
      <c r="KW52" s="117"/>
      <c r="KX52" s="117"/>
      <c r="KY52" s="117"/>
      <c r="KZ52" s="117"/>
      <c r="LA52" s="117"/>
      <c r="LB52" s="117"/>
      <c r="LC52" s="117"/>
      <c r="LD52" s="117"/>
      <c r="LE52" s="491"/>
      <c r="LF52" s="117"/>
      <c r="LG52" s="117"/>
      <c r="LH52" s="117"/>
      <c r="LI52" s="117"/>
      <c r="LJ52" s="117"/>
      <c r="LK52" s="117"/>
      <c r="LL52" s="117"/>
      <c r="LM52" s="117"/>
      <c r="LN52" s="117"/>
      <c r="LO52" s="117"/>
      <c r="LP52" s="117"/>
      <c r="LQ52" s="117"/>
      <c r="LR52" s="117"/>
      <c r="LS52" s="117"/>
      <c r="LT52" s="117"/>
    </row>
    <row r="53" spans="1:335" ht="24.95" customHeight="1">
      <c r="A53" s="1031" t="s">
        <v>177</v>
      </c>
      <c r="B53" s="130" t="s">
        <v>178</v>
      </c>
      <c r="C53" s="203">
        <v>1</v>
      </c>
      <c r="D53" s="203">
        <v>230</v>
      </c>
      <c r="E53" s="226">
        <f t="shared" si="5"/>
        <v>4.3478260869565215</v>
      </c>
      <c r="F53" s="203">
        <v>1000</v>
      </c>
      <c r="G53" s="130"/>
      <c r="H53" s="130"/>
      <c r="I53" s="130"/>
      <c r="J53" s="130"/>
      <c r="K53" s="130"/>
      <c r="L53" s="130"/>
      <c r="M53" s="130"/>
      <c r="N53" s="354">
        <f>SUM(F53:M53)</f>
        <v>1000</v>
      </c>
      <c r="O53" s="187"/>
      <c r="P53" s="100"/>
      <c r="Q53" s="101"/>
      <c r="R53" s="101"/>
      <c r="S53" s="101"/>
      <c r="T53" s="103"/>
      <c r="U53" s="105" t="s">
        <v>437</v>
      </c>
      <c r="V53" s="106" t="s">
        <v>437</v>
      </c>
      <c r="W53" s="106" t="s">
        <v>437</v>
      </c>
      <c r="X53" s="106" t="s">
        <v>437</v>
      </c>
      <c r="Y53" s="107" t="s">
        <v>437</v>
      </c>
      <c r="Z53" s="102"/>
      <c r="AA53" s="101"/>
      <c r="AB53" s="101"/>
      <c r="AC53" s="101"/>
      <c r="AD53" s="98"/>
      <c r="AE53" s="281" t="s">
        <v>437</v>
      </c>
      <c r="AF53" s="106" t="s">
        <v>437</v>
      </c>
      <c r="AG53" s="106" t="s">
        <v>437</v>
      </c>
      <c r="AH53" s="106" t="s">
        <v>437</v>
      </c>
      <c r="AI53" s="106" t="s">
        <v>437</v>
      </c>
      <c r="AJ53" s="100"/>
      <c r="AK53" s="101"/>
      <c r="AL53" s="101"/>
      <c r="AM53" s="101"/>
      <c r="AN53" s="98"/>
      <c r="AO53" s="100"/>
      <c r="AP53" s="101"/>
      <c r="AQ53" s="101"/>
      <c r="AR53" s="101"/>
      <c r="AS53" s="98"/>
      <c r="AT53" s="100"/>
      <c r="AU53" s="101"/>
      <c r="AV53" s="101"/>
      <c r="AW53" s="101"/>
      <c r="AX53" s="103" t="s">
        <v>244</v>
      </c>
      <c r="AY53" s="100"/>
      <c r="AZ53" s="101"/>
      <c r="BA53" s="101"/>
      <c r="BB53" s="101"/>
      <c r="BC53" s="98"/>
      <c r="BD53" s="102"/>
      <c r="BE53" s="104"/>
      <c r="BF53" s="104"/>
      <c r="BG53" s="104"/>
      <c r="BH53" s="104"/>
      <c r="BI53" s="392"/>
      <c r="BM53" s="101" t="s">
        <v>244</v>
      </c>
      <c r="BN53" s="103" t="s">
        <v>244</v>
      </c>
      <c r="BO53" s="116"/>
      <c r="BP53" s="117"/>
      <c r="BQ53" s="117"/>
      <c r="BR53" s="101"/>
      <c r="BS53" s="400"/>
      <c r="BT53" s="243"/>
      <c r="BU53" s="423"/>
      <c r="BV53" s="103"/>
      <c r="BZ53" s="101"/>
      <c r="CA53" s="101"/>
      <c r="CB53" s="101"/>
      <c r="CC53" s="98"/>
      <c r="CD53" s="102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1"/>
      <c r="CX53" s="101"/>
      <c r="CY53" s="101"/>
      <c r="CZ53" s="101"/>
      <c r="DA53" s="101"/>
      <c r="DB53" s="101"/>
      <c r="DC53" s="491"/>
      <c r="DD53" s="101"/>
      <c r="DE53" s="101"/>
      <c r="DF53" s="101"/>
      <c r="DG53" s="101"/>
      <c r="DH53" s="101"/>
      <c r="DI53" s="101"/>
      <c r="DJ53" s="101"/>
      <c r="DK53" s="101"/>
      <c r="DL53" s="101"/>
      <c r="DM53" s="101"/>
      <c r="DN53" s="101"/>
      <c r="DO53" s="101"/>
      <c r="DP53" s="101"/>
      <c r="DQ53" s="103"/>
      <c r="DR53" s="116"/>
      <c r="DS53" s="117"/>
      <c r="DT53" s="117"/>
      <c r="DU53" s="117"/>
      <c r="DV53" s="227"/>
      <c r="DW53" s="116"/>
      <c r="DX53" s="117"/>
      <c r="DY53" s="552"/>
      <c r="DZ53" s="552"/>
      <c r="EA53" s="567"/>
      <c r="EB53" s="489"/>
      <c r="EC53" s="567"/>
      <c r="ED53" s="424"/>
      <c r="EE53" s="424"/>
      <c r="EF53" s="118"/>
      <c r="EG53" s="119"/>
      <c r="EH53" s="117"/>
      <c r="EI53" s="117"/>
      <c r="EJ53" s="117"/>
      <c r="EK53" s="118"/>
      <c r="EL53" s="116"/>
      <c r="EM53" s="117"/>
      <c r="EN53" s="117"/>
      <c r="EO53" s="117"/>
      <c r="EP53" s="227"/>
      <c r="EQ53" s="117"/>
      <c r="ER53" s="117"/>
      <c r="ES53" s="117"/>
      <c r="ET53" s="117"/>
      <c r="EU53" s="117"/>
      <c r="EV53" s="117"/>
      <c r="EW53" s="117"/>
      <c r="EX53" s="117"/>
      <c r="EY53" s="117"/>
      <c r="EZ53" s="117"/>
      <c r="FA53" s="117"/>
      <c r="FB53" s="117"/>
      <c r="FC53" s="117"/>
      <c r="FD53" s="117"/>
      <c r="FE53" s="117"/>
      <c r="FF53" s="117"/>
      <c r="FG53" s="117"/>
      <c r="FH53" s="117"/>
      <c r="FI53" s="117"/>
      <c r="FJ53" s="101"/>
      <c r="FK53" s="117"/>
      <c r="FL53" s="117"/>
      <c r="FM53" s="117"/>
      <c r="FN53" s="117"/>
      <c r="FO53" s="117"/>
      <c r="FP53" s="491"/>
      <c r="FQ53" s="491"/>
      <c r="FR53" s="491"/>
      <c r="FS53" s="117"/>
      <c r="FT53" s="117"/>
      <c r="FU53" s="117"/>
      <c r="FV53" s="117"/>
      <c r="FW53" s="117"/>
      <c r="FX53" s="117"/>
      <c r="FY53" s="117"/>
      <c r="FZ53" s="117"/>
      <c r="GA53" s="117"/>
      <c r="GB53" s="117"/>
      <c r="GC53" s="117"/>
      <c r="GD53" s="491"/>
      <c r="GE53" s="491"/>
      <c r="GF53" s="117"/>
      <c r="GG53" s="117"/>
      <c r="GH53" s="117"/>
      <c r="GI53" s="491"/>
      <c r="GJ53" s="491"/>
      <c r="GK53" s="117"/>
      <c r="GL53" s="117"/>
      <c r="GM53" s="117"/>
      <c r="GN53" s="117"/>
      <c r="GO53" s="117"/>
      <c r="GP53" s="117"/>
      <c r="GQ53" s="117"/>
      <c r="GR53" s="117"/>
      <c r="GS53" s="117"/>
      <c r="GT53" s="117"/>
      <c r="GU53" s="117"/>
      <c r="GV53" s="117"/>
      <c r="GW53" s="117"/>
      <c r="GX53" s="117"/>
      <c r="GY53" s="227"/>
      <c r="GZ53" s="117"/>
      <c r="HA53" s="117"/>
      <c r="HB53" s="117"/>
      <c r="HC53" s="117"/>
      <c r="HD53" s="117"/>
      <c r="HE53" s="117"/>
      <c r="HF53" s="117"/>
      <c r="HG53" s="117"/>
      <c r="HH53" s="117"/>
      <c r="HI53" s="117"/>
      <c r="HJ53" s="117"/>
      <c r="HK53" s="117"/>
      <c r="HL53" s="117"/>
      <c r="HM53" s="117"/>
      <c r="HN53" s="117"/>
      <c r="HO53" s="117"/>
      <c r="HP53" s="117"/>
      <c r="HQ53" s="117"/>
      <c r="HR53" s="117"/>
      <c r="HS53" s="117"/>
      <c r="HT53" s="117"/>
      <c r="HU53" s="117"/>
      <c r="HV53" s="117"/>
      <c r="HW53" s="117"/>
      <c r="HX53" s="117"/>
      <c r="HY53" s="117"/>
      <c r="HZ53" s="117"/>
      <c r="IA53" s="117"/>
      <c r="IB53" s="117"/>
      <c r="IC53" s="117"/>
      <c r="ID53" s="117"/>
      <c r="IE53" s="117"/>
      <c r="IF53" s="117"/>
      <c r="IG53" s="491"/>
      <c r="IH53" s="491"/>
      <c r="II53" s="117"/>
      <c r="IJ53" s="117"/>
      <c r="IK53" s="117"/>
      <c r="IL53" s="117"/>
      <c r="IM53" s="117"/>
      <c r="IN53" s="117"/>
      <c r="IO53" s="117"/>
      <c r="IP53" s="117"/>
      <c r="IQ53" s="117"/>
      <c r="IR53" s="117"/>
      <c r="IS53" s="117"/>
      <c r="IT53" s="117"/>
      <c r="IU53" s="117"/>
      <c r="IV53" s="117"/>
      <c r="IW53" s="117"/>
      <c r="IX53" s="117"/>
      <c r="IY53" s="117"/>
      <c r="IZ53" s="117"/>
      <c r="JA53" s="117"/>
      <c r="JB53" s="117"/>
      <c r="JC53" s="117"/>
      <c r="JD53" s="117"/>
      <c r="JE53" s="117"/>
      <c r="JF53" s="117"/>
      <c r="JG53" s="117"/>
      <c r="JH53" s="117"/>
      <c r="JI53" s="117"/>
      <c r="JJ53" s="117"/>
      <c r="JK53" s="117"/>
      <c r="JL53" s="117"/>
      <c r="JM53" s="117"/>
      <c r="JN53" s="117"/>
      <c r="JO53" s="117"/>
      <c r="JP53" s="491"/>
      <c r="JQ53" s="491"/>
      <c r="JR53" s="117"/>
      <c r="JS53" s="117"/>
      <c r="JT53" s="117"/>
      <c r="JU53" s="117"/>
      <c r="JV53" s="117"/>
      <c r="JW53" s="117"/>
      <c r="JX53" s="117"/>
      <c r="JY53" s="491"/>
      <c r="JZ53" s="491"/>
      <c r="KA53" s="491"/>
      <c r="KB53" s="117"/>
      <c r="KC53" s="227"/>
      <c r="KD53" s="117"/>
      <c r="KE53" s="117"/>
      <c r="KF53" s="117"/>
      <c r="KG53" s="117"/>
      <c r="KH53" s="117"/>
      <c r="KI53" s="117"/>
      <c r="KJ53" s="117"/>
      <c r="KK53" s="117"/>
      <c r="KL53" s="508" t="s">
        <v>1064</v>
      </c>
      <c r="KM53" s="508" t="s">
        <v>1064</v>
      </c>
      <c r="KN53" s="508" t="s">
        <v>1064</v>
      </c>
      <c r="KO53" s="101"/>
      <c r="KP53" s="491"/>
      <c r="KQ53" s="491"/>
      <c r="KR53" s="117"/>
      <c r="KS53" s="117"/>
      <c r="KT53" s="117"/>
      <c r="KU53" s="117"/>
      <c r="KV53" s="117"/>
      <c r="KW53" s="117"/>
      <c r="KX53" s="117"/>
      <c r="KY53" s="117"/>
      <c r="KZ53" s="117"/>
      <c r="LA53" s="117"/>
      <c r="LB53" s="117"/>
      <c r="LC53" s="117"/>
      <c r="LD53" s="117"/>
      <c r="LE53" s="491"/>
      <c r="LF53" s="117"/>
      <c r="LG53" s="117"/>
      <c r="LH53" s="117"/>
      <c r="LI53" s="117"/>
      <c r="LJ53" s="117"/>
      <c r="LK53" s="117"/>
      <c r="LL53" s="117"/>
      <c r="LM53" s="117"/>
      <c r="LN53" s="117"/>
      <c r="LO53" s="117"/>
      <c r="LP53" s="117"/>
      <c r="LQ53" s="117"/>
      <c r="LR53" s="117"/>
      <c r="LS53" s="117"/>
      <c r="LT53" s="117"/>
    </row>
    <row r="54" spans="1:335" ht="24.95" customHeight="1">
      <c r="A54" s="1032"/>
      <c r="B54" s="130" t="s">
        <v>179</v>
      </c>
      <c r="C54" s="203">
        <v>1</v>
      </c>
      <c r="D54" s="203"/>
      <c r="E54" s="226" t="e">
        <f t="shared" si="5"/>
        <v>#DIV/0!</v>
      </c>
      <c r="F54" s="203"/>
      <c r="G54" s="130"/>
      <c r="H54" s="130"/>
      <c r="I54" s="130"/>
      <c r="J54" s="130"/>
      <c r="K54" s="130"/>
      <c r="L54" s="130"/>
      <c r="M54" s="130"/>
      <c r="N54" s="354"/>
      <c r="O54" s="187"/>
      <c r="P54" s="100"/>
      <c r="Q54" s="101"/>
      <c r="R54" s="101"/>
      <c r="S54" s="101"/>
      <c r="T54" s="103"/>
      <c r="U54" s="105" t="s">
        <v>437</v>
      </c>
      <c r="V54" s="106" t="s">
        <v>437</v>
      </c>
      <c r="W54" s="106" t="s">
        <v>437</v>
      </c>
      <c r="X54" s="106" t="s">
        <v>437</v>
      </c>
      <c r="Y54" s="107" t="s">
        <v>437</v>
      </c>
      <c r="Z54" s="102"/>
      <c r="AA54" s="101"/>
      <c r="AB54" s="101"/>
      <c r="AC54" s="101"/>
      <c r="AD54" s="98"/>
      <c r="AE54" s="281" t="s">
        <v>437</v>
      </c>
      <c r="AF54" s="106" t="s">
        <v>437</v>
      </c>
      <c r="AG54" s="106" t="s">
        <v>437</v>
      </c>
      <c r="AH54" s="106" t="s">
        <v>437</v>
      </c>
      <c r="AI54" s="106" t="s">
        <v>437</v>
      </c>
      <c r="AJ54" s="100"/>
      <c r="AK54" s="101"/>
      <c r="AL54" s="101"/>
      <c r="AM54" s="101"/>
      <c r="AN54" s="98"/>
      <c r="AO54" s="100"/>
      <c r="AP54" s="101"/>
      <c r="AQ54" s="101"/>
      <c r="AR54" s="101"/>
      <c r="AS54" s="98"/>
      <c r="AT54" s="100"/>
      <c r="AU54" s="101"/>
      <c r="AV54" s="101"/>
      <c r="AW54" s="101"/>
      <c r="AX54" s="103" t="s">
        <v>244</v>
      </c>
      <c r="AY54" s="100"/>
      <c r="AZ54" s="101"/>
      <c r="BA54" s="101"/>
      <c r="BB54" s="101"/>
      <c r="BC54" s="98"/>
      <c r="BD54" s="102"/>
      <c r="BE54" s="104"/>
      <c r="BF54" s="104"/>
      <c r="BG54" s="104"/>
      <c r="BH54" s="104"/>
      <c r="BI54" s="392"/>
      <c r="BJ54" s="102"/>
      <c r="BK54" s="101"/>
      <c r="BL54" s="101"/>
      <c r="BM54" s="101" t="s">
        <v>244</v>
      </c>
      <c r="BN54" s="103" t="s">
        <v>244</v>
      </c>
      <c r="BO54" s="116"/>
      <c r="BP54" s="117"/>
      <c r="BQ54" s="117"/>
      <c r="BR54" s="101"/>
      <c r="BS54" s="98"/>
      <c r="BT54" s="100"/>
      <c r="BU54" s="101"/>
      <c r="BV54" s="103"/>
      <c r="BW54" s="101"/>
      <c r="BX54" s="98"/>
      <c r="BY54" s="102"/>
      <c r="BZ54" s="101"/>
      <c r="CA54" s="101"/>
      <c r="CB54" s="101"/>
      <c r="CC54" s="98"/>
      <c r="CD54" s="102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  <c r="CS54" s="101"/>
      <c r="CT54" s="101"/>
      <c r="CU54" s="101"/>
      <c r="CV54" s="101"/>
      <c r="CW54" s="101"/>
      <c r="CX54" s="101"/>
      <c r="CY54" s="101"/>
      <c r="CZ54" s="101"/>
      <c r="DA54" s="101"/>
      <c r="DB54" s="101"/>
      <c r="DC54" s="491"/>
      <c r="DD54" s="101"/>
      <c r="DE54" s="101"/>
      <c r="DF54" s="101"/>
      <c r="DG54" s="101"/>
      <c r="DH54" s="101"/>
      <c r="DI54" s="101"/>
      <c r="DJ54" s="101"/>
      <c r="DK54" s="101"/>
      <c r="DL54" s="101"/>
      <c r="DM54" s="101"/>
      <c r="DN54" s="101"/>
      <c r="DO54" s="101"/>
      <c r="DP54" s="101"/>
      <c r="DQ54" s="103"/>
      <c r="DR54" s="116"/>
      <c r="DS54" s="117"/>
      <c r="DT54" s="117"/>
      <c r="DU54" s="117"/>
      <c r="DV54" s="227"/>
      <c r="DW54" s="116"/>
      <c r="DX54" s="117"/>
      <c r="DY54" s="117"/>
      <c r="DZ54" s="117"/>
      <c r="EA54" s="227"/>
      <c r="EB54" s="489"/>
      <c r="EC54" s="117"/>
      <c r="ED54" s="117"/>
      <c r="EE54" s="117"/>
      <c r="EF54" s="118"/>
      <c r="EG54" s="119"/>
      <c r="EH54" s="117"/>
      <c r="EI54" s="117"/>
      <c r="EJ54" s="117"/>
      <c r="EK54" s="118"/>
      <c r="EL54" s="116"/>
      <c r="EM54" s="117"/>
      <c r="EN54" s="117"/>
      <c r="EO54" s="117"/>
      <c r="EP54" s="227"/>
      <c r="EQ54" s="117"/>
      <c r="ER54" s="117"/>
      <c r="ES54" s="117"/>
      <c r="ET54" s="117"/>
      <c r="EU54" s="117"/>
      <c r="EV54" s="117"/>
      <c r="EW54" s="117"/>
      <c r="EX54" s="117"/>
      <c r="EY54" s="117"/>
      <c r="EZ54" s="117"/>
      <c r="FA54" s="117"/>
      <c r="FB54" s="117"/>
      <c r="FC54" s="117"/>
      <c r="FD54" s="117"/>
      <c r="FE54" s="117"/>
      <c r="FF54" s="117"/>
      <c r="FG54" s="117"/>
      <c r="FH54" s="117"/>
      <c r="FI54" s="117"/>
      <c r="FJ54" s="101"/>
      <c r="FK54" s="117"/>
      <c r="FL54" s="117"/>
      <c r="FM54" s="117"/>
      <c r="FN54" s="117"/>
      <c r="FO54" s="117"/>
      <c r="FP54" s="491"/>
      <c r="FQ54" s="491"/>
      <c r="FR54" s="491"/>
      <c r="FS54" s="117"/>
      <c r="FT54" s="117"/>
      <c r="FU54" s="117"/>
      <c r="FV54" s="117"/>
      <c r="FW54" s="117"/>
      <c r="FX54" s="117"/>
      <c r="FY54" s="117"/>
      <c r="FZ54" s="117"/>
      <c r="GA54" s="117"/>
      <c r="GB54" s="117"/>
      <c r="GC54" s="117"/>
      <c r="GD54" s="491"/>
      <c r="GE54" s="491"/>
      <c r="GF54" s="117"/>
      <c r="GG54" s="117"/>
      <c r="GH54" s="117"/>
      <c r="GI54" s="491"/>
      <c r="GJ54" s="491"/>
      <c r="GK54" s="117"/>
      <c r="GL54" s="117"/>
      <c r="GM54" s="117"/>
      <c r="GN54" s="117"/>
      <c r="GO54" s="117"/>
      <c r="GP54" s="117"/>
      <c r="GQ54" s="117"/>
      <c r="GR54" s="117"/>
      <c r="GS54" s="117"/>
      <c r="GT54" s="117"/>
      <c r="GU54" s="117"/>
      <c r="GV54" s="117"/>
      <c r="GW54" s="117"/>
      <c r="GX54" s="117"/>
      <c r="GY54" s="227"/>
      <c r="GZ54" s="117"/>
      <c r="HA54" s="117"/>
      <c r="HB54" s="117"/>
      <c r="HC54" s="117"/>
      <c r="HD54" s="117"/>
      <c r="HE54" s="117"/>
      <c r="HF54" s="117"/>
      <c r="HG54" s="117"/>
      <c r="HH54" s="117"/>
      <c r="HI54" s="117"/>
      <c r="HJ54" s="117"/>
      <c r="HK54" s="117"/>
      <c r="HL54" s="117"/>
      <c r="HM54" s="117"/>
      <c r="HN54" s="117"/>
      <c r="HO54" s="117"/>
      <c r="HP54" s="117"/>
      <c r="HQ54" s="117"/>
      <c r="HR54" s="117"/>
      <c r="HS54" s="117"/>
      <c r="HT54" s="117"/>
      <c r="HU54" s="117"/>
      <c r="HV54" s="117"/>
      <c r="HW54" s="117"/>
      <c r="HX54" s="117"/>
      <c r="HY54" s="117"/>
      <c r="HZ54" s="117"/>
      <c r="IA54" s="117"/>
      <c r="IB54" s="117"/>
      <c r="IC54" s="117"/>
      <c r="ID54" s="117"/>
      <c r="IE54" s="117"/>
      <c r="IF54" s="117"/>
      <c r="IG54" s="491"/>
      <c r="IH54" s="491"/>
      <c r="II54" s="117"/>
      <c r="IJ54" s="117"/>
      <c r="IK54" s="117"/>
      <c r="IL54" s="117"/>
      <c r="IM54" s="117"/>
      <c r="IN54" s="117"/>
      <c r="IO54" s="117"/>
      <c r="IP54" s="117"/>
      <c r="IQ54" s="117"/>
      <c r="IR54" s="117"/>
      <c r="IS54" s="117"/>
      <c r="IT54" s="117"/>
      <c r="IU54" s="117"/>
      <c r="IV54" s="117"/>
      <c r="IW54" s="117"/>
      <c r="IX54" s="117"/>
      <c r="IY54" s="117"/>
      <c r="IZ54" s="117"/>
      <c r="JA54" s="117"/>
      <c r="JB54" s="117"/>
      <c r="JC54" s="117"/>
      <c r="JD54" s="117"/>
      <c r="JE54" s="117"/>
      <c r="JF54" s="117"/>
      <c r="JG54" s="117"/>
      <c r="JH54" s="117"/>
      <c r="JI54" s="117"/>
      <c r="JJ54" s="117"/>
      <c r="JK54" s="117"/>
      <c r="JL54" s="117"/>
      <c r="JM54" s="117"/>
      <c r="JN54" s="117"/>
      <c r="JO54" s="117"/>
      <c r="JP54" s="491"/>
      <c r="JQ54" s="491"/>
      <c r="JR54" s="117"/>
      <c r="JS54" s="117"/>
      <c r="JT54" s="117"/>
      <c r="JU54" s="117"/>
      <c r="JV54" s="117"/>
      <c r="JW54" s="117"/>
      <c r="JX54" s="117"/>
      <c r="JY54" s="491"/>
      <c r="JZ54" s="491"/>
      <c r="KA54" s="491"/>
      <c r="KB54" s="117"/>
      <c r="KC54" s="227"/>
      <c r="KD54" s="117"/>
      <c r="KE54" s="117"/>
      <c r="KF54" s="117"/>
      <c r="KG54" s="117"/>
      <c r="KH54" s="117"/>
      <c r="KI54" s="117"/>
      <c r="KJ54" s="117"/>
      <c r="KK54" s="117"/>
      <c r="KL54" s="117"/>
      <c r="KM54" s="117"/>
      <c r="KN54" s="117"/>
      <c r="KO54" s="117"/>
      <c r="KP54" s="491"/>
      <c r="KQ54" s="491"/>
      <c r="KR54" s="117"/>
      <c r="KS54" s="117"/>
      <c r="KT54" s="117"/>
      <c r="KU54" s="117"/>
      <c r="KV54" s="117"/>
      <c r="KW54" s="117"/>
      <c r="KX54" s="117"/>
      <c r="KY54" s="117"/>
      <c r="KZ54" s="117"/>
      <c r="LA54" s="117"/>
      <c r="LB54" s="117"/>
      <c r="LC54" s="117"/>
      <c r="LD54" s="117"/>
      <c r="LE54" s="491"/>
      <c r="LF54" s="117"/>
      <c r="LG54" s="117"/>
      <c r="LH54" s="117"/>
      <c r="LI54" s="117"/>
      <c r="LJ54" s="117"/>
      <c r="LK54" s="117"/>
      <c r="LL54" s="117"/>
      <c r="LM54" s="117"/>
      <c r="LN54" s="117"/>
      <c r="LO54" s="117"/>
      <c r="LP54" s="117"/>
      <c r="LQ54" s="117"/>
      <c r="LR54" s="117"/>
      <c r="LS54" s="117"/>
      <c r="LT54" s="117"/>
    </row>
    <row r="55" spans="1:335" ht="24.95" customHeight="1">
      <c r="A55" s="1032"/>
      <c r="B55" s="130" t="s">
        <v>180</v>
      </c>
      <c r="C55" s="203">
        <v>1</v>
      </c>
      <c r="D55" s="203"/>
      <c r="E55" s="226" t="e">
        <f t="shared" si="5"/>
        <v>#DIV/0!</v>
      </c>
      <c r="F55" s="203"/>
      <c r="G55" s="130"/>
      <c r="H55" s="130"/>
      <c r="I55" s="130"/>
      <c r="J55" s="130"/>
      <c r="K55" s="130"/>
      <c r="L55" s="130"/>
      <c r="M55" s="130"/>
      <c r="N55" s="354"/>
      <c r="O55" s="187"/>
      <c r="P55" s="100"/>
      <c r="Q55" s="101"/>
      <c r="R55" s="101"/>
      <c r="S55" s="101"/>
      <c r="T55" s="103"/>
      <c r="U55" s="105" t="s">
        <v>437</v>
      </c>
      <c r="V55" s="106" t="s">
        <v>437</v>
      </c>
      <c r="W55" s="106" t="s">
        <v>437</v>
      </c>
      <c r="X55" s="106" t="s">
        <v>437</v>
      </c>
      <c r="Y55" s="107" t="s">
        <v>437</v>
      </c>
      <c r="Z55" s="102"/>
      <c r="AA55" s="101"/>
      <c r="AB55" s="101"/>
      <c r="AC55" s="101"/>
      <c r="AD55" s="98"/>
      <c r="AE55" s="281" t="s">
        <v>437</v>
      </c>
      <c r="AF55" s="106" t="s">
        <v>437</v>
      </c>
      <c r="AG55" s="106" t="s">
        <v>437</v>
      </c>
      <c r="AH55" s="106" t="s">
        <v>437</v>
      </c>
      <c r="AI55" s="106" t="s">
        <v>437</v>
      </c>
      <c r="AJ55" s="100"/>
      <c r="AK55" s="101"/>
      <c r="AL55" s="101"/>
      <c r="AM55" s="101"/>
      <c r="AN55" s="98"/>
      <c r="AO55" s="100"/>
      <c r="AP55" s="101"/>
      <c r="AQ55" s="101"/>
      <c r="AR55" s="101"/>
      <c r="AS55" s="98"/>
      <c r="AT55" s="100"/>
      <c r="AU55" s="101"/>
      <c r="AV55" s="101"/>
      <c r="AW55" s="101"/>
      <c r="AX55" s="103" t="s">
        <v>244</v>
      </c>
      <c r="AY55" s="100"/>
      <c r="AZ55" s="101"/>
      <c r="BA55" s="101"/>
      <c r="BB55" s="101"/>
      <c r="BC55" s="98"/>
      <c r="BD55" s="102"/>
      <c r="BE55" s="104"/>
      <c r="BF55" s="104"/>
      <c r="BG55" s="104"/>
      <c r="BH55" s="104"/>
      <c r="BI55" s="392"/>
      <c r="BJ55" s="102"/>
      <c r="BK55" s="101"/>
      <c r="BL55" s="101"/>
      <c r="BM55" s="101" t="s">
        <v>244</v>
      </c>
      <c r="BN55" s="103" t="s">
        <v>244</v>
      </c>
      <c r="BO55" s="116"/>
      <c r="BP55" s="117"/>
      <c r="BQ55" s="117"/>
      <c r="BR55" s="101"/>
      <c r="BS55" s="98"/>
      <c r="BT55" s="100"/>
      <c r="BU55" s="101"/>
      <c r="BV55" s="103"/>
      <c r="BW55" s="101"/>
      <c r="BX55" s="98"/>
      <c r="BY55" s="102"/>
      <c r="BZ55" s="101"/>
      <c r="CA55" s="101"/>
      <c r="CB55" s="101"/>
      <c r="CC55" s="98"/>
      <c r="CD55" s="102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491"/>
      <c r="DD55" s="101"/>
      <c r="DE55" s="101"/>
      <c r="DF55" s="101"/>
      <c r="DG55" s="101"/>
      <c r="DH55" s="101"/>
      <c r="DI55" s="101"/>
      <c r="DJ55" s="101"/>
      <c r="DK55" s="101"/>
      <c r="DL55" s="101"/>
      <c r="DM55" s="101"/>
      <c r="DN55" s="101"/>
      <c r="DO55" s="101"/>
      <c r="DP55" s="101"/>
      <c r="DQ55" s="103"/>
      <c r="DR55" s="116"/>
      <c r="DS55" s="117"/>
      <c r="DT55" s="117"/>
      <c r="DU55" s="117"/>
      <c r="DV55" s="227"/>
      <c r="DW55" s="116"/>
      <c r="DX55" s="117"/>
      <c r="DY55" s="117"/>
      <c r="DZ55" s="117"/>
      <c r="EA55" s="227"/>
      <c r="EB55" s="489"/>
      <c r="EC55" s="117"/>
      <c r="ED55" s="117"/>
      <c r="EE55" s="117"/>
      <c r="EF55" s="118"/>
      <c r="EG55" s="119"/>
      <c r="EH55" s="117"/>
      <c r="EI55" s="117"/>
      <c r="EJ55" s="117"/>
      <c r="EK55" s="118"/>
      <c r="EL55" s="116"/>
      <c r="EM55" s="117"/>
      <c r="EN55" s="117"/>
      <c r="EO55" s="117"/>
      <c r="EP55" s="227"/>
      <c r="EQ55" s="117"/>
      <c r="ER55" s="117"/>
      <c r="ES55" s="117"/>
      <c r="ET55" s="117"/>
      <c r="EU55" s="117"/>
      <c r="EV55" s="117"/>
      <c r="EW55" s="117"/>
      <c r="EX55" s="117"/>
      <c r="EY55" s="117"/>
      <c r="EZ55" s="117"/>
      <c r="FA55" s="117"/>
      <c r="FB55" s="117"/>
      <c r="FC55" s="117"/>
      <c r="FD55" s="117"/>
      <c r="FE55" s="117"/>
      <c r="FF55" s="117"/>
      <c r="FG55" s="117"/>
      <c r="FH55" s="117"/>
      <c r="FI55" s="117"/>
      <c r="FJ55" s="101"/>
      <c r="FK55" s="117"/>
      <c r="FL55" s="117"/>
      <c r="FM55" s="117"/>
      <c r="FN55" s="117"/>
      <c r="FO55" s="117"/>
      <c r="FP55" s="491"/>
      <c r="FQ55" s="491"/>
      <c r="FR55" s="491"/>
      <c r="FS55" s="117"/>
      <c r="FT55" s="117"/>
      <c r="FU55" s="117"/>
      <c r="FV55" s="117"/>
      <c r="FW55" s="117"/>
      <c r="FX55" s="117"/>
      <c r="FY55" s="117"/>
      <c r="FZ55" s="117"/>
      <c r="GA55" s="117"/>
      <c r="GB55" s="117"/>
      <c r="GC55" s="117"/>
      <c r="GD55" s="491"/>
      <c r="GE55" s="491"/>
      <c r="GF55" s="117"/>
      <c r="GG55" s="117"/>
      <c r="GH55" s="117"/>
      <c r="GI55" s="491"/>
      <c r="GJ55" s="491"/>
      <c r="GK55" s="117"/>
      <c r="GL55" s="117"/>
      <c r="GM55" s="117"/>
      <c r="GN55" s="117"/>
      <c r="GO55" s="117"/>
      <c r="GP55" s="117"/>
      <c r="GQ55" s="117"/>
      <c r="GR55" s="117"/>
      <c r="GS55" s="117"/>
      <c r="GT55" s="117"/>
      <c r="GU55" s="117"/>
      <c r="GV55" s="117"/>
      <c r="GW55" s="117"/>
      <c r="GX55" s="117"/>
      <c r="GY55" s="227"/>
      <c r="GZ55" s="117"/>
      <c r="HA55" s="117"/>
      <c r="HB55" s="117"/>
      <c r="HC55" s="117"/>
      <c r="HD55" s="117"/>
      <c r="HE55" s="117"/>
      <c r="HF55" s="117"/>
      <c r="HG55" s="117"/>
      <c r="HH55" s="117"/>
      <c r="HI55" s="117"/>
      <c r="HJ55" s="117"/>
      <c r="HK55" s="117"/>
      <c r="HL55" s="117"/>
      <c r="HM55" s="117"/>
      <c r="HN55" s="117"/>
      <c r="HO55" s="117"/>
      <c r="HP55" s="117"/>
      <c r="HQ55" s="117"/>
      <c r="HR55" s="117"/>
      <c r="HS55" s="117"/>
      <c r="HT55" s="117"/>
      <c r="HU55" s="117"/>
      <c r="HV55" s="117"/>
      <c r="HW55" s="117"/>
      <c r="HX55" s="117"/>
      <c r="HY55" s="117"/>
      <c r="HZ55" s="117"/>
      <c r="IA55" s="117"/>
      <c r="IB55" s="117"/>
      <c r="IC55" s="117"/>
      <c r="ID55" s="117"/>
      <c r="IE55" s="117"/>
      <c r="IF55" s="117"/>
      <c r="IG55" s="491"/>
      <c r="IH55" s="491"/>
      <c r="II55" s="117"/>
      <c r="IJ55" s="117"/>
      <c r="IK55" s="117"/>
      <c r="IL55" s="117"/>
      <c r="IM55" s="117"/>
      <c r="IN55" s="117"/>
      <c r="IO55" s="117"/>
      <c r="IP55" s="117"/>
      <c r="IQ55" s="117"/>
      <c r="IR55" s="117"/>
      <c r="IS55" s="117"/>
      <c r="IT55" s="117"/>
      <c r="IU55" s="117"/>
      <c r="IV55" s="117"/>
      <c r="IW55" s="117"/>
      <c r="IX55" s="117"/>
      <c r="IY55" s="117"/>
      <c r="IZ55" s="117"/>
      <c r="JA55" s="117"/>
      <c r="JB55" s="117"/>
      <c r="JC55" s="117"/>
      <c r="JD55" s="117"/>
      <c r="JE55" s="117"/>
      <c r="JF55" s="117"/>
      <c r="JG55" s="117"/>
      <c r="JH55" s="117"/>
      <c r="JI55" s="117"/>
      <c r="JJ55" s="117"/>
      <c r="JK55" s="117"/>
      <c r="JL55" s="117"/>
      <c r="JM55" s="117"/>
      <c r="JN55" s="117"/>
      <c r="JO55" s="117"/>
      <c r="JP55" s="491"/>
      <c r="JQ55" s="491"/>
      <c r="JR55" s="117"/>
      <c r="JS55" s="117"/>
      <c r="JT55" s="117"/>
      <c r="JU55" s="117"/>
      <c r="JV55" s="117"/>
      <c r="JW55" s="117"/>
      <c r="JX55" s="117"/>
      <c r="JY55" s="491"/>
      <c r="JZ55" s="491"/>
      <c r="KA55" s="491"/>
      <c r="KB55" s="117"/>
      <c r="KC55" s="227"/>
      <c r="KD55" s="117"/>
      <c r="KE55" s="117"/>
      <c r="KF55" s="117"/>
      <c r="KG55" s="117"/>
      <c r="KH55" s="117"/>
      <c r="KI55" s="117"/>
      <c r="KJ55" s="117"/>
      <c r="KK55" s="117"/>
      <c r="KL55" s="117"/>
      <c r="KM55" s="117"/>
      <c r="KN55" s="117"/>
      <c r="KO55" s="117"/>
      <c r="KP55" s="491"/>
      <c r="KQ55" s="491"/>
      <c r="KR55" s="117"/>
      <c r="KS55" s="117"/>
      <c r="KT55" s="117"/>
      <c r="KU55" s="117"/>
      <c r="KV55" s="117"/>
      <c r="KW55" s="117"/>
      <c r="KX55" s="117"/>
      <c r="KY55" s="117"/>
      <c r="KZ55" s="117"/>
      <c r="LA55" s="117"/>
      <c r="LB55" s="117"/>
      <c r="LC55" s="117"/>
      <c r="LD55" s="117"/>
      <c r="LE55" s="491"/>
      <c r="LF55" s="117"/>
      <c r="LG55" s="117"/>
      <c r="LH55" s="117"/>
      <c r="LI55" s="117"/>
      <c r="LJ55" s="117"/>
      <c r="LK55" s="117"/>
      <c r="LL55" s="117"/>
      <c r="LM55" s="117"/>
      <c r="LN55" s="117"/>
      <c r="LO55" s="117"/>
      <c r="LP55" s="117"/>
      <c r="LQ55" s="117"/>
      <c r="LR55" s="117"/>
      <c r="LS55" s="117"/>
      <c r="LT55" s="117"/>
    </row>
    <row r="56" spans="1:335" ht="24.95" customHeight="1">
      <c r="A56" s="1032"/>
      <c r="B56" s="130" t="s">
        <v>181</v>
      </c>
      <c r="C56" s="203">
        <v>1</v>
      </c>
      <c r="D56" s="203"/>
      <c r="E56" s="226" t="e">
        <f t="shared" si="5"/>
        <v>#DIV/0!</v>
      </c>
      <c r="F56" s="203"/>
      <c r="G56" s="130"/>
      <c r="H56" s="130"/>
      <c r="I56" s="130"/>
      <c r="J56" s="130"/>
      <c r="K56" s="130"/>
      <c r="L56" s="130"/>
      <c r="M56" s="130"/>
      <c r="N56" s="354"/>
      <c r="O56" s="187"/>
      <c r="P56" s="100"/>
      <c r="Q56" s="101"/>
      <c r="R56" s="101"/>
      <c r="S56" s="101"/>
      <c r="T56" s="103"/>
      <c r="U56" s="105" t="s">
        <v>437</v>
      </c>
      <c r="V56" s="106" t="s">
        <v>437</v>
      </c>
      <c r="W56" s="106" t="s">
        <v>437</v>
      </c>
      <c r="X56" s="106" t="s">
        <v>437</v>
      </c>
      <c r="Y56" s="107" t="s">
        <v>437</v>
      </c>
      <c r="Z56" s="102"/>
      <c r="AA56" s="101"/>
      <c r="AB56" s="101"/>
      <c r="AC56" s="101"/>
      <c r="AD56" s="98"/>
      <c r="AE56" s="281" t="s">
        <v>437</v>
      </c>
      <c r="AF56" s="106" t="s">
        <v>437</v>
      </c>
      <c r="AG56" s="106" t="s">
        <v>437</v>
      </c>
      <c r="AH56" s="106" t="s">
        <v>437</v>
      </c>
      <c r="AI56" s="106" t="s">
        <v>437</v>
      </c>
      <c r="AJ56" s="100"/>
      <c r="AK56" s="101"/>
      <c r="AL56" s="101"/>
      <c r="AM56" s="101"/>
      <c r="AN56" s="98"/>
      <c r="AO56" s="100"/>
      <c r="AP56" s="101"/>
      <c r="AQ56" s="101"/>
      <c r="AR56" s="101"/>
      <c r="AS56" s="98"/>
      <c r="AT56" s="100"/>
      <c r="AU56" s="101"/>
      <c r="AV56" s="101"/>
      <c r="AW56" s="101"/>
      <c r="AX56" s="103" t="s">
        <v>244</v>
      </c>
      <c r="AY56" s="100"/>
      <c r="AZ56" s="101"/>
      <c r="BA56" s="101"/>
      <c r="BB56" s="101"/>
      <c r="BC56" s="98"/>
      <c r="BD56" s="102"/>
      <c r="BE56" s="104"/>
      <c r="BF56" s="104"/>
      <c r="BG56" s="104"/>
      <c r="BH56" s="104"/>
      <c r="BI56" s="392"/>
      <c r="BM56" s="101" t="s">
        <v>244</v>
      </c>
      <c r="BN56" s="103" t="s">
        <v>244</v>
      </c>
      <c r="BO56" s="116"/>
      <c r="BP56" s="117"/>
      <c r="BQ56" s="117"/>
      <c r="BR56" s="101"/>
      <c r="BS56" s="98"/>
      <c r="BT56" s="100"/>
      <c r="BU56" s="101"/>
      <c r="BV56" s="103"/>
      <c r="BW56" s="242"/>
      <c r="BX56" s="426"/>
      <c r="BY56" s="102"/>
      <c r="BZ56" s="101"/>
      <c r="CA56" s="101"/>
      <c r="CB56" s="101"/>
      <c r="CC56" s="98"/>
      <c r="CD56" s="102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  <c r="CU56" s="101"/>
      <c r="CV56" s="101"/>
      <c r="CW56" s="101"/>
      <c r="CX56" s="101"/>
      <c r="CY56" s="101"/>
      <c r="CZ56" s="101"/>
      <c r="DA56" s="101"/>
      <c r="DB56" s="101"/>
      <c r="DC56" s="491"/>
      <c r="DD56" s="101"/>
      <c r="DE56" s="101"/>
      <c r="DF56" s="101"/>
      <c r="DG56" s="101"/>
      <c r="DH56" s="101"/>
      <c r="DI56" s="101"/>
      <c r="DJ56" s="101"/>
      <c r="DK56" s="101"/>
      <c r="DL56" s="101"/>
      <c r="DM56" s="101"/>
      <c r="DN56" s="101"/>
      <c r="DO56" s="101"/>
      <c r="DP56" s="101"/>
      <c r="DQ56" s="103"/>
      <c r="DR56" s="116"/>
      <c r="DS56" s="117"/>
      <c r="DT56" s="117"/>
      <c r="DU56" s="117"/>
      <c r="DV56" s="227"/>
      <c r="DW56" s="116"/>
      <c r="DX56" s="117"/>
      <c r="DY56" s="117"/>
      <c r="DZ56" s="117"/>
      <c r="EA56" s="227"/>
      <c r="EB56" s="489"/>
      <c r="EC56" s="117"/>
      <c r="ED56" s="117"/>
      <c r="EE56" s="117"/>
      <c r="EF56" s="118"/>
      <c r="EG56" s="119"/>
      <c r="EH56" s="117"/>
      <c r="EI56" s="117"/>
      <c r="EJ56" s="117"/>
      <c r="EK56" s="118"/>
      <c r="EL56" s="116"/>
      <c r="EM56" s="117"/>
      <c r="EN56" s="117"/>
      <c r="EO56" s="117"/>
      <c r="EP56" s="227"/>
      <c r="EQ56" s="117"/>
      <c r="ER56" s="117"/>
      <c r="ES56" s="117"/>
      <c r="ET56" s="117"/>
      <c r="EU56" s="117"/>
      <c r="EV56" s="117"/>
      <c r="EW56" s="117"/>
      <c r="EX56" s="117"/>
      <c r="EY56" s="117"/>
      <c r="EZ56" s="117"/>
      <c r="FA56" s="117"/>
      <c r="FB56" s="117"/>
      <c r="FC56" s="117"/>
      <c r="FD56" s="117"/>
      <c r="FE56" s="117"/>
      <c r="FF56" s="117"/>
      <c r="FG56" s="117"/>
      <c r="FH56" s="117"/>
      <c r="FI56" s="117"/>
      <c r="FJ56" s="101"/>
      <c r="FK56" s="117"/>
      <c r="FL56" s="117"/>
      <c r="FM56" s="117"/>
      <c r="FN56" s="117"/>
      <c r="FO56" s="117"/>
      <c r="FP56" s="491"/>
      <c r="FQ56" s="491"/>
      <c r="FR56" s="491"/>
      <c r="FS56" s="117"/>
      <c r="FT56" s="117"/>
      <c r="FU56" s="117"/>
      <c r="FV56" s="117"/>
      <c r="FW56" s="117"/>
      <c r="FX56" s="117"/>
      <c r="FY56" s="117"/>
      <c r="FZ56" s="117"/>
      <c r="GA56" s="117"/>
      <c r="GB56" s="117"/>
      <c r="GC56" s="117"/>
      <c r="GD56" s="491"/>
      <c r="GE56" s="491"/>
      <c r="GF56" s="117"/>
      <c r="GG56" s="117"/>
      <c r="GH56" s="117"/>
      <c r="GI56" s="491"/>
      <c r="GJ56" s="491"/>
      <c r="GK56" s="117"/>
      <c r="GL56" s="117"/>
      <c r="GM56" s="117"/>
      <c r="GN56" s="117"/>
      <c r="GO56" s="117"/>
      <c r="GP56" s="117"/>
      <c r="GQ56" s="117"/>
      <c r="GR56" s="117"/>
      <c r="GS56" s="117"/>
      <c r="GT56" s="117"/>
      <c r="GU56" s="117"/>
      <c r="GV56" s="117"/>
      <c r="GW56" s="117"/>
      <c r="GX56" s="117"/>
      <c r="GY56" s="227"/>
      <c r="GZ56" s="117"/>
      <c r="HA56" s="117"/>
      <c r="HB56" s="117"/>
      <c r="HC56" s="117"/>
      <c r="HD56" s="117"/>
      <c r="HE56" s="117"/>
      <c r="HF56" s="117"/>
      <c r="HG56" s="117"/>
      <c r="HH56" s="117"/>
      <c r="HI56" s="117"/>
      <c r="HJ56" s="117"/>
      <c r="HK56" s="117"/>
      <c r="HL56" s="117"/>
      <c r="HM56" s="117"/>
      <c r="HN56" s="117"/>
      <c r="HO56" s="117"/>
      <c r="HP56" s="117"/>
      <c r="HQ56" s="117"/>
      <c r="HR56" s="117"/>
      <c r="HS56" s="117"/>
      <c r="HT56" s="117"/>
      <c r="HU56" s="117"/>
      <c r="HV56" s="117"/>
      <c r="HW56" s="117"/>
      <c r="HX56" s="117"/>
      <c r="HY56" s="117"/>
      <c r="HZ56" s="117"/>
      <c r="IA56" s="117"/>
      <c r="IB56" s="117"/>
      <c r="IC56" s="117"/>
      <c r="ID56" s="117"/>
      <c r="IE56" s="117"/>
      <c r="IF56" s="117"/>
      <c r="IG56" s="491"/>
      <c r="IH56" s="491"/>
      <c r="II56" s="117"/>
      <c r="IJ56" s="117"/>
      <c r="IK56" s="117"/>
      <c r="IL56" s="117"/>
      <c r="IM56" s="117"/>
      <c r="IN56" s="117"/>
      <c r="IO56" s="117"/>
      <c r="IP56" s="117"/>
      <c r="IQ56" s="117"/>
      <c r="IR56" s="117"/>
      <c r="IS56" s="117"/>
      <c r="IT56" s="117"/>
      <c r="IU56" s="117"/>
      <c r="IV56" s="117"/>
      <c r="IW56" s="117"/>
      <c r="IX56" s="117"/>
      <c r="IY56" s="117"/>
      <c r="IZ56" s="117"/>
      <c r="JA56" s="117"/>
      <c r="JB56" s="117"/>
      <c r="JC56" s="117"/>
      <c r="JD56" s="117"/>
      <c r="JE56" s="117"/>
      <c r="JF56" s="117"/>
      <c r="JG56" s="117"/>
      <c r="JH56" s="117"/>
      <c r="JI56" s="117"/>
      <c r="JJ56" s="117"/>
      <c r="JK56" s="117"/>
      <c r="JL56" s="117"/>
      <c r="JM56" s="117"/>
      <c r="JN56" s="117"/>
      <c r="JO56" s="117"/>
      <c r="JP56" s="491"/>
      <c r="JQ56" s="491"/>
      <c r="JR56" s="117"/>
      <c r="JS56" s="117"/>
      <c r="JT56" s="117"/>
      <c r="JU56" s="117"/>
      <c r="JV56" s="117"/>
      <c r="JW56" s="117"/>
      <c r="JX56" s="117"/>
      <c r="JY56" s="491"/>
      <c r="JZ56" s="491"/>
      <c r="KA56" s="491"/>
      <c r="KB56" s="117"/>
      <c r="KC56" s="227"/>
      <c r="KD56" s="117"/>
      <c r="KE56" s="117"/>
      <c r="KF56" s="117"/>
      <c r="KG56" s="117"/>
      <c r="KH56" s="117"/>
      <c r="KI56" s="117"/>
      <c r="KJ56" s="117"/>
      <c r="KK56" s="117"/>
      <c r="KL56" s="117"/>
      <c r="KM56" s="117"/>
      <c r="KN56" s="117"/>
      <c r="KO56" s="117"/>
      <c r="KP56" s="491"/>
      <c r="KQ56" s="491"/>
      <c r="KR56" s="117"/>
      <c r="KS56" s="117"/>
      <c r="KT56" s="117"/>
      <c r="KU56" s="117"/>
      <c r="KV56" s="117"/>
      <c r="KW56" s="117"/>
      <c r="KX56" s="117"/>
      <c r="KY56" s="117"/>
      <c r="KZ56" s="117"/>
      <c r="LA56" s="117"/>
      <c r="LB56" s="117"/>
      <c r="LC56" s="117"/>
      <c r="LD56" s="117"/>
      <c r="LE56" s="491"/>
      <c r="LF56" s="117"/>
      <c r="LG56" s="117"/>
      <c r="LH56" s="117"/>
      <c r="LI56" s="117"/>
      <c r="LJ56" s="117"/>
      <c r="LK56" s="117"/>
      <c r="LL56" s="117"/>
      <c r="LM56" s="117"/>
      <c r="LN56" s="117"/>
      <c r="LO56" s="117"/>
      <c r="LP56" s="117"/>
      <c r="LQ56" s="117"/>
      <c r="LR56" s="117"/>
      <c r="LS56" s="117"/>
      <c r="LT56" s="117"/>
    </row>
    <row r="57" spans="1:335" ht="24.95" customHeight="1">
      <c r="A57" s="1032"/>
      <c r="B57" s="130" t="s">
        <v>182</v>
      </c>
      <c r="C57" s="203">
        <v>1</v>
      </c>
      <c r="D57" s="203"/>
      <c r="E57" s="226" t="e">
        <f t="shared" si="5"/>
        <v>#DIV/0!</v>
      </c>
      <c r="F57" s="203"/>
      <c r="G57" s="130"/>
      <c r="H57" s="130"/>
      <c r="I57" s="130"/>
      <c r="J57" s="130"/>
      <c r="K57" s="130"/>
      <c r="L57" s="130"/>
      <c r="M57" s="130"/>
      <c r="N57" s="354"/>
      <c r="O57" s="190"/>
      <c r="P57" s="116"/>
      <c r="Q57" s="117"/>
      <c r="R57" s="117"/>
      <c r="S57" s="117"/>
      <c r="T57" s="227"/>
      <c r="U57" s="105" t="s">
        <v>437</v>
      </c>
      <c r="V57" s="106" t="s">
        <v>437</v>
      </c>
      <c r="W57" s="106" t="s">
        <v>437</v>
      </c>
      <c r="X57" s="106" t="s">
        <v>437</v>
      </c>
      <c r="Y57" s="107" t="s">
        <v>437</v>
      </c>
      <c r="Z57" s="119"/>
      <c r="AA57" s="117"/>
      <c r="AB57" s="117"/>
      <c r="AC57" s="117"/>
      <c r="AD57" s="118"/>
      <c r="AE57" s="281" t="s">
        <v>437</v>
      </c>
      <c r="AF57" s="106" t="s">
        <v>437</v>
      </c>
      <c r="AG57" s="106" t="s">
        <v>437</v>
      </c>
      <c r="AH57" s="106" t="s">
        <v>437</v>
      </c>
      <c r="AI57" s="106" t="s">
        <v>437</v>
      </c>
      <c r="AJ57" s="116"/>
      <c r="AK57" s="117"/>
      <c r="AL57" s="117"/>
      <c r="AM57" s="117"/>
      <c r="AN57" s="118"/>
      <c r="AO57" s="116"/>
      <c r="AP57" s="117"/>
      <c r="AQ57" s="117"/>
      <c r="AR57" s="117"/>
      <c r="AS57" s="118"/>
      <c r="AT57" s="116"/>
      <c r="AU57" s="117"/>
      <c r="AV57" s="117"/>
      <c r="AW57" s="117"/>
      <c r="AX57" s="103" t="s">
        <v>244</v>
      </c>
      <c r="AY57" s="116"/>
      <c r="AZ57" s="117"/>
      <c r="BA57" s="117"/>
      <c r="BB57" s="117"/>
      <c r="BC57" s="118"/>
      <c r="BD57" s="119"/>
      <c r="BE57" s="120"/>
      <c r="BF57" s="120"/>
      <c r="BG57" s="120"/>
      <c r="BH57" s="120"/>
      <c r="BI57" s="395"/>
      <c r="BJ57" s="119"/>
      <c r="BK57" s="117"/>
      <c r="BL57" s="117"/>
      <c r="BM57" s="101" t="s">
        <v>244</v>
      </c>
      <c r="BN57" s="103" t="s">
        <v>244</v>
      </c>
      <c r="BO57" s="116"/>
      <c r="BP57" s="117"/>
      <c r="BQ57" s="117"/>
      <c r="BR57" s="117"/>
      <c r="BS57" s="118"/>
      <c r="BT57" s="116"/>
      <c r="BU57" s="117"/>
      <c r="BV57" s="227"/>
      <c r="BW57" s="117"/>
      <c r="BX57" s="118"/>
      <c r="BY57" s="119"/>
      <c r="BZ57" s="117"/>
      <c r="CA57" s="117"/>
      <c r="CB57" s="117"/>
      <c r="CC57" s="118"/>
      <c r="CD57" s="119"/>
      <c r="CE57" s="117"/>
      <c r="CF57" s="117"/>
      <c r="CG57" s="117"/>
      <c r="CH57" s="117"/>
      <c r="CI57" s="117"/>
      <c r="CJ57" s="117"/>
      <c r="CK57" s="117"/>
      <c r="CL57" s="117"/>
      <c r="CM57" s="117"/>
      <c r="CN57" s="117"/>
      <c r="CO57" s="117"/>
      <c r="CP57" s="117"/>
      <c r="CQ57" s="117"/>
      <c r="CR57" s="117"/>
      <c r="CS57" s="117"/>
      <c r="CT57" s="117"/>
      <c r="CU57" s="117"/>
      <c r="CV57" s="117"/>
      <c r="CW57" s="117"/>
      <c r="CX57" s="117"/>
      <c r="CY57" s="117"/>
      <c r="CZ57" s="117"/>
      <c r="DA57" s="117"/>
      <c r="DB57" s="117"/>
      <c r="DC57" s="491"/>
      <c r="DD57" s="117"/>
      <c r="DE57" s="117"/>
      <c r="DF57" s="117"/>
      <c r="DG57" s="117"/>
      <c r="DH57" s="117"/>
      <c r="DI57" s="117"/>
      <c r="DJ57" s="117"/>
      <c r="DK57" s="117"/>
      <c r="DL57" s="117"/>
      <c r="DM57" s="117"/>
      <c r="DN57" s="117"/>
      <c r="DO57" s="117"/>
      <c r="DP57" s="117"/>
      <c r="DQ57" s="227"/>
      <c r="DR57" s="116"/>
      <c r="DS57" s="117"/>
      <c r="DT57" s="117"/>
      <c r="DU57" s="117"/>
      <c r="DV57" s="227"/>
      <c r="DW57" s="116"/>
      <c r="DX57" s="117"/>
      <c r="DY57" s="117"/>
      <c r="DZ57" s="117"/>
      <c r="EA57" s="227"/>
      <c r="EB57" s="489"/>
      <c r="EC57" s="117"/>
      <c r="ED57" s="117"/>
      <c r="EE57" s="117"/>
      <c r="EF57" s="118"/>
      <c r="EG57" s="119"/>
      <c r="EH57" s="117"/>
      <c r="EI57" s="117"/>
      <c r="EJ57" s="117"/>
      <c r="EK57" s="118"/>
      <c r="EL57" s="116"/>
      <c r="EM57" s="117"/>
      <c r="EN57" s="117"/>
      <c r="EO57" s="117"/>
      <c r="EP57" s="227"/>
      <c r="EQ57" s="117"/>
      <c r="ER57" s="117"/>
      <c r="ES57" s="117"/>
      <c r="ET57" s="117"/>
      <c r="EU57" s="117"/>
      <c r="EV57" s="117"/>
      <c r="EW57" s="117"/>
      <c r="EX57" s="117"/>
      <c r="EY57" s="117"/>
      <c r="EZ57" s="117"/>
      <c r="FA57" s="117"/>
      <c r="FB57" s="117"/>
      <c r="FC57" s="117"/>
      <c r="FD57" s="117"/>
      <c r="FE57" s="117"/>
      <c r="FF57" s="117"/>
      <c r="FG57" s="117"/>
      <c r="FH57" s="117"/>
      <c r="FI57" s="117"/>
      <c r="FJ57" s="101"/>
      <c r="FK57" s="117"/>
      <c r="FL57" s="117"/>
      <c r="FM57" s="117"/>
      <c r="FN57" s="117"/>
      <c r="FO57" s="117"/>
      <c r="FP57" s="491"/>
      <c r="FQ57" s="491"/>
      <c r="FR57" s="491"/>
      <c r="FS57" s="117"/>
      <c r="FT57" s="117"/>
      <c r="FU57" s="117"/>
      <c r="FV57" s="117"/>
      <c r="FW57" s="117"/>
      <c r="FX57" s="117"/>
      <c r="FY57" s="117"/>
      <c r="FZ57" s="117"/>
      <c r="GA57" s="117"/>
      <c r="GB57" s="117"/>
      <c r="GC57" s="117"/>
      <c r="GD57" s="491"/>
      <c r="GE57" s="491"/>
      <c r="GF57" s="117"/>
      <c r="GG57" s="117"/>
      <c r="GH57" s="117"/>
      <c r="GI57" s="491"/>
      <c r="GJ57" s="491"/>
      <c r="GK57" s="117"/>
      <c r="GL57" s="117"/>
      <c r="GM57" s="117"/>
      <c r="GN57" s="117"/>
      <c r="GO57" s="117"/>
      <c r="GP57" s="117"/>
      <c r="GQ57" s="117"/>
      <c r="GR57" s="117"/>
      <c r="GS57" s="117"/>
      <c r="GT57" s="117"/>
      <c r="GU57" s="117"/>
      <c r="GV57" s="117"/>
      <c r="GW57" s="117"/>
      <c r="GX57" s="117"/>
      <c r="GY57" s="227"/>
      <c r="GZ57" s="117"/>
      <c r="HA57" s="117"/>
      <c r="HB57" s="117"/>
      <c r="HC57" s="117"/>
      <c r="HD57" s="117"/>
      <c r="HE57" s="117"/>
      <c r="HF57" s="117"/>
      <c r="HG57" s="117"/>
      <c r="HH57" s="117"/>
      <c r="HI57" s="117"/>
      <c r="HJ57" s="117"/>
      <c r="HK57" s="117"/>
      <c r="HL57" s="117"/>
      <c r="HM57" s="117"/>
      <c r="HN57" s="117"/>
      <c r="HO57" s="117"/>
      <c r="HP57" s="117"/>
      <c r="HQ57" s="117"/>
      <c r="HR57" s="117"/>
      <c r="HS57" s="117"/>
      <c r="HT57" s="117"/>
      <c r="HU57" s="117"/>
      <c r="HV57" s="117"/>
      <c r="HW57" s="117"/>
      <c r="HX57" s="117"/>
      <c r="HY57" s="117"/>
      <c r="HZ57" s="117"/>
      <c r="IA57" s="117"/>
      <c r="IB57" s="117"/>
      <c r="IC57" s="117"/>
      <c r="ID57" s="117"/>
      <c r="IE57" s="117"/>
      <c r="IF57" s="117"/>
      <c r="IG57" s="491"/>
      <c r="IH57" s="491"/>
      <c r="II57" s="117"/>
      <c r="IJ57" s="117"/>
      <c r="IK57" s="117"/>
      <c r="IL57" s="117"/>
      <c r="IM57" s="117"/>
      <c r="IN57" s="117"/>
      <c r="IO57" s="117"/>
      <c r="IP57" s="117"/>
      <c r="IQ57" s="117"/>
      <c r="IR57" s="117"/>
      <c r="IS57" s="117"/>
      <c r="IT57" s="117"/>
      <c r="IU57" s="117"/>
      <c r="IV57" s="117"/>
      <c r="IW57" s="117"/>
      <c r="IX57" s="117"/>
      <c r="IY57" s="117"/>
      <c r="IZ57" s="117"/>
      <c r="JA57" s="117"/>
      <c r="JB57" s="117"/>
      <c r="JC57" s="117"/>
      <c r="JD57" s="117"/>
      <c r="JE57" s="117"/>
      <c r="JF57" s="117"/>
      <c r="JG57" s="117"/>
      <c r="JH57" s="117"/>
      <c r="JI57" s="117"/>
      <c r="JJ57" s="117"/>
      <c r="JK57" s="117"/>
      <c r="JL57" s="117"/>
      <c r="JM57" s="117"/>
      <c r="JN57" s="117"/>
      <c r="JO57" s="117"/>
      <c r="JP57" s="491"/>
      <c r="JQ57" s="491"/>
      <c r="JR57" s="117"/>
      <c r="JS57" s="117"/>
      <c r="JT57" s="117"/>
      <c r="JU57" s="117"/>
      <c r="JV57" s="117"/>
      <c r="JW57" s="117"/>
      <c r="JX57" s="117"/>
      <c r="JY57" s="491"/>
      <c r="JZ57" s="491"/>
      <c r="KA57" s="491"/>
      <c r="KB57" s="117"/>
      <c r="KC57" s="227"/>
      <c r="KD57" s="117"/>
      <c r="KE57" s="117"/>
      <c r="KF57" s="117"/>
      <c r="KG57" s="117"/>
      <c r="KH57" s="117"/>
      <c r="KI57" s="117"/>
      <c r="KJ57" s="117"/>
      <c r="KK57" s="117"/>
      <c r="KL57" s="117"/>
      <c r="KM57" s="117"/>
      <c r="KN57" s="117"/>
      <c r="KO57" s="117"/>
      <c r="KP57" s="491"/>
      <c r="KQ57" s="491"/>
      <c r="KR57" s="117"/>
      <c r="KS57" s="117"/>
      <c r="KT57" s="117"/>
      <c r="KU57" s="117"/>
      <c r="KV57" s="117"/>
      <c r="KW57" s="117"/>
      <c r="KX57" s="117"/>
      <c r="KY57" s="117"/>
      <c r="KZ57" s="117"/>
      <c r="LA57" s="117"/>
      <c r="LB57" s="117"/>
      <c r="LC57" s="117"/>
      <c r="LD57" s="117"/>
      <c r="LE57" s="491"/>
      <c r="LF57" s="117"/>
      <c r="LG57" s="117"/>
      <c r="LH57" s="117"/>
      <c r="LI57" s="117"/>
      <c r="LJ57" s="117"/>
      <c r="LK57" s="117"/>
      <c r="LL57" s="117"/>
      <c r="LM57" s="117"/>
      <c r="LN57" s="117"/>
      <c r="LO57" s="117"/>
      <c r="LP57" s="117"/>
      <c r="LQ57" s="117"/>
      <c r="LR57" s="117"/>
      <c r="LS57" s="117"/>
      <c r="LT57" s="117"/>
    </row>
    <row r="58" spans="1:335" ht="24.95" customHeight="1">
      <c r="A58" s="984"/>
      <c r="B58" s="307" t="s">
        <v>920</v>
      </c>
      <c r="C58" s="203">
        <v>1</v>
      </c>
      <c r="D58" s="203">
        <v>100</v>
      </c>
      <c r="E58" s="226">
        <f t="shared" si="5"/>
        <v>30</v>
      </c>
      <c r="F58" s="203">
        <f>500+500+1000+1000</f>
        <v>3000</v>
      </c>
      <c r="G58" s="130"/>
      <c r="H58" s="130"/>
      <c r="I58" s="130"/>
      <c r="J58" s="130"/>
      <c r="K58" s="130"/>
      <c r="L58" s="130"/>
      <c r="M58" s="130"/>
      <c r="N58" s="354">
        <f>SUM(F58:M58)</f>
        <v>3000</v>
      </c>
      <c r="O58" s="190"/>
      <c r="P58" s="116"/>
      <c r="Q58" s="117"/>
      <c r="R58" s="117"/>
      <c r="S58" s="117"/>
      <c r="T58" s="227"/>
      <c r="U58" s="105"/>
      <c r="V58" s="106"/>
      <c r="W58" s="106"/>
      <c r="X58" s="106"/>
      <c r="Y58" s="107"/>
      <c r="Z58" s="119"/>
      <c r="AA58" s="117"/>
      <c r="AB58" s="117"/>
      <c r="AC58" s="117"/>
      <c r="AD58" s="118"/>
      <c r="AE58" s="281"/>
      <c r="AF58" s="106"/>
      <c r="AG58" s="106"/>
      <c r="AH58" s="106"/>
      <c r="AI58" s="106"/>
      <c r="AJ58" s="116"/>
      <c r="AK58" s="117"/>
      <c r="AL58" s="117"/>
      <c r="AM58" s="119"/>
      <c r="AN58" s="227"/>
      <c r="AO58" s="424"/>
      <c r="AP58" s="424"/>
      <c r="AQ58" s="117"/>
      <c r="AR58" s="117"/>
      <c r="AS58" s="118"/>
      <c r="AT58" s="116"/>
      <c r="AU58" s="117"/>
      <c r="AV58" s="117"/>
      <c r="AW58" s="117"/>
      <c r="AX58" s="103"/>
      <c r="AY58" s="116"/>
      <c r="AZ58" s="117"/>
      <c r="BA58" s="117"/>
      <c r="BB58" s="117"/>
      <c r="BC58" s="118"/>
      <c r="BD58" s="119"/>
      <c r="BE58" s="120"/>
      <c r="BF58" s="120"/>
      <c r="BG58" s="120"/>
      <c r="BH58" s="120"/>
      <c r="BI58" s="395"/>
      <c r="BJ58" s="119"/>
      <c r="BK58" s="117"/>
      <c r="BL58" s="117"/>
      <c r="BM58" s="101"/>
      <c r="BN58" s="103"/>
      <c r="BO58" s="116"/>
      <c r="BP58" s="117"/>
      <c r="BQ58" s="117"/>
      <c r="BR58" s="117"/>
      <c r="BS58" s="118"/>
      <c r="BT58" s="116"/>
      <c r="BU58" s="119"/>
      <c r="BV58" s="190"/>
      <c r="BW58" s="119"/>
      <c r="BX58" s="118"/>
      <c r="BY58" s="119"/>
      <c r="BZ58" s="117"/>
      <c r="CA58" s="117"/>
      <c r="CB58" s="117"/>
      <c r="CC58" s="118"/>
      <c r="CD58" s="119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/>
      <c r="CQ58" s="117"/>
      <c r="CR58" s="117"/>
      <c r="CS58" s="117"/>
      <c r="CT58" s="117"/>
      <c r="CU58" s="117"/>
      <c r="CV58" s="117"/>
      <c r="CW58" s="117"/>
      <c r="CX58" s="117"/>
      <c r="CY58" s="117"/>
      <c r="CZ58" s="117"/>
      <c r="DA58" s="117"/>
      <c r="DB58" s="117"/>
      <c r="DC58" s="491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/>
      <c r="DO58" s="117"/>
      <c r="DP58" s="117"/>
      <c r="DQ58" s="227"/>
      <c r="DR58" s="116"/>
      <c r="DS58" s="117"/>
      <c r="DT58" s="117"/>
      <c r="DU58" s="117"/>
      <c r="DV58" s="227"/>
      <c r="DW58" s="116"/>
      <c r="DX58" s="117"/>
      <c r="DY58" s="117"/>
      <c r="DZ58" s="117"/>
      <c r="EA58" s="227"/>
      <c r="EB58" s="489"/>
      <c r="EC58" s="117"/>
      <c r="ED58" s="117"/>
      <c r="EE58" s="117"/>
      <c r="EF58" s="118"/>
      <c r="EG58" s="119"/>
      <c r="EH58" s="117"/>
      <c r="EI58" s="117"/>
      <c r="EJ58" s="117"/>
      <c r="EK58" s="118"/>
      <c r="EL58" s="116"/>
      <c r="EM58" s="117"/>
      <c r="EN58" s="117"/>
      <c r="EO58" s="117"/>
      <c r="EP58" s="227"/>
      <c r="EQ58" s="424"/>
      <c r="ER58" s="117"/>
      <c r="ES58" s="117"/>
      <c r="ET58" s="117"/>
      <c r="EU58" s="117"/>
      <c r="EV58" s="117"/>
      <c r="EW58" s="117"/>
      <c r="EX58" s="117"/>
      <c r="EY58" s="117"/>
      <c r="EZ58" s="117"/>
      <c r="FA58" s="117"/>
      <c r="FB58" s="117"/>
      <c r="FC58" s="117"/>
      <c r="FD58" s="117"/>
      <c r="FE58" s="117"/>
      <c r="FF58" s="117"/>
      <c r="FG58" s="117"/>
      <c r="FH58" s="117"/>
      <c r="FI58" s="117"/>
      <c r="FJ58" s="101"/>
      <c r="FK58" s="117"/>
      <c r="FL58" s="117"/>
      <c r="FM58" s="117"/>
      <c r="FN58" s="117"/>
      <c r="FO58" s="117"/>
      <c r="FP58" s="491"/>
      <c r="FQ58" s="491"/>
      <c r="FR58" s="491"/>
      <c r="FS58" s="117"/>
      <c r="FT58" s="117"/>
      <c r="FU58" s="117"/>
      <c r="FV58" s="117"/>
      <c r="FW58" s="117"/>
      <c r="FX58" s="117"/>
      <c r="FY58" s="117"/>
      <c r="FZ58" s="117"/>
      <c r="GA58" s="117"/>
      <c r="GB58" s="117"/>
      <c r="GC58" s="117"/>
      <c r="GD58" s="491"/>
      <c r="GE58" s="491"/>
      <c r="GF58" s="117"/>
      <c r="GG58" s="117"/>
      <c r="GH58" s="117"/>
      <c r="GI58" s="491"/>
      <c r="GJ58" s="491"/>
      <c r="GK58" s="117"/>
      <c r="GL58" s="117"/>
      <c r="GM58" s="117"/>
      <c r="GN58" s="117"/>
      <c r="GO58" s="117"/>
      <c r="GP58" s="117"/>
      <c r="GQ58" s="117"/>
      <c r="GR58" s="117"/>
      <c r="GS58" s="117"/>
      <c r="GT58" s="117"/>
      <c r="GU58" s="117"/>
      <c r="GV58" s="117"/>
      <c r="GW58" s="117"/>
      <c r="GX58" s="117"/>
      <c r="GY58" s="227"/>
      <c r="GZ58" s="117"/>
      <c r="HA58" s="117"/>
      <c r="HB58" s="117"/>
      <c r="HC58" s="117"/>
      <c r="HD58" s="117"/>
      <c r="HE58" s="117"/>
      <c r="HF58" s="117"/>
      <c r="HG58" s="117"/>
      <c r="HH58" s="117"/>
      <c r="HI58" s="117"/>
      <c r="HJ58" s="117"/>
      <c r="HK58" s="117"/>
      <c r="HL58" s="117"/>
      <c r="HM58" s="117"/>
      <c r="HN58" s="117"/>
      <c r="HO58" s="552"/>
      <c r="HP58" s="316"/>
      <c r="HQ58" s="316">
        <v>320</v>
      </c>
      <c r="HR58" s="316"/>
      <c r="HS58" s="316"/>
      <c r="HT58" s="316"/>
      <c r="HU58" s="316">
        <v>745</v>
      </c>
      <c r="HY58" s="316"/>
      <c r="HZ58" s="316"/>
      <c r="IA58" s="316"/>
      <c r="IB58" s="117"/>
      <c r="IC58" s="117"/>
      <c r="ID58" s="316"/>
      <c r="IE58" s="316"/>
      <c r="IF58" s="316"/>
      <c r="IG58" s="491"/>
      <c r="IH58" s="491"/>
      <c r="II58" s="117"/>
      <c r="IJ58" s="117"/>
      <c r="IK58" s="117"/>
      <c r="IL58" s="117"/>
      <c r="IM58" s="117"/>
      <c r="IN58" s="117"/>
      <c r="IO58" s="117"/>
      <c r="IP58" s="117"/>
      <c r="IQ58" s="117"/>
      <c r="IR58" s="117"/>
      <c r="IS58" s="117"/>
      <c r="IT58" s="117"/>
      <c r="IU58" s="117"/>
      <c r="IV58" s="117"/>
      <c r="IW58" s="117"/>
      <c r="IX58" s="117"/>
      <c r="IY58" s="117"/>
      <c r="IZ58" s="117"/>
      <c r="JA58" s="117"/>
      <c r="JB58" s="117"/>
      <c r="JC58" s="117"/>
      <c r="JD58" s="117"/>
      <c r="JF58" s="870" t="s">
        <v>1074</v>
      </c>
      <c r="JG58" s="552" t="s">
        <v>1074</v>
      </c>
      <c r="JM58" s="508" t="s">
        <v>1074</v>
      </c>
      <c r="JN58" s="508" t="s">
        <v>1074</v>
      </c>
      <c r="JO58" s="508" t="s">
        <v>1074</v>
      </c>
      <c r="JP58" s="883"/>
      <c r="JQ58" s="883"/>
      <c r="JY58" s="883"/>
      <c r="JZ58" s="883"/>
      <c r="KA58" s="883"/>
      <c r="KM58" s="508" t="s">
        <v>1074</v>
      </c>
      <c r="KN58" s="508" t="s">
        <v>1074</v>
      </c>
      <c r="KO58" s="508" t="s">
        <v>1074</v>
      </c>
      <c r="KP58" s="491"/>
      <c r="KQ58" s="491"/>
      <c r="KX58" s="508" t="s">
        <v>1244</v>
      </c>
      <c r="KY58" s="508" t="s">
        <v>1244</v>
      </c>
      <c r="KZ58" s="508" t="s">
        <v>1244</v>
      </c>
      <c r="LA58" s="508" t="s">
        <v>1244</v>
      </c>
      <c r="LB58" s="508" t="s">
        <v>1244</v>
      </c>
      <c r="LC58" s="508" t="s">
        <v>1245</v>
      </c>
      <c r="LD58" s="508" t="s">
        <v>1245</v>
      </c>
      <c r="LE58" s="491"/>
      <c r="LF58" s="508" t="s">
        <v>1245</v>
      </c>
      <c r="LG58" s="508" t="s">
        <v>1245</v>
      </c>
      <c r="LH58" s="508" t="s">
        <v>1245</v>
      </c>
      <c r="LI58" s="508" t="s">
        <v>1245</v>
      </c>
      <c r="LJ58" s="508" t="s">
        <v>1245</v>
      </c>
      <c r="LK58" s="508" t="s">
        <v>1245</v>
      </c>
      <c r="LL58" s="508" t="s">
        <v>1245</v>
      </c>
      <c r="LM58" s="508" t="s">
        <v>1245</v>
      </c>
      <c r="LN58" s="508" t="s">
        <v>1246</v>
      </c>
      <c r="LO58" s="508" t="s">
        <v>1246</v>
      </c>
      <c r="LP58" s="508" t="s">
        <v>1246</v>
      </c>
      <c r="LQ58" s="508" t="s">
        <v>1246</v>
      </c>
      <c r="LR58" s="508" t="s">
        <v>1246</v>
      </c>
      <c r="LS58" s="508" t="s">
        <v>1246</v>
      </c>
      <c r="LT58" s="508" t="s">
        <v>1246</v>
      </c>
      <c r="LU58" s="508" t="s">
        <v>1246</v>
      </c>
      <c r="LV58" s="508" t="s">
        <v>1246</v>
      </c>
      <c r="LW58" s="508" t="s">
        <v>1246</v>
      </c>
    </row>
    <row r="59" spans="1:335" ht="24.95" customHeight="1">
      <c r="A59" s="117" t="s">
        <v>57</v>
      </c>
      <c r="B59" s="205" t="s">
        <v>58</v>
      </c>
      <c r="C59" s="203">
        <v>1</v>
      </c>
      <c r="D59" s="203">
        <v>160</v>
      </c>
      <c r="E59" s="226">
        <f t="shared" si="5"/>
        <v>0</v>
      </c>
      <c r="F59" s="203"/>
      <c r="G59" s="129"/>
      <c r="H59" s="129"/>
      <c r="I59" s="129"/>
      <c r="J59" s="129"/>
      <c r="K59" s="129"/>
      <c r="L59" s="129"/>
      <c r="M59" s="129"/>
      <c r="N59" s="354">
        <f>SUM(F59:M59)</f>
        <v>0</v>
      </c>
      <c r="O59" s="190"/>
      <c r="P59" s="116"/>
      <c r="Q59" s="117"/>
      <c r="R59" s="117"/>
      <c r="S59" s="117"/>
      <c r="T59" s="227"/>
      <c r="U59" s="105" t="s">
        <v>437</v>
      </c>
      <c r="V59" s="106" t="s">
        <v>437</v>
      </c>
      <c r="W59" s="106" t="s">
        <v>437</v>
      </c>
      <c r="X59" s="106" t="s">
        <v>437</v>
      </c>
      <c r="Y59" s="107" t="s">
        <v>437</v>
      </c>
      <c r="Z59" s="119"/>
      <c r="AA59" s="117"/>
      <c r="AB59" s="117"/>
      <c r="AC59" s="117"/>
      <c r="AD59" s="118"/>
      <c r="AE59" s="281" t="s">
        <v>437</v>
      </c>
      <c r="AF59" s="106" t="s">
        <v>437</v>
      </c>
      <c r="AG59" s="106" t="s">
        <v>437</v>
      </c>
      <c r="AH59" s="106" t="s">
        <v>437</v>
      </c>
      <c r="AI59" s="106" t="s">
        <v>437</v>
      </c>
      <c r="AJ59" s="116"/>
      <c r="AK59" s="117"/>
      <c r="AL59" s="117"/>
      <c r="AM59" s="315"/>
      <c r="AN59" s="316"/>
      <c r="AQ59" s="117"/>
      <c r="AR59" s="117"/>
      <c r="AS59" s="118"/>
      <c r="AT59" s="116"/>
      <c r="AU59" s="117"/>
      <c r="AV59" s="117"/>
      <c r="AW59" s="117"/>
      <c r="AX59" s="103" t="s">
        <v>244</v>
      </c>
      <c r="AY59" s="116"/>
      <c r="AZ59" s="117"/>
      <c r="BA59" s="117"/>
      <c r="BB59" s="117"/>
      <c r="BC59" s="118"/>
      <c r="BD59" s="119"/>
      <c r="BE59" s="120"/>
      <c r="BF59" s="120"/>
      <c r="BG59" s="120"/>
      <c r="BH59" s="120"/>
      <c r="BI59" s="395"/>
      <c r="BJ59" s="119"/>
      <c r="BK59" s="117"/>
      <c r="BL59" s="117"/>
      <c r="BM59" s="101" t="s">
        <v>244</v>
      </c>
      <c r="BN59" s="103" t="s">
        <v>244</v>
      </c>
      <c r="BO59" s="116"/>
      <c r="BP59" s="117"/>
      <c r="BQ59" s="117"/>
      <c r="BR59" s="117"/>
      <c r="BS59" s="118"/>
      <c r="BT59" s="427"/>
      <c r="BU59" s="427"/>
      <c r="BV59" s="427"/>
      <c r="BW59" s="427"/>
      <c r="BX59" s="118"/>
      <c r="BY59" s="119"/>
      <c r="BZ59" s="117"/>
      <c r="CA59" s="117"/>
      <c r="CB59" s="117"/>
      <c r="CC59" s="118"/>
      <c r="CD59" s="119"/>
      <c r="CE59" s="117"/>
      <c r="CF59" s="117"/>
      <c r="CG59" s="117"/>
      <c r="CH59" s="117"/>
      <c r="CI59" s="117"/>
      <c r="CJ59" s="117"/>
      <c r="CK59" s="117"/>
      <c r="CL59" s="117"/>
      <c r="CM59" s="117"/>
      <c r="CN59" s="117"/>
      <c r="CO59" s="117"/>
      <c r="CP59" s="117"/>
      <c r="CQ59" s="475"/>
      <c r="CR59" s="475"/>
      <c r="CS59" s="475"/>
      <c r="CT59" s="475"/>
      <c r="CU59" s="117"/>
      <c r="CV59" s="117"/>
      <c r="CW59" s="117"/>
      <c r="CX59" s="117"/>
      <c r="CY59" s="117"/>
      <c r="CZ59" s="117"/>
      <c r="DA59" s="117"/>
      <c r="DB59" s="117"/>
      <c r="DC59" s="491"/>
      <c r="DD59" s="117"/>
      <c r="DE59" s="117"/>
      <c r="DF59" s="117"/>
      <c r="DG59" s="117"/>
      <c r="DH59" s="117"/>
      <c r="DI59" s="117"/>
      <c r="DJ59" s="117"/>
      <c r="DK59" s="117"/>
      <c r="DL59" s="117"/>
      <c r="DM59" s="117"/>
      <c r="DN59" s="117"/>
      <c r="DO59" s="117"/>
      <c r="DP59" s="117"/>
      <c r="DQ59" s="227"/>
      <c r="DR59" s="116"/>
      <c r="DS59" s="117"/>
      <c r="DT59" s="117"/>
      <c r="DU59" s="117"/>
      <c r="DV59" s="227"/>
      <c r="DW59" s="116"/>
      <c r="DX59" s="117"/>
      <c r="DY59" s="117"/>
      <c r="DZ59" s="117"/>
      <c r="EA59" s="227"/>
      <c r="EB59" s="489"/>
      <c r="EC59" s="117"/>
      <c r="ED59" s="117"/>
      <c r="EE59" s="117"/>
      <c r="EF59" s="118"/>
      <c r="EG59" s="119"/>
      <c r="EH59" s="117"/>
      <c r="EI59" s="117"/>
      <c r="EJ59" s="117"/>
      <c r="EK59" s="118"/>
      <c r="EL59" s="116"/>
      <c r="EM59" s="117"/>
      <c r="EN59" s="117"/>
      <c r="EO59" s="117"/>
      <c r="EP59" s="227"/>
      <c r="ER59" s="420"/>
      <c r="ES59" s="420"/>
      <c r="ET59" s="420"/>
      <c r="EU59" s="420"/>
      <c r="EV59" s="420"/>
      <c r="EW59" s="117"/>
      <c r="EX59" s="117"/>
      <c r="EY59" s="117"/>
      <c r="EZ59" s="117"/>
      <c r="FA59" s="117"/>
      <c r="FB59" s="117"/>
      <c r="FC59" s="117"/>
      <c r="FD59" s="117"/>
      <c r="FE59" s="117"/>
      <c r="FF59" s="117"/>
      <c r="FG59" s="117"/>
      <c r="FH59" s="117"/>
      <c r="FI59" s="117"/>
      <c r="FJ59" s="101"/>
      <c r="FK59" s="117"/>
      <c r="FL59" s="117"/>
      <c r="FM59" s="117"/>
      <c r="FN59" s="117"/>
      <c r="FO59" s="117"/>
      <c r="FP59" s="491"/>
      <c r="FQ59" s="491"/>
      <c r="FR59" s="491"/>
      <c r="FS59" s="117"/>
      <c r="FT59" s="117"/>
      <c r="FU59" s="117"/>
      <c r="FV59" s="117"/>
      <c r="FW59" s="117"/>
      <c r="FX59" s="117"/>
      <c r="FY59" s="117"/>
      <c r="FZ59" s="117"/>
      <c r="GA59" s="117"/>
      <c r="GB59" s="117"/>
      <c r="GC59" s="117"/>
      <c r="GD59" s="491"/>
      <c r="GE59" s="491"/>
      <c r="GF59" s="117"/>
      <c r="GG59" s="117"/>
      <c r="GH59" s="117"/>
      <c r="GI59" s="491"/>
      <c r="GJ59" s="491"/>
      <c r="GK59" s="117"/>
      <c r="GL59" s="117"/>
      <c r="GM59" s="117"/>
      <c r="GN59" s="117"/>
      <c r="GO59" s="117"/>
      <c r="GP59" s="117"/>
      <c r="GQ59" s="117"/>
      <c r="GR59" s="117"/>
      <c r="GS59" s="117"/>
      <c r="GT59" s="117"/>
      <c r="GU59" s="117"/>
      <c r="GV59" s="117"/>
      <c r="GW59" s="117"/>
      <c r="GX59" s="552"/>
      <c r="GY59" s="567"/>
      <c r="GZ59" s="552"/>
      <c r="HA59" s="552">
        <v>631</v>
      </c>
      <c r="HB59" s="552"/>
      <c r="HC59" s="552"/>
      <c r="HD59" s="552"/>
      <c r="HE59" s="101"/>
      <c r="HF59" s="101"/>
      <c r="HG59" s="101"/>
      <c r="HH59" s="101"/>
      <c r="HI59" s="101"/>
      <c r="HJ59" s="101"/>
      <c r="HK59" s="117"/>
      <c r="HL59" s="117"/>
      <c r="HM59" s="117"/>
      <c r="HN59" s="117"/>
      <c r="HO59" s="117"/>
      <c r="HP59" s="117"/>
      <c r="HQ59" s="117"/>
      <c r="HR59" s="117"/>
      <c r="HS59" s="117"/>
      <c r="HT59" s="117"/>
      <c r="HU59" s="117"/>
      <c r="HV59" s="117"/>
      <c r="HW59" s="117"/>
      <c r="HX59" s="117"/>
      <c r="HY59" s="117"/>
      <c r="HZ59" s="117"/>
      <c r="IA59" s="117"/>
      <c r="IB59" s="117"/>
      <c r="IC59" s="117"/>
      <c r="ID59" s="117"/>
      <c r="IE59" s="117"/>
      <c r="IF59" s="117"/>
      <c r="IG59" s="491"/>
      <c r="IH59" s="491"/>
      <c r="II59" s="117"/>
      <c r="IJ59" s="117"/>
      <c r="IK59" s="117"/>
      <c r="IL59" s="117"/>
      <c r="IM59" s="117"/>
      <c r="IN59" s="117"/>
      <c r="IO59" s="117"/>
      <c r="IP59" s="117"/>
      <c r="IQ59" s="117"/>
      <c r="IR59" s="117"/>
      <c r="IS59" s="117"/>
      <c r="IT59" s="117"/>
      <c r="IU59" s="117"/>
      <c r="IV59" s="117"/>
      <c r="IW59" s="117"/>
      <c r="IX59" s="117"/>
      <c r="IY59" s="117"/>
      <c r="IZ59" s="117"/>
      <c r="JA59" s="117"/>
      <c r="JB59" s="117"/>
      <c r="JC59" s="117"/>
      <c r="JD59" s="117"/>
      <c r="JE59" s="117"/>
      <c r="JF59" s="117"/>
      <c r="JG59" s="117"/>
      <c r="JH59" s="117"/>
      <c r="JI59" s="117"/>
      <c r="JJ59" s="117"/>
      <c r="JK59" s="117"/>
      <c r="JL59" s="117"/>
      <c r="JM59" s="117"/>
      <c r="JN59" s="117"/>
      <c r="JO59" s="117"/>
      <c r="JP59" s="491"/>
      <c r="JQ59" s="491"/>
      <c r="JR59" s="117"/>
      <c r="JS59" s="117"/>
      <c r="JT59" s="117"/>
      <c r="JU59" s="117"/>
      <c r="JV59" s="117"/>
      <c r="JW59" s="117"/>
      <c r="JX59" s="117"/>
      <c r="JY59" s="491"/>
      <c r="JZ59" s="491"/>
      <c r="KA59" s="491"/>
      <c r="KB59" s="117"/>
      <c r="KC59" s="227"/>
      <c r="KD59" s="117"/>
      <c r="KE59" s="117"/>
      <c r="KF59" s="117"/>
      <c r="KG59" s="117"/>
      <c r="KH59" s="117"/>
      <c r="KI59" s="117"/>
      <c r="KJ59" s="117"/>
      <c r="KK59" s="117"/>
      <c r="KL59" s="117"/>
      <c r="KM59" s="117"/>
      <c r="KN59" s="117"/>
      <c r="KO59" s="117"/>
      <c r="KP59" s="491"/>
      <c r="KQ59" s="491"/>
      <c r="KR59" s="117"/>
      <c r="KS59" s="117"/>
      <c r="KT59" s="117"/>
      <c r="KU59" s="117"/>
      <c r="KV59" s="117"/>
      <c r="KW59" s="117"/>
      <c r="KX59" s="117"/>
      <c r="KY59" s="117"/>
      <c r="KZ59" s="117"/>
      <c r="LA59" s="117"/>
      <c r="LB59" s="117"/>
      <c r="LC59" s="117"/>
      <c r="LD59" s="117"/>
      <c r="LE59" s="491"/>
      <c r="LF59" s="117"/>
      <c r="LG59" s="117"/>
      <c r="LH59" s="117"/>
      <c r="LI59" s="117"/>
      <c r="LJ59" s="117"/>
      <c r="LK59" s="117"/>
      <c r="LL59" s="117"/>
      <c r="LM59" s="117"/>
      <c r="LN59" s="117"/>
      <c r="LO59" s="117"/>
      <c r="LP59" s="117"/>
      <c r="LQ59" s="117"/>
      <c r="LR59" s="117"/>
      <c r="LS59" s="117"/>
      <c r="LT59" s="117"/>
    </row>
    <row r="60" spans="1:335" ht="24.95" customHeight="1">
      <c r="A60" s="117" t="s">
        <v>183</v>
      </c>
      <c r="B60" s="126" t="s">
        <v>184</v>
      </c>
      <c r="C60" s="200">
        <v>1</v>
      </c>
      <c r="D60" s="200">
        <v>966</v>
      </c>
      <c r="E60" s="226">
        <f t="shared" si="5"/>
        <v>0</v>
      </c>
      <c r="F60" s="200"/>
      <c r="G60" s="126"/>
      <c r="H60" s="126"/>
      <c r="I60" s="126"/>
      <c r="J60" s="126"/>
      <c r="K60" s="126"/>
      <c r="L60" s="126"/>
      <c r="M60" s="126"/>
      <c r="N60" s="354">
        <f>SUM(F60:M60)</f>
        <v>0</v>
      </c>
      <c r="O60" s="191"/>
      <c r="P60" s="124"/>
      <c r="Q60" s="122"/>
      <c r="R60" s="122"/>
      <c r="S60" s="122"/>
      <c r="T60" s="228"/>
      <c r="U60" s="105" t="s">
        <v>437</v>
      </c>
      <c r="V60" s="106" t="s">
        <v>437</v>
      </c>
      <c r="W60" s="106" t="s">
        <v>437</v>
      </c>
      <c r="X60" s="106" t="s">
        <v>437</v>
      </c>
      <c r="Y60" s="107" t="s">
        <v>437</v>
      </c>
      <c r="Z60" s="125"/>
      <c r="AA60" s="122"/>
      <c r="AB60" s="122"/>
      <c r="AC60" s="122"/>
      <c r="AD60" s="123"/>
      <c r="AE60" s="281" t="s">
        <v>437</v>
      </c>
      <c r="AF60" s="106" t="s">
        <v>437</v>
      </c>
      <c r="AG60" s="106" t="s">
        <v>437</v>
      </c>
      <c r="AH60" s="106" t="s">
        <v>437</v>
      </c>
      <c r="AI60" s="106" t="s">
        <v>437</v>
      </c>
      <c r="AJ60" s="124"/>
      <c r="AK60" s="122"/>
      <c r="AL60" s="122"/>
      <c r="AM60" s="122"/>
      <c r="AN60" s="123"/>
      <c r="AO60" s="124"/>
      <c r="AP60" s="122"/>
      <c r="AQ60" s="122"/>
      <c r="AR60" s="122"/>
      <c r="AS60" s="123"/>
      <c r="AT60" s="124"/>
      <c r="AU60" s="122"/>
      <c r="AV60" s="122"/>
      <c r="AW60" s="122"/>
      <c r="AX60" s="103" t="s">
        <v>244</v>
      </c>
      <c r="AY60" s="116"/>
      <c r="AZ60" s="117"/>
      <c r="BA60" s="117"/>
      <c r="BB60" s="117"/>
      <c r="BC60" s="118"/>
      <c r="BD60" s="119"/>
      <c r="BE60" s="117"/>
      <c r="BF60" s="117"/>
      <c r="BG60" s="117"/>
      <c r="BH60" s="117"/>
      <c r="BI60" s="118"/>
      <c r="BJ60" s="125"/>
      <c r="BK60" s="122"/>
      <c r="BL60" s="122"/>
      <c r="BM60" s="101" t="s">
        <v>244</v>
      </c>
      <c r="BN60" s="103" t="s">
        <v>244</v>
      </c>
      <c r="BO60" s="124"/>
      <c r="BP60" s="122"/>
      <c r="BQ60" s="122"/>
      <c r="BR60" s="122"/>
      <c r="BS60" s="123"/>
      <c r="BT60" s="124"/>
      <c r="BU60" s="122"/>
      <c r="BV60" s="228"/>
      <c r="BW60" s="117"/>
      <c r="BX60" s="123"/>
      <c r="BY60" s="125"/>
      <c r="BZ60" s="122"/>
      <c r="CA60" s="122"/>
      <c r="CB60" s="122"/>
      <c r="CC60" s="123"/>
      <c r="CD60" s="125"/>
      <c r="CE60" s="122"/>
      <c r="CF60" s="122"/>
      <c r="CG60" s="122"/>
      <c r="CH60" s="122"/>
      <c r="CI60" s="122"/>
      <c r="CJ60" s="122"/>
      <c r="CK60" s="122"/>
      <c r="CL60" s="122"/>
      <c r="CM60" s="122"/>
      <c r="CN60" s="122"/>
      <c r="CO60" s="122"/>
      <c r="CP60" s="122"/>
      <c r="CQ60" s="122"/>
      <c r="CR60" s="122"/>
      <c r="CS60" s="122"/>
      <c r="CT60" s="122"/>
      <c r="CU60" s="122"/>
      <c r="CV60" s="122"/>
      <c r="CW60" s="122"/>
      <c r="CX60" s="122"/>
      <c r="CY60" s="122"/>
      <c r="CZ60" s="122"/>
      <c r="DA60" s="122"/>
      <c r="DB60" s="122"/>
      <c r="DC60" s="492"/>
      <c r="DD60" s="122"/>
      <c r="DE60" s="122"/>
      <c r="DF60" s="122"/>
      <c r="DG60" s="122"/>
      <c r="DH60" s="122"/>
      <c r="DI60" s="122"/>
      <c r="DJ60" s="122"/>
      <c r="DK60" s="122"/>
      <c r="DL60" s="122"/>
      <c r="DM60" s="122"/>
      <c r="DN60" s="122"/>
      <c r="DO60" s="122"/>
      <c r="DP60" s="122"/>
      <c r="DQ60" s="228"/>
      <c r="DR60" s="116"/>
      <c r="DS60" s="117"/>
      <c r="DT60" s="117"/>
      <c r="DU60" s="117"/>
      <c r="DV60" s="227"/>
      <c r="DW60" s="116"/>
      <c r="DX60" s="117"/>
      <c r="DY60" s="117"/>
      <c r="DZ60" s="117"/>
      <c r="EA60" s="227"/>
      <c r="EB60" s="490"/>
      <c r="EC60" s="117"/>
      <c r="ED60" s="117"/>
      <c r="EE60" s="117"/>
      <c r="EF60" s="118"/>
      <c r="EG60" s="119"/>
      <c r="EH60" s="117"/>
      <c r="EI60" s="117"/>
      <c r="EJ60" s="117"/>
      <c r="EK60" s="118"/>
      <c r="EL60" s="116"/>
      <c r="EM60" s="117"/>
      <c r="EN60" s="117"/>
      <c r="EO60" s="117"/>
      <c r="EP60" s="227"/>
      <c r="EQ60" s="117"/>
      <c r="ER60" s="117"/>
      <c r="ES60" s="117"/>
      <c r="ET60" s="117"/>
      <c r="EU60" s="117"/>
      <c r="EV60" s="117"/>
      <c r="EW60" s="117"/>
      <c r="EX60" s="117"/>
      <c r="EY60" s="117"/>
      <c r="EZ60" s="117"/>
      <c r="FA60" s="117"/>
      <c r="FB60" s="117"/>
      <c r="FC60" s="117"/>
      <c r="FD60" s="117"/>
      <c r="FE60" s="117"/>
      <c r="FF60" s="117"/>
      <c r="FG60" s="117"/>
      <c r="FH60" s="117"/>
      <c r="FI60" s="117"/>
      <c r="FJ60" s="101"/>
      <c r="FK60" s="117"/>
      <c r="FL60" s="117"/>
      <c r="FM60" s="117"/>
      <c r="FN60" s="117"/>
      <c r="FO60" s="117"/>
      <c r="FP60" s="491"/>
      <c r="FQ60" s="491"/>
      <c r="FR60" s="491"/>
      <c r="FS60" s="117"/>
      <c r="FT60" s="117"/>
      <c r="FU60" s="117"/>
      <c r="FV60" s="117"/>
      <c r="FW60" s="117"/>
      <c r="FX60" s="117"/>
      <c r="FY60" s="117"/>
      <c r="FZ60" s="117"/>
      <c r="GA60" s="117"/>
      <c r="GB60" s="117"/>
      <c r="GC60" s="117"/>
      <c r="GD60" s="491"/>
      <c r="GE60" s="491"/>
      <c r="GF60" s="117"/>
      <c r="GG60" s="117"/>
      <c r="GH60" s="117"/>
      <c r="GI60" s="491"/>
      <c r="GJ60" s="491"/>
      <c r="GK60" s="117"/>
      <c r="GL60" s="117"/>
      <c r="GM60" s="117"/>
      <c r="GN60" s="117"/>
      <c r="GO60" s="117"/>
      <c r="GP60" s="117"/>
      <c r="GQ60" s="117"/>
      <c r="GR60" s="117"/>
      <c r="GS60" s="117"/>
      <c r="GT60" s="117"/>
      <c r="GU60" s="117"/>
      <c r="GV60" s="117"/>
      <c r="GW60" s="117"/>
      <c r="GX60" s="117"/>
      <c r="GY60" s="227"/>
      <c r="GZ60" s="117"/>
      <c r="HA60" s="117"/>
      <c r="HB60" s="117"/>
      <c r="HC60" s="117"/>
      <c r="HD60" s="117"/>
      <c r="HE60" s="117"/>
      <c r="HF60" s="117"/>
      <c r="HG60" s="117"/>
      <c r="HH60" s="117"/>
      <c r="HI60" s="117"/>
      <c r="HJ60" s="117"/>
      <c r="HK60" s="117"/>
      <c r="HL60" s="117"/>
      <c r="HM60" s="117"/>
      <c r="HN60" s="117"/>
      <c r="HO60" s="117"/>
      <c r="HP60" s="117"/>
      <c r="HQ60" s="117"/>
      <c r="HR60" s="117"/>
      <c r="HS60" s="117"/>
      <c r="HT60" s="117"/>
      <c r="HU60" s="117"/>
      <c r="HV60" s="117"/>
      <c r="HW60" s="117"/>
      <c r="HX60" s="117"/>
      <c r="HY60" s="117"/>
      <c r="HZ60" s="117"/>
      <c r="IA60" s="117"/>
      <c r="IB60" s="117"/>
      <c r="IC60" s="117"/>
      <c r="ID60" s="117"/>
      <c r="IE60" s="117"/>
      <c r="IF60" s="117"/>
      <c r="IG60" s="491"/>
      <c r="IH60" s="491"/>
      <c r="II60" s="117"/>
      <c r="IJ60" s="117"/>
      <c r="IK60" s="117"/>
      <c r="IL60" s="117"/>
      <c r="IM60" s="117"/>
      <c r="IN60" s="117"/>
      <c r="IO60" s="117"/>
      <c r="IP60" s="117"/>
      <c r="IQ60" s="117"/>
      <c r="IR60" s="117"/>
      <c r="IS60" s="117"/>
      <c r="IT60" s="117"/>
      <c r="IU60" s="117"/>
      <c r="IV60" s="117"/>
      <c r="IW60" s="117"/>
      <c r="IX60" s="117"/>
      <c r="IY60" s="117"/>
      <c r="IZ60" s="117"/>
      <c r="JA60" s="117"/>
      <c r="JB60" s="117"/>
      <c r="JC60" s="117"/>
      <c r="JD60" s="117"/>
      <c r="JE60" s="117"/>
      <c r="JF60" s="117"/>
      <c r="JG60" s="117"/>
      <c r="JH60" s="117"/>
      <c r="JI60" s="117"/>
      <c r="JJ60" s="117"/>
      <c r="JK60" s="117"/>
      <c r="JL60" s="117"/>
      <c r="JM60" s="117"/>
      <c r="JN60" s="117"/>
      <c r="JO60" s="117"/>
      <c r="JP60" s="491"/>
      <c r="JQ60" s="491"/>
      <c r="JR60" s="117"/>
      <c r="JS60" s="117"/>
      <c r="JT60" s="117"/>
      <c r="JU60" s="117"/>
      <c r="JV60" s="117"/>
      <c r="JW60" s="117"/>
      <c r="JX60" s="117"/>
      <c r="JY60" s="491"/>
      <c r="JZ60" s="491"/>
      <c r="KA60" s="491"/>
      <c r="KB60" s="117"/>
      <c r="KC60" s="227"/>
      <c r="KD60" s="117"/>
      <c r="KE60" s="117"/>
      <c r="KF60" s="117"/>
      <c r="KG60" s="117"/>
      <c r="KH60" s="117"/>
      <c r="KI60" s="117"/>
      <c r="KJ60" s="117"/>
      <c r="KK60" s="117"/>
      <c r="KL60" s="117"/>
      <c r="KM60" s="117"/>
      <c r="KN60" s="117"/>
      <c r="KO60" s="117"/>
      <c r="KP60" s="491"/>
      <c r="KQ60" s="491"/>
      <c r="KR60" s="117"/>
      <c r="KS60" s="117"/>
      <c r="KT60" s="117"/>
      <c r="KU60" s="117"/>
      <c r="KV60" s="117"/>
      <c r="KW60" s="117"/>
      <c r="KX60" s="117"/>
      <c r="KY60" s="117"/>
      <c r="KZ60" s="117"/>
      <c r="LA60" s="117"/>
      <c r="LB60" s="117"/>
      <c r="LC60" s="117"/>
      <c r="LD60" s="117"/>
      <c r="LE60" s="491"/>
      <c r="LF60" s="117"/>
      <c r="LG60" s="117"/>
      <c r="LH60" s="117"/>
      <c r="LI60" s="117"/>
      <c r="LJ60" s="117"/>
      <c r="LK60" s="117"/>
      <c r="LL60" s="117"/>
      <c r="LM60" s="117"/>
      <c r="LN60" s="117"/>
      <c r="LO60" s="117"/>
      <c r="LP60" s="117"/>
      <c r="LQ60" s="117"/>
      <c r="LR60" s="117"/>
      <c r="LS60" s="117"/>
      <c r="LT60" s="117"/>
    </row>
    <row r="61" spans="1:335" ht="24.95" customHeight="1">
      <c r="A61" s="985" t="s">
        <v>25</v>
      </c>
      <c r="B61" s="121" t="s">
        <v>185</v>
      </c>
      <c r="C61" s="204">
        <v>1</v>
      </c>
      <c r="D61" s="204">
        <v>250</v>
      </c>
      <c r="E61" s="226">
        <f t="shared" si="5"/>
        <v>0</v>
      </c>
      <c r="F61" s="204"/>
      <c r="G61" s="121"/>
      <c r="H61" s="121"/>
      <c r="I61" s="121"/>
      <c r="J61" s="121"/>
      <c r="K61" s="121"/>
      <c r="L61" s="121"/>
      <c r="M61" s="121"/>
      <c r="N61" s="354"/>
      <c r="O61" s="190"/>
      <c r="P61" s="116"/>
      <c r="Q61" s="117"/>
      <c r="R61" s="117"/>
      <c r="S61" s="117"/>
      <c r="T61" s="227"/>
      <c r="U61" s="105" t="s">
        <v>437</v>
      </c>
      <c r="V61" s="106" t="s">
        <v>437</v>
      </c>
      <c r="W61" s="106" t="s">
        <v>437</v>
      </c>
      <c r="X61" s="106" t="s">
        <v>437</v>
      </c>
      <c r="Y61" s="107" t="s">
        <v>437</v>
      </c>
      <c r="Z61" s="119"/>
      <c r="AA61" s="117"/>
      <c r="AB61" s="117"/>
      <c r="AC61" s="117"/>
      <c r="AD61" s="118"/>
      <c r="AE61" s="281" t="s">
        <v>437</v>
      </c>
      <c r="AF61" s="106" t="s">
        <v>437</v>
      </c>
      <c r="AG61" s="106" t="s">
        <v>437</v>
      </c>
      <c r="AH61" s="106" t="s">
        <v>437</v>
      </c>
      <c r="AI61" s="106" t="s">
        <v>437</v>
      </c>
      <c r="AJ61" s="116"/>
      <c r="AK61" s="117"/>
      <c r="AL61" s="117"/>
      <c r="AM61" s="117"/>
      <c r="AN61" s="118"/>
      <c r="AO61" s="116"/>
      <c r="AP61" s="117"/>
      <c r="AQ61" s="117"/>
      <c r="AR61" s="117"/>
      <c r="AS61" s="118"/>
      <c r="AT61" s="116"/>
      <c r="AU61" s="227"/>
      <c r="AV61" s="334" t="s">
        <v>535</v>
      </c>
      <c r="AW61" s="117"/>
      <c r="AX61" s="103" t="s">
        <v>244</v>
      </c>
      <c r="AY61" s="116"/>
      <c r="AZ61" s="117"/>
      <c r="BA61" s="117"/>
      <c r="BB61" s="117"/>
      <c r="BC61" s="118"/>
      <c r="BD61" s="119"/>
      <c r="BE61" s="117"/>
      <c r="BF61" s="117"/>
      <c r="BG61" s="117"/>
      <c r="BH61" s="117"/>
      <c r="BI61" s="118"/>
      <c r="BJ61" s="391" t="s">
        <v>536</v>
      </c>
      <c r="BK61" s="117"/>
      <c r="BL61" s="117"/>
      <c r="BM61" s="101" t="s">
        <v>244</v>
      </c>
      <c r="BN61" s="103" t="s">
        <v>244</v>
      </c>
      <c r="BO61" s="116"/>
      <c r="BP61" s="117"/>
      <c r="BQ61" s="117"/>
      <c r="BR61" s="117"/>
      <c r="BS61" s="118"/>
      <c r="BT61" s="116"/>
      <c r="BU61" s="117"/>
      <c r="BV61" s="117"/>
      <c r="BW61" s="117"/>
      <c r="BX61" s="409" t="s">
        <v>539</v>
      </c>
      <c r="BY61" s="119"/>
      <c r="BZ61" s="117"/>
      <c r="CA61" s="117"/>
      <c r="CB61" s="117"/>
      <c r="CC61" s="118"/>
      <c r="CD61" s="119"/>
      <c r="CE61" s="117"/>
      <c r="CF61" s="117"/>
      <c r="CG61" s="117"/>
      <c r="CH61" s="117"/>
      <c r="CI61" s="117"/>
      <c r="CJ61" s="117"/>
      <c r="CK61" s="117"/>
      <c r="CL61" s="117"/>
      <c r="CM61" s="117"/>
      <c r="CN61" s="117"/>
      <c r="CO61" s="117"/>
      <c r="CP61" s="117"/>
      <c r="CQ61" s="117"/>
      <c r="CR61" s="117"/>
      <c r="CS61" s="117"/>
      <c r="CT61" s="117"/>
      <c r="CU61" s="117"/>
      <c r="CV61" s="117"/>
      <c r="CW61" s="117"/>
      <c r="CX61" s="117"/>
      <c r="CY61" s="117"/>
      <c r="CZ61" s="117"/>
      <c r="DA61" s="117"/>
      <c r="DB61" s="117"/>
      <c r="DC61" s="491"/>
      <c r="DD61" s="117"/>
      <c r="DE61" s="117"/>
      <c r="DF61" s="117"/>
      <c r="DG61" s="117"/>
      <c r="DH61" s="117"/>
      <c r="DI61" s="117"/>
      <c r="DJ61" s="117"/>
      <c r="DK61" s="117"/>
      <c r="DL61" s="117"/>
      <c r="DM61" s="117"/>
      <c r="DN61" s="117"/>
      <c r="DO61" s="117"/>
      <c r="DP61" s="117"/>
      <c r="DQ61" s="227"/>
      <c r="DR61" s="116"/>
      <c r="DS61" s="117"/>
      <c r="DT61" s="117"/>
      <c r="DU61" s="117"/>
      <c r="DV61" s="227"/>
      <c r="DW61" s="116"/>
      <c r="DX61" s="117"/>
      <c r="DY61" s="117"/>
      <c r="DZ61" s="117"/>
      <c r="EA61" s="227"/>
      <c r="EB61" s="489"/>
      <c r="EC61" s="117"/>
      <c r="ED61" s="117"/>
      <c r="EE61" s="117"/>
      <c r="EF61" s="118"/>
      <c r="EG61" s="119"/>
      <c r="EH61" s="117"/>
      <c r="EI61" s="117"/>
      <c r="EJ61" s="117"/>
      <c r="EK61" s="118"/>
      <c r="EL61" s="116"/>
      <c r="EM61" s="117"/>
      <c r="EN61" s="117"/>
      <c r="EO61" s="117"/>
      <c r="EP61" s="227"/>
      <c r="EQ61" s="117"/>
      <c r="ER61" s="117"/>
      <c r="ES61" s="117"/>
      <c r="ET61" s="117"/>
      <c r="EU61" s="117"/>
      <c r="EV61" s="117"/>
      <c r="EW61" s="117"/>
      <c r="EX61" s="117"/>
      <c r="EY61" s="117"/>
      <c r="EZ61" s="117"/>
      <c r="FA61" s="117"/>
      <c r="FB61" s="117"/>
      <c r="FC61" s="117"/>
      <c r="FD61" s="117"/>
      <c r="FE61" s="117"/>
      <c r="FF61" s="117"/>
      <c r="FG61" s="117"/>
      <c r="FH61" s="117"/>
      <c r="FI61" s="117"/>
      <c r="FJ61" s="101"/>
      <c r="FK61" s="117"/>
      <c r="FL61" s="117"/>
      <c r="FM61" s="117"/>
      <c r="FN61" s="117"/>
      <c r="FO61" s="117"/>
      <c r="FP61" s="491"/>
      <c r="FQ61" s="491"/>
      <c r="FR61" s="491"/>
      <c r="FS61" s="117"/>
      <c r="FT61" s="117"/>
      <c r="FU61" s="117"/>
      <c r="FV61" s="117"/>
      <c r="FW61" s="117"/>
      <c r="FX61" s="117"/>
      <c r="FY61" s="117"/>
      <c r="FZ61" s="117"/>
      <c r="GA61" s="117"/>
      <c r="GB61" s="117"/>
      <c r="GC61" s="117"/>
      <c r="GD61" s="491"/>
      <c r="GE61" s="491"/>
      <c r="GF61" s="117"/>
      <c r="GG61" s="117"/>
      <c r="GH61" s="117"/>
      <c r="GI61" s="491"/>
      <c r="GJ61" s="491"/>
      <c r="GK61" s="117"/>
      <c r="GL61" s="117"/>
      <c r="GM61" s="117"/>
      <c r="GN61" s="117"/>
      <c r="GO61" s="117"/>
      <c r="GP61" s="117"/>
      <c r="GQ61" s="117"/>
      <c r="GR61" s="117"/>
      <c r="GS61" s="117"/>
      <c r="GT61" s="117"/>
      <c r="GU61" s="117"/>
      <c r="GV61" s="117"/>
      <c r="GW61" s="117"/>
      <c r="GX61" s="117"/>
      <c r="GY61" s="227"/>
      <c r="GZ61" s="117"/>
      <c r="HA61" s="117"/>
      <c r="HB61" s="117"/>
      <c r="HC61" s="117"/>
      <c r="HD61" s="117"/>
      <c r="HE61" s="117"/>
      <c r="HF61" s="117"/>
      <c r="HG61" s="117"/>
      <c r="HH61" s="117"/>
      <c r="HI61" s="117"/>
      <c r="HJ61" s="117"/>
      <c r="HK61" s="117"/>
      <c r="HL61" s="117"/>
      <c r="HM61" s="117"/>
      <c r="HN61" s="117"/>
      <c r="HO61" s="117"/>
      <c r="HP61" s="117"/>
      <c r="HQ61" s="117"/>
      <c r="HR61" s="117"/>
      <c r="HS61" s="117"/>
      <c r="HT61" s="117"/>
      <c r="HU61" s="117"/>
      <c r="HV61" s="117"/>
      <c r="HW61" s="117"/>
      <c r="HX61" s="117"/>
      <c r="HY61" s="117"/>
      <c r="HZ61" s="117"/>
      <c r="IA61" s="117"/>
      <c r="IB61" s="117"/>
      <c r="IC61" s="117"/>
      <c r="ID61" s="117"/>
      <c r="IE61" s="117"/>
      <c r="IF61" s="117"/>
      <c r="IG61" s="491"/>
      <c r="IH61" s="491"/>
      <c r="II61" s="117"/>
      <c r="IJ61" s="117"/>
      <c r="IK61" s="117"/>
      <c r="IL61" s="117"/>
      <c r="IM61" s="117"/>
      <c r="IN61" s="117"/>
      <c r="IO61" s="117"/>
      <c r="IP61" s="117"/>
      <c r="IQ61" s="117"/>
      <c r="IR61" s="117"/>
      <c r="IS61" s="117"/>
      <c r="IT61" s="117"/>
      <c r="IU61" s="117"/>
      <c r="IV61" s="117"/>
      <c r="IW61" s="117"/>
      <c r="IX61" s="117"/>
      <c r="IY61" s="117"/>
      <c r="IZ61" s="117"/>
      <c r="JA61" s="117"/>
      <c r="JB61" s="117"/>
      <c r="JC61" s="117"/>
      <c r="JD61" s="117"/>
      <c r="JE61" s="117"/>
      <c r="JF61" s="117"/>
      <c r="JG61" s="117"/>
      <c r="JH61" s="117"/>
      <c r="JI61" s="117"/>
      <c r="JJ61" s="117"/>
      <c r="JK61" s="117"/>
      <c r="JL61" s="117"/>
      <c r="JM61" s="117"/>
      <c r="JN61" s="117"/>
      <c r="JO61" s="117"/>
      <c r="JP61" s="491"/>
      <c r="JQ61" s="491"/>
      <c r="JR61" s="117"/>
      <c r="JS61" s="117"/>
      <c r="JT61" s="117"/>
      <c r="JU61" s="117"/>
      <c r="JV61" s="117"/>
      <c r="JW61" s="117"/>
      <c r="JX61" s="117"/>
      <c r="JY61" s="491"/>
      <c r="JZ61" s="491"/>
      <c r="KA61" s="491"/>
      <c r="KB61" s="117"/>
      <c r="KC61" s="227"/>
      <c r="KD61" s="117"/>
      <c r="KE61" s="117"/>
      <c r="KF61" s="117"/>
      <c r="KG61" s="117"/>
      <c r="KH61" s="117"/>
      <c r="KI61" s="117"/>
      <c r="KJ61" s="117"/>
      <c r="KK61" s="117"/>
      <c r="KL61" s="117"/>
      <c r="KM61" s="117"/>
      <c r="KN61" s="117"/>
      <c r="KO61" s="117"/>
      <c r="KP61" s="491"/>
      <c r="KQ61" s="491"/>
      <c r="KR61" s="117"/>
      <c r="KS61" s="117"/>
      <c r="KT61" s="117"/>
      <c r="KU61" s="117"/>
      <c r="KV61" s="117"/>
      <c r="KW61" s="117"/>
      <c r="KX61" s="117"/>
      <c r="KY61" s="117"/>
      <c r="KZ61" s="117"/>
      <c r="LA61" s="117"/>
      <c r="LB61" s="117"/>
      <c r="LC61" s="117"/>
      <c r="LD61" s="117"/>
      <c r="LE61" s="491"/>
      <c r="LF61" s="117"/>
      <c r="LG61" s="117"/>
      <c r="LH61" s="117"/>
      <c r="LI61" s="117"/>
      <c r="LJ61" s="117"/>
      <c r="LK61" s="117"/>
      <c r="LL61" s="117"/>
      <c r="LM61" s="117"/>
      <c r="LN61" s="117"/>
      <c r="LO61" s="117"/>
      <c r="LP61" s="117"/>
      <c r="LQ61" s="117"/>
      <c r="LR61" s="117"/>
      <c r="LS61" s="117"/>
      <c r="LT61" s="117"/>
    </row>
    <row r="62" spans="1:335" ht="24.95" customHeight="1">
      <c r="A62" s="985"/>
      <c r="B62" s="121" t="s">
        <v>186</v>
      </c>
      <c r="C62" s="204">
        <v>1</v>
      </c>
      <c r="D62" s="204">
        <v>300</v>
      </c>
      <c r="E62" s="226">
        <f t="shared" si="5"/>
        <v>0</v>
      </c>
      <c r="F62" s="204"/>
      <c r="G62" s="121"/>
      <c r="H62" s="121"/>
      <c r="I62" s="121"/>
      <c r="J62" s="121"/>
      <c r="K62" s="121"/>
      <c r="L62" s="121"/>
      <c r="M62" s="121"/>
      <c r="N62" s="354"/>
      <c r="O62" s="190"/>
      <c r="P62" s="116"/>
      <c r="Q62" s="117"/>
      <c r="R62" s="117"/>
      <c r="S62" s="117"/>
      <c r="T62" s="227"/>
      <c r="U62" s="105" t="s">
        <v>437</v>
      </c>
      <c r="V62" s="106" t="s">
        <v>437</v>
      </c>
      <c r="W62" s="106" t="s">
        <v>437</v>
      </c>
      <c r="X62" s="106" t="s">
        <v>437</v>
      </c>
      <c r="Y62" s="107" t="s">
        <v>437</v>
      </c>
      <c r="Z62" s="119"/>
      <c r="AA62" s="117"/>
      <c r="AB62" s="117"/>
      <c r="AC62" s="117"/>
      <c r="AD62" s="118"/>
      <c r="AE62" s="281" t="s">
        <v>437</v>
      </c>
      <c r="AF62" s="106" t="s">
        <v>437</v>
      </c>
      <c r="AG62" s="106" t="s">
        <v>437</v>
      </c>
      <c r="AH62" s="106" t="s">
        <v>437</v>
      </c>
      <c r="AI62" s="106" t="s">
        <v>437</v>
      </c>
      <c r="AJ62" s="116"/>
      <c r="AK62" s="117"/>
      <c r="AL62" s="117"/>
      <c r="AM62" s="117"/>
      <c r="AN62" s="98"/>
      <c r="AO62" s="116"/>
      <c r="AP62" s="117"/>
      <c r="AQ62" s="316"/>
      <c r="AR62" s="316"/>
      <c r="AS62" s="118"/>
      <c r="AT62" s="116"/>
      <c r="AU62" s="227"/>
      <c r="AV62" s="334" t="s">
        <v>535</v>
      </c>
      <c r="AW62" s="117"/>
      <c r="AX62" s="103" t="s">
        <v>244</v>
      </c>
      <c r="AY62" s="116"/>
      <c r="AZ62" s="117"/>
      <c r="BA62" s="117"/>
      <c r="BB62" s="117"/>
      <c r="BC62" s="118"/>
      <c r="BD62" s="119"/>
      <c r="BE62" s="117"/>
      <c r="BF62" s="117"/>
      <c r="BG62" s="117"/>
      <c r="BH62" s="117"/>
      <c r="BI62" s="118"/>
      <c r="BJ62" s="391" t="s">
        <v>536</v>
      </c>
      <c r="BK62" s="117"/>
      <c r="BL62" s="117"/>
      <c r="BM62" s="101" t="s">
        <v>244</v>
      </c>
      <c r="BN62" s="103" t="s">
        <v>244</v>
      </c>
      <c r="BO62" s="116"/>
      <c r="BP62" s="117"/>
      <c r="BQ62" s="117"/>
      <c r="BR62" s="117"/>
      <c r="BS62" s="118"/>
      <c r="BT62" s="116"/>
      <c r="BU62" s="117"/>
      <c r="BV62" s="117"/>
      <c r="BW62" s="117"/>
      <c r="BX62" s="409" t="s">
        <v>539</v>
      </c>
      <c r="BY62" s="119"/>
      <c r="BZ62" s="117"/>
      <c r="CA62" s="117"/>
      <c r="CB62" s="117"/>
      <c r="CC62" s="118"/>
      <c r="CD62" s="119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/>
      <c r="CQ62" s="117"/>
      <c r="CR62" s="117"/>
      <c r="CS62" s="117"/>
      <c r="CT62" s="117"/>
      <c r="CU62" s="117"/>
      <c r="CV62" s="117"/>
      <c r="CW62" s="117"/>
      <c r="CX62" s="117"/>
      <c r="CY62" s="117"/>
      <c r="CZ62" s="117"/>
      <c r="DA62" s="117"/>
      <c r="DB62" s="117"/>
      <c r="DC62" s="491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/>
      <c r="DO62" s="117"/>
      <c r="DP62" s="117"/>
      <c r="DQ62" s="227"/>
      <c r="DR62" s="116"/>
      <c r="DS62" s="117"/>
      <c r="DT62" s="117"/>
      <c r="DU62" s="117"/>
      <c r="DV62" s="227"/>
      <c r="DW62" s="116"/>
      <c r="DX62" s="117"/>
      <c r="DY62" s="117"/>
      <c r="DZ62" s="117"/>
      <c r="EA62" s="227"/>
      <c r="EB62" s="489"/>
      <c r="EC62" s="117"/>
      <c r="ED62" s="117"/>
      <c r="EE62" s="117"/>
      <c r="EF62" s="118"/>
      <c r="EG62" s="119"/>
      <c r="EH62" s="117"/>
      <c r="EI62" s="117"/>
      <c r="EJ62" s="117"/>
      <c r="EK62" s="118"/>
      <c r="EL62" s="116"/>
      <c r="EM62" s="117"/>
      <c r="EN62" s="117"/>
      <c r="EO62" s="117"/>
      <c r="EP62" s="227"/>
      <c r="EQ62" s="117"/>
      <c r="ER62" s="117"/>
      <c r="ES62" s="117"/>
      <c r="ET62" s="117"/>
      <c r="EU62" s="117"/>
      <c r="EV62" s="117"/>
      <c r="EW62" s="117"/>
      <c r="EX62" s="117"/>
      <c r="EY62" s="117"/>
      <c r="EZ62" s="117"/>
      <c r="FA62" s="117"/>
      <c r="FB62" s="117"/>
      <c r="FC62" s="117"/>
      <c r="FD62" s="117"/>
      <c r="FE62" s="117"/>
      <c r="FF62" s="117"/>
      <c r="FG62" s="117"/>
      <c r="FH62" s="117"/>
      <c r="FI62" s="117"/>
      <c r="FJ62" s="101"/>
      <c r="FK62" s="117"/>
      <c r="FL62" s="117"/>
      <c r="FM62" s="117"/>
      <c r="FN62" s="117"/>
      <c r="FO62" s="117"/>
      <c r="FP62" s="491"/>
      <c r="FQ62" s="491"/>
      <c r="FR62" s="491"/>
      <c r="FS62" s="117"/>
      <c r="FT62" s="117"/>
      <c r="FU62" s="117"/>
      <c r="FV62" s="117"/>
      <c r="FW62" s="117"/>
      <c r="FX62" s="117"/>
      <c r="FY62" s="117"/>
      <c r="FZ62" s="117"/>
      <c r="GA62" s="117"/>
      <c r="GB62" s="117"/>
      <c r="GC62" s="117"/>
      <c r="GD62" s="491"/>
      <c r="GE62" s="491"/>
      <c r="GF62" s="117"/>
      <c r="GG62" s="117"/>
      <c r="GH62" s="117"/>
      <c r="GI62" s="491"/>
      <c r="GJ62" s="491"/>
      <c r="GK62" s="117"/>
      <c r="GL62" s="117"/>
      <c r="GM62" s="117"/>
      <c r="GN62" s="117"/>
      <c r="GO62" s="117"/>
      <c r="GP62" s="117"/>
      <c r="GQ62" s="117"/>
      <c r="GR62" s="117"/>
      <c r="GS62" s="117"/>
      <c r="GT62" s="117"/>
      <c r="GU62" s="117"/>
      <c r="GV62" s="117"/>
      <c r="GW62" s="117"/>
      <c r="GX62" s="117"/>
      <c r="GY62" s="227"/>
      <c r="GZ62" s="117"/>
      <c r="HA62" s="117"/>
      <c r="HB62" s="117"/>
      <c r="HC62" s="117"/>
      <c r="HD62" s="117"/>
      <c r="HE62" s="117"/>
      <c r="HF62" s="117"/>
      <c r="HG62" s="117"/>
      <c r="HH62" s="117"/>
      <c r="HI62" s="117"/>
      <c r="HJ62" s="117"/>
      <c r="HK62" s="117"/>
      <c r="HL62" s="117"/>
      <c r="HM62" s="117"/>
      <c r="HN62" s="117"/>
      <c r="HO62" s="117"/>
      <c r="HP62" s="117"/>
      <c r="HQ62" s="117"/>
      <c r="HR62" s="117"/>
      <c r="HS62" s="117"/>
      <c r="HT62" s="117"/>
      <c r="HU62" s="117"/>
      <c r="HV62" s="117"/>
      <c r="HW62" s="117"/>
      <c r="HX62" s="117"/>
      <c r="HY62" s="117"/>
      <c r="HZ62" s="117"/>
      <c r="IA62" s="117"/>
      <c r="IB62" s="117"/>
      <c r="IC62" s="117"/>
      <c r="ID62" s="117"/>
      <c r="IE62" s="117"/>
      <c r="IF62" s="117"/>
      <c r="IG62" s="491"/>
      <c r="IH62" s="491"/>
      <c r="II62" s="117"/>
      <c r="IJ62" s="117"/>
      <c r="IK62" s="117"/>
      <c r="IL62" s="117"/>
      <c r="IM62" s="117"/>
      <c r="IN62" s="117"/>
      <c r="IO62" s="117"/>
      <c r="IP62" s="117"/>
      <c r="IQ62" s="117"/>
      <c r="IR62" s="117"/>
      <c r="IS62" s="117"/>
      <c r="IT62" s="117"/>
      <c r="IU62" s="117"/>
      <c r="IV62" s="117"/>
      <c r="IW62" s="117"/>
      <c r="IX62" s="117"/>
      <c r="IY62" s="117"/>
      <c r="IZ62" s="117"/>
      <c r="JA62" s="117"/>
      <c r="JB62" s="117"/>
      <c r="JC62" s="117"/>
      <c r="JD62" s="117"/>
      <c r="JE62" s="117"/>
      <c r="JF62" s="117"/>
      <c r="JG62" s="117"/>
      <c r="JH62" s="117"/>
      <c r="JI62" s="117"/>
      <c r="JJ62" s="117"/>
      <c r="JK62" s="117"/>
      <c r="JL62" s="117"/>
      <c r="JM62" s="117"/>
      <c r="JN62" s="117"/>
      <c r="JO62" s="117"/>
      <c r="JP62" s="491"/>
      <c r="JQ62" s="491"/>
      <c r="JR62" s="117"/>
      <c r="JS62" s="117"/>
      <c r="JT62" s="117"/>
      <c r="JU62" s="117"/>
      <c r="JV62" s="117"/>
      <c r="JW62" s="117"/>
      <c r="JX62" s="117"/>
      <c r="JY62" s="491"/>
      <c r="JZ62" s="491"/>
      <c r="KA62" s="491"/>
      <c r="KB62" s="117"/>
      <c r="KC62" s="227"/>
      <c r="KD62" s="117"/>
      <c r="KE62" s="117"/>
      <c r="KF62" s="117"/>
      <c r="KG62" s="117"/>
      <c r="KH62" s="117"/>
      <c r="KI62" s="117"/>
      <c r="KJ62" s="117"/>
      <c r="KK62" s="117"/>
      <c r="KL62" s="117"/>
      <c r="KM62" s="117"/>
      <c r="KN62" s="117"/>
      <c r="KO62" s="117"/>
      <c r="KP62" s="491"/>
      <c r="KQ62" s="491"/>
      <c r="KR62" s="117"/>
      <c r="KS62" s="117"/>
      <c r="KT62" s="117"/>
      <c r="KU62" s="117"/>
      <c r="KV62" s="117"/>
      <c r="KW62" s="117"/>
      <c r="KX62" s="117"/>
      <c r="KY62" s="117"/>
      <c r="KZ62" s="117"/>
      <c r="LA62" s="117"/>
      <c r="LB62" s="117"/>
      <c r="LC62" s="117"/>
      <c r="LD62" s="117"/>
      <c r="LE62" s="491"/>
      <c r="LF62" s="117"/>
      <c r="LG62" s="117"/>
      <c r="LH62" s="117"/>
      <c r="LI62" s="117"/>
      <c r="LJ62" s="117"/>
      <c r="LK62" s="117"/>
      <c r="LL62" s="117"/>
      <c r="LM62" s="117"/>
      <c r="LN62" s="117"/>
      <c r="LO62" s="117"/>
      <c r="LP62" s="117"/>
      <c r="LQ62" s="117"/>
      <c r="LR62" s="117"/>
      <c r="LS62" s="117"/>
      <c r="LT62" s="117"/>
    </row>
    <row r="63" spans="1:335" ht="24.95" customHeight="1">
      <c r="A63" s="985"/>
      <c r="B63" s="121" t="s">
        <v>187</v>
      </c>
      <c r="C63" s="204">
        <v>1</v>
      </c>
      <c r="D63" s="204">
        <v>160</v>
      </c>
      <c r="E63" s="226">
        <f t="shared" si="5"/>
        <v>0</v>
      </c>
      <c r="F63" s="204"/>
      <c r="G63" s="121"/>
      <c r="H63" s="121"/>
      <c r="I63" s="121"/>
      <c r="J63" s="121"/>
      <c r="K63" s="121"/>
      <c r="L63" s="121"/>
      <c r="M63" s="121"/>
      <c r="N63" s="354"/>
      <c r="O63" s="190"/>
      <c r="P63" s="116"/>
      <c r="Q63" s="117"/>
      <c r="R63" s="117"/>
      <c r="S63" s="117"/>
      <c r="T63" s="227"/>
      <c r="U63" s="105" t="s">
        <v>437</v>
      </c>
      <c r="V63" s="106" t="s">
        <v>437</v>
      </c>
      <c r="W63" s="106" t="s">
        <v>437</v>
      </c>
      <c r="X63" s="106" t="s">
        <v>437</v>
      </c>
      <c r="Y63" s="107" t="s">
        <v>437</v>
      </c>
      <c r="Z63" s="119"/>
      <c r="AA63" s="117"/>
      <c r="AB63" s="117"/>
      <c r="AC63" s="117"/>
      <c r="AD63" s="118"/>
      <c r="AE63" s="281" t="s">
        <v>437</v>
      </c>
      <c r="AF63" s="106" t="s">
        <v>437</v>
      </c>
      <c r="AG63" s="106" t="s">
        <v>437</v>
      </c>
      <c r="AH63" s="106" t="s">
        <v>437</v>
      </c>
      <c r="AI63" s="106" t="s">
        <v>437</v>
      </c>
      <c r="AJ63" s="116"/>
      <c r="AK63" s="117"/>
      <c r="AL63" s="117"/>
      <c r="AM63" s="117"/>
      <c r="AN63" s="118"/>
      <c r="AO63" s="315"/>
      <c r="AP63" s="316"/>
      <c r="AQ63" s="101"/>
      <c r="AR63" s="117"/>
      <c r="AS63" s="118"/>
      <c r="AT63" s="116"/>
      <c r="AU63" s="227"/>
      <c r="AV63" s="334" t="s">
        <v>535</v>
      </c>
      <c r="AW63" s="117"/>
      <c r="AX63" s="103" t="s">
        <v>244</v>
      </c>
      <c r="AY63" s="116"/>
      <c r="AZ63" s="117"/>
      <c r="BA63" s="117"/>
      <c r="BB63" s="117"/>
      <c r="BC63" s="118"/>
      <c r="BD63" s="119"/>
      <c r="BE63" s="117"/>
      <c r="BF63" s="117"/>
      <c r="BG63" s="117"/>
      <c r="BH63" s="117"/>
      <c r="BI63" s="118"/>
      <c r="BJ63" s="391" t="s">
        <v>536</v>
      </c>
      <c r="BK63" s="117"/>
      <c r="BL63" s="117"/>
      <c r="BM63" s="101" t="s">
        <v>244</v>
      </c>
      <c r="BN63" s="103" t="s">
        <v>244</v>
      </c>
      <c r="BO63" s="116"/>
      <c r="BP63" s="117"/>
      <c r="BQ63" s="117"/>
      <c r="BR63" s="117"/>
      <c r="BS63" s="118"/>
      <c r="BT63" s="116"/>
      <c r="BU63" s="117"/>
      <c r="BV63" s="117"/>
      <c r="BW63" s="117"/>
      <c r="BX63" s="409" t="s">
        <v>539</v>
      </c>
      <c r="BY63" s="119"/>
      <c r="BZ63" s="117"/>
      <c r="CA63" s="117"/>
      <c r="CB63" s="117"/>
      <c r="CC63" s="118"/>
      <c r="CD63" s="119"/>
      <c r="CE63" s="117"/>
      <c r="CF63" s="117"/>
      <c r="CG63" s="117"/>
      <c r="CH63" s="117"/>
      <c r="CI63" s="117"/>
      <c r="CJ63" s="117"/>
      <c r="CK63" s="117"/>
      <c r="CL63" s="117"/>
      <c r="CM63" s="117"/>
      <c r="CN63" s="117"/>
      <c r="CO63" s="117"/>
      <c r="CP63" s="117"/>
      <c r="CQ63" s="117"/>
      <c r="CR63" s="117"/>
      <c r="CS63" s="117"/>
      <c r="CT63" s="117"/>
      <c r="CU63" s="117"/>
      <c r="CV63" s="117"/>
      <c r="CW63" s="117"/>
      <c r="CX63" s="117"/>
      <c r="CY63" s="117"/>
      <c r="CZ63" s="117"/>
      <c r="DA63" s="117"/>
      <c r="DB63" s="117"/>
      <c r="DC63" s="491"/>
      <c r="DD63" s="117"/>
      <c r="DE63" s="117"/>
      <c r="DF63" s="117"/>
      <c r="DG63" s="117"/>
      <c r="DH63" s="117"/>
      <c r="DI63" s="117"/>
      <c r="DJ63" s="117"/>
      <c r="DK63" s="117"/>
      <c r="DL63" s="117"/>
      <c r="DM63" s="117"/>
      <c r="DN63" s="117"/>
      <c r="DO63" s="117"/>
      <c r="DP63" s="117"/>
      <c r="DQ63" s="227"/>
      <c r="DR63" s="116"/>
      <c r="DS63" s="117"/>
      <c r="DT63" s="117"/>
      <c r="DU63" s="117"/>
      <c r="DV63" s="227"/>
      <c r="DW63" s="116"/>
      <c r="DX63" s="117"/>
      <c r="DY63" s="117"/>
      <c r="DZ63" s="117"/>
      <c r="EA63" s="227"/>
      <c r="EB63" s="489"/>
      <c r="EC63" s="117"/>
      <c r="ED63" s="117"/>
      <c r="EE63" s="117"/>
      <c r="EF63" s="118"/>
      <c r="EG63" s="119"/>
      <c r="EH63" s="117"/>
      <c r="EI63" s="117"/>
      <c r="EJ63" s="117"/>
      <c r="EK63" s="118"/>
      <c r="EL63" s="116"/>
      <c r="EM63" s="117"/>
      <c r="EN63" s="117"/>
      <c r="EO63" s="117"/>
      <c r="EP63" s="227"/>
      <c r="EQ63" s="117"/>
      <c r="ER63" s="117"/>
      <c r="ES63" s="117"/>
      <c r="ET63" s="117"/>
      <c r="EU63" s="117"/>
      <c r="EV63" s="117"/>
      <c r="EW63" s="117"/>
      <c r="EX63" s="117"/>
      <c r="EY63" s="117"/>
      <c r="EZ63" s="117"/>
      <c r="FA63" s="117"/>
      <c r="FB63" s="117"/>
      <c r="FC63" s="117"/>
      <c r="FD63" s="117"/>
      <c r="FE63" s="117"/>
      <c r="FF63" s="117"/>
      <c r="FG63" s="117"/>
      <c r="FH63" s="117"/>
      <c r="FI63" s="117"/>
      <c r="FJ63" s="101"/>
      <c r="FK63" s="117"/>
      <c r="FL63" s="117"/>
      <c r="FM63" s="117"/>
      <c r="FN63" s="117"/>
      <c r="FO63" s="117"/>
      <c r="FP63" s="491"/>
      <c r="FQ63" s="491"/>
      <c r="FR63" s="491"/>
      <c r="FS63" s="117"/>
      <c r="FT63" s="117"/>
      <c r="FU63" s="117"/>
      <c r="FV63" s="117"/>
      <c r="FW63" s="117"/>
      <c r="FX63" s="117"/>
      <c r="FY63" s="117"/>
      <c r="FZ63" s="117"/>
      <c r="GA63" s="117"/>
      <c r="GB63" s="117"/>
      <c r="GC63" s="117"/>
      <c r="GD63" s="491"/>
      <c r="GE63" s="491"/>
      <c r="GF63" s="117"/>
      <c r="GG63" s="117"/>
      <c r="GH63" s="117"/>
      <c r="GI63" s="491"/>
      <c r="GJ63" s="491"/>
      <c r="GK63" s="117"/>
      <c r="GL63" s="117"/>
      <c r="GM63" s="117"/>
      <c r="GN63" s="117"/>
      <c r="GO63" s="117"/>
      <c r="GP63" s="117"/>
      <c r="GQ63" s="117"/>
      <c r="GR63" s="117"/>
      <c r="GS63" s="117"/>
      <c r="GT63" s="117"/>
      <c r="GU63" s="117"/>
      <c r="GV63" s="117"/>
      <c r="GW63" s="117"/>
      <c r="GX63" s="117"/>
      <c r="GY63" s="227"/>
      <c r="GZ63" s="117"/>
      <c r="HA63" s="117"/>
      <c r="HB63" s="117"/>
      <c r="HC63" s="117"/>
      <c r="HD63" s="117"/>
      <c r="HE63" s="117"/>
      <c r="HF63" s="117"/>
      <c r="HG63" s="117"/>
      <c r="HH63" s="117"/>
      <c r="HI63" s="117"/>
      <c r="HJ63" s="117"/>
      <c r="HK63" s="117"/>
      <c r="HL63" s="117"/>
      <c r="HM63" s="117"/>
      <c r="HN63" s="117"/>
      <c r="HO63" s="117"/>
      <c r="HP63" s="117"/>
      <c r="HQ63" s="117"/>
      <c r="HR63" s="117"/>
      <c r="HS63" s="117"/>
      <c r="HT63" s="117"/>
      <c r="HU63" s="117"/>
      <c r="HV63" s="117"/>
      <c r="HW63" s="117"/>
      <c r="HX63" s="117"/>
      <c r="HY63" s="117"/>
      <c r="HZ63" s="117"/>
      <c r="IA63" s="117"/>
      <c r="IB63" s="117"/>
      <c r="IC63" s="117"/>
      <c r="ID63" s="117"/>
      <c r="IE63" s="117"/>
      <c r="IF63" s="117"/>
      <c r="IG63" s="491"/>
      <c r="IH63" s="491"/>
      <c r="II63" s="117"/>
      <c r="IJ63" s="117"/>
      <c r="IK63" s="117"/>
      <c r="IL63" s="117"/>
      <c r="IM63" s="117"/>
      <c r="IN63" s="117"/>
      <c r="IO63" s="117"/>
      <c r="IP63" s="117"/>
      <c r="IQ63" s="117"/>
      <c r="IR63" s="117"/>
      <c r="IS63" s="117"/>
      <c r="IT63" s="117"/>
      <c r="IU63" s="117"/>
      <c r="IV63" s="117"/>
      <c r="IW63" s="117"/>
      <c r="IX63" s="117"/>
      <c r="IY63" s="117"/>
      <c r="IZ63" s="117"/>
      <c r="JA63" s="117"/>
      <c r="JB63" s="117"/>
      <c r="JC63" s="117"/>
      <c r="JD63" s="117"/>
      <c r="JE63" s="117"/>
      <c r="JF63" s="117"/>
      <c r="JG63" s="117"/>
      <c r="JH63" s="117"/>
      <c r="JI63" s="117"/>
      <c r="JJ63" s="117"/>
      <c r="JK63" s="117"/>
      <c r="JL63" s="117"/>
      <c r="JM63" s="117"/>
      <c r="JN63" s="117"/>
      <c r="JO63" s="117"/>
      <c r="JP63" s="491"/>
      <c r="JQ63" s="491"/>
      <c r="JR63" s="117"/>
      <c r="JS63" s="117"/>
      <c r="JT63" s="117"/>
      <c r="JU63" s="117"/>
      <c r="JV63" s="117"/>
      <c r="JW63" s="117"/>
      <c r="JX63" s="117"/>
      <c r="JY63" s="491"/>
      <c r="JZ63" s="491"/>
      <c r="KA63" s="491"/>
      <c r="KB63" s="117"/>
      <c r="KC63" s="227"/>
      <c r="KD63" s="117"/>
      <c r="KE63" s="117"/>
      <c r="KF63" s="117"/>
      <c r="KG63" s="117"/>
      <c r="KH63" s="117"/>
      <c r="KI63" s="117"/>
      <c r="KJ63" s="117"/>
      <c r="KK63" s="117"/>
      <c r="KL63" s="117"/>
      <c r="KM63" s="117"/>
      <c r="KN63" s="117"/>
      <c r="KO63" s="117"/>
      <c r="KP63" s="491"/>
      <c r="KQ63" s="491"/>
      <c r="KR63" s="117"/>
      <c r="KS63" s="117"/>
      <c r="KT63" s="117"/>
      <c r="KU63" s="117"/>
      <c r="KV63" s="117"/>
      <c r="KW63" s="117"/>
      <c r="KX63" s="117"/>
      <c r="KY63" s="117"/>
      <c r="KZ63" s="117"/>
      <c r="LA63" s="117"/>
      <c r="LB63" s="117"/>
      <c r="LC63" s="117"/>
      <c r="LD63" s="117"/>
      <c r="LE63" s="491"/>
      <c r="LF63" s="117"/>
      <c r="LG63" s="117"/>
      <c r="LH63" s="117"/>
      <c r="LI63" s="117"/>
      <c r="LJ63" s="117"/>
      <c r="LK63" s="117"/>
      <c r="LL63" s="117"/>
      <c r="LM63" s="117"/>
      <c r="LN63" s="117"/>
      <c r="LO63" s="117"/>
      <c r="LP63" s="117"/>
      <c r="LQ63" s="117"/>
      <c r="LR63" s="117"/>
      <c r="LS63" s="117"/>
      <c r="LT63" s="117"/>
    </row>
    <row r="64" spans="1:335" ht="24.95" customHeight="1">
      <c r="A64" s="985"/>
      <c r="B64" s="121" t="s">
        <v>188</v>
      </c>
      <c r="C64" s="204">
        <v>1</v>
      </c>
      <c r="D64" s="204">
        <v>280</v>
      </c>
      <c r="E64" s="226">
        <f t="shared" si="5"/>
        <v>0</v>
      </c>
      <c r="F64" s="204"/>
      <c r="G64" s="121"/>
      <c r="H64" s="121"/>
      <c r="I64" s="121"/>
      <c r="J64" s="121"/>
      <c r="K64" s="121"/>
      <c r="L64" s="121"/>
      <c r="M64" s="121"/>
      <c r="N64" s="354"/>
      <c r="O64" s="190"/>
      <c r="P64" s="116"/>
      <c r="Q64" s="117"/>
      <c r="R64" s="117"/>
      <c r="S64" s="117"/>
      <c r="T64" s="227"/>
      <c r="U64" s="105" t="s">
        <v>437</v>
      </c>
      <c r="V64" s="106" t="s">
        <v>437</v>
      </c>
      <c r="W64" s="106" t="s">
        <v>437</v>
      </c>
      <c r="X64" s="106" t="s">
        <v>437</v>
      </c>
      <c r="Y64" s="107" t="s">
        <v>437</v>
      </c>
      <c r="Z64" s="119"/>
      <c r="AA64" s="117"/>
      <c r="AB64" s="117"/>
      <c r="AC64" s="117"/>
      <c r="AD64" s="118"/>
      <c r="AE64" s="281" t="s">
        <v>437</v>
      </c>
      <c r="AF64" s="106" t="s">
        <v>437</v>
      </c>
      <c r="AG64" s="106" t="s">
        <v>437</v>
      </c>
      <c r="AH64" s="106" t="s">
        <v>437</v>
      </c>
      <c r="AI64" s="106" t="s">
        <v>437</v>
      </c>
      <c r="AJ64" s="116"/>
      <c r="AK64" s="117"/>
      <c r="AL64" s="117"/>
      <c r="AM64" s="117"/>
      <c r="AN64" s="118"/>
      <c r="AO64" s="116"/>
      <c r="AP64" s="117"/>
      <c r="AQ64" s="117"/>
      <c r="AR64" s="117"/>
      <c r="AS64" s="118"/>
      <c r="AT64" s="116"/>
      <c r="AU64" s="227"/>
      <c r="AV64" s="334" t="s">
        <v>535</v>
      </c>
      <c r="AW64" s="117"/>
      <c r="AX64" s="103" t="s">
        <v>244</v>
      </c>
      <c r="AY64" s="116"/>
      <c r="AZ64" s="117"/>
      <c r="BA64" s="117"/>
      <c r="BB64" s="117"/>
      <c r="BC64" s="118"/>
      <c r="BD64" s="119"/>
      <c r="BE64" s="117"/>
      <c r="BF64" s="117"/>
      <c r="BG64" s="117"/>
      <c r="BH64" s="117"/>
      <c r="BI64" s="118"/>
      <c r="BJ64" s="391" t="s">
        <v>536</v>
      </c>
      <c r="BK64" s="117"/>
      <c r="BL64" s="117"/>
      <c r="BM64" s="101" t="s">
        <v>244</v>
      </c>
      <c r="BN64" s="103" t="s">
        <v>244</v>
      </c>
      <c r="BO64" s="116"/>
      <c r="BP64" s="117"/>
      <c r="BQ64" s="117"/>
      <c r="BR64" s="117"/>
      <c r="BS64" s="118"/>
      <c r="BT64" s="116"/>
      <c r="BU64" s="117"/>
      <c r="BV64" s="117"/>
      <c r="BW64" s="117"/>
      <c r="BX64" s="409" t="s">
        <v>539</v>
      </c>
      <c r="BY64" s="119"/>
      <c r="BZ64" s="117"/>
      <c r="CA64" s="117"/>
      <c r="CB64" s="117"/>
      <c r="CC64" s="118"/>
      <c r="CD64" s="119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/>
      <c r="CQ64" s="117"/>
      <c r="CR64" s="117"/>
      <c r="CS64" s="117"/>
      <c r="CT64" s="117"/>
      <c r="CU64" s="117"/>
      <c r="CV64" s="117"/>
      <c r="CW64" s="117"/>
      <c r="CX64" s="117"/>
      <c r="CY64" s="117"/>
      <c r="CZ64" s="117"/>
      <c r="DA64" s="117"/>
      <c r="DB64" s="117"/>
      <c r="DC64" s="491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/>
      <c r="DO64" s="117"/>
      <c r="DP64" s="117"/>
      <c r="DQ64" s="227"/>
      <c r="DR64" s="116"/>
      <c r="DS64" s="117"/>
      <c r="DT64" s="117"/>
      <c r="DU64" s="117"/>
      <c r="DV64" s="227"/>
      <c r="DW64" s="116"/>
      <c r="DX64" s="117"/>
      <c r="DY64" s="117"/>
      <c r="DZ64" s="117"/>
      <c r="EA64" s="227"/>
      <c r="EB64" s="489"/>
      <c r="EC64" s="117"/>
      <c r="ED64" s="117"/>
      <c r="EE64" s="117"/>
      <c r="EF64" s="118"/>
      <c r="EG64" s="119"/>
      <c r="EH64" s="117"/>
      <c r="EI64" s="117"/>
      <c r="EJ64" s="117"/>
      <c r="EK64" s="118"/>
      <c r="EL64" s="116"/>
      <c r="EM64" s="117"/>
      <c r="EN64" s="117"/>
      <c r="EO64" s="117"/>
      <c r="EP64" s="227"/>
      <c r="EQ64" s="117"/>
      <c r="ER64" s="117"/>
      <c r="ES64" s="117"/>
      <c r="ET64" s="117"/>
      <c r="EU64" s="117"/>
      <c r="EV64" s="117"/>
      <c r="EW64" s="117"/>
      <c r="EX64" s="117"/>
      <c r="EY64" s="117"/>
      <c r="EZ64" s="117"/>
      <c r="FA64" s="117"/>
      <c r="FB64" s="117"/>
      <c r="FC64" s="117"/>
      <c r="FD64" s="117"/>
      <c r="FE64" s="117"/>
      <c r="FF64" s="117"/>
      <c r="FG64" s="117"/>
      <c r="FH64" s="117"/>
      <c r="FI64" s="117"/>
      <c r="FJ64" s="101"/>
      <c r="FK64" s="117"/>
      <c r="FL64" s="117"/>
      <c r="FM64" s="117"/>
      <c r="FN64" s="117"/>
      <c r="FO64" s="117"/>
      <c r="FP64" s="491"/>
      <c r="FQ64" s="491"/>
      <c r="FR64" s="491"/>
      <c r="FS64" s="117"/>
      <c r="FT64" s="117"/>
      <c r="FU64" s="117"/>
      <c r="FV64" s="117"/>
      <c r="FW64" s="117"/>
      <c r="FX64" s="117"/>
      <c r="FY64" s="117"/>
      <c r="FZ64" s="117"/>
      <c r="GA64" s="117"/>
      <c r="GB64" s="117"/>
      <c r="GC64" s="117"/>
      <c r="GD64" s="491"/>
      <c r="GE64" s="491"/>
      <c r="GF64" s="117"/>
      <c r="GG64" s="117"/>
      <c r="GH64" s="117"/>
      <c r="GI64" s="491"/>
      <c r="GJ64" s="491"/>
      <c r="GK64" s="117"/>
      <c r="GL64" s="117"/>
      <c r="GM64" s="117"/>
      <c r="GN64" s="117"/>
      <c r="GO64" s="117"/>
      <c r="GP64" s="117"/>
      <c r="GQ64" s="117"/>
      <c r="GR64" s="117"/>
      <c r="GS64" s="117"/>
      <c r="GT64" s="117"/>
      <c r="GU64" s="117"/>
      <c r="GV64" s="117"/>
      <c r="GW64" s="117"/>
      <c r="GX64" s="117"/>
      <c r="GY64" s="227"/>
      <c r="GZ64" s="117"/>
      <c r="HA64" s="117"/>
      <c r="HB64" s="117"/>
      <c r="HC64" s="117"/>
      <c r="HD64" s="117"/>
      <c r="HE64" s="117"/>
      <c r="HF64" s="117"/>
      <c r="HG64" s="117"/>
      <c r="HH64" s="117"/>
      <c r="HI64" s="117"/>
      <c r="HJ64" s="117"/>
      <c r="HK64" s="117"/>
      <c r="HL64" s="117"/>
      <c r="HM64" s="117"/>
      <c r="HN64" s="117"/>
      <c r="HO64" s="117"/>
      <c r="HP64" s="117"/>
      <c r="HQ64" s="117"/>
      <c r="HR64" s="117"/>
      <c r="HS64" s="117"/>
      <c r="HT64" s="117"/>
      <c r="HU64" s="117"/>
      <c r="HV64" s="117"/>
      <c r="HW64" s="117"/>
      <c r="HX64" s="117"/>
      <c r="HY64" s="117"/>
      <c r="HZ64" s="117"/>
      <c r="IA64" s="117"/>
      <c r="IB64" s="117"/>
      <c r="IC64" s="117"/>
      <c r="ID64" s="117"/>
      <c r="IE64" s="117"/>
      <c r="IF64" s="117"/>
      <c r="IG64" s="491"/>
      <c r="IH64" s="491"/>
      <c r="II64" s="117"/>
      <c r="IJ64" s="117"/>
      <c r="IK64" s="117"/>
      <c r="IL64" s="117"/>
      <c r="IM64" s="117"/>
      <c r="IN64" s="117"/>
      <c r="IO64" s="117"/>
      <c r="IP64" s="117"/>
      <c r="IQ64" s="117"/>
      <c r="IR64" s="117"/>
      <c r="IS64" s="117"/>
      <c r="IT64" s="117"/>
      <c r="IU64" s="117"/>
      <c r="IV64" s="117"/>
      <c r="IW64" s="117"/>
      <c r="IX64" s="117"/>
      <c r="IY64" s="117"/>
      <c r="IZ64" s="117"/>
      <c r="JA64" s="117"/>
      <c r="JB64" s="117"/>
      <c r="JC64" s="117"/>
      <c r="JD64" s="117"/>
      <c r="JE64" s="117"/>
      <c r="JF64" s="117"/>
      <c r="JG64" s="117"/>
      <c r="JH64" s="117"/>
      <c r="JI64" s="117"/>
      <c r="JJ64" s="117"/>
      <c r="JK64" s="117"/>
      <c r="JL64" s="117"/>
      <c r="JM64" s="117"/>
      <c r="JN64" s="117"/>
      <c r="JO64" s="117"/>
      <c r="JP64" s="491"/>
      <c r="JQ64" s="491"/>
      <c r="JR64" s="117"/>
      <c r="JS64" s="117"/>
      <c r="JT64" s="117"/>
      <c r="JU64" s="117"/>
      <c r="JV64" s="117"/>
      <c r="JW64" s="117"/>
      <c r="JX64" s="117"/>
      <c r="JY64" s="491"/>
      <c r="JZ64" s="491"/>
      <c r="KA64" s="491"/>
      <c r="KB64" s="117"/>
      <c r="KC64" s="227"/>
      <c r="KD64" s="117"/>
      <c r="KE64" s="117"/>
      <c r="KF64" s="117"/>
      <c r="KG64" s="117"/>
      <c r="KH64" s="117"/>
      <c r="KI64" s="117"/>
      <c r="KJ64" s="117"/>
      <c r="KK64" s="117"/>
      <c r="KL64" s="117"/>
      <c r="KM64" s="117"/>
      <c r="KN64" s="117"/>
      <c r="KO64" s="117"/>
      <c r="KP64" s="491"/>
      <c r="KQ64" s="491"/>
      <c r="KR64" s="117"/>
      <c r="KS64" s="117"/>
      <c r="KT64" s="117"/>
      <c r="KU64" s="117"/>
      <c r="KV64" s="117"/>
      <c r="KW64" s="117"/>
      <c r="KX64" s="117"/>
      <c r="KY64" s="117"/>
      <c r="KZ64" s="117"/>
      <c r="LA64" s="117"/>
      <c r="LB64" s="117"/>
      <c r="LC64" s="117"/>
      <c r="LD64" s="117"/>
      <c r="LE64" s="491"/>
      <c r="LF64" s="117"/>
      <c r="LG64" s="117"/>
      <c r="LH64" s="117"/>
      <c r="LI64" s="117"/>
      <c r="LJ64" s="117"/>
      <c r="LK64" s="117"/>
      <c r="LL64" s="117"/>
      <c r="LM64" s="117"/>
      <c r="LN64" s="117"/>
      <c r="LO64" s="117"/>
      <c r="LP64" s="117"/>
      <c r="LQ64" s="117"/>
      <c r="LR64" s="117"/>
      <c r="LS64" s="117"/>
      <c r="LT64" s="117"/>
    </row>
    <row r="65" spans="1:332" ht="24.95" customHeight="1">
      <c r="A65" s="986" t="s">
        <v>33</v>
      </c>
      <c r="B65" s="4" t="s">
        <v>189</v>
      </c>
      <c r="C65" s="5">
        <v>1</v>
      </c>
      <c r="D65" s="5"/>
      <c r="E65" s="226" t="e">
        <f t="shared" si="5"/>
        <v>#DIV/0!</v>
      </c>
      <c r="F65" s="5"/>
      <c r="G65" s="4"/>
      <c r="H65" s="4"/>
      <c r="I65" s="4"/>
      <c r="J65" s="4"/>
      <c r="K65" s="4"/>
      <c r="L65" s="4"/>
      <c r="M65" s="4"/>
      <c r="N65" s="354"/>
      <c r="O65" s="190"/>
      <c r="P65" s="116"/>
      <c r="Q65" s="117"/>
      <c r="R65" s="117"/>
      <c r="S65" s="117"/>
      <c r="T65" s="227"/>
      <c r="U65" s="105" t="s">
        <v>437</v>
      </c>
      <c r="V65" s="106" t="s">
        <v>437</v>
      </c>
      <c r="W65" s="106" t="s">
        <v>437</v>
      </c>
      <c r="X65" s="106" t="s">
        <v>437</v>
      </c>
      <c r="Y65" s="107" t="s">
        <v>437</v>
      </c>
      <c r="Z65" s="119"/>
      <c r="AA65" s="117"/>
      <c r="AB65" s="117"/>
      <c r="AC65" s="117"/>
      <c r="AD65" s="118"/>
      <c r="AE65" s="281" t="s">
        <v>437</v>
      </c>
      <c r="AF65" s="106" t="s">
        <v>437</v>
      </c>
      <c r="AG65" s="106" t="s">
        <v>437</v>
      </c>
      <c r="AH65" s="106" t="s">
        <v>437</v>
      </c>
      <c r="AI65" s="106" t="s">
        <v>437</v>
      </c>
      <c r="AJ65" s="116"/>
      <c r="AK65" s="117"/>
      <c r="AL65" s="117"/>
      <c r="AM65" s="117"/>
      <c r="AN65" s="118"/>
      <c r="AO65" s="116"/>
      <c r="AP65" s="117"/>
      <c r="AQ65" s="117"/>
      <c r="AR65" s="117"/>
      <c r="AS65" s="118"/>
      <c r="AT65" s="116"/>
      <c r="AU65" s="117"/>
      <c r="AV65" s="117"/>
      <c r="AW65" s="117"/>
      <c r="AX65" s="103" t="s">
        <v>244</v>
      </c>
      <c r="AY65" s="116"/>
      <c r="AZ65" s="117"/>
      <c r="BA65" s="117"/>
      <c r="BB65" s="117"/>
      <c r="BC65" s="118"/>
      <c r="BD65" s="119"/>
      <c r="BE65" s="117"/>
      <c r="BF65" s="117"/>
      <c r="BG65" s="117"/>
      <c r="BH65" s="117"/>
      <c r="BI65" s="118"/>
      <c r="BJ65" s="119"/>
      <c r="BK65" s="117"/>
      <c r="BL65" s="117"/>
      <c r="BM65" s="101" t="s">
        <v>244</v>
      </c>
      <c r="BN65" s="103" t="s">
        <v>244</v>
      </c>
      <c r="BO65" s="116"/>
      <c r="BP65" s="117"/>
      <c r="BQ65" s="117"/>
      <c r="BR65" s="117"/>
      <c r="BS65" s="118"/>
      <c r="BT65" s="116"/>
      <c r="BU65" s="117"/>
      <c r="BV65" s="117"/>
      <c r="BW65" s="117"/>
      <c r="BX65" s="118"/>
      <c r="BY65" s="119"/>
      <c r="BZ65" s="117"/>
      <c r="CA65" s="117"/>
      <c r="CB65" s="117"/>
      <c r="CC65" s="118"/>
      <c r="CD65" s="119"/>
      <c r="CE65" s="117"/>
      <c r="CF65" s="117"/>
      <c r="CG65" s="117"/>
      <c r="CH65" s="117"/>
      <c r="CI65" s="117"/>
      <c r="CJ65" s="117"/>
      <c r="CK65" s="117"/>
      <c r="CL65" s="117"/>
      <c r="CM65" s="117"/>
      <c r="CN65" s="117"/>
      <c r="CO65" s="117"/>
      <c r="CP65" s="117"/>
      <c r="CQ65" s="117"/>
      <c r="CR65" s="117"/>
      <c r="CS65" s="117"/>
      <c r="CT65" s="117"/>
      <c r="CU65" s="117"/>
      <c r="CV65" s="117"/>
      <c r="CW65" s="117"/>
      <c r="CX65" s="117"/>
      <c r="CY65" s="117"/>
      <c r="CZ65" s="117"/>
      <c r="DA65" s="117"/>
      <c r="DB65" s="117"/>
      <c r="DC65" s="491"/>
      <c r="DD65" s="117"/>
      <c r="DE65" s="117"/>
      <c r="DF65" s="117"/>
      <c r="DG65" s="117"/>
      <c r="DH65" s="117"/>
      <c r="DI65" s="117"/>
      <c r="DJ65" s="117"/>
      <c r="DK65" s="117"/>
      <c r="DL65" s="117"/>
      <c r="DM65" s="117"/>
      <c r="DN65" s="117"/>
      <c r="DO65" s="117"/>
      <c r="DP65" s="117"/>
      <c r="DQ65" s="227"/>
      <c r="DR65" s="116"/>
      <c r="DS65" s="117"/>
      <c r="DT65" s="117"/>
      <c r="DU65" s="117"/>
      <c r="DV65" s="227"/>
      <c r="DW65" s="116"/>
      <c r="DX65" s="117"/>
      <c r="DY65" s="117"/>
      <c r="DZ65" s="117"/>
      <c r="EA65" s="227"/>
      <c r="EB65" s="489"/>
      <c r="EC65" s="117"/>
      <c r="ED65" s="117"/>
      <c r="EE65" s="117"/>
      <c r="EF65" s="118"/>
      <c r="EG65" s="119"/>
      <c r="EH65" s="117"/>
      <c r="EI65" s="117"/>
      <c r="EJ65" s="117"/>
      <c r="EK65" s="118"/>
      <c r="EL65" s="116"/>
      <c r="EM65" s="117"/>
      <c r="EN65" s="117"/>
      <c r="EO65" s="117"/>
      <c r="EP65" s="227"/>
      <c r="EQ65" s="117"/>
      <c r="ER65" s="661"/>
      <c r="ES65" s="661"/>
      <c r="ET65" s="661"/>
      <c r="EU65" s="117"/>
      <c r="EV65" s="117"/>
      <c r="EW65" s="117"/>
      <c r="EX65" s="117"/>
      <c r="EY65" s="117"/>
      <c r="EZ65" s="117"/>
      <c r="FA65" s="117"/>
      <c r="FB65" s="117"/>
      <c r="FC65" s="117"/>
      <c r="FD65" s="117"/>
      <c r="FE65" s="117"/>
      <c r="FF65" s="117"/>
      <c r="FG65" s="117"/>
      <c r="FH65" s="117"/>
      <c r="FI65" s="117"/>
      <c r="FJ65" s="101"/>
      <c r="FK65" s="117"/>
      <c r="FL65" s="117"/>
      <c r="FM65" s="117"/>
      <c r="FN65" s="117"/>
      <c r="FO65" s="117"/>
      <c r="FP65" s="491"/>
      <c r="FQ65" s="491"/>
      <c r="FR65" s="491"/>
      <c r="FS65" s="117"/>
      <c r="FT65" s="117"/>
      <c r="FU65" s="117"/>
      <c r="FV65" s="117"/>
      <c r="FW65" s="117"/>
      <c r="FX65" s="117"/>
      <c r="FY65" s="117"/>
      <c r="FZ65" s="117"/>
      <c r="GA65" s="117"/>
      <c r="GB65" s="117"/>
      <c r="GC65" s="117"/>
      <c r="GD65" s="491"/>
      <c r="GE65" s="491"/>
      <c r="GF65" s="117"/>
      <c r="GG65" s="117"/>
      <c r="GH65" s="117"/>
      <c r="GI65" s="491"/>
      <c r="GJ65" s="491"/>
      <c r="GK65" s="117"/>
      <c r="GL65" s="117"/>
      <c r="GM65" s="117"/>
      <c r="GN65" s="117"/>
      <c r="GO65" s="117"/>
      <c r="GP65" s="117"/>
      <c r="GQ65" s="117"/>
      <c r="GR65" s="117"/>
      <c r="GS65" s="117"/>
      <c r="GT65" s="117"/>
      <c r="GU65" s="117"/>
      <c r="GV65" s="117"/>
      <c r="GW65" s="117"/>
      <c r="GX65" s="117"/>
      <c r="GY65" s="227"/>
      <c r="GZ65" s="117"/>
      <c r="HA65" s="117"/>
      <c r="HB65" s="117"/>
      <c r="HC65" s="117"/>
      <c r="HD65" s="117"/>
      <c r="HE65" s="117"/>
      <c r="HF65" s="117"/>
      <c r="HG65" s="117"/>
      <c r="HH65" s="117"/>
      <c r="HI65" s="117"/>
      <c r="HJ65" s="117"/>
      <c r="HK65" s="117"/>
      <c r="HL65" s="117"/>
      <c r="HM65" s="117"/>
      <c r="HN65" s="117"/>
      <c r="HO65" s="117"/>
      <c r="HP65" s="117"/>
      <c r="HQ65" s="117"/>
      <c r="HR65" s="117"/>
      <c r="HS65" s="117"/>
      <c r="HT65" s="117"/>
      <c r="HU65" s="117"/>
      <c r="HV65" s="117"/>
      <c r="HW65" s="117"/>
      <c r="HX65" s="117"/>
      <c r="HY65" s="117"/>
      <c r="HZ65" s="117"/>
      <c r="IA65" s="117"/>
      <c r="IB65" s="117"/>
      <c r="IC65" s="117"/>
      <c r="ID65" s="117"/>
      <c r="IE65" s="117"/>
      <c r="IF65" s="117"/>
      <c r="IG65" s="491"/>
      <c r="IH65" s="491"/>
      <c r="II65" s="117"/>
      <c r="IJ65" s="117"/>
      <c r="IK65" s="117"/>
      <c r="IL65" s="117"/>
      <c r="IM65" s="117"/>
      <c r="IN65" s="117"/>
      <c r="IO65" s="117"/>
      <c r="IP65" s="117"/>
      <c r="IQ65" s="117"/>
      <c r="IR65" s="117"/>
      <c r="IS65" s="117"/>
      <c r="IT65" s="117"/>
      <c r="IU65" s="117"/>
      <c r="IV65" s="117"/>
      <c r="IW65" s="117"/>
      <c r="IX65" s="117"/>
      <c r="IY65" s="117"/>
      <c r="IZ65" s="117"/>
      <c r="JA65" s="117"/>
      <c r="JB65" s="117"/>
      <c r="JC65" s="117"/>
      <c r="JD65" s="117"/>
      <c r="JE65" s="117"/>
      <c r="JF65" s="117"/>
      <c r="JG65" s="117"/>
      <c r="JH65" s="117"/>
      <c r="JI65" s="117"/>
      <c r="JJ65" s="117"/>
      <c r="JK65" s="117"/>
      <c r="JL65" s="117"/>
      <c r="JM65" s="117"/>
      <c r="JN65" s="117"/>
      <c r="JO65" s="117"/>
      <c r="JP65" s="491"/>
      <c r="JQ65" s="491"/>
      <c r="JR65" s="117"/>
      <c r="JS65" s="117"/>
      <c r="JT65" s="117"/>
      <c r="JU65" s="117"/>
      <c r="JV65" s="117"/>
      <c r="JW65" s="117"/>
      <c r="JX65" s="117"/>
      <c r="JY65" s="491"/>
      <c r="JZ65" s="491"/>
      <c r="KA65" s="491"/>
      <c r="KB65" s="117"/>
      <c r="KC65" s="227"/>
      <c r="KD65" s="117"/>
      <c r="KE65" s="117"/>
      <c r="KF65" s="117"/>
      <c r="KG65" s="117"/>
      <c r="KH65" s="117"/>
      <c r="KI65" s="117"/>
      <c r="KJ65" s="117"/>
      <c r="KK65" s="117"/>
      <c r="KL65" s="117"/>
      <c r="KM65" s="117"/>
      <c r="KN65" s="117"/>
      <c r="KO65" s="117"/>
      <c r="KP65" s="491"/>
      <c r="KQ65" s="491"/>
      <c r="KR65" s="117"/>
      <c r="KS65" s="117"/>
      <c r="KT65" s="117"/>
      <c r="KU65" s="117"/>
      <c r="KV65" s="117"/>
      <c r="KW65" s="117"/>
      <c r="KX65" s="117"/>
      <c r="KY65" s="117"/>
      <c r="KZ65" s="117"/>
      <c r="LA65" s="117"/>
      <c r="LB65" s="117"/>
      <c r="LC65" s="117"/>
      <c r="LD65" s="117"/>
      <c r="LE65" s="491"/>
      <c r="LF65" s="117"/>
      <c r="LG65" s="117"/>
      <c r="LH65" s="117"/>
      <c r="LI65" s="117"/>
      <c r="LJ65" s="117"/>
      <c r="LK65" s="117"/>
      <c r="LL65" s="117"/>
      <c r="LM65" s="117"/>
      <c r="LN65" s="117"/>
      <c r="LO65" s="117"/>
      <c r="LP65" s="117"/>
      <c r="LQ65" s="117"/>
      <c r="LR65" s="117"/>
      <c r="LS65" s="117"/>
      <c r="LT65" s="117"/>
    </row>
    <row r="66" spans="1:332" ht="24.95" customHeight="1">
      <c r="A66" s="989"/>
      <c r="B66" s="284" t="s">
        <v>190</v>
      </c>
      <c r="C66" s="290">
        <v>1</v>
      </c>
      <c r="D66" s="290">
        <v>70</v>
      </c>
      <c r="E66" s="554">
        <f t="shared" si="5"/>
        <v>8.5714285714285712</v>
      </c>
      <c r="F66" s="298">
        <v>600</v>
      </c>
      <c r="G66" s="284"/>
      <c r="H66" s="284"/>
      <c r="I66" s="284"/>
      <c r="J66" s="284"/>
      <c r="K66" s="284"/>
      <c r="L66" s="284"/>
      <c r="M66" s="284"/>
      <c r="N66" s="106">
        <f>F66</f>
        <v>600</v>
      </c>
      <c r="O66" s="191"/>
      <c r="P66" s="124"/>
      <c r="Q66" s="122"/>
      <c r="R66" s="122"/>
      <c r="S66" s="122"/>
      <c r="T66" s="228"/>
      <c r="U66" s="556" t="s">
        <v>437</v>
      </c>
      <c r="V66" s="555" t="s">
        <v>437</v>
      </c>
      <c r="W66" s="555" t="s">
        <v>437</v>
      </c>
      <c r="X66" s="555" t="s">
        <v>437</v>
      </c>
      <c r="Y66" s="557" t="s">
        <v>437</v>
      </c>
      <c r="Z66" s="125"/>
      <c r="AA66" s="122"/>
      <c r="AB66" s="122"/>
      <c r="AC66" s="122"/>
      <c r="AD66" s="123"/>
      <c r="AE66" s="558" t="s">
        <v>437</v>
      </c>
      <c r="AF66" s="555" t="s">
        <v>437</v>
      </c>
      <c r="AG66" s="555" t="s">
        <v>437</v>
      </c>
      <c r="AH66" s="555" t="s">
        <v>437</v>
      </c>
      <c r="AI66" s="555" t="s">
        <v>437</v>
      </c>
      <c r="AJ66" s="124"/>
      <c r="AK66" s="122"/>
      <c r="AL66" s="122"/>
      <c r="AM66" s="122"/>
      <c r="AN66" s="123"/>
      <c r="AO66" s="124"/>
      <c r="AP66" s="122"/>
      <c r="AQ66" s="122"/>
      <c r="AR66" s="122"/>
      <c r="AS66" s="123"/>
      <c r="AT66" s="559"/>
      <c r="AU66" s="560"/>
      <c r="AV66" s="559"/>
      <c r="AW66" s="560"/>
      <c r="AX66" s="115" t="s">
        <v>244</v>
      </c>
      <c r="AY66" s="561"/>
      <c r="AZ66" s="559"/>
      <c r="BA66" s="559"/>
      <c r="BB66" s="559"/>
      <c r="BC66" s="123"/>
      <c r="BD66" s="125"/>
      <c r="BE66" s="122"/>
      <c r="BF66" s="122"/>
      <c r="BG66" s="122"/>
      <c r="BH66" s="122"/>
      <c r="BI66" s="123"/>
      <c r="BJ66" s="125"/>
      <c r="BK66" s="122"/>
      <c r="BL66" s="122"/>
      <c r="BM66" s="112" t="s">
        <v>244</v>
      </c>
      <c r="BN66" s="115" t="s">
        <v>244</v>
      </c>
      <c r="BO66" s="124"/>
      <c r="BP66" s="122"/>
      <c r="BQ66" s="122"/>
      <c r="BR66" s="122"/>
      <c r="BS66" s="123"/>
      <c r="BT66" s="124"/>
      <c r="BU66" s="122"/>
      <c r="BV66" s="122"/>
      <c r="BW66" s="122"/>
      <c r="BX66" s="123"/>
      <c r="BY66" s="125"/>
      <c r="BZ66" s="122"/>
      <c r="CA66" s="122"/>
      <c r="CB66" s="122"/>
      <c r="CC66" s="123"/>
      <c r="CD66" s="125"/>
      <c r="CE66" s="122"/>
      <c r="CF66" s="122"/>
      <c r="CG66" s="122"/>
      <c r="CH66" s="122"/>
      <c r="CI66" s="122"/>
      <c r="CJ66" s="122"/>
      <c r="CK66" s="122"/>
      <c r="CL66" s="122"/>
      <c r="CM66" s="122"/>
      <c r="CN66" s="122"/>
      <c r="CO66" s="122"/>
      <c r="CP66" s="122"/>
      <c r="CQ66" s="122"/>
      <c r="CR66" s="122"/>
      <c r="CS66" s="122"/>
      <c r="CT66" s="122"/>
      <c r="CU66" s="122"/>
      <c r="CV66" s="122"/>
      <c r="CW66" s="122"/>
      <c r="CX66" s="122"/>
      <c r="CY66" s="122"/>
      <c r="CZ66" s="122"/>
      <c r="DA66" s="122"/>
      <c r="DB66" s="122"/>
      <c r="DC66" s="492"/>
      <c r="DD66" s="122"/>
      <c r="DE66" s="122"/>
      <c r="DF66" s="122"/>
      <c r="DG66" s="122"/>
      <c r="DH66" s="122"/>
      <c r="DI66" s="122"/>
      <c r="DJ66" s="122"/>
      <c r="DK66" s="122"/>
      <c r="DL66" s="122"/>
      <c r="DM66" s="122"/>
      <c r="DN66" s="122"/>
      <c r="DO66" s="122"/>
      <c r="DP66" s="122"/>
      <c r="DQ66" s="228"/>
      <c r="DR66" s="124"/>
      <c r="DS66" s="122"/>
      <c r="DT66" s="122"/>
      <c r="DU66" s="122"/>
      <c r="DV66" s="228"/>
      <c r="DW66" s="124"/>
      <c r="DX66" s="122"/>
      <c r="DY66" s="122"/>
      <c r="DZ66" s="122"/>
      <c r="EA66" s="228"/>
      <c r="EB66" s="490"/>
      <c r="EC66" s="122"/>
      <c r="ED66" s="122"/>
      <c r="EE66" s="122"/>
      <c r="EF66" s="123"/>
      <c r="EG66" s="125"/>
      <c r="EH66" s="122"/>
      <c r="EI66" s="122"/>
      <c r="EJ66" s="122"/>
      <c r="EK66" s="123"/>
      <c r="EL66" s="124"/>
      <c r="EM66" s="122"/>
      <c r="EN66" s="122"/>
      <c r="EO66" s="122"/>
      <c r="EP66" s="228"/>
      <c r="EQ66" s="117"/>
      <c r="ER66" s="117"/>
      <c r="ES66" s="117"/>
      <c r="ET66" s="117"/>
      <c r="EU66" s="117"/>
      <c r="EV66" s="117"/>
      <c r="EW66" s="117"/>
      <c r="EX66" s="117"/>
      <c r="EY66" s="117"/>
      <c r="EZ66" s="117"/>
      <c r="FA66" s="117"/>
      <c r="FB66" s="117"/>
      <c r="FC66" s="117"/>
      <c r="FD66" s="117"/>
      <c r="FE66" s="117"/>
      <c r="FF66" s="117"/>
      <c r="FG66" s="117"/>
      <c r="FH66" s="117"/>
      <c r="FI66" s="117"/>
      <c r="FJ66" s="101"/>
      <c r="FK66" s="117"/>
      <c r="FL66" s="117"/>
      <c r="FM66" s="117"/>
      <c r="FN66" s="117"/>
      <c r="FO66" s="117"/>
      <c r="FP66" s="491"/>
      <c r="FQ66" s="491"/>
      <c r="FR66" s="491"/>
      <c r="FS66" s="117"/>
      <c r="FT66" s="117"/>
      <c r="FU66" s="117"/>
      <c r="FV66" s="117"/>
      <c r="FW66" s="117"/>
      <c r="FX66" s="117"/>
      <c r="FY66" s="117"/>
      <c r="FZ66" s="117"/>
      <c r="GA66" s="117"/>
      <c r="GB66" s="117"/>
      <c r="GC66" s="117"/>
      <c r="GD66" s="491"/>
      <c r="GE66" s="491"/>
      <c r="GF66" s="117"/>
      <c r="GG66" s="117"/>
      <c r="GH66" s="117"/>
      <c r="GI66" s="491"/>
      <c r="GJ66" s="491"/>
      <c r="GK66" s="117"/>
      <c r="GL66" s="117"/>
      <c r="GM66" s="117"/>
      <c r="GN66" s="117"/>
      <c r="GO66" s="117"/>
      <c r="GP66" s="117"/>
      <c r="GQ66" s="117"/>
      <c r="GR66" s="117"/>
      <c r="GS66" s="117"/>
      <c r="GT66" s="117"/>
      <c r="GU66" s="117"/>
      <c r="GV66" s="117"/>
      <c r="GW66" s="117"/>
      <c r="GX66" s="117"/>
      <c r="GY66" s="227"/>
      <c r="GZ66" s="117"/>
      <c r="HA66" s="117"/>
      <c r="HB66" s="117"/>
      <c r="HC66" s="117"/>
      <c r="HD66" s="117"/>
      <c r="HE66" s="117"/>
      <c r="HF66" s="117"/>
      <c r="HG66" s="117"/>
      <c r="HH66" s="117"/>
      <c r="HI66" s="117"/>
      <c r="HJ66" s="117"/>
      <c r="HK66" s="117"/>
      <c r="HL66" s="117"/>
      <c r="HM66" s="117"/>
      <c r="HN66" s="117"/>
      <c r="HO66" s="117"/>
      <c r="HP66" s="117"/>
      <c r="HQ66" s="117"/>
      <c r="HR66" s="117"/>
      <c r="HS66" s="117"/>
      <c r="HT66" s="117"/>
      <c r="HU66" s="117"/>
      <c r="HV66" s="117"/>
      <c r="HW66" s="117"/>
      <c r="HX66" s="117"/>
      <c r="HY66" s="117"/>
      <c r="HZ66" s="117"/>
      <c r="IA66" s="117"/>
      <c r="IB66" s="117"/>
      <c r="IC66" s="117"/>
      <c r="ID66" s="316"/>
      <c r="IE66" s="316"/>
      <c r="IF66" s="316"/>
      <c r="IG66" s="491"/>
      <c r="IH66" s="491"/>
      <c r="II66" s="316"/>
      <c r="IJ66" s="316"/>
      <c r="IK66" s="316"/>
      <c r="IL66" s="316"/>
      <c r="IM66" s="117"/>
      <c r="IN66" s="117"/>
      <c r="IO66" s="117"/>
      <c r="IP66" s="117"/>
      <c r="IQ66" s="117"/>
      <c r="IR66" s="117"/>
      <c r="IS66" s="117"/>
      <c r="IT66" s="117"/>
      <c r="IU66" s="117"/>
      <c r="IV66" s="117"/>
      <c r="IW66" s="117"/>
      <c r="IX66" s="117"/>
      <c r="IY66" s="117"/>
      <c r="IZ66" s="117"/>
      <c r="JA66" s="117"/>
      <c r="JB66" s="117"/>
      <c r="JC66" s="117"/>
      <c r="JD66" s="117"/>
      <c r="JE66" s="117"/>
      <c r="JF66" s="117"/>
      <c r="JG66" s="117"/>
      <c r="JH66" s="117"/>
      <c r="JI66" s="117"/>
      <c r="JJ66" s="117"/>
      <c r="JK66" s="117"/>
      <c r="JL66" s="117"/>
      <c r="JM66" s="117"/>
      <c r="JN66" s="117"/>
      <c r="JO66" s="117"/>
      <c r="JP66" s="491"/>
      <c r="JQ66" s="491"/>
      <c r="JR66" s="117"/>
      <c r="JS66" s="117"/>
      <c r="JT66" s="117"/>
      <c r="JU66" s="117"/>
      <c r="JV66" s="117"/>
      <c r="JW66" s="117"/>
      <c r="JX66" s="117"/>
      <c r="JY66" s="491"/>
      <c r="JZ66" s="491"/>
      <c r="KA66" s="491"/>
      <c r="KB66" s="117"/>
      <c r="KC66" s="227"/>
      <c r="KD66" s="117"/>
      <c r="KE66" s="117"/>
      <c r="KF66" s="117"/>
      <c r="KG66" s="117"/>
      <c r="KH66" s="117"/>
      <c r="KI66" s="117"/>
      <c r="KJ66" s="117"/>
      <c r="KK66" s="117"/>
      <c r="KL66" s="117"/>
      <c r="KM66" s="117"/>
      <c r="KN66" s="117"/>
      <c r="KO66" s="117"/>
      <c r="KP66" s="491"/>
      <c r="KQ66" s="491"/>
      <c r="KR66" s="117"/>
      <c r="KS66" s="117"/>
      <c r="KT66" s="117"/>
      <c r="KU66" s="117"/>
      <c r="KV66" s="117"/>
      <c r="KW66" s="117"/>
      <c r="KX66" s="117"/>
      <c r="KY66" s="117"/>
      <c r="KZ66" s="117"/>
      <c r="LA66" s="117"/>
      <c r="LB66" s="117"/>
      <c r="LC66" s="117"/>
      <c r="LD66" s="117"/>
      <c r="LE66" s="491"/>
      <c r="LF66" s="117"/>
      <c r="LG66" s="117"/>
      <c r="LH66" s="117"/>
      <c r="LI66" s="117"/>
      <c r="LJ66" s="117"/>
      <c r="LK66" s="117"/>
      <c r="LL66" s="117"/>
      <c r="LM66" s="117"/>
      <c r="LN66" s="117"/>
      <c r="LO66" s="117"/>
      <c r="LP66" s="117"/>
      <c r="LQ66" s="117"/>
      <c r="LR66" s="117"/>
      <c r="LS66" s="117"/>
      <c r="LT66" s="117"/>
    </row>
    <row r="67" spans="1:332" ht="17.25" customHeight="1" thickBot="1">
      <c r="A67" s="117" t="s">
        <v>686</v>
      </c>
      <c r="B67" s="562" t="s">
        <v>687</v>
      </c>
      <c r="C67" s="553">
        <v>1</v>
      </c>
      <c r="D67" s="553">
        <v>100</v>
      </c>
      <c r="E67" s="563">
        <f t="shared" si="5"/>
        <v>10.58</v>
      </c>
      <c r="F67" s="106">
        <v>1058</v>
      </c>
      <c r="G67" s="562"/>
      <c r="H67" s="562"/>
      <c r="I67" s="562"/>
      <c r="J67" s="562"/>
      <c r="K67" s="562"/>
      <c r="L67" s="562"/>
      <c r="M67" s="562"/>
      <c r="N67" s="106">
        <f>F67</f>
        <v>1058</v>
      </c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117"/>
      <c r="BT67" s="117"/>
      <c r="BU67" s="117"/>
      <c r="BV67" s="117"/>
      <c r="BW67" s="117"/>
      <c r="BX67" s="117"/>
      <c r="BY67" s="117"/>
      <c r="BZ67" s="117"/>
      <c r="CA67" s="117"/>
      <c r="CB67" s="117"/>
      <c r="CC67" s="117"/>
      <c r="CD67" s="117"/>
      <c r="CE67" s="117"/>
      <c r="CF67" s="117"/>
      <c r="CG67" s="117"/>
      <c r="CH67" s="117"/>
      <c r="CI67" s="117"/>
      <c r="CJ67" s="117"/>
      <c r="CK67" s="117"/>
      <c r="CL67" s="117"/>
      <c r="CM67" s="117"/>
      <c r="CN67" s="117"/>
      <c r="CO67" s="117"/>
      <c r="CP67" s="117"/>
      <c r="CQ67" s="117"/>
      <c r="CR67" s="117"/>
      <c r="CS67" s="117"/>
      <c r="CT67" s="117"/>
      <c r="CU67" s="117"/>
      <c r="CV67" s="117"/>
      <c r="CW67" s="117"/>
      <c r="CX67" s="336"/>
      <c r="CY67" s="336"/>
      <c r="CZ67" s="336"/>
      <c r="DA67" s="336"/>
      <c r="DB67" s="117"/>
      <c r="DC67" s="491"/>
      <c r="DD67" s="117"/>
      <c r="DE67" s="117"/>
      <c r="DF67" s="117"/>
      <c r="DG67" s="117"/>
      <c r="DH67" s="117"/>
      <c r="DI67" s="117"/>
      <c r="DJ67" s="117"/>
      <c r="DK67" s="117"/>
      <c r="DL67" s="117"/>
      <c r="DM67" s="117"/>
      <c r="DN67" s="117"/>
      <c r="DO67" s="117"/>
      <c r="DP67" s="117"/>
      <c r="DQ67" s="117"/>
      <c r="DR67" s="564"/>
      <c r="DS67" s="564"/>
      <c r="DT67" s="117"/>
      <c r="DU67" s="117"/>
      <c r="DV67" s="117"/>
      <c r="DW67" s="117"/>
      <c r="DX67" s="101"/>
      <c r="DY67" s="343"/>
      <c r="DZ67" s="343"/>
      <c r="EA67" s="568"/>
      <c r="EB67" s="571"/>
      <c r="EC67" s="568"/>
      <c r="ED67" s="568"/>
      <c r="EE67" s="192"/>
      <c r="EF67" s="193"/>
      <c r="EG67" s="119"/>
      <c r="EH67" s="117"/>
      <c r="EI67" s="117"/>
      <c r="EJ67" s="117"/>
      <c r="EL67" s="343"/>
      <c r="EM67" s="343"/>
      <c r="EN67" s="568"/>
      <c r="EO67" s="343"/>
      <c r="EP67" s="343"/>
      <c r="EQ67" s="117"/>
      <c r="ER67" s="117"/>
      <c r="ES67" s="117"/>
      <c r="ET67" s="117"/>
      <c r="EU67" s="117"/>
      <c r="EV67" s="117"/>
      <c r="EW67" s="117"/>
      <c r="EX67" s="117"/>
      <c r="EY67" s="117"/>
      <c r="EZ67" s="117"/>
      <c r="FA67" s="343"/>
      <c r="FB67" s="343"/>
      <c r="FC67" s="568"/>
      <c r="FD67" s="343"/>
      <c r="FE67" s="343"/>
      <c r="FF67" s="117"/>
      <c r="FG67" s="117"/>
      <c r="FH67" s="343">
        <v>1</v>
      </c>
      <c r="FI67" s="343">
        <v>2</v>
      </c>
      <c r="FJ67" s="343">
        <v>3</v>
      </c>
      <c r="FK67" s="343">
        <v>4</v>
      </c>
      <c r="FL67" s="117"/>
      <c r="FM67" s="117"/>
      <c r="FN67" s="117"/>
      <c r="FO67" s="343">
        <v>1</v>
      </c>
      <c r="FP67" s="491"/>
      <c r="FQ67" s="491"/>
      <c r="FR67" s="491"/>
      <c r="FS67" s="343">
        <v>2</v>
      </c>
      <c r="FW67" s="343">
        <v>3</v>
      </c>
      <c r="FX67" s="343">
        <v>4</v>
      </c>
      <c r="FY67" s="343">
        <v>5</v>
      </c>
      <c r="FZ67" s="343">
        <v>6</v>
      </c>
      <c r="GA67" s="343">
        <v>7</v>
      </c>
      <c r="GB67" s="343">
        <v>8</v>
      </c>
      <c r="GD67" s="491"/>
      <c r="GE67" s="491"/>
      <c r="GF67" s="117"/>
      <c r="GG67" s="117"/>
      <c r="GH67" s="117"/>
      <c r="GI67" s="491"/>
      <c r="GJ67" s="491"/>
      <c r="GK67" s="117"/>
      <c r="GL67" s="117"/>
      <c r="GM67" s="117"/>
      <c r="GN67" s="117"/>
      <c r="GO67" s="117"/>
      <c r="GP67" s="117"/>
      <c r="GQ67" s="117"/>
      <c r="GR67" s="117"/>
      <c r="GS67" s="117"/>
      <c r="GT67" s="117"/>
      <c r="GU67" s="117"/>
      <c r="GV67" s="117"/>
      <c r="GW67" s="117"/>
      <c r="GX67" s="117"/>
      <c r="GY67" s="227"/>
      <c r="GZ67" s="117"/>
      <c r="HA67" s="117"/>
      <c r="HB67" s="117"/>
      <c r="HC67" s="117"/>
      <c r="HD67" s="117"/>
      <c r="HE67" s="117"/>
      <c r="HF67" s="117"/>
      <c r="HG67" s="117"/>
      <c r="HH67" s="117"/>
      <c r="HI67" s="117"/>
      <c r="HJ67" s="117"/>
      <c r="HK67" s="117"/>
      <c r="HL67" s="117"/>
      <c r="HM67" s="117"/>
      <c r="HN67" s="117"/>
      <c r="HO67" s="117"/>
      <c r="HP67" s="117"/>
      <c r="HQ67" s="117"/>
      <c r="HR67" s="117"/>
      <c r="HS67" s="117"/>
      <c r="HT67" s="117"/>
      <c r="HU67" s="117"/>
      <c r="HV67" s="117"/>
      <c r="HW67" s="117"/>
      <c r="HX67" s="117"/>
      <c r="HY67" s="117"/>
      <c r="HZ67" s="117"/>
      <c r="IA67" s="117"/>
      <c r="IB67" s="117"/>
      <c r="IC67" s="117"/>
      <c r="ID67" s="117"/>
      <c r="IE67" s="117"/>
      <c r="IF67" s="117"/>
      <c r="IG67" s="491"/>
      <c r="IH67" s="491"/>
      <c r="II67" s="117"/>
      <c r="IJ67" s="117"/>
      <c r="IK67" s="117"/>
      <c r="IL67" s="117"/>
      <c r="IM67" s="117"/>
      <c r="IN67" s="552"/>
      <c r="IO67" s="552"/>
      <c r="IP67" s="552"/>
      <c r="IQ67" s="316"/>
      <c r="IR67" s="316"/>
      <c r="IS67" s="316"/>
      <c r="IT67" s="316"/>
      <c r="IU67" s="316"/>
      <c r="IV67" s="316"/>
      <c r="IW67" s="316"/>
      <c r="IX67" s="117"/>
      <c r="IY67" s="117"/>
      <c r="IZ67" s="117"/>
      <c r="JA67" s="117"/>
      <c r="JB67" s="117"/>
      <c r="JC67" s="117"/>
      <c r="JD67" s="117"/>
      <c r="JE67" s="117"/>
      <c r="JF67" s="117"/>
      <c r="JG67" s="117"/>
      <c r="JH67" s="117"/>
      <c r="JI67" s="117"/>
      <c r="JJ67" s="117"/>
      <c r="JK67" s="117"/>
      <c r="JL67" s="117"/>
      <c r="JM67" s="117"/>
      <c r="JN67" s="117"/>
      <c r="JO67" s="117"/>
      <c r="JP67" s="491"/>
      <c r="JQ67" s="491"/>
      <c r="JR67" s="117"/>
      <c r="JS67" s="117"/>
      <c r="JT67" s="117"/>
      <c r="JU67" s="122"/>
      <c r="JV67" s="122"/>
      <c r="JW67" s="122"/>
      <c r="JX67" s="122"/>
      <c r="JY67" s="492"/>
      <c r="JZ67" s="492"/>
      <c r="KA67" s="492"/>
      <c r="KB67" s="122"/>
      <c r="KC67" s="228"/>
      <c r="KD67" s="122"/>
      <c r="KE67" s="122"/>
      <c r="KF67" s="122"/>
      <c r="KG67" s="122"/>
      <c r="KH67" s="122"/>
      <c r="KI67" s="122"/>
      <c r="KJ67" s="122"/>
      <c r="KK67" s="122"/>
      <c r="KL67" s="122"/>
      <c r="KM67" s="122"/>
      <c r="KN67" s="122"/>
      <c r="KO67" s="122"/>
      <c r="KP67" s="492"/>
      <c r="KQ67" s="492"/>
      <c r="KR67" s="122"/>
      <c r="KS67" s="122"/>
      <c r="KT67" s="122"/>
      <c r="KU67" s="122"/>
      <c r="KV67" s="122"/>
      <c r="KW67" s="122"/>
      <c r="KX67" s="122"/>
      <c r="KY67" s="122"/>
      <c r="KZ67" s="122"/>
      <c r="LA67" s="122"/>
      <c r="LB67" s="122"/>
      <c r="LC67" s="117"/>
      <c r="LD67" s="117"/>
      <c r="LE67" s="491"/>
      <c r="LF67" s="117"/>
      <c r="LG67" s="117"/>
      <c r="LH67" s="117"/>
      <c r="LI67" s="117"/>
      <c r="LJ67" s="117"/>
      <c r="LK67" s="117"/>
      <c r="LL67" s="117"/>
      <c r="LM67" s="117"/>
      <c r="LN67" s="117"/>
      <c r="LO67" s="117"/>
      <c r="LP67" s="117"/>
      <c r="LQ67" s="117"/>
      <c r="LR67" s="117"/>
      <c r="LS67" s="117"/>
      <c r="LT67" s="117"/>
    </row>
    <row r="68" spans="1:332">
      <c r="L68" s="215"/>
      <c r="M68" s="215"/>
      <c r="N68" s="216"/>
      <c r="JU68" s="424"/>
      <c r="JV68" s="424"/>
      <c r="JW68" s="424"/>
      <c r="JX68" s="424"/>
      <c r="JY68" s="424"/>
      <c r="JZ68" s="424"/>
      <c r="KA68" s="424"/>
      <c r="KB68" s="424"/>
      <c r="KC68" s="424"/>
      <c r="KD68" s="424"/>
      <c r="KE68" s="424"/>
      <c r="KF68" s="424"/>
      <c r="KG68" s="424"/>
      <c r="KH68" s="424"/>
      <c r="KI68" s="424"/>
      <c r="KJ68" s="424"/>
      <c r="KK68" s="424"/>
      <c r="KL68" s="424"/>
      <c r="KM68" s="424"/>
      <c r="KN68" s="424"/>
      <c r="KO68" s="424"/>
      <c r="KP68" s="424"/>
      <c r="KQ68" s="424"/>
      <c r="KR68" s="424"/>
      <c r="KS68" s="424"/>
      <c r="KT68" s="424"/>
      <c r="KU68" s="424"/>
      <c r="KV68" s="424"/>
      <c r="KW68" s="424"/>
      <c r="KX68" s="424"/>
      <c r="KY68" s="424"/>
      <c r="KZ68" s="424"/>
      <c r="LA68" s="424"/>
      <c r="LB68" s="424"/>
    </row>
    <row r="69" spans="1:332">
      <c r="L69" s="215"/>
      <c r="M69" s="215"/>
      <c r="N69" s="217"/>
      <c r="JU69" s="424"/>
      <c r="JV69" s="424"/>
      <c r="JW69" s="424"/>
      <c r="JX69" s="424"/>
      <c r="JY69" s="424"/>
      <c r="JZ69" s="424"/>
      <c r="KA69" s="424"/>
      <c r="KB69" s="424"/>
      <c r="KC69" s="424"/>
      <c r="KD69" s="424"/>
      <c r="KE69" s="424"/>
      <c r="KF69" s="424"/>
      <c r="KG69" s="424"/>
      <c r="KH69" s="424"/>
      <c r="KI69" s="424"/>
      <c r="KJ69" s="424"/>
      <c r="KK69" s="424"/>
      <c r="KL69" s="424"/>
      <c r="KM69" s="424"/>
      <c r="KN69" s="424"/>
      <c r="KO69" s="424"/>
      <c r="KP69" s="424"/>
      <c r="KQ69" s="424"/>
      <c r="KR69" s="424"/>
      <c r="KS69" s="424"/>
      <c r="KT69" s="424"/>
      <c r="KU69" s="424"/>
      <c r="KV69" s="424"/>
      <c r="KW69" s="424"/>
      <c r="KX69" s="424"/>
      <c r="KY69" s="424"/>
      <c r="KZ69" s="424"/>
      <c r="LA69" s="424"/>
      <c r="LB69" s="424"/>
    </row>
    <row r="70" spans="1:332">
      <c r="JU70" s="424"/>
      <c r="JV70" s="424"/>
      <c r="JW70" s="424"/>
      <c r="JX70" s="424"/>
      <c r="JY70" s="424"/>
      <c r="JZ70" s="424"/>
      <c r="KA70" s="424"/>
      <c r="KB70" s="424"/>
      <c r="KC70" s="424"/>
      <c r="KD70" s="424"/>
      <c r="KE70" s="424"/>
      <c r="KF70" s="424"/>
      <c r="KG70" s="424"/>
      <c r="KH70" s="424"/>
      <c r="KI70" s="424"/>
      <c r="KJ70" s="424"/>
      <c r="KK70" s="424"/>
      <c r="KL70" s="424"/>
      <c r="KM70" s="424"/>
      <c r="KN70" s="424"/>
      <c r="KO70" s="424"/>
      <c r="KP70" s="424"/>
      <c r="KQ70" s="424"/>
      <c r="KR70" s="424"/>
      <c r="KS70" s="424"/>
      <c r="KT70" s="424"/>
      <c r="KU70" s="424"/>
      <c r="KV70" s="424"/>
      <c r="KW70" s="424"/>
      <c r="KX70" s="424"/>
      <c r="KY70" s="424"/>
      <c r="KZ70" s="424"/>
      <c r="LA70" s="424"/>
      <c r="LB70" s="424"/>
    </row>
    <row r="71" spans="1:332">
      <c r="JU71" s="424"/>
      <c r="JV71" s="424"/>
      <c r="JW71" s="424"/>
      <c r="JX71" s="424"/>
      <c r="JY71" s="424"/>
      <c r="JZ71" s="424"/>
      <c r="KA71" s="424"/>
      <c r="KB71" s="424"/>
      <c r="KC71" s="424"/>
      <c r="KD71" s="424"/>
      <c r="KE71" s="424"/>
      <c r="KF71" s="424"/>
      <c r="KG71" s="424"/>
      <c r="KH71" s="424"/>
      <c r="KI71" s="424"/>
      <c r="KJ71" s="424"/>
      <c r="KK71" s="424"/>
      <c r="KL71" s="424"/>
      <c r="KM71" s="424"/>
      <c r="KN71" s="424"/>
      <c r="KO71" s="424"/>
      <c r="KP71" s="424"/>
      <c r="KQ71" s="424"/>
      <c r="KR71" s="424"/>
      <c r="KS71" s="424"/>
      <c r="KT71" s="424"/>
      <c r="KU71" s="424"/>
      <c r="KV71" s="424"/>
      <c r="KW71" s="424"/>
      <c r="KX71" s="424"/>
      <c r="KY71" s="424"/>
      <c r="KZ71" s="424"/>
      <c r="LA71" s="424"/>
      <c r="LB71" s="424"/>
    </row>
    <row r="72" spans="1:332">
      <c r="JU72" s="424"/>
      <c r="JV72" s="424"/>
      <c r="JW72" s="424"/>
      <c r="JX72" s="424"/>
      <c r="JY72" s="424"/>
      <c r="JZ72" s="424"/>
      <c r="KA72" s="424"/>
      <c r="KB72" s="424"/>
      <c r="KC72" s="424"/>
      <c r="KD72" s="424"/>
      <c r="KE72" s="424"/>
      <c r="KF72" s="424"/>
      <c r="KG72" s="424"/>
      <c r="KH72" s="424"/>
      <c r="KI72" s="424"/>
      <c r="KJ72" s="424"/>
      <c r="KK72" s="424"/>
      <c r="KL72" s="424"/>
      <c r="KM72" s="424"/>
      <c r="KN72" s="424"/>
      <c r="KO72" s="424"/>
      <c r="KP72" s="424"/>
      <c r="KQ72" s="424"/>
      <c r="KR72" s="424"/>
      <c r="KS72" s="424"/>
      <c r="KT72" s="424"/>
      <c r="KU72" s="424"/>
      <c r="KV72" s="424"/>
      <c r="KW72" s="424"/>
      <c r="KX72" s="424"/>
      <c r="KY72" s="424"/>
      <c r="KZ72" s="424"/>
      <c r="LA72" s="424"/>
      <c r="LB72" s="424"/>
    </row>
    <row r="73" spans="1:332">
      <c r="JU73" s="424"/>
      <c r="JV73" s="424"/>
      <c r="JW73" s="424"/>
      <c r="JX73" s="424"/>
      <c r="JY73" s="424"/>
      <c r="JZ73" s="424"/>
      <c r="KA73" s="424"/>
      <c r="KB73" s="424"/>
      <c r="KC73" s="424"/>
      <c r="KD73" s="424"/>
      <c r="KE73" s="424"/>
      <c r="KF73" s="424"/>
      <c r="KG73" s="424"/>
      <c r="KH73" s="424"/>
      <c r="KI73" s="424"/>
      <c r="KJ73" s="424"/>
      <c r="KK73" s="424"/>
      <c r="KL73" s="424"/>
      <c r="KM73" s="424"/>
      <c r="KN73" s="424"/>
      <c r="KO73" s="424"/>
      <c r="KP73" s="424"/>
      <c r="KQ73" s="424"/>
      <c r="KR73" s="424"/>
      <c r="KS73" s="424"/>
      <c r="KT73" s="424"/>
      <c r="KU73" s="424"/>
      <c r="KV73" s="424"/>
      <c r="KW73" s="424"/>
      <c r="KX73" s="424"/>
      <c r="KY73" s="424"/>
      <c r="KZ73" s="424"/>
      <c r="LA73" s="424"/>
      <c r="LB73" s="424"/>
    </row>
    <row r="74" spans="1:332">
      <c r="JU74" s="424"/>
      <c r="JV74" s="424"/>
      <c r="JW74" s="424"/>
      <c r="JX74" s="424"/>
      <c r="JY74" s="424"/>
      <c r="JZ74" s="424"/>
      <c r="KA74" s="424"/>
      <c r="KB74" s="424"/>
      <c r="KC74" s="424"/>
      <c r="KD74" s="424"/>
      <c r="KE74" s="424"/>
      <c r="KF74" s="424"/>
      <c r="KG74" s="424"/>
      <c r="KH74" s="424"/>
      <c r="KI74" s="424"/>
      <c r="KJ74" s="424"/>
      <c r="KK74" s="424"/>
      <c r="KL74" s="424"/>
      <c r="KM74" s="424"/>
      <c r="KN74" s="424"/>
      <c r="KO74" s="424"/>
      <c r="KP74" s="424"/>
      <c r="KQ74" s="424"/>
      <c r="KR74" s="424"/>
      <c r="KS74" s="424"/>
      <c r="KT74" s="424"/>
      <c r="KU74" s="424"/>
      <c r="KV74" s="424"/>
      <c r="KW74" s="424"/>
      <c r="KX74" s="424"/>
      <c r="KY74" s="424"/>
      <c r="KZ74" s="424"/>
      <c r="LA74" s="424"/>
      <c r="LB74" s="424"/>
    </row>
    <row r="75" spans="1:332">
      <c r="JU75" s="424"/>
      <c r="JV75" s="424"/>
      <c r="JW75" s="424"/>
      <c r="JX75" s="424"/>
      <c r="JY75" s="424"/>
      <c r="JZ75" s="424"/>
      <c r="KA75" s="424"/>
      <c r="KB75" s="424"/>
      <c r="KC75" s="424"/>
      <c r="KD75" s="424"/>
      <c r="KE75" s="424"/>
      <c r="KF75" s="424"/>
      <c r="KG75" s="424"/>
      <c r="KH75" s="424"/>
      <c r="KI75" s="424"/>
      <c r="KJ75" s="424"/>
      <c r="KK75" s="424"/>
      <c r="KL75" s="424"/>
      <c r="KM75" s="424"/>
      <c r="KN75" s="424"/>
      <c r="KO75" s="424"/>
      <c r="KP75" s="424"/>
      <c r="KQ75" s="424"/>
      <c r="KR75" s="424"/>
      <c r="KS75" s="424"/>
      <c r="KT75" s="424"/>
      <c r="KU75" s="424"/>
      <c r="KV75" s="424"/>
      <c r="KW75" s="424"/>
      <c r="KX75" s="424"/>
      <c r="KY75" s="424"/>
      <c r="KZ75" s="424"/>
      <c r="LA75" s="424"/>
      <c r="LB75" s="424"/>
    </row>
    <row r="76" spans="1:332">
      <c r="JU76" s="424"/>
      <c r="JV76" s="424"/>
      <c r="JW76" s="424"/>
      <c r="JX76" s="424"/>
      <c r="JY76" s="424"/>
      <c r="JZ76" s="424"/>
      <c r="KA76" s="424"/>
      <c r="KB76" s="424"/>
      <c r="KC76" s="424"/>
      <c r="KD76" s="424"/>
      <c r="KE76" s="424"/>
      <c r="KF76" s="424"/>
      <c r="KG76" s="424"/>
      <c r="KH76" s="424"/>
      <c r="KI76" s="424"/>
      <c r="KJ76" s="424"/>
      <c r="KK76" s="424"/>
      <c r="KL76" s="424"/>
      <c r="KM76" s="424"/>
      <c r="KN76" s="424"/>
      <c r="KO76" s="424"/>
      <c r="KP76" s="424"/>
      <c r="KQ76" s="424"/>
      <c r="KR76" s="424"/>
      <c r="KS76" s="424"/>
      <c r="KT76" s="424"/>
      <c r="KU76" s="424"/>
      <c r="KV76" s="424"/>
      <c r="KW76" s="424"/>
      <c r="KX76" s="424"/>
      <c r="KY76" s="424"/>
      <c r="KZ76" s="424"/>
      <c r="LA76" s="424"/>
      <c r="LB76" s="424"/>
    </row>
    <row r="77" spans="1:332">
      <c r="JU77" s="424"/>
      <c r="JV77" s="424"/>
      <c r="JW77" s="424"/>
      <c r="JX77" s="424"/>
      <c r="JY77" s="424"/>
      <c r="JZ77" s="424"/>
      <c r="KA77" s="424"/>
      <c r="KB77" s="424"/>
      <c r="KC77" s="424"/>
      <c r="KD77" s="424"/>
      <c r="KE77" s="424"/>
      <c r="KF77" s="424"/>
      <c r="KG77" s="424"/>
      <c r="KH77" s="424"/>
      <c r="KI77" s="424"/>
      <c r="KJ77" s="424"/>
      <c r="KK77" s="424"/>
      <c r="KL77" s="424"/>
      <c r="KM77" s="424"/>
      <c r="KN77" s="424"/>
      <c r="KO77" s="424"/>
      <c r="KP77" s="424"/>
      <c r="KQ77" s="424"/>
      <c r="KR77" s="424"/>
      <c r="KS77" s="424"/>
      <c r="KT77" s="424"/>
      <c r="KU77" s="424"/>
      <c r="KV77" s="424"/>
      <c r="KW77" s="424"/>
      <c r="KX77" s="424"/>
      <c r="KY77" s="424"/>
      <c r="KZ77" s="424"/>
      <c r="LA77" s="424"/>
      <c r="LB77" s="424"/>
    </row>
    <row r="78" spans="1:332">
      <c r="JU78" s="424"/>
      <c r="JV78" s="424"/>
      <c r="JW78" s="424"/>
      <c r="JX78" s="424"/>
      <c r="JY78" s="424"/>
      <c r="JZ78" s="424"/>
      <c r="KA78" s="424"/>
      <c r="KB78" s="424"/>
      <c r="KC78" s="424"/>
      <c r="KD78" s="424"/>
      <c r="KE78" s="424"/>
      <c r="KF78" s="424"/>
      <c r="KG78" s="424"/>
      <c r="KH78" s="424"/>
      <c r="KI78" s="424"/>
      <c r="KJ78" s="424"/>
      <c r="KK78" s="424"/>
      <c r="KL78" s="424"/>
      <c r="KM78" s="424"/>
      <c r="KN78" s="424"/>
      <c r="KO78" s="424"/>
      <c r="KP78" s="424"/>
      <c r="KQ78" s="424"/>
      <c r="KR78" s="424"/>
      <c r="KS78" s="424"/>
      <c r="KT78" s="424"/>
      <c r="KU78" s="424"/>
      <c r="KV78" s="424"/>
      <c r="KW78" s="424"/>
      <c r="KX78" s="424"/>
      <c r="KY78" s="424"/>
      <c r="KZ78" s="424"/>
      <c r="LA78" s="424"/>
      <c r="LB78" s="424"/>
    </row>
    <row r="79" spans="1:332">
      <c r="JU79" s="424"/>
      <c r="JV79" s="424"/>
      <c r="JW79" s="424"/>
      <c r="JX79" s="424"/>
      <c r="JY79" s="424"/>
      <c r="JZ79" s="424"/>
      <c r="KA79" s="424"/>
      <c r="KB79" s="424"/>
      <c r="KC79" s="424"/>
      <c r="KD79" s="424"/>
      <c r="KE79" s="424"/>
      <c r="KF79" s="424"/>
      <c r="KG79" s="424"/>
      <c r="KH79" s="424"/>
      <c r="KI79" s="424"/>
      <c r="KJ79" s="424"/>
      <c r="KK79" s="424"/>
      <c r="KL79" s="424"/>
      <c r="KM79" s="424"/>
      <c r="KN79" s="424"/>
      <c r="KO79" s="424"/>
      <c r="KP79" s="424"/>
      <c r="KQ79" s="424"/>
      <c r="KR79" s="424"/>
      <c r="KS79" s="424"/>
      <c r="KT79" s="424"/>
      <c r="KU79" s="424"/>
      <c r="KV79" s="424"/>
      <c r="KW79" s="424"/>
      <c r="KX79" s="424"/>
      <c r="KY79" s="424"/>
      <c r="KZ79" s="424"/>
      <c r="LA79" s="424"/>
      <c r="LB79" s="424"/>
    </row>
    <row r="80" spans="1:332">
      <c r="JU80" s="424"/>
      <c r="JV80" s="424"/>
      <c r="JW80" s="424"/>
      <c r="JX80" s="424"/>
      <c r="JY80" s="424"/>
      <c r="JZ80" s="424"/>
      <c r="KA80" s="424"/>
      <c r="KB80" s="424"/>
      <c r="KC80" s="424"/>
      <c r="KD80" s="424"/>
      <c r="KE80" s="424"/>
      <c r="KF80" s="424"/>
      <c r="KG80" s="424"/>
      <c r="KH80" s="424"/>
      <c r="KI80" s="424"/>
      <c r="KJ80" s="424"/>
      <c r="KK80" s="424"/>
      <c r="KL80" s="424"/>
      <c r="KM80" s="424"/>
      <c r="KN80" s="424"/>
      <c r="KO80" s="424"/>
      <c r="KP80" s="424"/>
      <c r="KQ80" s="424"/>
      <c r="KR80" s="424"/>
      <c r="KS80" s="424"/>
      <c r="KT80" s="424"/>
      <c r="KU80" s="424"/>
      <c r="KV80" s="424"/>
      <c r="KW80" s="424"/>
      <c r="KX80" s="424"/>
      <c r="KY80" s="424"/>
      <c r="KZ80" s="424"/>
      <c r="LA80" s="424"/>
      <c r="LB80" s="424"/>
    </row>
    <row r="81" spans="281:314">
      <c r="JU81" s="424"/>
      <c r="JV81" s="424"/>
      <c r="JW81" s="424"/>
      <c r="JX81" s="424"/>
      <c r="JY81" s="424"/>
      <c r="JZ81" s="424"/>
      <c r="KA81" s="424"/>
      <c r="KB81" s="424"/>
      <c r="KC81" s="424"/>
      <c r="KD81" s="424"/>
      <c r="KE81" s="424"/>
      <c r="KF81" s="424"/>
      <c r="KG81" s="424"/>
      <c r="KH81" s="424"/>
      <c r="KI81" s="424"/>
      <c r="KJ81" s="424"/>
      <c r="KK81" s="424"/>
      <c r="KL81" s="424"/>
      <c r="KM81" s="424"/>
      <c r="KN81" s="424"/>
      <c r="KO81" s="424"/>
      <c r="KP81" s="424"/>
      <c r="KQ81" s="424"/>
      <c r="KR81" s="424"/>
      <c r="KS81" s="424"/>
      <c r="KT81" s="424"/>
      <c r="KU81" s="424"/>
      <c r="KV81" s="424"/>
      <c r="KW81" s="424"/>
      <c r="KX81" s="424"/>
      <c r="KY81" s="424"/>
      <c r="KZ81" s="424"/>
      <c r="LA81" s="424"/>
      <c r="LB81" s="424"/>
    </row>
    <row r="82" spans="281:314">
      <c r="JU82" s="424"/>
      <c r="JV82" s="424"/>
      <c r="JW82" s="424"/>
      <c r="JX82" s="424"/>
      <c r="JY82" s="424"/>
      <c r="JZ82" s="424"/>
      <c r="KA82" s="424"/>
      <c r="KB82" s="424"/>
      <c r="KC82" s="424"/>
      <c r="KD82" s="424"/>
      <c r="KE82" s="424"/>
      <c r="KF82" s="424"/>
      <c r="KG82" s="424"/>
      <c r="KH82" s="424"/>
      <c r="KI82" s="424"/>
      <c r="KJ82" s="424"/>
      <c r="KK82" s="424"/>
      <c r="KL82" s="424"/>
      <c r="KM82" s="424"/>
      <c r="KN82" s="424"/>
      <c r="KO82" s="424"/>
      <c r="KP82" s="424"/>
      <c r="KQ82" s="424"/>
      <c r="KR82" s="424"/>
      <c r="KS82" s="424"/>
      <c r="KT82" s="424"/>
      <c r="KU82" s="424"/>
      <c r="KV82" s="424"/>
      <c r="KW82" s="424"/>
      <c r="KX82" s="424"/>
      <c r="KY82" s="424"/>
      <c r="KZ82" s="424"/>
      <c r="LA82" s="424"/>
      <c r="LB82" s="424"/>
    </row>
    <row r="83" spans="281:314">
      <c r="JU83" s="424"/>
      <c r="JV83" s="424"/>
      <c r="JW83" s="424"/>
      <c r="JX83" s="424"/>
      <c r="JY83" s="424"/>
      <c r="JZ83" s="424"/>
      <c r="KA83" s="424"/>
      <c r="KB83" s="424"/>
      <c r="KC83" s="424"/>
      <c r="KD83" s="424"/>
      <c r="KE83" s="424"/>
      <c r="KF83" s="424"/>
      <c r="KG83" s="424"/>
      <c r="KH83" s="424"/>
      <c r="KI83" s="424"/>
      <c r="KJ83" s="424"/>
      <c r="KK83" s="424"/>
      <c r="KL83" s="424"/>
      <c r="KM83" s="424"/>
      <c r="KN83" s="424"/>
      <c r="KO83" s="424"/>
      <c r="KP83" s="424"/>
      <c r="KQ83" s="424"/>
      <c r="KR83" s="424"/>
      <c r="KS83" s="424"/>
      <c r="KT83" s="424"/>
      <c r="KU83" s="424"/>
      <c r="KV83" s="424"/>
      <c r="KW83" s="424"/>
      <c r="KX83" s="424"/>
      <c r="KY83" s="424"/>
      <c r="KZ83" s="424"/>
      <c r="LA83" s="424"/>
      <c r="LB83" s="424"/>
    </row>
    <row r="84" spans="281:314">
      <c r="JU84" s="424"/>
      <c r="JV84" s="424"/>
      <c r="JW84" s="424"/>
      <c r="JX84" s="424"/>
      <c r="JY84" s="424"/>
      <c r="JZ84" s="424"/>
      <c r="KA84" s="424"/>
      <c r="KB84" s="424"/>
      <c r="KC84" s="424"/>
      <c r="KD84" s="424"/>
      <c r="KE84" s="424"/>
      <c r="KF84" s="424"/>
      <c r="KG84" s="424"/>
      <c r="KH84" s="424"/>
      <c r="KI84" s="424"/>
      <c r="KJ84" s="424"/>
      <c r="KK84" s="424"/>
      <c r="KL84" s="424"/>
      <c r="KM84" s="424"/>
      <c r="KN84" s="424"/>
      <c r="KO84" s="424"/>
      <c r="KP84" s="424"/>
      <c r="KQ84" s="424"/>
      <c r="KR84" s="424"/>
      <c r="KS84" s="424"/>
      <c r="KT84" s="424"/>
      <c r="KU84" s="424"/>
      <c r="KV84" s="424"/>
      <c r="KW84" s="424"/>
      <c r="KX84" s="424"/>
      <c r="KY84" s="424"/>
      <c r="KZ84" s="424"/>
      <c r="LA84" s="424"/>
      <c r="LB84" s="424"/>
    </row>
    <row r="85" spans="281:314">
      <c r="JU85" s="424"/>
      <c r="JV85" s="424"/>
      <c r="JW85" s="424"/>
      <c r="JX85" s="424"/>
      <c r="JY85" s="424"/>
      <c r="JZ85" s="424"/>
      <c r="KA85" s="424"/>
      <c r="KB85" s="424"/>
      <c r="KC85" s="424"/>
      <c r="KD85" s="424"/>
      <c r="KE85" s="424"/>
      <c r="KF85" s="424"/>
      <c r="KG85" s="424"/>
      <c r="KH85" s="424"/>
      <c r="KI85" s="424"/>
      <c r="KJ85" s="424"/>
      <c r="KK85" s="424"/>
      <c r="KL85" s="424"/>
      <c r="KM85" s="424"/>
      <c r="KN85" s="424"/>
      <c r="KO85" s="424"/>
      <c r="KP85" s="424"/>
      <c r="KQ85" s="424"/>
      <c r="KR85" s="424"/>
      <c r="KS85" s="424"/>
      <c r="KT85" s="424"/>
      <c r="KU85" s="424"/>
      <c r="KV85" s="424"/>
      <c r="KW85" s="424"/>
      <c r="KX85" s="424"/>
      <c r="KY85" s="424"/>
      <c r="KZ85" s="424"/>
      <c r="LA85" s="424"/>
      <c r="LB85" s="424"/>
    </row>
    <row r="86" spans="281:314">
      <c r="JU86" s="424"/>
      <c r="JV86" s="424"/>
      <c r="JW86" s="424"/>
      <c r="JX86" s="424"/>
      <c r="JY86" s="424"/>
      <c r="JZ86" s="424"/>
      <c r="KA86" s="424"/>
      <c r="KB86" s="424"/>
      <c r="KC86" s="424"/>
      <c r="KD86" s="424"/>
      <c r="KE86" s="424"/>
      <c r="KF86" s="424"/>
      <c r="KG86" s="424"/>
      <c r="KH86" s="424"/>
      <c r="KI86" s="424"/>
      <c r="KJ86" s="424"/>
      <c r="KK86" s="424"/>
      <c r="KL86" s="424"/>
      <c r="KM86" s="424"/>
      <c r="KN86" s="424"/>
      <c r="KO86" s="424"/>
      <c r="KP86" s="424"/>
      <c r="KQ86" s="424"/>
      <c r="KR86" s="424"/>
      <c r="KS86" s="424"/>
      <c r="KT86" s="424"/>
      <c r="KU86" s="424"/>
      <c r="KV86" s="424"/>
      <c r="KW86" s="424"/>
      <c r="KX86" s="424"/>
      <c r="KY86" s="424"/>
      <c r="KZ86" s="424"/>
      <c r="LA86" s="424"/>
      <c r="LB86" s="424"/>
    </row>
    <row r="87" spans="281:314">
      <c r="JU87" s="424"/>
      <c r="JV87" s="424"/>
      <c r="JW87" s="424"/>
      <c r="JX87" s="424"/>
      <c r="JY87" s="424"/>
      <c r="JZ87" s="424"/>
      <c r="KA87" s="424"/>
      <c r="KB87" s="424"/>
      <c r="KC87" s="424"/>
      <c r="KD87" s="424"/>
      <c r="KE87" s="424"/>
      <c r="KF87" s="424"/>
      <c r="KG87" s="424"/>
      <c r="KH87" s="424"/>
      <c r="KI87" s="424"/>
      <c r="KJ87" s="424"/>
      <c r="KK87" s="424"/>
      <c r="KL87" s="424"/>
      <c r="KM87" s="424"/>
      <c r="KN87" s="424"/>
      <c r="KO87" s="424"/>
      <c r="KP87" s="424"/>
      <c r="KQ87" s="424"/>
      <c r="KR87" s="424"/>
      <c r="KS87" s="424"/>
      <c r="KT87" s="424"/>
      <c r="KU87" s="424"/>
      <c r="KV87" s="424"/>
      <c r="KW87" s="424"/>
      <c r="KX87" s="424"/>
      <c r="KY87" s="424"/>
      <c r="KZ87" s="424"/>
      <c r="LA87" s="424"/>
      <c r="LB87" s="424"/>
    </row>
    <row r="88" spans="281:314">
      <c r="JU88" s="424"/>
      <c r="JV88" s="424"/>
      <c r="JW88" s="424"/>
      <c r="JX88" s="424"/>
      <c r="JY88" s="424"/>
      <c r="JZ88" s="424"/>
      <c r="KA88" s="424"/>
      <c r="KB88" s="424"/>
      <c r="KC88" s="424"/>
      <c r="KD88" s="424"/>
      <c r="KE88" s="424"/>
      <c r="KF88" s="424"/>
      <c r="KG88" s="424"/>
      <c r="KH88" s="424"/>
      <c r="KI88" s="424"/>
      <c r="KJ88" s="424"/>
      <c r="KK88" s="424"/>
      <c r="KL88" s="424"/>
      <c r="KM88" s="424"/>
      <c r="KN88" s="424"/>
      <c r="KO88" s="424"/>
      <c r="KP88" s="424"/>
      <c r="KQ88" s="424"/>
      <c r="KR88" s="424"/>
      <c r="KS88" s="424"/>
      <c r="KT88" s="424"/>
      <c r="KU88" s="424"/>
      <c r="KV88" s="424"/>
      <c r="KW88" s="424"/>
      <c r="KX88" s="424"/>
      <c r="KY88" s="424"/>
      <c r="KZ88" s="424"/>
      <c r="LA88" s="424"/>
      <c r="LB88" s="424"/>
    </row>
    <row r="89" spans="281:314">
      <c r="JU89" s="424"/>
      <c r="JV89" s="424"/>
      <c r="JW89" s="424"/>
      <c r="JX89" s="424"/>
      <c r="JY89" s="424"/>
      <c r="JZ89" s="424"/>
      <c r="KA89" s="424"/>
      <c r="KB89" s="424"/>
      <c r="KC89" s="424"/>
      <c r="KD89" s="424"/>
      <c r="KE89" s="424"/>
      <c r="KF89" s="424"/>
      <c r="KG89" s="424"/>
      <c r="KH89" s="424"/>
      <c r="KI89" s="424"/>
      <c r="KJ89" s="424"/>
      <c r="KK89" s="424"/>
      <c r="KL89" s="424"/>
      <c r="KM89" s="424"/>
      <c r="KN89" s="424"/>
      <c r="KO89" s="424"/>
      <c r="KP89" s="424"/>
      <c r="KQ89" s="424"/>
      <c r="KR89" s="424"/>
      <c r="KS89" s="424"/>
      <c r="KT89" s="424"/>
      <c r="KU89" s="424"/>
      <c r="KV89" s="424"/>
      <c r="KW89" s="424"/>
      <c r="KX89" s="424"/>
      <c r="KY89" s="424"/>
      <c r="KZ89" s="424"/>
      <c r="LA89" s="424"/>
      <c r="LB89" s="424"/>
    </row>
    <row r="90" spans="281:314">
      <c r="JU90" s="424"/>
      <c r="JV90" s="424"/>
      <c r="JW90" s="424"/>
      <c r="JX90" s="424"/>
      <c r="JY90" s="424"/>
      <c r="JZ90" s="424"/>
      <c r="KA90" s="424"/>
      <c r="KB90" s="424"/>
      <c r="KC90" s="424"/>
      <c r="KD90" s="424"/>
      <c r="KE90" s="424"/>
      <c r="KF90" s="424"/>
      <c r="KG90" s="424"/>
      <c r="KH90" s="424"/>
      <c r="KI90" s="424"/>
      <c r="KJ90" s="424"/>
      <c r="KK90" s="424"/>
      <c r="KL90" s="424"/>
      <c r="KM90" s="424"/>
      <c r="KN90" s="424"/>
      <c r="KO90" s="424"/>
      <c r="KP90" s="424"/>
      <c r="KQ90" s="424"/>
      <c r="KR90" s="424"/>
      <c r="KS90" s="424"/>
      <c r="KT90" s="424"/>
      <c r="KU90" s="424"/>
      <c r="KV90" s="424"/>
      <c r="KW90" s="424"/>
      <c r="KX90" s="424"/>
      <c r="KY90" s="424"/>
      <c r="KZ90" s="424"/>
      <c r="LA90" s="424"/>
      <c r="LB90" s="424"/>
    </row>
  </sheetData>
  <mergeCells count="138">
    <mergeCell ref="GP1:GT1"/>
    <mergeCell ref="GU1:GY1"/>
    <mergeCell ref="GZ1:HD1"/>
    <mergeCell ref="JZ4:JZ5"/>
    <mergeCell ref="KA4:KA5"/>
    <mergeCell ref="KD4:KD5"/>
    <mergeCell ref="JH2:KC2"/>
    <mergeCell ref="IG4:IG5"/>
    <mergeCell ref="IH4:IH5"/>
    <mergeCell ref="HT1:HX1"/>
    <mergeCell ref="HY1:IC1"/>
    <mergeCell ref="ID1:IH1"/>
    <mergeCell ref="II1:IL1"/>
    <mergeCell ref="HP2:IL2"/>
    <mergeCell ref="JY4:JY5"/>
    <mergeCell ref="KD2:KY2"/>
    <mergeCell ref="KQ4:KQ5"/>
    <mergeCell ref="IM2:JG2"/>
    <mergeCell ref="HE1:HI1"/>
    <mergeCell ref="HJ1:HN1"/>
    <mergeCell ref="HE2:HO2"/>
    <mergeCell ref="HO1:HS1"/>
    <mergeCell ref="KP4:KP5"/>
    <mergeCell ref="FG4:FG5"/>
    <mergeCell ref="FH4:FH5"/>
    <mergeCell ref="FI4:FI5"/>
    <mergeCell ref="FJ4:FJ5"/>
    <mergeCell ref="FL4:FL5"/>
    <mergeCell ref="FV1:FZ1"/>
    <mergeCell ref="GJ4:GJ5"/>
    <mergeCell ref="GD4:GD5"/>
    <mergeCell ref="GI4:GI5"/>
    <mergeCell ref="GF4:GF5"/>
    <mergeCell ref="GE4:GE5"/>
    <mergeCell ref="FS4:FS5"/>
    <mergeCell ref="FT4:FT5"/>
    <mergeCell ref="FU4:FU5"/>
    <mergeCell ref="FZ4:FZ5"/>
    <mergeCell ref="GA4:GA5"/>
    <mergeCell ref="GB4:GB5"/>
    <mergeCell ref="GC4:GC5"/>
    <mergeCell ref="FX4:FX5"/>
    <mergeCell ref="E4:E5"/>
    <mergeCell ref="BI4:BI5"/>
    <mergeCell ref="FV4:FV5"/>
    <mergeCell ref="BY4:CC5"/>
    <mergeCell ref="F4:F5"/>
    <mergeCell ref="DW4:EA5"/>
    <mergeCell ref="EB4:EF5"/>
    <mergeCell ref="EG4:EK5"/>
    <mergeCell ref="EL4:EP5"/>
    <mergeCell ref="N4:N5"/>
    <mergeCell ref="G4:G5"/>
    <mergeCell ref="H4:I5"/>
    <mergeCell ref="ES4:ES5"/>
    <mergeCell ref="ET4:ET5"/>
    <mergeCell ref="EU4:EU5"/>
    <mergeCell ref="EV4:EV5"/>
    <mergeCell ref="EW4:EW5"/>
    <mergeCell ref="FN4:FN5"/>
    <mergeCell ref="FB4:FB5"/>
    <mergeCell ref="FC4:FC5"/>
    <mergeCell ref="FD4:FD5"/>
    <mergeCell ref="FR4:FR5"/>
    <mergeCell ref="FQ4:FQ5"/>
    <mergeCell ref="FP4:FP5"/>
    <mergeCell ref="A33:A36"/>
    <mergeCell ref="J4:J5"/>
    <mergeCell ref="K4:K5"/>
    <mergeCell ref="CS4:CW5"/>
    <mergeCell ref="EB1:EF1"/>
    <mergeCell ref="EX4:EX5"/>
    <mergeCell ref="FO4:FO5"/>
    <mergeCell ref="A29:A32"/>
    <mergeCell ref="AW4:AX5"/>
    <mergeCell ref="BD4:BE5"/>
    <mergeCell ref="AJ6:DV6"/>
    <mergeCell ref="A6:E6"/>
    <mergeCell ref="CD2:CX2"/>
    <mergeCell ref="DW1:EA1"/>
    <mergeCell ref="A4:A5"/>
    <mergeCell ref="B4:B5"/>
    <mergeCell ref="L4:M5"/>
    <mergeCell ref="CD4:CH5"/>
    <mergeCell ref="CI4:CM5"/>
    <mergeCell ref="FM4:FM5"/>
    <mergeCell ref="EY4:EY5"/>
    <mergeCell ref="EZ4:EZ5"/>
    <mergeCell ref="FA4:FA5"/>
    <mergeCell ref="EV1:EZ1"/>
    <mergeCell ref="A65:A66"/>
    <mergeCell ref="A37:A45"/>
    <mergeCell ref="CY2:DT2"/>
    <mergeCell ref="DR4:DV5"/>
    <mergeCell ref="A1:D2"/>
    <mergeCell ref="D4:D5"/>
    <mergeCell ref="O1:DQ1"/>
    <mergeCell ref="O2:AI2"/>
    <mergeCell ref="DH4:DL5"/>
    <mergeCell ref="DM4:DQ5"/>
    <mergeCell ref="CX4:DB5"/>
    <mergeCell ref="DC4:DG5"/>
    <mergeCell ref="A61:A64"/>
    <mergeCell ref="BF2:CC2"/>
    <mergeCell ref="A46:A52"/>
    <mergeCell ref="AJ2:BE2"/>
    <mergeCell ref="A7:A28"/>
    <mergeCell ref="Z4:AD5"/>
    <mergeCell ref="DU2:EP2"/>
    <mergeCell ref="A53:A58"/>
    <mergeCell ref="F2:M2"/>
    <mergeCell ref="CN4:CR5"/>
    <mergeCell ref="F3:M3"/>
    <mergeCell ref="C4:C5"/>
    <mergeCell ref="KZ2:LT2"/>
    <mergeCell ref="LE4:LE5"/>
    <mergeCell ref="EG1:EK1"/>
    <mergeCell ref="EL1:EP1"/>
    <mergeCell ref="EQ1:EU1"/>
    <mergeCell ref="EQ2:FL2"/>
    <mergeCell ref="FK4:FK5"/>
    <mergeCell ref="FE4:FE5"/>
    <mergeCell ref="EQ4:EQ5"/>
    <mergeCell ref="ER4:ER5"/>
    <mergeCell ref="FF4:FF5"/>
    <mergeCell ref="FA1:FE1"/>
    <mergeCell ref="GA1:GE1"/>
    <mergeCell ref="GF1:GJ1"/>
    <mergeCell ref="FF1:FK1"/>
    <mergeCell ref="FY4:FY5"/>
    <mergeCell ref="GG4:GG5"/>
    <mergeCell ref="GH4:GH5"/>
    <mergeCell ref="FM2:GI2"/>
    <mergeCell ref="GJ2:HD2"/>
    <mergeCell ref="FQ1:FU1"/>
    <mergeCell ref="FW4:FW5"/>
    <mergeCell ref="GK1:GO1"/>
    <mergeCell ref="FL1:FP1"/>
  </mergeCells>
  <conditionalFormatting sqref="O9 N1:N1048576">
    <cfRule type="cellIs" dxfId="1" priority="2" operator="greaterThan">
      <formula>0</formula>
    </cfRule>
  </conditionalFormatting>
  <pageMargins left="0.18" right="0.2" top="0.31" bottom="0.53" header="0" footer="0"/>
  <pageSetup scale="50" orientation="landscape" horizontalDpi="120" verticalDpi="144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E68"/>
  <sheetViews>
    <sheetView zoomScale="85" zoomScaleNormal="85" workbookViewId="0">
      <pane xSplit="56" ySplit="5" topLeftCell="BE6" activePane="bottomRight" state="frozen"/>
      <selection pane="topRight" activeCell="BP1" sqref="BP1"/>
      <selection pane="bottomLeft" activeCell="A6" sqref="A6"/>
      <selection pane="bottomRight" activeCell="IO11" sqref="IO11"/>
    </sheetView>
  </sheetViews>
  <sheetFormatPr baseColWidth="10" defaultColWidth="3.7109375" defaultRowHeight="12.75"/>
  <cols>
    <col min="1" max="1" width="26.42578125" style="71" bestFit="1" customWidth="1"/>
    <col min="2" max="2" width="10.5703125" style="823" customWidth="1"/>
    <col min="3" max="3" width="11.5703125" style="823" customWidth="1"/>
    <col min="4" max="4" width="7.7109375" style="225" customWidth="1"/>
    <col min="5" max="9" width="3" style="70" hidden="1" customWidth="1"/>
    <col min="10" max="10" width="3.140625" style="70" hidden="1" customWidth="1"/>
    <col min="11" max="12" width="4" style="70" hidden="1" customWidth="1"/>
    <col min="13" max="15" width="3.5703125" style="70" hidden="1" customWidth="1"/>
    <col min="16" max="16" width="4" style="70" hidden="1" customWidth="1"/>
    <col min="17" max="17" width="3.85546875" style="70" hidden="1" customWidth="1"/>
    <col min="18" max="19" width="4" style="70" hidden="1" customWidth="1"/>
    <col min="20" max="24" width="3.5703125" style="70" hidden="1" customWidth="1"/>
    <col min="25" max="25" width="0.140625" style="70" hidden="1" customWidth="1"/>
    <col min="26" max="39" width="3.140625" style="70" hidden="1" customWidth="1"/>
    <col min="40" max="55" width="0" style="70" hidden="1" customWidth="1"/>
    <col min="56" max="56" width="3.85546875" style="70" hidden="1" customWidth="1"/>
    <col min="57" max="149" width="0" style="70" hidden="1" customWidth="1"/>
    <col min="150" max="150" width="4.140625" style="70" hidden="1" customWidth="1"/>
    <col min="151" max="177" width="0" style="70" hidden="1" customWidth="1"/>
    <col min="178" max="188" width="3.140625" style="70" hidden="1" customWidth="1"/>
    <col min="189" max="189" width="3.140625" style="109" hidden="1" customWidth="1"/>
    <col min="190" max="201" width="3.140625" style="70" hidden="1" customWidth="1"/>
    <col min="202" max="202" width="3.5703125" style="70" hidden="1" customWidth="1"/>
    <col min="203" max="208" width="3" style="70" hidden="1" customWidth="1"/>
    <col min="209" max="209" width="3.140625" style="70" hidden="1" customWidth="1"/>
    <col min="210" max="223" width="3.5703125" style="70" hidden="1" customWidth="1"/>
    <col min="224" max="224" width="3.140625" style="70" hidden="1" customWidth="1"/>
    <col min="225" max="225" width="3.85546875" style="70" hidden="1" customWidth="1"/>
    <col min="226" max="227" width="3.5703125" style="70" hidden="1" customWidth="1"/>
    <col min="228" max="230" width="3.140625" style="70" hidden="1" customWidth="1"/>
    <col min="231" max="235" width="3.140625" style="70" bestFit="1" customWidth="1"/>
    <col min="236" max="236" width="3.140625" style="70" customWidth="1"/>
    <col min="237" max="244" width="3.140625" style="70" bestFit="1" customWidth="1"/>
    <col min="245" max="248" width="3.7109375" style="70"/>
    <col min="249" max="249" width="3.140625" style="70" bestFit="1" customWidth="1"/>
    <col min="250" max="254" width="3.7109375" style="70"/>
    <col min="255" max="255" width="3.140625" style="70" bestFit="1" customWidth="1"/>
    <col min="256" max="436" width="3.7109375" style="70"/>
    <col min="437" max="437" width="15.7109375" style="70" customWidth="1"/>
    <col min="438" max="438" width="23.5703125" style="70" customWidth="1"/>
    <col min="439" max="439" width="10.140625" style="70" customWidth="1"/>
    <col min="440" max="440" width="9.42578125" style="70" bestFit="1" customWidth="1"/>
    <col min="441" max="441" width="9.7109375" style="70" customWidth="1"/>
    <col min="442" max="447" width="3.140625" style="70" bestFit="1" customWidth="1"/>
    <col min="448" max="461" width="3.140625" style="70" customWidth="1"/>
    <col min="462" max="463" width="3.5703125" style="70" bestFit="1" customWidth="1"/>
    <col min="464" max="468" width="3" style="70" bestFit="1" customWidth="1"/>
    <col min="469" max="469" width="3.140625" style="70" bestFit="1" customWidth="1"/>
    <col min="470" max="484" width="3.5703125" style="70" bestFit="1" customWidth="1"/>
    <col min="485" max="498" width="3.140625" style="70" bestFit="1" customWidth="1"/>
    <col min="499" max="692" width="3.7109375" style="70"/>
    <col min="693" max="693" width="15.7109375" style="70" customWidth="1"/>
    <col min="694" max="694" width="23.5703125" style="70" customWidth="1"/>
    <col min="695" max="695" width="10.140625" style="70" customWidth="1"/>
    <col min="696" max="696" width="9.42578125" style="70" bestFit="1" customWidth="1"/>
    <col min="697" max="697" width="9.7109375" style="70" customWidth="1"/>
    <col min="698" max="703" width="3.140625" style="70" bestFit="1" customWidth="1"/>
    <col min="704" max="717" width="3.140625" style="70" customWidth="1"/>
    <col min="718" max="719" width="3.5703125" style="70" bestFit="1" customWidth="1"/>
    <col min="720" max="724" width="3" style="70" bestFit="1" customWidth="1"/>
    <col min="725" max="725" width="3.140625" style="70" bestFit="1" customWidth="1"/>
    <col min="726" max="740" width="3.5703125" style="70" bestFit="1" customWidth="1"/>
    <col min="741" max="754" width="3.140625" style="70" bestFit="1" customWidth="1"/>
    <col min="755" max="948" width="3.7109375" style="70"/>
    <col min="949" max="949" width="15.7109375" style="70" customWidth="1"/>
    <col min="950" max="950" width="23.5703125" style="70" customWidth="1"/>
    <col min="951" max="951" width="10.140625" style="70" customWidth="1"/>
    <col min="952" max="952" width="9.42578125" style="70" bestFit="1" customWidth="1"/>
    <col min="953" max="953" width="9.7109375" style="70" customWidth="1"/>
    <col min="954" max="959" width="3.140625" style="70" bestFit="1" customWidth="1"/>
    <col min="960" max="973" width="3.140625" style="70" customWidth="1"/>
    <col min="974" max="975" width="3.5703125" style="70" bestFit="1" customWidth="1"/>
    <col min="976" max="980" width="3" style="70" bestFit="1" customWidth="1"/>
    <col min="981" max="981" width="3.140625" style="70" bestFit="1" customWidth="1"/>
    <col min="982" max="996" width="3.5703125" style="70" bestFit="1" customWidth="1"/>
    <col min="997" max="1010" width="3.140625" style="70" bestFit="1" customWidth="1"/>
    <col min="1011" max="1204" width="3.7109375" style="70"/>
    <col min="1205" max="1205" width="15.7109375" style="70" customWidth="1"/>
    <col min="1206" max="1206" width="23.5703125" style="70" customWidth="1"/>
    <col min="1207" max="1207" width="10.140625" style="70" customWidth="1"/>
    <col min="1208" max="1208" width="9.42578125" style="70" bestFit="1" customWidth="1"/>
    <col min="1209" max="1209" width="9.7109375" style="70" customWidth="1"/>
    <col min="1210" max="1215" width="3.140625" style="70" bestFit="1" customWidth="1"/>
    <col min="1216" max="1229" width="3.140625" style="70" customWidth="1"/>
    <col min="1230" max="1231" width="3.5703125" style="70" bestFit="1" customWidth="1"/>
    <col min="1232" max="1236" width="3" style="70" bestFit="1" customWidth="1"/>
    <col min="1237" max="1237" width="3.140625" style="70" bestFit="1" customWidth="1"/>
    <col min="1238" max="1252" width="3.5703125" style="70" bestFit="1" customWidth="1"/>
    <col min="1253" max="1266" width="3.140625" style="70" bestFit="1" customWidth="1"/>
    <col min="1267" max="1460" width="3.7109375" style="70"/>
    <col min="1461" max="1461" width="15.7109375" style="70" customWidth="1"/>
    <col min="1462" max="1462" width="23.5703125" style="70" customWidth="1"/>
    <col min="1463" max="1463" width="10.140625" style="70" customWidth="1"/>
    <col min="1464" max="1464" width="9.42578125" style="70" bestFit="1" customWidth="1"/>
    <col min="1465" max="1465" width="9.7109375" style="70" customWidth="1"/>
    <col min="1466" max="1471" width="3.140625" style="70" bestFit="1" customWidth="1"/>
    <col min="1472" max="1485" width="3.140625" style="70" customWidth="1"/>
    <col min="1486" max="1487" width="3.5703125" style="70" bestFit="1" customWidth="1"/>
    <col min="1488" max="1492" width="3" style="70" bestFit="1" customWidth="1"/>
    <col min="1493" max="1493" width="3.140625" style="70" bestFit="1" customWidth="1"/>
    <col min="1494" max="1508" width="3.5703125" style="70" bestFit="1" customWidth="1"/>
    <col min="1509" max="1522" width="3.140625" style="70" bestFit="1" customWidth="1"/>
    <col min="1523" max="1716" width="3.7109375" style="70"/>
    <col min="1717" max="1717" width="15.7109375" style="70" customWidth="1"/>
    <col min="1718" max="1718" width="23.5703125" style="70" customWidth="1"/>
    <col min="1719" max="1719" width="10.140625" style="70" customWidth="1"/>
    <col min="1720" max="1720" width="9.42578125" style="70" bestFit="1" customWidth="1"/>
    <col min="1721" max="1721" width="9.7109375" style="70" customWidth="1"/>
    <col min="1722" max="1727" width="3.140625" style="70" bestFit="1" customWidth="1"/>
    <col min="1728" max="1741" width="3.140625" style="70" customWidth="1"/>
    <col min="1742" max="1743" width="3.5703125" style="70" bestFit="1" customWidth="1"/>
    <col min="1744" max="1748" width="3" style="70" bestFit="1" customWidth="1"/>
    <col min="1749" max="1749" width="3.140625" style="70" bestFit="1" customWidth="1"/>
    <col min="1750" max="1764" width="3.5703125" style="70" bestFit="1" customWidth="1"/>
    <col min="1765" max="1778" width="3.140625" style="70" bestFit="1" customWidth="1"/>
    <col min="1779" max="1972" width="3.7109375" style="70"/>
    <col min="1973" max="1973" width="15.7109375" style="70" customWidth="1"/>
    <col min="1974" max="1974" width="23.5703125" style="70" customWidth="1"/>
    <col min="1975" max="1975" width="10.140625" style="70" customWidth="1"/>
    <col min="1976" max="1976" width="9.42578125" style="70" bestFit="1" customWidth="1"/>
    <col min="1977" max="1977" width="9.7109375" style="70" customWidth="1"/>
    <col min="1978" max="1983" width="3.140625" style="70" bestFit="1" customWidth="1"/>
    <col min="1984" max="1997" width="3.140625" style="70" customWidth="1"/>
    <col min="1998" max="1999" width="3.5703125" style="70" bestFit="1" customWidth="1"/>
    <col min="2000" max="2004" width="3" style="70" bestFit="1" customWidth="1"/>
    <col min="2005" max="2005" width="3.140625" style="70" bestFit="1" customWidth="1"/>
    <col min="2006" max="2020" width="3.5703125" style="70" bestFit="1" customWidth="1"/>
    <col min="2021" max="2034" width="3.140625" style="70" bestFit="1" customWidth="1"/>
    <col min="2035" max="2228" width="3.7109375" style="70"/>
    <col min="2229" max="2229" width="15.7109375" style="70" customWidth="1"/>
    <col min="2230" max="2230" width="23.5703125" style="70" customWidth="1"/>
    <col min="2231" max="2231" width="10.140625" style="70" customWidth="1"/>
    <col min="2232" max="2232" width="9.42578125" style="70" bestFit="1" customWidth="1"/>
    <col min="2233" max="2233" width="9.7109375" style="70" customWidth="1"/>
    <col min="2234" max="2239" width="3.140625" style="70" bestFit="1" customWidth="1"/>
    <col min="2240" max="2253" width="3.140625" style="70" customWidth="1"/>
    <col min="2254" max="2255" width="3.5703125" style="70" bestFit="1" customWidth="1"/>
    <col min="2256" max="2260" width="3" style="70" bestFit="1" customWidth="1"/>
    <col min="2261" max="2261" width="3.140625" style="70" bestFit="1" customWidth="1"/>
    <col min="2262" max="2276" width="3.5703125" style="70" bestFit="1" customWidth="1"/>
    <col min="2277" max="2290" width="3.140625" style="70" bestFit="1" customWidth="1"/>
    <col min="2291" max="2484" width="3.7109375" style="70"/>
    <col min="2485" max="2485" width="15.7109375" style="70" customWidth="1"/>
    <col min="2486" max="2486" width="23.5703125" style="70" customWidth="1"/>
    <col min="2487" max="2487" width="10.140625" style="70" customWidth="1"/>
    <col min="2488" max="2488" width="9.42578125" style="70" bestFit="1" customWidth="1"/>
    <col min="2489" max="2489" width="9.7109375" style="70" customWidth="1"/>
    <col min="2490" max="2495" width="3.140625" style="70" bestFit="1" customWidth="1"/>
    <col min="2496" max="2509" width="3.140625" style="70" customWidth="1"/>
    <col min="2510" max="2511" width="3.5703125" style="70" bestFit="1" customWidth="1"/>
    <col min="2512" max="2516" width="3" style="70" bestFit="1" customWidth="1"/>
    <col min="2517" max="2517" width="3.140625" style="70" bestFit="1" customWidth="1"/>
    <col min="2518" max="2532" width="3.5703125" style="70" bestFit="1" customWidth="1"/>
    <col min="2533" max="2546" width="3.140625" style="70" bestFit="1" customWidth="1"/>
    <col min="2547" max="2740" width="3.7109375" style="70"/>
    <col min="2741" max="2741" width="15.7109375" style="70" customWidth="1"/>
    <col min="2742" max="2742" width="23.5703125" style="70" customWidth="1"/>
    <col min="2743" max="2743" width="10.140625" style="70" customWidth="1"/>
    <col min="2744" max="2744" width="9.42578125" style="70" bestFit="1" customWidth="1"/>
    <col min="2745" max="2745" width="9.7109375" style="70" customWidth="1"/>
    <col min="2746" max="2751" width="3.140625" style="70" bestFit="1" customWidth="1"/>
    <col min="2752" max="2765" width="3.140625" style="70" customWidth="1"/>
    <col min="2766" max="2767" width="3.5703125" style="70" bestFit="1" customWidth="1"/>
    <col min="2768" max="2772" width="3" style="70" bestFit="1" customWidth="1"/>
    <col min="2773" max="2773" width="3.140625" style="70" bestFit="1" customWidth="1"/>
    <col min="2774" max="2788" width="3.5703125" style="70" bestFit="1" customWidth="1"/>
    <col min="2789" max="2802" width="3.140625" style="70" bestFit="1" customWidth="1"/>
    <col min="2803" max="2996" width="3.7109375" style="70"/>
    <col min="2997" max="2997" width="15.7109375" style="70" customWidth="1"/>
    <col min="2998" max="2998" width="23.5703125" style="70" customWidth="1"/>
    <col min="2999" max="2999" width="10.140625" style="70" customWidth="1"/>
    <col min="3000" max="3000" width="9.42578125" style="70" bestFit="1" customWidth="1"/>
    <col min="3001" max="3001" width="9.7109375" style="70" customWidth="1"/>
    <col min="3002" max="3007" width="3.140625" style="70" bestFit="1" customWidth="1"/>
    <col min="3008" max="3021" width="3.140625" style="70" customWidth="1"/>
    <col min="3022" max="3023" width="3.5703125" style="70" bestFit="1" customWidth="1"/>
    <col min="3024" max="3028" width="3" style="70" bestFit="1" customWidth="1"/>
    <col min="3029" max="3029" width="3.140625" style="70" bestFit="1" customWidth="1"/>
    <col min="3030" max="3044" width="3.5703125" style="70" bestFit="1" customWidth="1"/>
    <col min="3045" max="3058" width="3.140625" style="70" bestFit="1" customWidth="1"/>
    <col min="3059" max="3252" width="3.7109375" style="70"/>
    <col min="3253" max="3253" width="15.7109375" style="70" customWidth="1"/>
    <col min="3254" max="3254" width="23.5703125" style="70" customWidth="1"/>
    <col min="3255" max="3255" width="10.140625" style="70" customWidth="1"/>
    <col min="3256" max="3256" width="9.42578125" style="70" bestFit="1" customWidth="1"/>
    <col min="3257" max="3257" width="9.7109375" style="70" customWidth="1"/>
    <col min="3258" max="3263" width="3.140625" style="70" bestFit="1" customWidth="1"/>
    <col min="3264" max="3277" width="3.140625" style="70" customWidth="1"/>
    <col min="3278" max="3279" width="3.5703125" style="70" bestFit="1" customWidth="1"/>
    <col min="3280" max="3284" width="3" style="70" bestFit="1" customWidth="1"/>
    <col min="3285" max="3285" width="3.140625" style="70" bestFit="1" customWidth="1"/>
    <col min="3286" max="3300" width="3.5703125" style="70" bestFit="1" customWidth="1"/>
    <col min="3301" max="3314" width="3.140625" style="70" bestFit="1" customWidth="1"/>
    <col min="3315" max="3508" width="3.7109375" style="70"/>
    <col min="3509" max="3509" width="15.7109375" style="70" customWidth="1"/>
    <col min="3510" max="3510" width="23.5703125" style="70" customWidth="1"/>
    <col min="3511" max="3511" width="10.140625" style="70" customWidth="1"/>
    <col min="3512" max="3512" width="9.42578125" style="70" bestFit="1" customWidth="1"/>
    <col min="3513" max="3513" width="9.7109375" style="70" customWidth="1"/>
    <col min="3514" max="3519" width="3.140625" style="70" bestFit="1" customWidth="1"/>
    <col min="3520" max="3533" width="3.140625" style="70" customWidth="1"/>
    <col min="3534" max="3535" width="3.5703125" style="70" bestFit="1" customWidth="1"/>
    <col min="3536" max="3540" width="3" style="70" bestFit="1" customWidth="1"/>
    <col min="3541" max="3541" width="3.140625" style="70" bestFit="1" customWidth="1"/>
    <col min="3542" max="3556" width="3.5703125" style="70" bestFit="1" customWidth="1"/>
    <col min="3557" max="3570" width="3.140625" style="70" bestFit="1" customWidth="1"/>
    <col min="3571" max="3764" width="3.7109375" style="70"/>
    <col min="3765" max="3765" width="15.7109375" style="70" customWidth="1"/>
    <col min="3766" max="3766" width="23.5703125" style="70" customWidth="1"/>
    <col min="3767" max="3767" width="10.140625" style="70" customWidth="1"/>
    <col min="3768" max="3768" width="9.42578125" style="70" bestFit="1" customWidth="1"/>
    <col min="3769" max="3769" width="9.7109375" style="70" customWidth="1"/>
    <col min="3770" max="3775" width="3.140625" style="70" bestFit="1" customWidth="1"/>
    <col min="3776" max="3789" width="3.140625" style="70" customWidth="1"/>
    <col min="3790" max="3791" width="3.5703125" style="70" bestFit="1" customWidth="1"/>
    <col min="3792" max="3796" width="3" style="70" bestFit="1" customWidth="1"/>
    <col min="3797" max="3797" width="3.140625" style="70" bestFit="1" customWidth="1"/>
    <col min="3798" max="3812" width="3.5703125" style="70" bestFit="1" customWidth="1"/>
    <col min="3813" max="3826" width="3.140625" style="70" bestFit="1" customWidth="1"/>
    <col min="3827" max="4020" width="3.7109375" style="70"/>
    <col min="4021" max="4021" width="15.7109375" style="70" customWidth="1"/>
    <col min="4022" max="4022" width="23.5703125" style="70" customWidth="1"/>
    <col min="4023" max="4023" width="10.140625" style="70" customWidth="1"/>
    <col min="4024" max="4024" width="9.42578125" style="70" bestFit="1" customWidth="1"/>
    <col min="4025" max="4025" width="9.7109375" style="70" customWidth="1"/>
    <col min="4026" max="4031" width="3.140625" style="70" bestFit="1" customWidth="1"/>
    <col min="4032" max="4045" width="3.140625" style="70" customWidth="1"/>
    <col min="4046" max="4047" width="3.5703125" style="70" bestFit="1" customWidth="1"/>
    <col min="4048" max="4052" width="3" style="70" bestFit="1" customWidth="1"/>
    <col min="4053" max="4053" width="3.140625" style="70" bestFit="1" customWidth="1"/>
    <col min="4054" max="4068" width="3.5703125" style="70" bestFit="1" customWidth="1"/>
    <col min="4069" max="4082" width="3.140625" style="70" bestFit="1" customWidth="1"/>
    <col min="4083" max="4276" width="3.7109375" style="70"/>
    <col min="4277" max="4277" width="15.7109375" style="70" customWidth="1"/>
    <col min="4278" max="4278" width="23.5703125" style="70" customWidth="1"/>
    <col min="4279" max="4279" width="10.140625" style="70" customWidth="1"/>
    <col min="4280" max="4280" width="9.42578125" style="70" bestFit="1" customWidth="1"/>
    <col min="4281" max="4281" width="9.7109375" style="70" customWidth="1"/>
    <col min="4282" max="4287" width="3.140625" style="70" bestFit="1" customWidth="1"/>
    <col min="4288" max="4301" width="3.140625" style="70" customWidth="1"/>
    <col min="4302" max="4303" width="3.5703125" style="70" bestFit="1" customWidth="1"/>
    <col min="4304" max="4308" width="3" style="70" bestFit="1" customWidth="1"/>
    <col min="4309" max="4309" width="3.140625" style="70" bestFit="1" customWidth="1"/>
    <col min="4310" max="4324" width="3.5703125" style="70" bestFit="1" customWidth="1"/>
    <col min="4325" max="4338" width="3.140625" style="70" bestFit="1" customWidth="1"/>
    <col min="4339" max="4532" width="3.7109375" style="70"/>
    <col min="4533" max="4533" width="15.7109375" style="70" customWidth="1"/>
    <col min="4534" max="4534" width="23.5703125" style="70" customWidth="1"/>
    <col min="4535" max="4535" width="10.140625" style="70" customWidth="1"/>
    <col min="4536" max="4536" width="9.42578125" style="70" bestFit="1" customWidth="1"/>
    <col min="4537" max="4537" width="9.7109375" style="70" customWidth="1"/>
    <col min="4538" max="4543" width="3.140625" style="70" bestFit="1" customWidth="1"/>
    <col min="4544" max="4557" width="3.140625" style="70" customWidth="1"/>
    <col min="4558" max="4559" width="3.5703125" style="70" bestFit="1" customWidth="1"/>
    <col min="4560" max="4564" width="3" style="70" bestFit="1" customWidth="1"/>
    <col min="4565" max="4565" width="3.140625" style="70" bestFit="1" customWidth="1"/>
    <col min="4566" max="4580" width="3.5703125" style="70" bestFit="1" customWidth="1"/>
    <col min="4581" max="4594" width="3.140625" style="70" bestFit="1" customWidth="1"/>
    <col min="4595" max="4788" width="3.7109375" style="70"/>
    <col min="4789" max="4789" width="15.7109375" style="70" customWidth="1"/>
    <col min="4790" max="4790" width="23.5703125" style="70" customWidth="1"/>
    <col min="4791" max="4791" width="10.140625" style="70" customWidth="1"/>
    <col min="4792" max="4792" width="9.42578125" style="70" bestFit="1" customWidth="1"/>
    <col min="4793" max="4793" width="9.7109375" style="70" customWidth="1"/>
    <col min="4794" max="4799" width="3.140625" style="70" bestFit="1" customWidth="1"/>
    <col min="4800" max="4813" width="3.140625" style="70" customWidth="1"/>
    <col min="4814" max="4815" width="3.5703125" style="70" bestFit="1" customWidth="1"/>
    <col min="4816" max="4820" width="3" style="70" bestFit="1" customWidth="1"/>
    <col min="4821" max="4821" width="3.140625" style="70" bestFit="1" customWidth="1"/>
    <col min="4822" max="4836" width="3.5703125" style="70" bestFit="1" customWidth="1"/>
    <col min="4837" max="4850" width="3.140625" style="70" bestFit="1" customWidth="1"/>
    <col min="4851" max="5044" width="3.7109375" style="70"/>
    <col min="5045" max="5045" width="15.7109375" style="70" customWidth="1"/>
    <col min="5046" max="5046" width="23.5703125" style="70" customWidth="1"/>
    <col min="5047" max="5047" width="10.140625" style="70" customWidth="1"/>
    <col min="5048" max="5048" width="9.42578125" style="70" bestFit="1" customWidth="1"/>
    <col min="5049" max="5049" width="9.7109375" style="70" customWidth="1"/>
    <col min="5050" max="5055" width="3.140625" style="70" bestFit="1" customWidth="1"/>
    <col min="5056" max="5069" width="3.140625" style="70" customWidth="1"/>
    <col min="5070" max="5071" width="3.5703125" style="70" bestFit="1" customWidth="1"/>
    <col min="5072" max="5076" width="3" style="70" bestFit="1" customWidth="1"/>
    <col min="5077" max="5077" width="3.140625" style="70" bestFit="1" customWidth="1"/>
    <col min="5078" max="5092" width="3.5703125" style="70" bestFit="1" customWidth="1"/>
    <col min="5093" max="5106" width="3.140625" style="70" bestFit="1" customWidth="1"/>
    <col min="5107" max="5300" width="3.7109375" style="70"/>
    <col min="5301" max="5301" width="15.7109375" style="70" customWidth="1"/>
    <col min="5302" max="5302" width="23.5703125" style="70" customWidth="1"/>
    <col min="5303" max="5303" width="10.140625" style="70" customWidth="1"/>
    <col min="5304" max="5304" width="9.42578125" style="70" bestFit="1" customWidth="1"/>
    <col min="5305" max="5305" width="9.7109375" style="70" customWidth="1"/>
    <col min="5306" max="5311" width="3.140625" style="70" bestFit="1" customWidth="1"/>
    <col min="5312" max="5325" width="3.140625" style="70" customWidth="1"/>
    <col min="5326" max="5327" width="3.5703125" style="70" bestFit="1" customWidth="1"/>
    <col min="5328" max="5332" width="3" style="70" bestFit="1" customWidth="1"/>
    <col min="5333" max="5333" width="3.140625" style="70" bestFit="1" customWidth="1"/>
    <col min="5334" max="5348" width="3.5703125" style="70" bestFit="1" customWidth="1"/>
    <col min="5349" max="5362" width="3.140625" style="70" bestFit="1" customWidth="1"/>
    <col min="5363" max="5556" width="3.7109375" style="70"/>
    <col min="5557" max="5557" width="15.7109375" style="70" customWidth="1"/>
    <col min="5558" max="5558" width="23.5703125" style="70" customWidth="1"/>
    <col min="5559" max="5559" width="10.140625" style="70" customWidth="1"/>
    <col min="5560" max="5560" width="9.42578125" style="70" bestFit="1" customWidth="1"/>
    <col min="5561" max="5561" width="9.7109375" style="70" customWidth="1"/>
    <col min="5562" max="5567" width="3.140625" style="70" bestFit="1" customWidth="1"/>
    <col min="5568" max="5581" width="3.140625" style="70" customWidth="1"/>
    <col min="5582" max="5583" width="3.5703125" style="70" bestFit="1" customWidth="1"/>
    <col min="5584" max="5588" width="3" style="70" bestFit="1" customWidth="1"/>
    <col min="5589" max="5589" width="3.140625" style="70" bestFit="1" customWidth="1"/>
    <col min="5590" max="5604" width="3.5703125" style="70" bestFit="1" customWidth="1"/>
    <col min="5605" max="5618" width="3.140625" style="70" bestFit="1" customWidth="1"/>
    <col min="5619" max="5812" width="3.7109375" style="70"/>
    <col min="5813" max="5813" width="15.7109375" style="70" customWidth="1"/>
    <col min="5814" max="5814" width="23.5703125" style="70" customWidth="1"/>
    <col min="5815" max="5815" width="10.140625" style="70" customWidth="1"/>
    <col min="5816" max="5816" width="9.42578125" style="70" bestFit="1" customWidth="1"/>
    <col min="5817" max="5817" width="9.7109375" style="70" customWidth="1"/>
    <col min="5818" max="5823" width="3.140625" style="70" bestFit="1" customWidth="1"/>
    <col min="5824" max="5837" width="3.140625" style="70" customWidth="1"/>
    <col min="5838" max="5839" width="3.5703125" style="70" bestFit="1" customWidth="1"/>
    <col min="5840" max="5844" width="3" style="70" bestFit="1" customWidth="1"/>
    <col min="5845" max="5845" width="3.140625" style="70" bestFit="1" customWidth="1"/>
    <col min="5846" max="5860" width="3.5703125" style="70" bestFit="1" customWidth="1"/>
    <col min="5861" max="5874" width="3.140625" style="70" bestFit="1" customWidth="1"/>
    <col min="5875" max="6068" width="3.7109375" style="70"/>
    <col min="6069" max="6069" width="15.7109375" style="70" customWidth="1"/>
    <col min="6070" max="6070" width="23.5703125" style="70" customWidth="1"/>
    <col min="6071" max="6071" width="10.140625" style="70" customWidth="1"/>
    <col min="6072" max="6072" width="9.42578125" style="70" bestFit="1" customWidth="1"/>
    <col min="6073" max="6073" width="9.7109375" style="70" customWidth="1"/>
    <col min="6074" max="6079" width="3.140625" style="70" bestFit="1" customWidth="1"/>
    <col min="6080" max="6093" width="3.140625" style="70" customWidth="1"/>
    <col min="6094" max="6095" width="3.5703125" style="70" bestFit="1" customWidth="1"/>
    <col min="6096" max="6100" width="3" style="70" bestFit="1" customWidth="1"/>
    <col min="6101" max="6101" width="3.140625" style="70" bestFit="1" customWidth="1"/>
    <col min="6102" max="6116" width="3.5703125" style="70" bestFit="1" customWidth="1"/>
    <col min="6117" max="6130" width="3.140625" style="70" bestFit="1" customWidth="1"/>
    <col min="6131" max="6324" width="3.7109375" style="70"/>
    <col min="6325" max="6325" width="15.7109375" style="70" customWidth="1"/>
    <col min="6326" max="6326" width="23.5703125" style="70" customWidth="1"/>
    <col min="6327" max="6327" width="10.140625" style="70" customWidth="1"/>
    <col min="6328" max="6328" width="9.42578125" style="70" bestFit="1" customWidth="1"/>
    <col min="6329" max="6329" width="9.7109375" style="70" customWidth="1"/>
    <col min="6330" max="6335" width="3.140625" style="70" bestFit="1" customWidth="1"/>
    <col min="6336" max="6349" width="3.140625" style="70" customWidth="1"/>
    <col min="6350" max="6351" width="3.5703125" style="70" bestFit="1" customWidth="1"/>
    <col min="6352" max="6356" width="3" style="70" bestFit="1" customWidth="1"/>
    <col min="6357" max="6357" width="3.140625" style="70" bestFit="1" customWidth="1"/>
    <col min="6358" max="6372" width="3.5703125" style="70" bestFit="1" customWidth="1"/>
    <col min="6373" max="6386" width="3.140625" style="70" bestFit="1" customWidth="1"/>
    <col min="6387" max="6580" width="3.7109375" style="70"/>
    <col min="6581" max="6581" width="15.7109375" style="70" customWidth="1"/>
    <col min="6582" max="6582" width="23.5703125" style="70" customWidth="1"/>
    <col min="6583" max="6583" width="10.140625" style="70" customWidth="1"/>
    <col min="6584" max="6584" width="9.42578125" style="70" bestFit="1" customWidth="1"/>
    <col min="6585" max="6585" width="9.7109375" style="70" customWidth="1"/>
    <col min="6586" max="6591" width="3.140625" style="70" bestFit="1" customWidth="1"/>
    <col min="6592" max="6605" width="3.140625" style="70" customWidth="1"/>
    <col min="6606" max="6607" width="3.5703125" style="70" bestFit="1" customWidth="1"/>
    <col min="6608" max="6612" width="3" style="70" bestFit="1" customWidth="1"/>
    <col min="6613" max="6613" width="3.140625" style="70" bestFit="1" customWidth="1"/>
    <col min="6614" max="6628" width="3.5703125" style="70" bestFit="1" customWidth="1"/>
    <col min="6629" max="6642" width="3.140625" style="70" bestFit="1" customWidth="1"/>
    <col min="6643" max="6836" width="3.7109375" style="70"/>
    <col min="6837" max="6837" width="15.7109375" style="70" customWidth="1"/>
    <col min="6838" max="6838" width="23.5703125" style="70" customWidth="1"/>
    <col min="6839" max="6839" width="10.140625" style="70" customWidth="1"/>
    <col min="6840" max="6840" width="9.42578125" style="70" bestFit="1" customWidth="1"/>
    <col min="6841" max="6841" width="9.7109375" style="70" customWidth="1"/>
    <col min="6842" max="6847" width="3.140625" style="70" bestFit="1" customWidth="1"/>
    <col min="6848" max="6861" width="3.140625" style="70" customWidth="1"/>
    <col min="6862" max="6863" width="3.5703125" style="70" bestFit="1" customWidth="1"/>
    <col min="6864" max="6868" width="3" style="70" bestFit="1" customWidth="1"/>
    <col min="6869" max="6869" width="3.140625" style="70" bestFit="1" customWidth="1"/>
    <col min="6870" max="6884" width="3.5703125" style="70" bestFit="1" customWidth="1"/>
    <col min="6885" max="6898" width="3.140625" style="70" bestFit="1" customWidth="1"/>
    <col min="6899" max="7092" width="3.7109375" style="70"/>
    <col min="7093" max="7093" width="15.7109375" style="70" customWidth="1"/>
    <col min="7094" max="7094" width="23.5703125" style="70" customWidth="1"/>
    <col min="7095" max="7095" width="10.140625" style="70" customWidth="1"/>
    <col min="7096" max="7096" width="9.42578125" style="70" bestFit="1" customWidth="1"/>
    <col min="7097" max="7097" width="9.7109375" style="70" customWidth="1"/>
    <col min="7098" max="7103" width="3.140625" style="70" bestFit="1" customWidth="1"/>
    <col min="7104" max="7117" width="3.140625" style="70" customWidth="1"/>
    <col min="7118" max="7119" width="3.5703125" style="70" bestFit="1" customWidth="1"/>
    <col min="7120" max="7124" width="3" style="70" bestFit="1" customWidth="1"/>
    <col min="7125" max="7125" width="3.140625" style="70" bestFit="1" customWidth="1"/>
    <col min="7126" max="7140" width="3.5703125" style="70" bestFit="1" customWidth="1"/>
    <col min="7141" max="7154" width="3.140625" style="70" bestFit="1" customWidth="1"/>
    <col min="7155" max="7348" width="3.7109375" style="70"/>
    <col min="7349" max="7349" width="15.7109375" style="70" customWidth="1"/>
    <col min="7350" max="7350" width="23.5703125" style="70" customWidth="1"/>
    <col min="7351" max="7351" width="10.140625" style="70" customWidth="1"/>
    <col min="7352" max="7352" width="9.42578125" style="70" bestFit="1" customWidth="1"/>
    <col min="7353" max="7353" width="9.7109375" style="70" customWidth="1"/>
    <col min="7354" max="7359" width="3.140625" style="70" bestFit="1" customWidth="1"/>
    <col min="7360" max="7373" width="3.140625" style="70" customWidth="1"/>
    <col min="7374" max="7375" width="3.5703125" style="70" bestFit="1" customWidth="1"/>
    <col min="7376" max="7380" width="3" style="70" bestFit="1" customWidth="1"/>
    <col min="7381" max="7381" width="3.140625" style="70" bestFit="1" customWidth="1"/>
    <col min="7382" max="7396" width="3.5703125" style="70" bestFit="1" customWidth="1"/>
    <col min="7397" max="7410" width="3.140625" style="70" bestFit="1" customWidth="1"/>
    <col min="7411" max="7604" width="3.7109375" style="70"/>
    <col min="7605" max="7605" width="15.7109375" style="70" customWidth="1"/>
    <col min="7606" max="7606" width="23.5703125" style="70" customWidth="1"/>
    <col min="7607" max="7607" width="10.140625" style="70" customWidth="1"/>
    <col min="7608" max="7608" width="9.42578125" style="70" bestFit="1" customWidth="1"/>
    <col min="7609" max="7609" width="9.7109375" style="70" customWidth="1"/>
    <col min="7610" max="7615" width="3.140625" style="70" bestFit="1" customWidth="1"/>
    <col min="7616" max="7629" width="3.140625" style="70" customWidth="1"/>
    <col min="7630" max="7631" width="3.5703125" style="70" bestFit="1" customWidth="1"/>
    <col min="7632" max="7636" width="3" style="70" bestFit="1" customWidth="1"/>
    <col min="7637" max="7637" width="3.140625" style="70" bestFit="1" customWidth="1"/>
    <col min="7638" max="7652" width="3.5703125" style="70" bestFit="1" customWidth="1"/>
    <col min="7653" max="7666" width="3.140625" style="70" bestFit="1" customWidth="1"/>
    <col min="7667" max="7860" width="3.7109375" style="70"/>
    <col min="7861" max="7861" width="15.7109375" style="70" customWidth="1"/>
    <col min="7862" max="7862" width="23.5703125" style="70" customWidth="1"/>
    <col min="7863" max="7863" width="10.140625" style="70" customWidth="1"/>
    <col min="7864" max="7864" width="9.42578125" style="70" bestFit="1" customWidth="1"/>
    <col min="7865" max="7865" width="9.7109375" style="70" customWidth="1"/>
    <col min="7866" max="7871" width="3.140625" style="70" bestFit="1" customWidth="1"/>
    <col min="7872" max="7885" width="3.140625" style="70" customWidth="1"/>
    <col min="7886" max="7887" width="3.5703125" style="70" bestFit="1" customWidth="1"/>
    <col min="7888" max="7892" width="3" style="70" bestFit="1" customWidth="1"/>
    <col min="7893" max="7893" width="3.140625" style="70" bestFit="1" customWidth="1"/>
    <col min="7894" max="7908" width="3.5703125" style="70" bestFit="1" customWidth="1"/>
    <col min="7909" max="7922" width="3.140625" style="70" bestFit="1" customWidth="1"/>
    <col min="7923" max="8116" width="3.7109375" style="70"/>
    <col min="8117" max="8117" width="15.7109375" style="70" customWidth="1"/>
    <col min="8118" max="8118" width="23.5703125" style="70" customWidth="1"/>
    <col min="8119" max="8119" width="10.140625" style="70" customWidth="1"/>
    <col min="8120" max="8120" width="9.42578125" style="70" bestFit="1" customWidth="1"/>
    <col min="8121" max="8121" width="9.7109375" style="70" customWidth="1"/>
    <col min="8122" max="8127" width="3.140625" style="70" bestFit="1" customWidth="1"/>
    <col min="8128" max="8141" width="3.140625" style="70" customWidth="1"/>
    <col min="8142" max="8143" width="3.5703125" style="70" bestFit="1" customWidth="1"/>
    <col min="8144" max="8148" width="3" style="70" bestFit="1" customWidth="1"/>
    <col min="8149" max="8149" width="3.140625" style="70" bestFit="1" customWidth="1"/>
    <col min="8150" max="8164" width="3.5703125" style="70" bestFit="1" customWidth="1"/>
    <col min="8165" max="8178" width="3.140625" style="70" bestFit="1" customWidth="1"/>
    <col min="8179" max="8372" width="3.7109375" style="70"/>
    <col min="8373" max="8373" width="15.7109375" style="70" customWidth="1"/>
    <col min="8374" max="8374" width="23.5703125" style="70" customWidth="1"/>
    <col min="8375" max="8375" width="10.140625" style="70" customWidth="1"/>
    <col min="8376" max="8376" width="9.42578125" style="70" bestFit="1" customWidth="1"/>
    <col min="8377" max="8377" width="9.7109375" style="70" customWidth="1"/>
    <col min="8378" max="8383" width="3.140625" style="70" bestFit="1" customWidth="1"/>
    <col min="8384" max="8397" width="3.140625" style="70" customWidth="1"/>
    <col min="8398" max="8399" width="3.5703125" style="70" bestFit="1" customWidth="1"/>
    <col min="8400" max="8404" width="3" style="70" bestFit="1" customWidth="1"/>
    <col min="8405" max="8405" width="3.140625" style="70" bestFit="1" customWidth="1"/>
    <col min="8406" max="8420" width="3.5703125" style="70" bestFit="1" customWidth="1"/>
    <col min="8421" max="8434" width="3.140625" style="70" bestFit="1" customWidth="1"/>
    <col min="8435" max="8628" width="3.7109375" style="70"/>
    <col min="8629" max="8629" width="15.7109375" style="70" customWidth="1"/>
    <col min="8630" max="8630" width="23.5703125" style="70" customWidth="1"/>
    <col min="8631" max="8631" width="10.140625" style="70" customWidth="1"/>
    <col min="8632" max="8632" width="9.42578125" style="70" bestFit="1" customWidth="1"/>
    <col min="8633" max="8633" width="9.7109375" style="70" customWidth="1"/>
    <col min="8634" max="8639" width="3.140625" style="70" bestFit="1" customWidth="1"/>
    <col min="8640" max="8653" width="3.140625" style="70" customWidth="1"/>
    <col min="8654" max="8655" width="3.5703125" style="70" bestFit="1" customWidth="1"/>
    <col min="8656" max="8660" width="3" style="70" bestFit="1" customWidth="1"/>
    <col min="8661" max="8661" width="3.140625" style="70" bestFit="1" customWidth="1"/>
    <col min="8662" max="8676" width="3.5703125" style="70" bestFit="1" customWidth="1"/>
    <col min="8677" max="8690" width="3.140625" style="70" bestFit="1" customWidth="1"/>
    <col min="8691" max="8884" width="3.7109375" style="70"/>
    <col min="8885" max="8885" width="15.7109375" style="70" customWidth="1"/>
    <col min="8886" max="8886" width="23.5703125" style="70" customWidth="1"/>
    <col min="8887" max="8887" width="10.140625" style="70" customWidth="1"/>
    <col min="8888" max="8888" width="9.42578125" style="70" bestFit="1" customWidth="1"/>
    <col min="8889" max="8889" width="9.7109375" style="70" customWidth="1"/>
    <col min="8890" max="8895" width="3.140625" style="70" bestFit="1" customWidth="1"/>
    <col min="8896" max="8909" width="3.140625" style="70" customWidth="1"/>
    <col min="8910" max="8911" width="3.5703125" style="70" bestFit="1" customWidth="1"/>
    <col min="8912" max="8916" width="3" style="70" bestFit="1" customWidth="1"/>
    <col min="8917" max="8917" width="3.140625" style="70" bestFit="1" customWidth="1"/>
    <col min="8918" max="8932" width="3.5703125" style="70" bestFit="1" customWidth="1"/>
    <col min="8933" max="8946" width="3.140625" style="70" bestFit="1" customWidth="1"/>
    <col min="8947" max="9140" width="3.7109375" style="70"/>
    <col min="9141" max="9141" width="15.7109375" style="70" customWidth="1"/>
    <col min="9142" max="9142" width="23.5703125" style="70" customWidth="1"/>
    <col min="9143" max="9143" width="10.140625" style="70" customWidth="1"/>
    <col min="9144" max="9144" width="9.42578125" style="70" bestFit="1" customWidth="1"/>
    <col min="9145" max="9145" width="9.7109375" style="70" customWidth="1"/>
    <col min="9146" max="9151" width="3.140625" style="70" bestFit="1" customWidth="1"/>
    <col min="9152" max="9165" width="3.140625" style="70" customWidth="1"/>
    <col min="9166" max="9167" width="3.5703125" style="70" bestFit="1" customWidth="1"/>
    <col min="9168" max="9172" width="3" style="70" bestFit="1" customWidth="1"/>
    <col min="9173" max="9173" width="3.140625" style="70" bestFit="1" customWidth="1"/>
    <col min="9174" max="9188" width="3.5703125" style="70" bestFit="1" customWidth="1"/>
    <col min="9189" max="9202" width="3.140625" style="70" bestFit="1" customWidth="1"/>
    <col min="9203" max="9396" width="3.7109375" style="70"/>
    <col min="9397" max="9397" width="15.7109375" style="70" customWidth="1"/>
    <col min="9398" max="9398" width="23.5703125" style="70" customWidth="1"/>
    <col min="9399" max="9399" width="10.140625" style="70" customWidth="1"/>
    <col min="9400" max="9400" width="9.42578125" style="70" bestFit="1" customWidth="1"/>
    <col min="9401" max="9401" width="9.7109375" style="70" customWidth="1"/>
    <col min="9402" max="9407" width="3.140625" style="70" bestFit="1" customWidth="1"/>
    <col min="9408" max="9421" width="3.140625" style="70" customWidth="1"/>
    <col min="9422" max="9423" width="3.5703125" style="70" bestFit="1" customWidth="1"/>
    <col min="9424" max="9428" width="3" style="70" bestFit="1" customWidth="1"/>
    <col min="9429" max="9429" width="3.140625" style="70" bestFit="1" customWidth="1"/>
    <col min="9430" max="9444" width="3.5703125" style="70" bestFit="1" customWidth="1"/>
    <col min="9445" max="9458" width="3.140625" style="70" bestFit="1" customWidth="1"/>
    <col min="9459" max="9652" width="3.7109375" style="70"/>
    <col min="9653" max="9653" width="15.7109375" style="70" customWidth="1"/>
    <col min="9654" max="9654" width="23.5703125" style="70" customWidth="1"/>
    <col min="9655" max="9655" width="10.140625" style="70" customWidth="1"/>
    <col min="9656" max="9656" width="9.42578125" style="70" bestFit="1" customWidth="1"/>
    <col min="9657" max="9657" width="9.7109375" style="70" customWidth="1"/>
    <col min="9658" max="9663" width="3.140625" style="70" bestFit="1" customWidth="1"/>
    <col min="9664" max="9677" width="3.140625" style="70" customWidth="1"/>
    <col min="9678" max="9679" width="3.5703125" style="70" bestFit="1" customWidth="1"/>
    <col min="9680" max="9684" width="3" style="70" bestFit="1" customWidth="1"/>
    <col min="9685" max="9685" width="3.140625" style="70" bestFit="1" customWidth="1"/>
    <col min="9686" max="9700" width="3.5703125" style="70" bestFit="1" customWidth="1"/>
    <col min="9701" max="9714" width="3.140625" style="70" bestFit="1" customWidth="1"/>
    <col min="9715" max="9908" width="3.7109375" style="70"/>
    <col min="9909" max="9909" width="15.7109375" style="70" customWidth="1"/>
    <col min="9910" max="9910" width="23.5703125" style="70" customWidth="1"/>
    <col min="9911" max="9911" width="10.140625" style="70" customWidth="1"/>
    <col min="9912" max="9912" width="9.42578125" style="70" bestFit="1" customWidth="1"/>
    <col min="9913" max="9913" width="9.7109375" style="70" customWidth="1"/>
    <col min="9914" max="9919" width="3.140625" style="70" bestFit="1" customWidth="1"/>
    <col min="9920" max="9933" width="3.140625" style="70" customWidth="1"/>
    <col min="9934" max="9935" width="3.5703125" style="70" bestFit="1" customWidth="1"/>
    <col min="9936" max="9940" width="3" style="70" bestFit="1" customWidth="1"/>
    <col min="9941" max="9941" width="3.140625" style="70" bestFit="1" customWidth="1"/>
    <col min="9942" max="9956" width="3.5703125" style="70" bestFit="1" customWidth="1"/>
    <col min="9957" max="9970" width="3.140625" style="70" bestFit="1" customWidth="1"/>
    <col min="9971" max="10164" width="3.7109375" style="70"/>
    <col min="10165" max="10165" width="15.7109375" style="70" customWidth="1"/>
    <col min="10166" max="10166" width="23.5703125" style="70" customWidth="1"/>
    <col min="10167" max="10167" width="10.140625" style="70" customWidth="1"/>
    <col min="10168" max="10168" width="9.42578125" style="70" bestFit="1" customWidth="1"/>
    <col min="10169" max="10169" width="9.7109375" style="70" customWidth="1"/>
    <col min="10170" max="10175" width="3.140625" style="70" bestFit="1" customWidth="1"/>
    <col min="10176" max="10189" width="3.140625" style="70" customWidth="1"/>
    <col min="10190" max="10191" width="3.5703125" style="70" bestFit="1" customWidth="1"/>
    <col min="10192" max="10196" width="3" style="70" bestFit="1" customWidth="1"/>
    <col min="10197" max="10197" width="3.140625" style="70" bestFit="1" customWidth="1"/>
    <col min="10198" max="10212" width="3.5703125" style="70" bestFit="1" customWidth="1"/>
    <col min="10213" max="10226" width="3.140625" style="70" bestFit="1" customWidth="1"/>
    <col min="10227" max="10420" width="3.7109375" style="70"/>
    <col min="10421" max="10421" width="15.7109375" style="70" customWidth="1"/>
    <col min="10422" max="10422" width="23.5703125" style="70" customWidth="1"/>
    <col min="10423" max="10423" width="10.140625" style="70" customWidth="1"/>
    <col min="10424" max="10424" width="9.42578125" style="70" bestFit="1" customWidth="1"/>
    <col min="10425" max="10425" width="9.7109375" style="70" customWidth="1"/>
    <col min="10426" max="10431" width="3.140625" style="70" bestFit="1" customWidth="1"/>
    <col min="10432" max="10445" width="3.140625" style="70" customWidth="1"/>
    <col min="10446" max="10447" width="3.5703125" style="70" bestFit="1" customWidth="1"/>
    <col min="10448" max="10452" width="3" style="70" bestFit="1" customWidth="1"/>
    <col min="10453" max="10453" width="3.140625" style="70" bestFit="1" customWidth="1"/>
    <col min="10454" max="10468" width="3.5703125" style="70" bestFit="1" customWidth="1"/>
    <col min="10469" max="10482" width="3.140625" style="70" bestFit="1" customWidth="1"/>
    <col min="10483" max="10676" width="3.7109375" style="70"/>
    <col min="10677" max="10677" width="15.7109375" style="70" customWidth="1"/>
    <col min="10678" max="10678" width="23.5703125" style="70" customWidth="1"/>
    <col min="10679" max="10679" width="10.140625" style="70" customWidth="1"/>
    <col min="10680" max="10680" width="9.42578125" style="70" bestFit="1" customWidth="1"/>
    <col min="10681" max="10681" width="9.7109375" style="70" customWidth="1"/>
    <col min="10682" max="10687" width="3.140625" style="70" bestFit="1" customWidth="1"/>
    <col min="10688" max="10701" width="3.140625" style="70" customWidth="1"/>
    <col min="10702" max="10703" width="3.5703125" style="70" bestFit="1" customWidth="1"/>
    <col min="10704" max="10708" width="3" style="70" bestFit="1" customWidth="1"/>
    <col min="10709" max="10709" width="3.140625" style="70" bestFit="1" customWidth="1"/>
    <col min="10710" max="10724" width="3.5703125" style="70" bestFit="1" customWidth="1"/>
    <col min="10725" max="10738" width="3.140625" style="70" bestFit="1" customWidth="1"/>
    <col min="10739" max="10932" width="3.7109375" style="70"/>
    <col min="10933" max="10933" width="15.7109375" style="70" customWidth="1"/>
    <col min="10934" max="10934" width="23.5703125" style="70" customWidth="1"/>
    <col min="10935" max="10935" width="10.140625" style="70" customWidth="1"/>
    <col min="10936" max="10936" width="9.42578125" style="70" bestFit="1" customWidth="1"/>
    <col min="10937" max="10937" width="9.7109375" style="70" customWidth="1"/>
    <col min="10938" max="10943" width="3.140625" style="70" bestFit="1" customWidth="1"/>
    <col min="10944" max="10957" width="3.140625" style="70" customWidth="1"/>
    <col min="10958" max="10959" width="3.5703125" style="70" bestFit="1" customWidth="1"/>
    <col min="10960" max="10964" width="3" style="70" bestFit="1" customWidth="1"/>
    <col min="10965" max="10965" width="3.140625" style="70" bestFit="1" customWidth="1"/>
    <col min="10966" max="10980" width="3.5703125" style="70" bestFit="1" customWidth="1"/>
    <col min="10981" max="10994" width="3.140625" style="70" bestFit="1" customWidth="1"/>
    <col min="10995" max="11188" width="3.7109375" style="70"/>
    <col min="11189" max="11189" width="15.7109375" style="70" customWidth="1"/>
    <col min="11190" max="11190" width="23.5703125" style="70" customWidth="1"/>
    <col min="11191" max="11191" width="10.140625" style="70" customWidth="1"/>
    <col min="11192" max="11192" width="9.42578125" style="70" bestFit="1" customWidth="1"/>
    <col min="11193" max="11193" width="9.7109375" style="70" customWidth="1"/>
    <col min="11194" max="11199" width="3.140625" style="70" bestFit="1" customWidth="1"/>
    <col min="11200" max="11213" width="3.140625" style="70" customWidth="1"/>
    <col min="11214" max="11215" width="3.5703125" style="70" bestFit="1" customWidth="1"/>
    <col min="11216" max="11220" width="3" style="70" bestFit="1" customWidth="1"/>
    <col min="11221" max="11221" width="3.140625" style="70" bestFit="1" customWidth="1"/>
    <col min="11222" max="11236" width="3.5703125" style="70" bestFit="1" customWidth="1"/>
    <col min="11237" max="11250" width="3.140625" style="70" bestFit="1" customWidth="1"/>
    <col min="11251" max="11444" width="3.7109375" style="70"/>
    <col min="11445" max="11445" width="15.7109375" style="70" customWidth="1"/>
    <col min="11446" max="11446" width="23.5703125" style="70" customWidth="1"/>
    <col min="11447" max="11447" width="10.140625" style="70" customWidth="1"/>
    <col min="11448" max="11448" width="9.42578125" style="70" bestFit="1" customWidth="1"/>
    <col min="11449" max="11449" width="9.7109375" style="70" customWidth="1"/>
    <col min="11450" max="11455" width="3.140625" style="70" bestFit="1" customWidth="1"/>
    <col min="11456" max="11469" width="3.140625" style="70" customWidth="1"/>
    <col min="11470" max="11471" width="3.5703125" style="70" bestFit="1" customWidth="1"/>
    <col min="11472" max="11476" width="3" style="70" bestFit="1" customWidth="1"/>
    <col min="11477" max="11477" width="3.140625" style="70" bestFit="1" customWidth="1"/>
    <col min="11478" max="11492" width="3.5703125" style="70" bestFit="1" customWidth="1"/>
    <col min="11493" max="11506" width="3.140625" style="70" bestFit="1" customWidth="1"/>
    <col min="11507" max="11700" width="3.7109375" style="70"/>
    <col min="11701" max="11701" width="15.7109375" style="70" customWidth="1"/>
    <col min="11702" max="11702" width="23.5703125" style="70" customWidth="1"/>
    <col min="11703" max="11703" width="10.140625" style="70" customWidth="1"/>
    <col min="11704" max="11704" width="9.42578125" style="70" bestFit="1" customWidth="1"/>
    <col min="11705" max="11705" width="9.7109375" style="70" customWidth="1"/>
    <col min="11706" max="11711" width="3.140625" style="70" bestFit="1" customWidth="1"/>
    <col min="11712" max="11725" width="3.140625" style="70" customWidth="1"/>
    <col min="11726" max="11727" width="3.5703125" style="70" bestFit="1" customWidth="1"/>
    <col min="11728" max="11732" width="3" style="70" bestFit="1" customWidth="1"/>
    <col min="11733" max="11733" width="3.140625" style="70" bestFit="1" customWidth="1"/>
    <col min="11734" max="11748" width="3.5703125" style="70" bestFit="1" customWidth="1"/>
    <col min="11749" max="11762" width="3.140625" style="70" bestFit="1" customWidth="1"/>
    <col min="11763" max="11956" width="3.7109375" style="70"/>
    <col min="11957" max="11957" width="15.7109375" style="70" customWidth="1"/>
    <col min="11958" max="11958" width="23.5703125" style="70" customWidth="1"/>
    <col min="11959" max="11959" width="10.140625" style="70" customWidth="1"/>
    <col min="11960" max="11960" width="9.42578125" style="70" bestFit="1" customWidth="1"/>
    <col min="11961" max="11961" width="9.7109375" style="70" customWidth="1"/>
    <col min="11962" max="11967" width="3.140625" style="70" bestFit="1" customWidth="1"/>
    <col min="11968" max="11981" width="3.140625" style="70" customWidth="1"/>
    <col min="11982" max="11983" width="3.5703125" style="70" bestFit="1" customWidth="1"/>
    <col min="11984" max="11988" width="3" style="70" bestFit="1" customWidth="1"/>
    <col min="11989" max="11989" width="3.140625" style="70" bestFit="1" customWidth="1"/>
    <col min="11990" max="12004" width="3.5703125" style="70" bestFit="1" customWidth="1"/>
    <col min="12005" max="12018" width="3.140625" style="70" bestFit="1" customWidth="1"/>
    <col min="12019" max="12212" width="3.7109375" style="70"/>
    <col min="12213" max="12213" width="15.7109375" style="70" customWidth="1"/>
    <col min="12214" max="12214" width="23.5703125" style="70" customWidth="1"/>
    <col min="12215" max="12215" width="10.140625" style="70" customWidth="1"/>
    <col min="12216" max="12216" width="9.42578125" style="70" bestFit="1" customWidth="1"/>
    <col min="12217" max="12217" width="9.7109375" style="70" customWidth="1"/>
    <col min="12218" max="12223" width="3.140625" style="70" bestFit="1" customWidth="1"/>
    <col min="12224" max="12237" width="3.140625" style="70" customWidth="1"/>
    <col min="12238" max="12239" width="3.5703125" style="70" bestFit="1" customWidth="1"/>
    <col min="12240" max="12244" width="3" style="70" bestFit="1" customWidth="1"/>
    <col min="12245" max="12245" width="3.140625" style="70" bestFit="1" customWidth="1"/>
    <col min="12246" max="12260" width="3.5703125" style="70" bestFit="1" customWidth="1"/>
    <col min="12261" max="12274" width="3.140625" style="70" bestFit="1" customWidth="1"/>
    <col min="12275" max="12468" width="3.7109375" style="70"/>
    <col min="12469" max="12469" width="15.7109375" style="70" customWidth="1"/>
    <col min="12470" max="12470" width="23.5703125" style="70" customWidth="1"/>
    <col min="12471" max="12471" width="10.140625" style="70" customWidth="1"/>
    <col min="12472" max="12472" width="9.42578125" style="70" bestFit="1" customWidth="1"/>
    <col min="12473" max="12473" width="9.7109375" style="70" customWidth="1"/>
    <col min="12474" max="12479" width="3.140625" style="70" bestFit="1" customWidth="1"/>
    <col min="12480" max="12493" width="3.140625" style="70" customWidth="1"/>
    <col min="12494" max="12495" width="3.5703125" style="70" bestFit="1" customWidth="1"/>
    <col min="12496" max="12500" width="3" style="70" bestFit="1" customWidth="1"/>
    <col min="12501" max="12501" width="3.140625" style="70" bestFit="1" customWidth="1"/>
    <col min="12502" max="12516" width="3.5703125" style="70" bestFit="1" customWidth="1"/>
    <col min="12517" max="12530" width="3.140625" style="70" bestFit="1" customWidth="1"/>
    <col min="12531" max="12724" width="3.7109375" style="70"/>
    <col min="12725" max="12725" width="15.7109375" style="70" customWidth="1"/>
    <col min="12726" max="12726" width="23.5703125" style="70" customWidth="1"/>
    <col min="12727" max="12727" width="10.140625" style="70" customWidth="1"/>
    <col min="12728" max="12728" width="9.42578125" style="70" bestFit="1" customWidth="1"/>
    <col min="12729" max="12729" width="9.7109375" style="70" customWidth="1"/>
    <col min="12730" max="12735" width="3.140625" style="70" bestFit="1" customWidth="1"/>
    <col min="12736" max="12749" width="3.140625" style="70" customWidth="1"/>
    <col min="12750" max="12751" width="3.5703125" style="70" bestFit="1" customWidth="1"/>
    <col min="12752" max="12756" width="3" style="70" bestFit="1" customWidth="1"/>
    <col min="12757" max="12757" width="3.140625" style="70" bestFit="1" customWidth="1"/>
    <col min="12758" max="12772" width="3.5703125" style="70" bestFit="1" customWidth="1"/>
    <col min="12773" max="12786" width="3.140625" style="70" bestFit="1" customWidth="1"/>
    <col min="12787" max="12980" width="3.7109375" style="70"/>
    <col min="12981" max="12981" width="15.7109375" style="70" customWidth="1"/>
    <col min="12982" max="12982" width="23.5703125" style="70" customWidth="1"/>
    <col min="12983" max="12983" width="10.140625" style="70" customWidth="1"/>
    <col min="12984" max="12984" width="9.42578125" style="70" bestFit="1" customWidth="1"/>
    <col min="12985" max="12985" width="9.7109375" style="70" customWidth="1"/>
    <col min="12986" max="12991" width="3.140625" style="70" bestFit="1" customWidth="1"/>
    <col min="12992" max="13005" width="3.140625" style="70" customWidth="1"/>
    <col min="13006" max="13007" width="3.5703125" style="70" bestFit="1" customWidth="1"/>
    <col min="13008" max="13012" width="3" style="70" bestFit="1" customWidth="1"/>
    <col min="13013" max="13013" width="3.140625" style="70" bestFit="1" customWidth="1"/>
    <col min="13014" max="13028" width="3.5703125" style="70" bestFit="1" customWidth="1"/>
    <col min="13029" max="13042" width="3.140625" style="70" bestFit="1" customWidth="1"/>
    <col min="13043" max="13236" width="3.7109375" style="70"/>
    <col min="13237" max="13237" width="15.7109375" style="70" customWidth="1"/>
    <col min="13238" max="13238" width="23.5703125" style="70" customWidth="1"/>
    <col min="13239" max="13239" width="10.140625" style="70" customWidth="1"/>
    <col min="13240" max="13240" width="9.42578125" style="70" bestFit="1" customWidth="1"/>
    <col min="13241" max="13241" width="9.7109375" style="70" customWidth="1"/>
    <col min="13242" max="13247" width="3.140625" style="70" bestFit="1" customWidth="1"/>
    <col min="13248" max="13261" width="3.140625" style="70" customWidth="1"/>
    <col min="13262" max="13263" width="3.5703125" style="70" bestFit="1" customWidth="1"/>
    <col min="13264" max="13268" width="3" style="70" bestFit="1" customWidth="1"/>
    <col min="13269" max="13269" width="3.140625" style="70" bestFit="1" customWidth="1"/>
    <col min="13270" max="13284" width="3.5703125" style="70" bestFit="1" customWidth="1"/>
    <col min="13285" max="13298" width="3.140625" style="70" bestFit="1" customWidth="1"/>
    <col min="13299" max="13492" width="3.7109375" style="70"/>
    <col min="13493" max="13493" width="15.7109375" style="70" customWidth="1"/>
    <col min="13494" max="13494" width="23.5703125" style="70" customWidth="1"/>
    <col min="13495" max="13495" width="10.140625" style="70" customWidth="1"/>
    <col min="13496" max="13496" width="9.42578125" style="70" bestFit="1" customWidth="1"/>
    <col min="13497" max="13497" width="9.7109375" style="70" customWidth="1"/>
    <col min="13498" max="13503" width="3.140625" style="70" bestFit="1" customWidth="1"/>
    <col min="13504" max="13517" width="3.140625" style="70" customWidth="1"/>
    <col min="13518" max="13519" width="3.5703125" style="70" bestFit="1" customWidth="1"/>
    <col min="13520" max="13524" width="3" style="70" bestFit="1" customWidth="1"/>
    <col min="13525" max="13525" width="3.140625" style="70" bestFit="1" customWidth="1"/>
    <col min="13526" max="13540" width="3.5703125" style="70" bestFit="1" customWidth="1"/>
    <col min="13541" max="13554" width="3.140625" style="70" bestFit="1" customWidth="1"/>
    <col min="13555" max="13748" width="3.7109375" style="70"/>
    <col min="13749" max="13749" width="15.7109375" style="70" customWidth="1"/>
    <col min="13750" max="13750" width="23.5703125" style="70" customWidth="1"/>
    <col min="13751" max="13751" width="10.140625" style="70" customWidth="1"/>
    <col min="13752" max="13752" width="9.42578125" style="70" bestFit="1" customWidth="1"/>
    <col min="13753" max="13753" width="9.7109375" style="70" customWidth="1"/>
    <col min="13754" max="13759" width="3.140625" style="70" bestFit="1" customWidth="1"/>
    <col min="13760" max="13773" width="3.140625" style="70" customWidth="1"/>
    <col min="13774" max="13775" width="3.5703125" style="70" bestFit="1" customWidth="1"/>
    <col min="13776" max="13780" width="3" style="70" bestFit="1" customWidth="1"/>
    <col min="13781" max="13781" width="3.140625" style="70" bestFit="1" customWidth="1"/>
    <col min="13782" max="13796" width="3.5703125" style="70" bestFit="1" customWidth="1"/>
    <col min="13797" max="13810" width="3.140625" style="70" bestFit="1" customWidth="1"/>
    <col min="13811" max="14004" width="3.7109375" style="70"/>
    <col min="14005" max="14005" width="15.7109375" style="70" customWidth="1"/>
    <col min="14006" max="14006" width="23.5703125" style="70" customWidth="1"/>
    <col min="14007" max="14007" width="10.140625" style="70" customWidth="1"/>
    <col min="14008" max="14008" width="9.42578125" style="70" bestFit="1" customWidth="1"/>
    <col min="14009" max="14009" width="9.7109375" style="70" customWidth="1"/>
    <col min="14010" max="14015" width="3.140625" style="70" bestFit="1" customWidth="1"/>
    <col min="14016" max="14029" width="3.140625" style="70" customWidth="1"/>
    <col min="14030" max="14031" width="3.5703125" style="70" bestFit="1" customWidth="1"/>
    <col min="14032" max="14036" width="3" style="70" bestFit="1" customWidth="1"/>
    <col min="14037" max="14037" width="3.140625" style="70" bestFit="1" customWidth="1"/>
    <col min="14038" max="14052" width="3.5703125" style="70" bestFit="1" customWidth="1"/>
    <col min="14053" max="14066" width="3.140625" style="70" bestFit="1" customWidth="1"/>
    <col min="14067" max="14260" width="3.7109375" style="70"/>
    <col min="14261" max="14261" width="15.7109375" style="70" customWidth="1"/>
    <col min="14262" max="14262" width="23.5703125" style="70" customWidth="1"/>
    <col min="14263" max="14263" width="10.140625" style="70" customWidth="1"/>
    <col min="14264" max="14264" width="9.42578125" style="70" bestFit="1" customWidth="1"/>
    <col min="14265" max="14265" width="9.7109375" style="70" customWidth="1"/>
    <col min="14266" max="14271" width="3.140625" style="70" bestFit="1" customWidth="1"/>
    <col min="14272" max="14285" width="3.140625" style="70" customWidth="1"/>
    <col min="14286" max="14287" width="3.5703125" style="70" bestFit="1" customWidth="1"/>
    <col min="14288" max="14292" width="3" style="70" bestFit="1" customWidth="1"/>
    <col min="14293" max="14293" width="3.140625" style="70" bestFit="1" customWidth="1"/>
    <col min="14294" max="14308" width="3.5703125" style="70" bestFit="1" customWidth="1"/>
    <col min="14309" max="14322" width="3.140625" style="70" bestFit="1" customWidth="1"/>
    <col min="14323" max="14516" width="3.7109375" style="70"/>
    <col min="14517" max="14517" width="15.7109375" style="70" customWidth="1"/>
    <col min="14518" max="14518" width="23.5703125" style="70" customWidth="1"/>
    <col min="14519" max="14519" width="10.140625" style="70" customWidth="1"/>
    <col min="14520" max="14520" width="9.42578125" style="70" bestFit="1" customWidth="1"/>
    <col min="14521" max="14521" width="9.7109375" style="70" customWidth="1"/>
    <col min="14522" max="14527" width="3.140625" style="70" bestFit="1" customWidth="1"/>
    <col min="14528" max="14541" width="3.140625" style="70" customWidth="1"/>
    <col min="14542" max="14543" width="3.5703125" style="70" bestFit="1" customWidth="1"/>
    <col min="14544" max="14548" width="3" style="70" bestFit="1" customWidth="1"/>
    <col min="14549" max="14549" width="3.140625" style="70" bestFit="1" customWidth="1"/>
    <col min="14550" max="14564" width="3.5703125" style="70" bestFit="1" customWidth="1"/>
    <col min="14565" max="14578" width="3.140625" style="70" bestFit="1" customWidth="1"/>
    <col min="14579" max="14772" width="3.7109375" style="70"/>
    <col min="14773" max="14773" width="15.7109375" style="70" customWidth="1"/>
    <col min="14774" max="14774" width="23.5703125" style="70" customWidth="1"/>
    <col min="14775" max="14775" width="10.140625" style="70" customWidth="1"/>
    <col min="14776" max="14776" width="9.42578125" style="70" bestFit="1" customWidth="1"/>
    <col min="14777" max="14777" width="9.7109375" style="70" customWidth="1"/>
    <col min="14778" max="14783" width="3.140625" style="70" bestFit="1" customWidth="1"/>
    <col min="14784" max="14797" width="3.140625" style="70" customWidth="1"/>
    <col min="14798" max="14799" width="3.5703125" style="70" bestFit="1" customWidth="1"/>
    <col min="14800" max="14804" width="3" style="70" bestFit="1" customWidth="1"/>
    <col min="14805" max="14805" width="3.140625" style="70" bestFit="1" customWidth="1"/>
    <col min="14806" max="14820" width="3.5703125" style="70" bestFit="1" customWidth="1"/>
    <col min="14821" max="14834" width="3.140625" style="70" bestFit="1" customWidth="1"/>
    <col min="14835" max="15028" width="3.7109375" style="70"/>
    <col min="15029" max="15029" width="15.7109375" style="70" customWidth="1"/>
    <col min="15030" max="15030" width="23.5703125" style="70" customWidth="1"/>
    <col min="15031" max="15031" width="10.140625" style="70" customWidth="1"/>
    <col min="15032" max="15032" width="9.42578125" style="70" bestFit="1" customWidth="1"/>
    <col min="15033" max="15033" width="9.7109375" style="70" customWidth="1"/>
    <col min="15034" max="15039" width="3.140625" style="70" bestFit="1" customWidth="1"/>
    <col min="15040" max="15053" width="3.140625" style="70" customWidth="1"/>
    <col min="15054" max="15055" width="3.5703125" style="70" bestFit="1" customWidth="1"/>
    <col min="15056" max="15060" width="3" style="70" bestFit="1" customWidth="1"/>
    <col min="15061" max="15061" width="3.140625" style="70" bestFit="1" customWidth="1"/>
    <col min="15062" max="15076" width="3.5703125" style="70" bestFit="1" customWidth="1"/>
    <col min="15077" max="15090" width="3.140625" style="70" bestFit="1" customWidth="1"/>
    <col min="15091" max="15284" width="3.7109375" style="70"/>
    <col min="15285" max="15285" width="15.7109375" style="70" customWidth="1"/>
    <col min="15286" max="15286" width="23.5703125" style="70" customWidth="1"/>
    <col min="15287" max="15287" width="10.140625" style="70" customWidth="1"/>
    <col min="15288" max="15288" width="9.42578125" style="70" bestFit="1" customWidth="1"/>
    <col min="15289" max="15289" width="9.7109375" style="70" customWidth="1"/>
    <col min="15290" max="15295" width="3.140625" style="70" bestFit="1" customWidth="1"/>
    <col min="15296" max="15309" width="3.140625" style="70" customWidth="1"/>
    <col min="15310" max="15311" width="3.5703125" style="70" bestFit="1" customWidth="1"/>
    <col min="15312" max="15316" width="3" style="70" bestFit="1" customWidth="1"/>
    <col min="15317" max="15317" width="3.140625" style="70" bestFit="1" customWidth="1"/>
    <col min="15318" max="15332" width="3.5703125" style="70" bestFit="1" customWidth="1"/>
    <col min="15333" max="15346" width="3.140625" style="70" bestFit="1" customWidth="1"/>
    <col min="15347" max="15540" width="3.7109375" style="70"/>
    <col min="15541" max="15541" width="15.7109375" style="70" customWidth="1"/>
    <col min="15542" max="15542" width="23.5703125" style="70" customWidth="1"/>
    <col min="15543" max="15543" width="10.140625" style="70" customWidth="1"/>
    <col min="15544" max="15544" width="9.42578125" style="70" bestFit="1" customWidth="1"/>
    <col min="15545" max="15545" width="9.7109375" style="70" customWidth="1"/>
    <col min="15546" max="15551" width="3.140625" style="70" bestFit="1" customWidth="1"/>
    <col min="15552" max="15565" width="3.140625" style="70" customWidth="1"/>
    <col min="15566" max="15567" width="3.5703125" style="70" bestFit="1" customWidth="1"/>
    <col min="15568" max="15572" width="3" style="70" bestFit="1" customWidth="1"/>
    <col min="15573" max="15573" width="3.140625" style="70" bestFit="1" customWidth="1"/>
    <col min="15574" max="15588" width="3.5703125" style="70" bestFit="1" customWidth="1"/>
    <col min="15589" max="15602" width="3.140625" style="70" bestFit="1" customWidth="1"/>
    <col min="15603" max="15796" width="3.7109375" style="70"/>
    <col min="15797" max="15797" width="15.7109375" style="70" customWidth="1"/>
    <col min="15798" max="15798" width="23.5703125" style="70" customWidth="1"/>
    <col min="15799" max="15799" width="10.140625" style="70" customWidth="1"/>
    <col min="15800" max="15800" width="9.42578125" style="70" bestFit="1" customWidth="1"/>
    <col min="15801" max="15801" width="9.7109375" style="70" customWidth="1"/>
    <col min="15802" max="15807" width="3.140625" style="70" bestFit="1" customWidth="1"/>
    <col min="15808" max="15821" width="3.140625" style="70" customWidth="1"/>
    <col min="15822" max="15823" width="3.5703125" style="70" bestFit="1" customWidth="1"/>
    <col min="15824" max="15828" width="3" style="70" bestFit="1" customWidth="1"/>
    <col min="15829" max="15829" width="3.140625" style="70" bestFit="1" customWidth="1"/>
    <col min="15830" max="15844" width="3.5703125" style="70" bestFit="1" customWidth="1"/>
    <col min="15845" max="15858" width="3.140625" style="70" bestFit="1" customWidth="1"/>
    <col min="15859" max="16052" width="3.7109375" style="70"/>
    <col min="16053" max="16053" width="15.7109375" style="70" customWidth="1"/>
    <col min="16054" max="16054" width="23.5703125" style="70" customWidth="1"/>
    <col min="16055" max="16055" width="10.140625" style="70" customWidth="1"/>
    <col min="16056" max="16056" width="9.42578125" style="70" bestFit="1" customWidth="1"/>
    <col min="16057" max="16057" width="9.7109375" style="70" customWidth="1"/>
    <col min="16058" max="16063" width="3.140625" style="70" bestFit="1" customWidth="1"/>
    <col min="16064" max="16077" width="3.140625" style="70" customWidth="1"/>
    <col min="16078" max="16079" width="3.5703125" style="70" bestFit="1" customWidth="1"/>
    <col min="16080" max="16084" width="3" style="70" bestFit="1" customWidth="1"/>
    <col min="16085" max="16085" width="3.140625" style="70" bestFit="1" customWidth="1"/>
    <col min="16086" max="16100" width="3.5703125" style="70" bestFit="1" customWidth="1"/>
    <col min="16101" max="16114" width="3.140625" style="70" bestFit="1" customWidth="1"/>
    <col min="16115" max="16384" width="3.7109375" style="70"/>
  </cols>
  <sheetData>
    <row r="1" spans="1:265" ht="17.25" customHeight="1" thickBot="1">
      <c r="A1" s="1093"/>
      <c r="B1" s="1093"/>
      <c r="C1" s="1093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  <c r="Q1" s="1011"/>
      <c r="R1" s="1011"/>
      <c r="S1" s="1011"/>
      <c r="T1" s="1011"/>
      <c r="U1" s="1011"/>
      <c r="V1" s="1011"/>
      <c r="W1" s="1011"/>
      <c r="X1" s="1011"/>
      <c r="Y1" s="1011"/>
      <c r="Z1" s="1011"/>
      <c r="AA1" s="1011"/>
      <c r="AB1" s="1011"/>
      <c r="AC1" s="1011"/>
      <c r="AD1" s="1011"/>
      <c r="AE1" s="1011"/>
      <c r="AF1" s="1011"/>
      <c r="AG1" s="1011"/>
      <c r="AH1" s="1011"/>
      <c r="AI1" s="1011"/>
      <c r="AJ1" s="1011"/>
      <c r="AK1" s="1011"/>
      <c r="AL1" s="1011"/>
      <c r="AM1" s="1011"/>
      <c r="AN1" s="1011"/>
      <c r="AO1" s="1011"/>
      <c r="AP1" s="1011"/>
      <c r="AQ1" s="1011"/>
      <c r="AR1" s="1011"/>
      <c r="AS1" s="1011"/>
      <c r="AT1" s="1011"/>
      <c r="AU1" s="1011"/>
      <c r="AV1" s="1011"/>
      <c r="AW1" s="1011"/>
      <c r="AX1" s="1011"/>
      <c r="AY1" s="1011"/>
      <c r="AZ1" s="1011"/>
      <c r="BA1" s="1011"/>
      <c r="BB1" s="1011"/>
      <c r="BC1" s="1011"/>
      <c r="BD1" s="1011"/>
      <c r="BE1" s="1011"/>
      <c r="BF1" s="1011"/>
      <c r="BG1" s="1011"/>
      <c r="BH1" s="1011"/>
      <c r="BI1" s="1011"/>
      <c r="BJ1" s="1011"/>
      <c r="BK1" s="1011"/>
      <c r="BL1" s="1011"/>
      <c r="BM1" s="1011"/>
      <c r="BN1" s="1011"/>
      <c r="BO1" s="1011"/>
      <c r="BP1" s="1011"/>
      <c r="BQ1" s="1011"/>
      <c r="BR1" s="1011"/>
      <c r="BS1" s="1011"/>
      <c r="BT1" s="1011"/>
      <c r="BU1" s="1011"/>
      <c r="BV1" s="1011"/>
      <c r="BW1" s="1011"/>
      <c r="BX1" s="1011"/>
      <c r="BY1" s="1011"/>
      <c r="BZ1" s="1011"/>
      <c r="CA1" s="1011"/>
      <c r="CB1" s="1011"/>
      <c r="CC1" s="1011"/>
      <c r="CD1" s="1011"/>
      <c r="CE1" s="1011"/>
      <c r="CF1" s="1011"/>
      <c r="CG1" s="1011"/>
      <c r="CH1" s="1011"/>
      <c r="CI1" s="1011"/>
      <c r="CJ1" s="1011"/>
      <c r="CK1" s="1011"/>
      <c r="CL1" s="1011"/>
      <c r="CM1" s="1011"/>
      <c r="CN1" s="1011"/>
      <c r="CO1" s="1011"/>
      <c r="CP1" s="1011"/>
      <c r="CQ1" s="1011"/>
      <c r="CR1" s="1011"/>
      <c r="CS1" s="1011"/>
      <c r="CT1" s="1011"/>
      <c r="CU1" s="1011"/>
      <c r="CV1" s="1011"/>
      <c r="CW1" s="1011"/>
      <c r="CX1" s="1011"/>
      <c r="CY1" s="1011"/>
      <c r="CZ1" s="1011"/>
      <c r="DA1" s="1011"/>
      <c r="DB1" s="1011"/>
      <c r="DC1" s="1011"/>
      <c r="DD1" s="1011"/>
      <c r="DE1" s="1011"/>
      <c r="DF1" s="1011"/>
      <c r="DG1" s="1011"/>
      <c r="DK1" s="518"/>
      <c r="DL1" s="518"/>
      <c r="DM1" s="986" t="s">
        <v>763</v>
      </c>
      <c r="DN1" s="986"/>
      <c r="DO1" s="986"/>
      <c r="DP1" s="986"/>
      <c r="DQ1" s="986"/>
      <c r="DR1" s="986" t="s">
        <v>764</v>
      </c>
      <c r="DS1" s="986"/>
      <c r="DT1" s="986"/>
      <c r="DU1" s="986"/>
      <c r="DV1" s="986"/>
      <c r="DW1" s="986" t="s">
        <v>765</v>
      </c>
      <c r="DX1" s="986"/>
      <c r="DY1" s="986"/>
      <c r="DZ1" s="986"/>
      <c r="EA1" s="986"/>
      <c r="EB1" s="986" t="s">
        <v>766</v>
      </c>
      <c r="EC1" s="986"/>
      <c r="ED1" s="986"/>
      <c r="EE1" s="986"/>
      <c r="EF1" s="986"/>
      <c r="EG1" s="986" t="s">
        <v>767</v>
      </c>
      <c r="EH1" s="986"/>
      <c r="EI1" s="986"/>
      <c r="EJ1" s="986"/>
      <c r="EK1" s="986"/>
      <c r="EL1" s="986" t="s">
        <v>777</v>
      </c>
      <c r="EM1" s="986"/>
      <c r="EN1" s="986"/>
      <c r="EO1" s="986"/>
      <c r="EP1" s="986"/>
      <c r="EQ1" s="986" t="s">
        <v>778</v>
      </c>
      <c r="ER1" s="986"/>
      <c r="ES1" s="986"/>
      <c r="ET1" s="986"/>
      <c r="EU1" s="986"/>
      <c r="EV1" s="986" t="s">
        <v>779</v>
      </c>
      <c r="EW1" s="986"/>
      <c r="EX1" s="986"/>
      <c r="EY1" s="986"/>
      <c r="EZ1" s="986"/>
      <c r="FA1" s="986"/>
      <c r="FB1" s="986" t="s">
        <v>780</v>
      </c>
      <c r="FC1" s="986"/>
      <c r="FD1" s="986"/>
      <c r="FE1" s="986"/>
      <c r="FF1" s="986"/>
      <c r="FG1" s="986" t="s">
        <v>781</v>
      </c>
      <c r="FH1" s="986"/>
      <c r="FI1" s="986"/>
      <c r="FJ1" s="986"/>
      <c r="FK1" s="986"/>
      <c r="FL1" s="986" t="s">
        <v>782</v>
      </c>
      <c r="FM1" s="986"/>
      <c r="FN1" s="986"/>
      <c r="FO1" s="986"/>
      <c r="FP1" s="986"/>
      <c r="FQ1" s="986" t="s">
        <v>783</v>
      </c>
      <c r="FR1" s="986"/>
      <c r="FS1" s="986"/>
      <c r="FT1" s="986"/>
      <c r="FU1" s="986"/>
      <c r="FV1" s="832" t="s">
        <v>1052</v>
      </c>
      <c r="FW1" s="70" t="s">
        <v>1047</v>
      </c>
      <c r="FZ1" s="832" t="s">
        <v>1053</v>
      </c>
      <c r="GA1" s="70" t="s">
        <v>1048</v>
      </c>
      <c r="GE1" s="832" t="s">
        <v>1054</v>
      </c>
      <c r="GF1" s="70" t="s">
        <v>1049</v>
      </c>
      <c r="GJ1" s="832" t="s">
        <v>572</v>
      </c>
      <c r="GK1" s="70" t="s">
        <v>1050</v>
      </c>
      <c r="GO1" s="832" t="s">
        <v>788</v>
      </c>
      <c r="GP1" s="70" t="s">
        <v>1051</v>
      </c>
    </row>
    <row r="2" spans="1:265" ht="17.25" customHeight="1" thickBot="1">
      <c r="A2" s="1093"/>
      <c r="B2" s="1093"/>
      <c r="C2" s="1093"/>
      <c r="E2" s="1012" t="s">
        <v>151</v>
      </c>
      <c r="F2" s="1013"/>
      <c r="G2" s="1013"/>
      <c r="H2" s="1013"/>
      <c r="I2" s="1013"/>
      <c r="J2" s="1013"/>
      <c r="K2" s="1013"/>
      <c r="L2" s="1013"/>
      <c r="M2" s="1013"/>
      <c r="N2" s="1013"/>
      <c r="O2" s="1013"/>
      <c r="P2" s="1013"/>
      <c r="Q2" s="1013"/>
      <c r="R2" s="1013"/>
      <c r="S2" s="1013"/>
      <c r="T2" s="1013"/>
      <c r="U2" s="1013"/>
      <c r="V2" s="1013"/>
      <c r="W2" s="1013"/>
      <c r="X2" s="1013"/>
      <c r="Y2" s="1014"/>
      <c r="Z2" s="1020" t="s">
        <v>433</v>
      </c>
      <c r="AA2" s="1021"/>
      <c r="AB2" s="1021"/>
      <c r="AC2" s="1021"/>
      <c r="AD2" s="1021"/>
      <c r="AE2" s="1021"/>
      <c r="AF2" s="1021"/>
      <c r="AG2" s="1021"/>
      <c r="AH2" s="1021"/>
      <c r="AI2" s="1021"/>
      <c r="AJ2" s="1021"/>
      <c r="AK2" s="1021"/>
      <c r="AL2" s="1021"/>
      <c r="AM2" s="1021"/>
      <c r="AN2" s="1021"/>
      <c r="AO2" s="1021"/>
      <c r="AP2" s="1021"/>
      <c r="AQ2" s="1021"/>
      <c r="AR2" s="1021"/>
      <c r="AS2" s="1021"/>
      <c r="AT2" s="1021"/>
      <c r="AU2" s="1021"/>
      <c r="AV2" s="1017" t="s">
        <v>434</v>
      </c>
      <c r="AW2" s="1018"/>
      <c r="AX2" s="1018"/>
      <c r="AY2" s="1018"/>
      <c r="AZ2" s="1018"/>
      <c r="BA2" s="1018"/>
      <c r="BB2" s="1018"/>
      <c r="BC2" s="1018"/>
      <c r="BD2" s="1018"/>
      <c r="BE2" s="1018"/>
      <c r="BF2" s="1018"/>
      <c r="BG2" s="1018"/>
      <c r="BH2" s="1018"/>
      <c r="BI2" s="1018"/>
      <c r="BJ2" s="1018"/>
      <c r="BK2" s="1018"/>
      <c r="BL2" s="1018"/>
      <c r="BM2" s="1018"/>
      <c r="BN2" s="1018"/>
      <c r="BO2" s="1018"/>
      <c r="BP2" s="1018"/>
      <c r="BQ2" s="1018"/>
      <c r="BR2" s="1018"/>
      <c r="BS2" s="1019"/>
      <c r="BT2" s="1050" t="s">
        <v>435</v>
      </c>
      <c r="BU2" s="1051"/>
      <c r="BV2" s="1051"/>
      <c r="BW2" s="1051"/>
      <c r="BX2" s="1051"/>
      <c r="BY2" s="1051"/>
      <c r="BZ2" s="1051"/>
      <c r="CA2" s="1051"/>
      <c r="CB2" s="1051"/>
      <c r="CC2" s="1051"/>
      <c r="CD2" s="1051"/>
      <c r="CE2" s="1051"/>
      <c r="CF2" s="1051"/>
      <c r="CG2" s="1051"/>
      <c r="CH2" s="1051"/>
      <c r="CI2" s="1051"/>
      <c r="CJ2" s="1051"/>
      <c r="CK2" s="1051"/>
      <c r="CL2" s="1051"/>
      <c r="CM2" s="1051"/>
      <c r="CN2" s="1052"/>
      <c r="CO2" s="995" t="s">
        <v>436</v>
      </c>
      <c r="CP2" s="996"/>
      <c r="CQ2" s="996"/>
      <c r="CR2" s="996"/>
      <c r="CS2" s="996"/>
      <c r="CT2" s="996"/>
      <c r="CU2" s="996"/>
      <c r="CV2" s="996"/>
      <c r="CW2" s="996"/>
      <c r="CX2" s="996"/>
      <c r="CY2" s="996"/>
      <c r="CZ2" s="996"/>
      <c r="DA2" s="996"/>
      <c r="DB2" s="996"/>
      <c r="DC2" s="996"/>
      <c r="DD2" s="996"/>
      <c r="DE2" s="996"/>
      <c r="DF2" s="996"/>
      <c r="DG2" s="996"/>
      <c r="DH2" s="997"/>
      <c r="DI2" s="997"/>
      <c r="DJ2" s="998"/>
      <c r="DK2" s="1028" t="s">
        <v>711</v>
      </c>
      <c r="DL2" s="1029"/>
      <c r="DM2" s="1030"/>
      <c r="DN2" s="1030"/>
      <c r="DO2" s="1030"/>
      <c r="DP2" s="1030"/>
      <c r="DQ2" s="1030"/>
      <c r="DR2" s="1030"/>
      <c r="DS2" s="1030"/>
      <c r="DT2" s="1030"/>
      <c r="DU2" s="1030"/>
      <c r="DV2" s="1030"/>
      <c r="DW2" s="1030"/>
      <c r="DX2" s="1030"/>
      <c r="DY2" s="1030"/>
      <c r="DZ2" s="1030"/>
      <c r="EA2" s="1030"/>
      <c r="EB2" s="1030"/>
      <c r="EC2" s="1030"/>
      <c r="ED2" s="1030"/>
      <c r="EE2" s="1030"/>
      <c r="EF2" s="1030"/>
      <c r="EG2" s="987" t="s">
        <v>775</v>
      </c>
      <c r="EH2" s="987"/>
      <c r="EI2" s="987"/>
      <c r="EJ2" s="987"/>
      <c r="EK2" s="987"/>
      <c r="EL2" s="987"/>
      <c r="EM2" s="987"/>
      <c r="EN2" s="987"/>
      <c r="EO2" s="987"/>
      <c r="EP2" s="987"/>
      <c r="EQ2" s="987"/>
      <c r="ER2" s="987"/>
      <c r="ES2" s="987"/>
      <c r="ET2" s="987"/>
      <c r="EU2" s="987"/>
      <c r="EV2" s="987"/>
      <c r="EW2" s="987"/>
      <c r="EX2" s="987"/>
      <c r="EY2" s="987"/>
      <c r="EZ2" s="987"/>
      <c r="FA2" s="987"/>
      <c r="FB2" s="987"/>
      <c r="FC2" s="992" t="s">
        <v>776</v>
      </c>
      <c r="FD2" s="992"/>
      <c r="FE2" s="992"/>
      <c r="FF2" s="992"/>
      <c r="FG2" s="992"/>
      <c r="FH2" s="992"/>
      <c r="FI2" s="992"/>
      <c r="FJ2" s="992"/>
      <c r="FK2" s="992"/>
      <c r="FL2" s="992"/>
      <c r="FM2" s="992"/>
      <c r="FN2" s="992"/>
      <c r="FO2" s="992"/>
      <c r="FP2" s="992"/>
      <c r="FQ2" s="992"/>
      <c r="FR2" s="992"/>
      <c r="FS2" s="992"/>
      <c r="FT2" s="992"/>
      <c r="FU2" s="992"/>
      <c r="FV2" s="1092" t="s">
        <v>60</v>
      </c>
      <c r="FW2" s="1092"/>
      <c r="FX2" s="1092"/>
      <c r="FY2" s="1092"/>
      <c r="FZ2" s="1092"/>
      <c r="GA2" s="1092"/>
      <c r="GB2" s="1092"/>
      <c r="GC2" s="1092"/>
      <c r="GD2" s="1092"/>
      <c r="GE2" s="1092"/>
      <c r="GF2" s="1092"/>
      <c r="GG2" s="1092"/>
      <c r="GH2" s="1092"/>
      <c r="GI2" s="1092"/>
      <c r="GJ2" s="1092"/>
      <c r="GK2" s="1092"/>
      <c r="GL2" s="1092"/>
      <c r="GM2" s="1092"/>
      <c r="GN2" s="1092"/>
      <c r="GO2" s="1092"/>
      <c r="GP2" s="1092"/>
      <c r="GQ2" s="1092"/>
      <c r="GR2" s="1092"/>
      <c r="GS2" s="838"/>
      <c r="GT2" s="1087" t="s">
        <v>151</v>
      </c>
      <c r="GU2" s="1087"/>
      <c r="GV2" s="1087"/>
      <c r="GW2" s="1087"/>
      <c r="GX2" s="1087"/>
      <c r="GY2" s="1087"/>
      <c r="GZ2" s="1087"/>
      <c r="HA2" s="1087"/>
      <c r="HB2" s="1087"/>
      <c r="HC2" s="1087"/>
      <c r="HD2" s="1087"/>
      <c r="HE2" s="1087"/>
      <c r="HF2" s="1087"/>
      <c r="HG2" s="1087"/>
      <c r="HH2" s="1087"/>
      <c r="HI2" s="1087"/>
      <c r="HJ2" s="1087"/>
      <c r="HK2" s="1087"/>
      <c r="HL2" s="1087"/>
      <c r="HM2" s="1087"/>
      <c r="HN2" s="1087"/>
      <c r="HO2" s="1087"/>
      <c r="HP2" s="1087"/>
      <c r="HQ2" s="1087"/>
      <c r="HR2" s="1087"/>
      <c r="HS2" s="1088"/>
      <c r="HT2" s="1084" t="s">
        <v>433</v>
      </c>
      <c r="HU2" s="1085"/>
      <c r="HV2" s="1085"/>
      <c r="HW2" s="1085"/>
      <c r="HX2" s="1085"/>
      <c r="HY2" s="1085"/>
      <c r="HZ2" s="1085"/>
      <c r="IA2" s="1085"/>
      <c r="IB2" s="1085"/>
      <c r="IC2" s="1085"/>
      <c r="ID2" s="1085"/>
      <c r="IE2" s="1085"/>
      <c r="IF2" s="1085"/>
      <c r="IG2" s="1085"/>
      <c r="IH2" s="1085"/>
      <c r="II2" s="1085"/>
      <c r="IJ2" s="1085"/>
      <c r="IK2" s="1085"/>
      <c r="IL2" s="1085"/>
      <c r="IM2" s="1085"/>
      <c r="IN2" s="1085"/>
      <c r="IO2" s="1085"/>
      <c r="IP2" s="1085"/>
      <c r="IQ2" s="1085"/>
      <c r="IR2" s="1085"/>
      <c r="IS2" s="1086"/>
    </row>
    <row r="3" spans="1:265" ht="13.5" thickBot="1">
      <c r="E3" s="74">
        <v>1</v>
      </c>
      <c r="F3" s="821">
        <v>4</v>
      </c>
      <c r="G3" s="822">
        <v>5</v>
      </c>
      <c r="H3" s="822">
        <v>6</v>
      </c>
      <c r="I3" s="822">
        <v>7</v>
      </c>
      <c r="J3" s="76">
        <v>8</v>
      </c>
      <c r="K3" s="821">
        <v>11</v>
      </c>
      <c r="L3" s="822">
        <v>12</v>
      </c>
      <c r="M3" s="822">
        <v>13</v>
      </c>
      <c r="N3" s="822">
        <v>14</v>
      </c>
      <c r="O3" s="76">
        <v>15</v>
      </c>
      <c r="P3" s="78">
        <v>18</v>
      </c>
      <c r="Q3" s="77">
        <v>19</v>
      </c>
      <c r="R3" s="822">
        <v>20</v>
      </c>
      <c r="S3" s="822">
        <v>21</v>
      </c>
      <c r="T3" s="76">
        <v>22</v>
      </c>
      <c r="U3" s="79">
        <v>25</v>
      </c>
      <c r="V3" s="822">
        <v>26</v>
      </c>
      <c r="W3" s="822">
        <v>27</v>
      </c>
      <c r="X3" s="822">
        <v>28</v>
      </c>
      <c r="Y3" s="76">
        <v>29</v>
      </c>
      <c r="Z3" s="80">
        <v>1</v>
      </c>
      <c r="AA3" s="81">
        <v>2</v>
      </c>
      <c r="AB3" s="81">
        <v>3</v>
      </c>
      <c r="AC3" s="81">
        <v>4</v>
      </c>
      <c r="AD3" s="82">
        <v>5</v>
      </c>
      <c r="AE3" s="80">
        <v>8</v>
      </c>
      <c r="AF3" s="81">
        <v>9</v>
      </c>
      <c r="AG3" s="81">
        <v>10</v>
      </c>
      <c r="AH3" s="81">
        <v>11</v>
      </c>
      <c r="AI3" s="82">
        <v>12</v>
      </c>
      <c r="AJ3" s="80">
        <v>15</v>
      </c>
      <c r="AK3" s="81">
        <v>16</v>
      </c>
      <c r="AL3" s="81">
        <v>17</v>
      </c>
      <c r="AM3" s="81">
        <v>18</v>
      </c>
      <c r="AN3" s="83">
        <v>19</v>
      </c>
      <c r="AO3" s="84">
        <v>22</v>
      </c>
      <c r="AP3" s="84">
        <v>23</v>
      </c>
      <c r="AQ3" s="84">
        <v>24</v>
      </c>
      <c r="AR3" s="84">
        <v>25</v>
      </c>
      <c r="AS3" s="84">
        <v>26</v>
      </c>
      <c r="AT3" s="78">
        <v>29</v>
      </c>
      <c r="AU3" s="229">
        <v>30</v>
      </c>
      <c r="AV3" s="216">
        <v>1</v>
      </c>
      <c r="AW3" s="216">
        <v>2</v>
      </c>
      <c r="AX3" s="216">
        <v>3</v>
      </c>
      <c r="AY3" s="216">
        <v>4</v>
      </c>
      <c r="AZ3" s="382">
        <v>6</v>
      </c>
      <c r="BA3" s="382">
        <v>7</v>
      </c>
      <c r="BB3" s="382">
        <v>8</v>
      </c>
      <c r="BC3" s="383">
        <v>9</v>
      </c>
      <c r="BD3" s="384">
        <v>10</v>
      </c>
      <c r="BE3" s="385">
        <v>13</v>
      </c>
      <c r="BF3" s="382">
        <v>14</v>
      </c>
      <c r="BG3" s="382">
        <v>15</v>
      </c>
      <c r="BH3" s="382">
        <v>16</v>
      </c>
      <c r="BI3" s="384">
        <v>17</v>
      </c>
      <c r="BJ3" s="385">
        <v>20</v>
      </c>
      <c r="BK3" s="382">
        <v>21</v>
      </c>
      <c r="BL3" s="382">
        <v>22</v>
      </c>
      <c r="BM3" s="382">
        <v>23</v>
      </c>
      <c r="BN3" s="382">
        <v>24</v>
      </c>
      <c r="BO3" s="232">
        <v>27</v>
      </c>
      <c r="BP3" s="230">
        <v>28</v>
      </c>
      <c r="BQ3" s="230">
        <v>29</v>
      </c>
      <c r="BR3" s="230">
        <v>30</v>
      </c>
      <c r="BS3" s="231">
        <v>31</v>
      </c>
      <c r="BT3" s="85">
        <v>3</v>
      </c>
      <c r="BU3" s="86">
        <v>4</v>
      </c>
      <c r="BV3" s="86">
        <v>5</v>
      </c>
      <c r="BW3" s="86">
        <v>6</v>
      </c>
      <c r="BX3" s="87">
        <v>7</v>
      </c>
      <c r="BY3" s="85">
        <v>10</v>
      </c>
      <c r="BZ3" s="86">
        <v>11</v>
      </c>
      <c r="CA3" s="86">
        <v>12</v>
      </c>
      <c r="CB3" s="86">
        <v>13</v>
      </c>
      <c r="CC3" s="87">
        <v>14</v>
      </c>
      <c r="CD3" s="85">
        <v>17</v>
      </c>
      <c r="CE3" s="86">
        <v>18</v>
      </c>
      <c r="CF3" s="86">
        <v>19</v>
      </c>
      <c r="CG3" s="86">
        <v>20</v>
      </c>
      <c r="CH3" s="87">
        <v>21</v>
      </c>
      <c r="CI3" s="85">
        <v>24</v>
      </c>
      <c r="CJ3" s="86">
        <v>25</v>
      </c>
      <c r="CK3" s="86">
        <v>26</v>
      </c>
      <c r="CL3" s="86">
        <v>27</v>
      </c>
      <c r="CM3" s="88">
        <v>28</v>
      </c>
      <c r="CN3" s="85">
        <v>31</v>
      </c>
      <c r="CO3" s="230">
        <v>1</v>
      </c>
      <c r="CP3" s="230">
        <v>2</v>
      </c>
      <c r="CQ3" s="230">
        <v>3</v>
      </c>
      <c r="CR3" s="231">
        <v>4</v>
      </c>
      <c r="CS3" s="232">
        <v>7</v>
      </c>
      <c r="CT3" s="230">
        <v>8</v>
      </c>
      <c r="CU3" s="230">
        <v>9</v>
      </c>
      <c r="CV3" s="230">
        <v>10</v>
      </c>
      <c r="CW3" s="231">
        <v>11</v>
      </c>
      <c r="CX3" s="232">
        <v>14</v>
      </c>
      <c r="CY3" s="230">
        <v>15</v>
      </c>
      <c r="CZ3" s="230">
        <v>16</v>
      </c>
      <c r="DA3" s="230">
        <v>17</v>
      </c>
      <c r="DB3" s="231">
        <v>18</v>
      </c>
      <c r="DC3" s="232">
        <v>21</v>
      </c>
      <c r="DD3" s="230">
        <v>22</v>
      </c>
      <c r="DE3" s="230">
        <v>23</v>
      </c>
      <c r="DF3" s="230">
        <v>24</v>
      </c>
      <c r="DG3" s="233">
        <v>25</v>
      </c>
      <c r="DH3" s="235">
        <v>28</v>
      </c>
      <c r="DI3" s="236">
        <v>29</v>
      </c>
      <c r="DJ3" s="236">
        <v>30</v>
      </c>
      <c r="DK3" s="236">
        <v>1</v>
      </c>
      <c r="DL3" s="513">
        <v>2</v>
      </c>
      <c r="DM3" s="85">
        <v>5</v>
      </c>
      <c r="DN3" s="86">
        <v>6</v>
      </c>
      <c r="DO3" s="86">
        <v>7</v>
      </c>
      <c r="DP3" s="86">
        <v>8</v>
      </c>
      <c r="DQ3" s="88">
        <v>9</v>
      </c>
      <c r="DR3" s="85">
        <v>12</v>
      </c>
      <c r="DS3" s="86">
        <v>13</v>
      </c>
      <c r="DT3" s="86">
        <v>14</v>
      </c>
      <c r="DU3" s="86">
        <v>15</v>
      </c>
      <c r="DV3" s="87">
        <v>16</v>
      </c>
      <c r="DW3" s="515">
        <v>19</v>
      </c>
      <c r="DX3" s="86">
        <v>20</v>
      </c>
      <c r="DY3" s="86">
        <v>21</v>
      </c>
      <c r="DZ3" s="86">
        <v>22</v>
      </c>
      <c r="EA3" s="87">
        <v>23</v>
      </c>
      <c r="EB3" s="515">
        <v>26</v>
      </c>
      <c r="EC3" s="86">
        <v>27</v>
      </c>
      <c r="ED3" s="514">
        <v>28</v>
      </c>
      <c r="EE3" s="514">
        <v>29</v>
      </c>
      <c r="EF3" s="551">
        <v>30</v>
      </c>
      <c r="EG3" s="117">
        <v>2</v>
      </c>
      <c r="EH3" s="117">
        <v>3</v>
      </c>
      <c r="EI3" s="117">
        <v>4</v>
      </c>
      <c r="EJ3" s="117">
        <v>5</v>
      </c>
      <c r="EK3" s="117">
        <v>6</v>
      </c>
      <c r="EL3" s="117">
        <v>9</v>
      </c>
      <c r="EM3" s="117">
        <v>10</v>
      </c>
      <c r="EN3" s="117">
        <v>11</v>
      </c>
      <c r="EO3" s="117">
        <v>12</v>
      </c>
      <c r="EP3" s="117">
        <v>13</v>
      </c>
      <c r="EQ3" s="117">
        <v>16</v>
      </c>
      <c r="ER3" s="117">
        <v>17</v>
      </c>
      <c r="ES3" s="117">
        <v>18</v>
      </c>
      <c r="ET3" s="117">
        <v>19</v>
      </c>
      <c r="EU3" s="117">
        <v>20</v>
      </c>
      <c r="EV3" s="117">
        <v>23</v>
      </c>
      <c r="EW3" s="117">
        <v>24</v>
      </c>
      <c r="EX3" s="117">
        <v>25</v>
      </c>
      <c r="EY3" s="117">
        <v>26</v>
      </c>
      <c r="EZ3" s="117">
        <v>27</v>
      </c>
      <c r="FA3" s="117">
        <v>28</v>
      </c>
      <c r="FB3" s="117">
        <v>30</v>
      </c>
      <c r="FC3" s="117">
        <v>1</v>
      </c>
      <c r="FD3" s="117">
        <v>2</v>
      </c>
      <c r="FE3" s="117">
        <v>3</v>
      </c>
      <c r="FF3" s="117">
        <v>4</v>
      </c>
      <c r="FG3" s="117">
        <v>7</v>
      </c>
      <c r="FH3" s="117">
        <v>8</v>
      </c>
      <c r="FI3" s="117">
        <v>9</v>
      </c>
      <c r="FJ3" s="117">
        <v>10</v>
      </c>
      <c r="FK3" s="117">
        <v>11</v>
      </c>
      <c r="FL3" s="117">
        <v>14</v>
      </c>
      <c r="FM3" s="117">
        <v>15</v>
      </c>
      <c r="FN3" s="117">
        <v>16</v>
      </c>
      <c r="FO3" s="117">
        <v>17</v>
      </c>
      <c r="FP3" s="117">
        <v>18</v>
      </c>
      <c r="FQ3" s="117">
        <v>21</v>
      </c>
      <c r="FR3" s="117">
        <v>22</v>
      </c>
      <c r="FS3" s="117">
        <v>23</v>
      </c>
      <c r="FT3" s="117">
        <v>24</v>
      </c>
      <c r="FU3" s="117">
        <v>25</v>
      </c>
      <c r="FV3" s="117">
        <v>1</v>
      </c>
      <c r="FW3" s="117">
        <v>4</v>
      </c>
      <c r="FX3" s="117">
        <v>5</v>
      </c>
      <c r="FY3" s="117">
        <v>6</v>
      </c>
      <c r="FZ3" s="117">
        <v>7</v>
      </c>
      <c r="GA3" s="117">
        <v>8</v>
      </c>
      <c r="GB3" s="117">
        <v>11</v>
      </c>
      <c r="GC3" s="117">
        <v>12</v>
      </c>
      <c r="GD3" s="117">
        <v>13</v>
      </c>
      <c r="GE3" s="117">
        <v>14</v>
      </c>
      <c r="GF3" s="117">
        <v>15</v>
      </c>
      <c r="GG3" s="101">
        <v>16</v>
      </c>
      <c r="GH3" s="117">
        <v>18</v>
      </c>
      <c r="GI3" s="117">
        <v>19</v>
      </c>
      <c r="GJ3" s="117">
        <v>20</v>
      </c>
      <c r="GK3" s="117">
        <v>21</v>
      </c>
      <c r="GL3" s="117">
        <v>22</v>
      </c>
      <c r="GM3" s="117">
        <v>23</v>
      </c>
      <c r="GN3" s="117">
        <v>25</v>
      </c>
      <c r="GO3" s="117">
        <v>26</v>
      </c>
      <c r="GP3" s="117">
        <v>27</v>
      </c>
      <c r="GQ3" s="117">
        <v>28</v>
      </c>
      <c r="GR3" s="227">
        <v>29</v>
      </c>
      <c r="GS3" s="424">
        <v>30</v>
      </c>
      <c r="GT3" s="835">
        <v>2</v>
      </c>
      <c r="GU3" s="836">
        <v>3</v>
      </c>
      <c r="GV3" s="836">
        <v>4</v>
      </c>
      <c r="GW3" s="836">
        <v>5</v>
      </c>
      <c r="GX3" s="836">
        <v>6</v>
      </c>
      <c r="GY3" s="840">
        <v>7</v>
      </c>
      <c r="GZ3" s="835">
        <v>9</v>
      </c>
      <c r="HA3" s="836">
        <v>10</v>
      </c>
      <c r="HB3" s="836">
        <v>11</v>
      </c>
      <c r="HC3" s="836">
        <v>12</v>
      </c>
      <c r="HD3" s="836">
        <v>13</v>
      </c>
      <c r="HE3" s="840">
        <v>14</v>
      </c>
      <c r="HF3" s="835">
        <v>16</v>
      </c>
      <c r="HG3" s="836">
        <v>17</v>
      </c>
      <c r="HH3" s="836">
        <v>18</v>
      </c>
      <c r="HI3" s="836">
        <v>19</v>
      </c>
      <c r="HJ3" s="836">
        <v>20</v>
      </c>
      <c r="HK3" s="840">
        <v>21</v>
      </c>
      <c r="HL3" s="835">
        <v>23</v>
      </c>
      <c r="HM3" s="836">
        <v>24</v>
      </c>
      <c r="HN3" s="836">
        <v>25</v>
      </c>
      <c r="HO3" s="836">
        <v>26</v>
      </c>
      <c r="HP3" s="836">
        <v>27</v>
      </c>
      <c r="HQ3" s="837">
        <v>28</v>
      </c>
      <c r="HR3" s="839">
        <v>30</v>
      </c>
      <c r="HS3" s="840">
        <v>31</v>
      </c>
      <c r="HT3" s="117">
        <v>1</v>
      </c>
      <c r="HU3" s="117">
        <v>2</v>
      </c>
      <c r="HV3" s="117">
        <v>3</v>
      </c>
      <c r="HW3" s="117">
        <v>4</v>
      </c>
      <c r="HX3" s="117">
        <v>6</v>
      </c>
      <c r="HY3" s="117">
        <v>7</v>
      </c>
      <c r="HZ3" s="117">
        <v>8</v>
      </c>
      <c r="IA3" s="117">
        <v>9</v>
      </c>
      <c r="IB3" s="117">
        <v>10</v>
      </c>
      <c r="IC3" s="117">
        <v>11</v>
      </c>
      <c r="ID3" s="117">
        <v>13</v>
      </c>
      <c r="IE3" s="117">
        <v>14</v>
      </c>
      <c r="IF3" s="117">
        <v>15</v>
      </c>
      <c r="IG3" s="117">
        <v>16</v>
      </c>
      <c r="IH3" s="117">
        <v>17</v>
      </c>
      <c r="II3" s="117">
        <v>18</v>
      </c>
      <c r="IJ3" s="117">
        <v>20</v>
      </c>
      <c r="IK3" s="117">
        <v>21</v>
      </c>
      <c r="IL3" s="117">
        <v>22</v>
      </c>
      <c r="IM3" s="117">
        <v>23</v>
      </c>
      <c r="IN3" s="117">
        <v>24</v>
      </c>
      <c r="IO3" s="117">
        <v>25</v>
      </c>
      <c r="IP3" s="117">
        <v>27</v>
      </c>
      <c r="IQ3" s="117">
        <v>28</v>
      </c>
      <c r="IR3" s="117">
        <v>29</v>
      </c>
      <c r="IS3" s="117">
        <v>30</v>
      </c>
      <c r="IT3" s="117">
        <v>1</v>
      </c>
      <c r="IU3" s="117">
        <v>2</v>
      </c>
    </row>
    <row r="4" spans="1:265" ht="25.5" customHeight="1">
      <c r="A4" s="1053" t="s">
        <v>153</v>
      </c>
      <c r="B4" s="1009" t="s">
        <v>1046</v>
      </c>
      <c r="C4" s="1009" t="s">
        <v>522</v>
      </c>
      <c r="D4" s="1058" t="s">
        <v>430</v>
      </c>
      <c r="E4" s="90"/>
      <c r="F4" s="89"/>
      <c r="G4" s="90"/>
      <c r="H4" s="90"/>
      <c r="I4" s="90"/>
      <c r="J4" s="91"/>
      <c r="K4" s="89"/>
      <c r="L4" s="90"/>
      <c r="M4" s="90"/>
      <c r="N4" s="90"/>
      <c r="O4" s="91"/>
      <c r="P4" s="1022" t="s">
        <v>449</v>
      </c>
      <c r="Q4" s="1023"/>
      <c r="R4" s="1023"/>
      <c r="S4" s="1023"/>
      <c r="T4" s="1024"/>
      <c r="U4" s="89"/>
      <c r="V4" s="90"/>
      <c r="W4" s="90"/>
      <c r="X4" s="90"/>
      <c r="Y4" s="91"/>
      <c r="Z4" s="89"/>
      <c r="AA4" s="90"/>
      <c r="AB4" s="90"/>
      <c r="AC4" s="90"/>
      <c r="AD4" s="91"/>
      <c r="AE4" s="89"/>
      <c r="AF4" s="90"/>
      <c r="AG4" s="90"/>
      <c r="AH4" s="90"/>
      <c r="AI4" s="91"/>
      <c r="AJ4" s="89"/>
      <c r="AK4" s="90"/>
      <c r="AL4" s="90"/>
      <c r="AM4" s="1038" t="s">
        <v>550</v>
      </c>
      <c r="AN4" s="1039"/>
      <c r="AO4" s="89"/>
      <c r="AP4" s="90"/>
      <c r="AQ4" s="90"/>
      <c r="AR4" s="90"/>
      <c r="AS4" s="91"/>
      <c r="AT4" s="1042"/>
      <c r="AU4" s="1038"/>
      <c r="AV4" s="90"/>
      <c r="AW4" s="90"/>
      <c r="AX4" s="90"/>
      <c r="AY4" s="1060" t="s">
        <v>597</v>
      </c>
      <c r="AZ4" s="89"/>
      <c r="BA4" s="90"/>
      <c r="BB4" s="90"/>
      <c r="BC4" s="90"/>
      <c r="BD4" s="91"/>
      <c r="BE4" s="89"/>
      <c r="BF4" s="90"/>
      <c r="BG4" s="90"/>
      <c r="BH4" s="90"/>
      <c r="BI4" s="91"/>
      <c r="BJ4" s="89"/>
      <c r="BK4" s="90"/>
      <c r="BL4" s="90"/>
      <c r="BM4" s="90"/>
      <c r="BN4" s="90"/>
      <c r="BO4" s="999"/>
      <c r="BP4" s="1000"/>
      <c r="BQ4" s="1000"/>
      <c r="BR4" s="1000"/>
      <c r="BS4" s="1015"/>
      <c r="BT4" s="999"/>
      <c r="BU4" s="1000"/>
      <c r="BV4" s="1000"/>
      <c r="BW4" s="1000"/>
      <c r="BX4" s="1015"/>
      <c r="BY4" s="999"/>
      <c r="BZ4" s="1000"/>
      <c r="CA4" s="1000"/>
      <c r="CB4" s="1000"/>
      <c r="CC4" s="1015"/>
      <c r="CD4" s="999"/>
      <c r="CE4" s="1000"/>
      <c r="CF4" s="1000"/>
      <c r="CG4" s="1000"/>
      <c r="CH4" s="1015"/>
      <c r="CI4" s="999"/>
      <c r="CJ4" s="1000"/>
      <c r="CK4" s="1000"/>
      <c r="CL4" s="1000"/>
      <c r="CM4" s="1000"/>
      <c r="CN4" s="999"/>
      <c r="CO4" s="1000"/>
      <c r="CP4" s="1000"/>
      <c r="CQ4" s="1000"/>
      <c r="CR4" s="1015"/>
      <c r="CS4" s="999"/>
      <c r="CT4" s="1000"/>
      <c r="CU4" s="1000"/>
      <c r="CV4" s="1000"/>
      <c r="CW4" s="1015"/>
      <c r="CX4" s="999"/>
      <c r="CY4" s="1000"/>
      <c r="CZ4" s="1000"/>
      <c r="DA4" s="1000"/>
      <c r="DB4" s="1015"/>
      <c r="DC4" s="999"/>
      <c r="DD4" s="1000"/>
      <c r="DE4" s="1000"/>
      <c r="DF4" s="1000"/>
      <c r="DG4" s="1000"/>
      <c r="DH4" s="999"/>
      <c r="DI4" s="1000"/>
      <c r="DJ4" s="1000"/>
      <c r="DK4" s="1000"/>
      <c r="DL4" s="1000"/>
      <c r="DM4" s="1062"/>
      <c r="DN4" s="1063"/>
      <c r="DO4" s="1063"/>
      <c r="DP4" s="1063"/>
      <c r="DQ4" s="1063"/>
      <c r="DR4" s="1062"/>
      <c r="DS4" s="1063"/>
      <c r="DT4" s="1063"/>
      <c r="DU4" s="1063"/>
      <c r="DV4" s="1066"/>
      <c r="DW4" s="1063"/>
      <c r="DX4" s="1063"/>
      <c r="DY4" s="1063"/>
      <c r="DZ4" s="1063"/>
      <c r="EA4" s="1066"/>
      <c r="EB4" s="1070"/>
      <c r="EC4" s="1071"/>
      <c r="ED4" s="1071"/>
      <c r="EE4" s="1071"/>
      <c r="EF4" s="1071"/>
      <c r="EG4" s="989"/>
      <c r="EH4" s="989"/>
      <c r="EI4" s="989"/>
      <c r="EJ4" s="989"/>
      <c r="EK4" s="989"/>
      <c r="EL4" s="989"/>
      <c r="EM4" s="989"/>
      <c r="EN4" s="989"/>
      <c r="EO4" s="989"/>
      <c r="EP4" s="989"/>
      <c r="EQ4" s="989"/>
      <c r="ER4" s="989"/>
      <c r="ES4" s="989"/>
      <c r="ET4" s="989"/>
      <c r="EU4" s="989"/>
      <c r="EV4" s="991"/>
      <c r="EW4" s="989"/>
      <c r="EX4" s="989"/>
      <c r="EY4" s="989"/>
      <c r="EZ4" s="991" t="s">
        <v>850</v>
      </c>
      <c r="FA4" s="988" t="s">
        <v>787</v>
      </c>
      <c r="FB4" s="989"/>
      <c r="FC4" s="989"/>
      <c r="FD4" s="989"/>
      <c r="FE4" s="989"/>
      <c r="FF4" s="1073" t="s">
        <v>866</v>
      </c>
      <c r="FG4" s="1073" t="s">
        <v>785</v>
      </c>
      <c r="FH4" s="1073" t="s">
        <v>785</v>
      </c>
      <c r="FI4" s="986"/>
      <c r="FJ4" s="986"/>
      <c r="FK4" s="986"/>
      <c r="FL4" s="986"/>
      <c r="FM4" s="986"/>
      <c r="FN4" s="986"/>
      <c r="FO4" s="986"/>
      <c r="FP4" s="986"/>
      <c r="FQ4" s="986"/>
      <c r="FR4" s="986"/>
      <c r="FS4" s="986"/>
      <c r="FT4" s="1073" t="s">
        <v>786</v>
      </c>
      <c r="FU4" s="1073" t="s">
        <v>785</v>
      </c>
      <c r="FV4" s="117"/>
      <c r="FW4" s="117"/>
      <c r="FX4" s="117"/>
      <c r="FY4" s="117"/>
      <c r="FZ4" s="117"/>
      <c r="GA4" s="117"/>
      <c r="GB4" s="117"/>
      <c r="GC4" s="117"/>
      <c r="GD4" s="117"/>
      <c r="GE4" s="989" t="s">
        <v>1052</v>
      </c>
      <c r="GF4" s="989"/>
      <c r="GG4" s="1089" t="s">
        <v>1059</v>
      </c>
      <c r="GH4" s="989"/>
      <c r="GI4" s="989"/>
      <c r="GJ4" s="989"/>
      <c r="GK4" s="989"/>
      <c r="GL4" s="989"/>
      <c r="GM4" s="1089" t="s">
        <v>1059</v>
      </c>
      <c r="GN4" s="989"/>
      <c r="GO4" s="989"/>
      <c r="GP4" s="989"/>
      <c r="GQ4" s="989"/>
      <c r="GR4" s="989"/>
      <c r="GS4" s="1089" t="s">
        <v>1059</v>
      </c>
      <c r="GT4" s="989"/>
      <c r="GU4" s="989"/>
      <c r="GV4" s="989"/>
      <c r="GW4" s="989"/>
      <c r="GX4" s="989"/>
      <c r="GY4" s="1091" t="s">
        <v>1059</v>
      </c>
      <c r="GZ4" s="989"/>
      <c r="HA4" s="989"/>
      <c r="HB4" s="989"/>
      <c r="HC4" s="989"/>
      <c r="HD4" s="989"/>
      <c r="HE4" s="1091" t="s">
        <v>1059</v>
      </c>
      <c r="HF4" s="989"/>
      <c r="HG4" s="989"/>
      <c r="HH4" s="989"/>
      <c r="HI4" s="989"/>
      <c r="HJ4" s="989"/>
      <c r="HK4" s="1091" t="s">
        <v>1059</v>
      </c>
      <c r="HL4" s="834"/>
      <c r="HM4" s="834"/>
      <c r="HN4" s="1091" t="s">
        <v>785</v>
      </c>
      <c r="HO4" s="834"/>
      <c r="HP4" s="834"/>
      <c r="HQ4" s="1091" t="s">
        <v>1059</v>
      </c>
      <c r="HR4" s="834"/>
      <c r="HS4" s="878"/>
      <c r="HT4" s="117"/>
      <c r="HU4" s="117"/>
      <c r="HV4" s="117"/>
      <c r="HW4" s="1083" t="s">
        <v>1059</v>
      </c>
      <c r="HX4" s="117"/>
      <c r="HY4" s="117"/>
      <c r="HZ4" s="117"/>
      <c r="IA4" s="117"/>
      <c r="IB4" s="117"/>
      <c r="IC4" s="1083" t="s">
        <v>1059</v>
      </c>
      <c r="ID4" s="117"/>
      <c r="IE4" s="117"/>
      <c r="IF4" s="117"/>
      <c r="IG4" s="117"/>
      <c r="IH4" s="1083" t="s">
        <v>785</v>
      </c>
      <c r="II4" s="1083" t="s">
        <v>1059</v>
      </c>
      <c r="IJ4" s="1083" t="s">
        <v>785</v>
      </c>
      <c r="IK4" s="117"/>
      <c r="IL4" s="117"/>
      <c r="IM4" s="117"/>
      <c r="IN4" s="117"/>
      <c r="IO4" s="1083" t="s">
        <v>1059</v>
      </c>
      <c r="IP4" s="117"/>
      <c r="IQ4" s="117"/>
      <c r="IR4" s="117"/>
      <c r="IS4" s="117"/>
      <c r="IT4" s="117"/>
      <c r="IU4" s="1083" t="s">
        <v>1059</v>
      </c>
    </row>
    <row r="5" spans="1:265" ht="27" customHeight="1" thickBot="1">
      <c r="A5" s="1053"/>
      <c r="B5" s="1010"/>
      <c r="C5" s="1010"/>
      <c r="D5" s="1059"/>
      <c r="E5" s="93"/>
      <c r="F5" s="92"/>
      <c r="G5" s="93"/>
      <c r="H5" s="93"/>
      <c r="I5" s="93"/>
      <c r="J5" s="94"/>
      <c r="K5" s="92"/>
      <c r="L5" s="93"/>
      <c r="M5" s="93"/>
      <c r="N5" s="93"/>
      <c r="O5" s="94"/>
      <c r="P5" s="1025"/>
      <c r="Q5" s="1026"/>
      <c r="R5" s="1026"/>
      <c r="S5" s="1026"/>
      <c r="T5" s="1027"/>
      <c r="U5" s="92"/>
      <c r="V5" s="93"/>
      <c r="W5" s="93"/>
      <c r="X5" s="93"/>
      <c r="Y5" s="94"/>
      <c r="Z5" s="92"/>
      <c r="AA5" s="93"/>
      <c r="AB5" s="93"/>
      <c r="AC5" s="93"/>
      <c r="AD5" s="94"/>
      <c r="AE5" s="393"/>
      <c r="AF5" s="380"/>
      <c r="AG5" s="380"/>
      <c r="AH5" s="380"/>
      <c r="AI5" s="381"/>
      <c r="AJ5" s="393"/>
      <c r="AK5" s="380"/>
      <c r="AL5" s="380"/>
      <c r="AM5" s="1040"/>
      <c r="AN5" s="1041"/>
      <c r="AO5" s="393"/>
      <c r="AP5" s="380"/>
      <c r="AQ5" s="380"/>
      <c r="AR5" s="380"/>
      <c r="AS5" s="381"/>
      <c r="AT5" s="1043"/>
      <c r="AU5" s="1040"/>
      <c r="AV5" s="380"/>
      <c r="AW5" s="380"/>
      <c r="AX5" s="380"/>
      <c r="AY5" s="1061"/>
      <c r="AZ5" s="393"/>
      <c r="BA5" s="380"/>
      <c r="BB5" s="380"/>
      <c r="BC5" s="380"/>
      <c r="BD5" s="381"/>
      <c r="BE5" s="393"/>
      <c r="BF5" s="380"/>
      <c r="BG5" s="380"/>
      <c r="BH5" s="380"/>
      <c r="BI5" s="381"/>
      <c r="BJ5" s="92"/>
      <c r="BK5" s="93"/>
      <c r="BL5" s="93"/>
      <c r="BM5" s="93"/>
      <c r="BN5" s="93"/>
      <c r="BO5" s="1001"/>
      <c r="BP5" s="1002"/>
      <c r="BQ5" s="1002"/>
      <c r="BR5" s="1002"/>
      <c r="BS5" s="1016"/>
      <c r="BT5" s="1001"/>
      <c r="BU5" s="1002"/>
      <c r="BV5" s="1002"/>
      <c r="BW5" s="1002"/>
      <c r="BX5" s="1016"/>
      <c r="BY5" s="1001"/>
      <c r="BZ5" s="1002"/>
      <c r="CA5" s="1002"/>
      <c r="CB5" s="1002"/>
      <c r="CC5" s="1016"/>
      <c r="CD5" s="1001"/>
      <c r="CE5" s="1002"/>
      <c r="CF5" s="1002"/>
      <c r="CG5" s="1002"/>
      <c r="CH5" s="1016"/>
      <c r="CI5" s="1001"/>
      <c r="CJ5" s="1002"/>
      <c r="CK5" s="1002"/>
      <c r="CL5" s="1002"/>
      <c r="CM5" s="1002"/>
      <c r="CN5" s="1001"/>
      <c r="CO5" s="1002"/>
      <c r="CP5" s="1002"/>
      <c r="CQ5" s="1002"/>
      <c r="CR5" s="1016"/>
      <c r="CS5" s="1001"/>
      <c r="CT5" s="1002"/>
      <c r="CU5" s="1002"/>
      <c r="CV5" s="1002"/>
      <c r="CW5" s="1016"/>
      <c r="CX5" s="1001"/>
      <c r="CY5" s="1002"/>
      <c r="CZ5" s="1002"/>
      <c r="DA5" s="1002"/>
      <c r="DB5" s="1016"/>
      <c r="DC5" s="1001"/>
      <c r="DD5" s="1002"/>
      <c r="DE5" s="1002"/>
      <c r="DF5" s="1002"/>
      <c r="DG5" s="1002"/>
      <c r="DH5" s="1001"/>
      <c r="DI5" s="1002"/>
      <c r="DJ5" s="1002"/>
      <c r="DK5" s="1002"/>
      <c r="DL5" s="1002"/>
      <c r="DM5" s="1064"/>
      <c r="DN5" s="1065"/>
      <c r="DO5" s="1065"/>
      <c r="DP5" s="1065"/>
      <c r="DQ5" s="1065"/>
      <c r="DR5" s="1067"/>
      <c r="DS5" s="1068"/>
      <c r="DT5" s="1068"/>
      <c r="DU5" s="1068"/>
      <c r="DV5" s="1069"/>
      <c r="DW5" s="1068"/>
      <c r="DX5" s="1068"/>
      <c r="DY5" s="1068"/>
      <c r="DZ5" s="1068"/>
      <c r="EA5" s="1069"/>
      <c r="EB5" s="1067"/>
      <c r="EC5" s="1068"/>
      <c r="ED5" s="1068"/>
      <c r="EE5" s="1068"/>
      <c r="EF5" s="1068"/>
      <c r="EG5" s="990"/>
      <c r="EH5" s="990"/>
      <c r="EI5" s="990"/>
      <c r="EJ5" s="990"/>
      <c r="EK5" s="990"/>
      <c r="EL5" s="990"/>
      <c r="EM5" s="990"/>
      <c r="EN5" s="990"/>
      <c r="EO5" s="990"/>
      <c r="EP5" s="990"/>
      <c r="EQ5" s="990"/>
      <c r="ER5" s="990"/>
      <c r="ES5" s="990"/>
      <c r="ET5" s="990"/>
      <c r="EU5" s="990"/>
      <c r="EV5" s="991"/>
      <c r="EW5" s="990"/>
      <c r="EX5" s="990"/>
      <c r="EY5" s="990"/>
      <c r="EZ5" s="991"/>
      <c r="FA5" s="988"/>
      <c r="FB5" s="990"/>
      <c r="FC5" s="990"/>
      <c r="FD5" s="990"/>
      <c r="FE5" s="990"/>
      <c r="FF5" s="1073"/>
      <c r="FG5" s="1073"/>
      <c r="FH5" s="1073"/>
      <c r="FI5" s="986"/>
      <c r="FJ5" s="986"/>
      <c r="FK5" s="986"/>
      <c r="FL5" s="986"/>
      <c r="FM5" s="986"/>
      <c r="FN5" s="986"/>
      <c r="FO5" s="986"/>
      <c r="FP5" s="986"/>
      <c r="FQ5" s="986"/>
      <c r="FR5" s="986"/>
      <c r="FS5" s="986"/>
      <c r="FT5" s="1073"/>
      <c r="FU5" s="1073"/>
      <c r="FV5" s="117"/>
      <c r="FW5" s="117"/>
      <c r="FX5" s="117"/>
      <c r="FY5" s="117"/>
      <c r="FZ5" s="117"/>
      <c r="GA5" s="117"/>
      <c r="GB5" s="117"/>
      <c r="GC5" s="117"/>
      <c r="GD5" s="117"/>
      <c r="GE5" s="990"/>
      <c r="GF5" s="990"/>
      <c r="GG5" s="1090"/>
      <c r="GH5" s="990"/>
      <c r="GI5" s="990"/>
      <c r="GJ5" s="990"/>
      <c r="GK5" s="990"/>
      <c r="GL5" s="990"/>
      <c r="GM5" s="1090"/>
      <c r="GN5" s="990"/>
      <c r="GO5" s="990"/>
      <c r="GP5" s="990"/>
      <c r="GQ5" s="990"/>
      <c r="GR5" s="990"/>
      <c r="GS5" s="1090"/>
      <c r="GT5" s="990"/>
      <c r="GU5" s="990"/>
      <c r="GV5" s="990"/>
      <c r="GW5" s="990"/>
      <c r="GX5" s="990"/>
      <c r="GY5" s="1090"/>
      <c r="GZ5" s="990"/>
      <c r="HA5" s="990"/>
      <c r="HB5" s="990"/>
      <c r="HC5" s="990"/>
      <c r="HD5" s="990"/>
      <c r="HE5" s="1090"/>
      <c r="HF5" s="990"/>
      <c r="HG5" s="990"/>
      <c r="HH5" s="990"/>
      <c r="HI5" s="990"/>
      <c r="HJ5" s="990"/>
      <c r="HK5" s="1090"/>
      <c r="HL5" s="117"/>
      <c r="HM5" s="117"/>
      <c r="HN5" s="1090"/>
      <c r="HO5" s="117"/>
      <c r="HP5" s="117"/>
      <c r="HQ5" s="1090"/>
      <c r="HR5" s="117"/>
      <c r="HS5" s="227"/>
      <c r="HT5" s="117"/>
      <c r="HU5" s="117"/>
      <c r="HV5" s="117"/>
      <c r="HW5" s="1083"/>
      <c r="HX5" s="117"/>
      <c r="HY5" s="117"/>
      <c r="HZ5" s="117"/>
      <c r="IA5" s="117"/>
      <c r="IB5" s="117"/>
      <c r="IC5" s="1083"/>
      <c r="ID5" s="117"/>
      <c r="IE5" s="117"/>
      <c r="IF5" s="117"/>
      <c r="IG5" s="117"/>
      <c r="IH5" s="1083"/>
      <c r="II5" s="1083"/>
      <c r="IJ5" s="1083"/>
      <c r="IK5" s="117"/>
      <c r="IL5" s="117"/>
      <c r="IM5" s="117"/>
      <c r="IN5" s="117"/>
      <c r="IO5" s="1083"/>
      <c r="IP5" s="117"/>
      <c r="IQ5" s="117"/>
      <c r="IR5" s="117"/>
      <c r="IS5" s="117"/>
      <c r="IT5" s="117"/>
      <c r="IU5" s="1083"/>
    </row>
    <row r="6" spans="1:265" s="365" customFormat="1" ht="27" customHeight="1">
      <c r="A6" s="1049"/>
      <c r="B6" s="1049"/>
      <c r="C6" s="1049"/>
      <c r="D6" s="1049"/>
      <c r="E6" s="480"/>
      <c r="P6" s="366"/>
      <c r="Q6" s="366"/>
      <c r="R6" s="366"/>
      <c r="S6" s="366"/>
      <c r="T6" s="366"/>
      <c r="Z6" s="1044"/>
      <c r="AA6" s="1044"/>
      <c r="AB6" s="1044"/>
      <c r="AC6" s="1044"/>
      <c r="AD6" s="1044"/>
      <c r="AE6" s="1045"/>
      <c r="AF6" s="1045"/>
      <c r="AG6" s="1045"/>
      <c r="AH6" s="1045"/>
      <c r="AI6" s="1045"/>
      <c r="AJ6" s="1045"/>
      <c r="AK6" s="1045"/>
      <c r="AL6" s="1045"/>
      <c r="AM6" s="1045"/>
      <c r="AN6" s="1045"/>
      <c r="AO6" s="1046"/>
      <c r="AP6" s="1046"/>
      <c r="AQ6" s="1046"/>
      <c r="AR6" s="1046"/>
      <c r="AS6" s="1046"/>
      <c r="AT6" s="1046"/>
      <c r="AU6" s="1046"/>
      <c r="AV6" s="1046"/>
      <c r="AW6" s="1046"/>
      <c r="AX6" s="1046"/>
      <c r="AY6" s="1046"/>
      <c r="AZ6" s="1046"/>
      <c r="BA6" s="1046"/>
      <c r="BB6" s="1046"/>
      <c r="BC6" s="1046"/>
      <c r="BD6" s="1046"/>
      <c r="BE6" s="1046"/>
      <c r="BF6" s="1046"/>
      <c r="BG6" s="1046"/>
      <c r="BH6" s="1046"/>
      <c r="BI6" s="1046"/>
      <c r="BJ6" s="1047"/>
      <c r="BK6" s="1047"/>
      <c r="BL6" s="1047"/>
      <c r="BM6" s="1047"/>
      <c r="BN6" s="1047"/>
      <c r="BO6" s="1047"/>
      <c r="BP6" s="1047"/>
      <c r="BQ6" s="1047"/>
      <c r="BR6" s="1047"/>
      <c r="BS6" s="1047"/>
      <c r="BT6" s="1044"/>
      <c r="BU6" s="1044"/>
      <c r="BV6" s="1044"/>
      <c r="BW6" s="1044"/>
      <c r="BX6" s="1044"/>
      <c r="BY6" s="1044"/>
      <c r="BZ6" s="1044"/>
      <c r="CA6" s="1044"/>
      <c r="CB6" s="1044"/>
      <c r="CC6" s="1044"/>
      <c r="CD6" s="1044"/>
      <c r="CE6" s="1044"/>
      <c r="CF6" s="1044"/>
      <c r="CG6" s="1044"/>
      <c r="CH6" s="1044"/>
      <c r="CI6" s="1044"/>
      <c r="CJ6" s="1044"/>
      <c r="CK6" s="1044"/>
      <c r="CL6" s="1044"/>
      <c r="CM6" s="1044"/>
      <c r="CN6" s="1044"/>
      <c r="CO6" s="1044"/>
      <c r="CP6" s="1044"/>
      <c r="CQ6" s="1044"/>
      <c r="CR6" s="1044"/>
      <c r="CS6" s="1044"/>
      <c r="CT6" s="1044"/>
      <c r="CU6" s="1044"/>
      <c r="CV6" s="1044"/>
      <c r="CW6" s="1044"/>
      <c r="CX6" s="1044"/>
      <c r="CY6" s="1044"/>
      <c r="CZ6" s="1044"/>
      <c r="DA6" s="1044"/>
      <c r="DB6" s="1044"/>
      <c r="DC6" s="1044"/>
      <c r="DD6" s="1044"/>
      <c r="DE6" s="1044"/>
      <c r="DF6" s="1044"/>
      <c r="DG6" s="1044"/>
      <c r="DH6" s="1044"/>
      <c r="DI6" s="1044"/>
      <c r="DJ6" s="1044"/>
      <c r="DK6" s="1044"/>
      <c r="DL6" s="1048"/>
      <c r="DM6" s="537"/>
      <c r="DN6" s="538"/>
      <c r="DO6" s="538"/>
      <c r="DP6" s="538"/>
      <c r="DQ6" s="565"/>
      <c r="DR6" s="516"/>
      <c r="DV6" s="517"/>
      <c r="DW6" s="480"/>
      <c r="EA6" s="517"/>
      <c r="EB6" s="516"/>
      <c r="EF6" s="517"/>
      <c r="EG6" s="480"/>
      <c r="HS6" s="879"/>
      <c r="IV6" s="480"/>
    </row>
    <row r="7" spans="1:265" ht="24.95" hidden="1" customHeight="1">
      <c r="A7" s="527" t="s">
        <v>1039</v>
      </c>
      <c r="B7" s="352"/>
      <c r="C7" s="352"/>
      <c r="D7" s="407" t="e">
        <f>B7/C7</f>
        <v>#DIV/0!</v>
      </c>
      <c r="E7" s="355"/>
      <c r="F7" s="95"/>
      <c r="G7" s="96"/>
      <c r="H7" s="96"/>
      <c r="I7" s="96"/>
      <c r="J7" s="234"/>
      <c r="K7" s="356" t="s">
        <v>437</v>
      </c>
      <c r="L7" s="354" t="s">
        <v>437</v>
      </c>
      <c r="M7" s="354" t="s">
        <v>437</v>
      </c>
      <c r="N7" s="354" t="s">
        <v>437</v>
      </c>
      <c r="O7" s="357" t="s">
        <v>437</v>
      </c>
      <c r="P7" s="358" t="s">
        <v>474</v>
      </c>
      <c r="Q7" s="359" t="s">
        <v>474</v>
      </c>
      <c r="R7" s="359" t="s">
        <v>474</v>
      </c>
      <c r="U7" s="360" t="s">
        <v>437</v>
      </c>
      <c r="V7" s="354" t="s">
        <v>437</v>
      </c>
      <c r="W7" s="354" t="s">
        <v>437</v>
      </c>
      <c r="X7" s="354" t="s">
        <v>437</v>
      </c>
      <c r="Y7" s="354" t="s">
        <v>437</v>
      </c>
      <c r="Z7" s="361" t="s">
        <v>474</v>
      </c>
      <c r="AA7" s="96"/>
      <c r="AB7" s="96"/>
      <c r="AC7" s="96"/>
      <c r="AD7" s="97"/>
      <c r="AG7" s="96"/>
      <c r="AH7" s="362" t="s">
        <v>506</v>
      </c>
      <c r="AI7" s="363" t="s">
        <v>506</v>
      </c>
      <c r="AJ7" s="362" t="s">
        <v>530</v>
      </c>
      <c r="AK7" s="96"/>
      <c r="AN7" s="234" t="s">
        <v>244</v>
      </c>
      <c r="AO7" s="373"/>
      <c r="AP7" s="374"/>
      <c r="AQ7" s="374"/>
      <c r="AR7" s="374"/>
      <c r="AS7" s="375"/>
      <c r="AT7" s="389"/>
      <c r="AU7" s="386"/>
      <c r="AV7" s="386"/>
      <c r="AX7" s="387" t="s">
        <v>575</v>
      </c>
      <c r="AY7" s="394"/>
      <c r="AZ7" s="389"/>
      <c r="BA7" s="374"/>
      <c r="BB7" s="374"/>
      <c r="BC7" s="374" t="s">
        <v>244</v>
      </c>
      <c r="BD7" s="421" t="s">
        <v>244</v>
      </c>
      <c r="BE7" s="373"/>
      <c r="BF7" s="374"/>
      <c r="BG7" s="374"/>
      <c r="BH7" s="374"/>
      <c r="BI7" s="375"/>
      <c r="BJ7" s="373"/>
      <c r="BK7" s="374"/>
      <c r="BL7" s="374"/>
      <c r="BM7" s="374"/>
      <c r="BN7" s="375"/>
      <c r="BO7" s="437" t="s">
        <v>506</v>
      </c>
      <c r="BP7" s="437" t="s">
        <v>530</v>
      </c>
      <c r="BQ7" s="437" t="s">
        <v>476</v>
      </c>
      <c r="BR7" s="437" t="s">
        <v>476</v>
      </c>
      <c r="BS7" s="375"/>
      <c r="BT7" s="99"/>
      <c r="BU7" s="96"/>
      <c r="BV7" s="96"/>
      <c r="BW7" s="96"/>
      <c r="BX7" s="97"/>
      <c r="BY7" s="95"/>
      <c r="BZ7" s="96"/>
      <c r="CA7" s="96"/>
      <c r="CB7" s="96"/>
      <c r="CC7" s="97"/>
      <c r="CD7" s="95"/>
      <c r="CE7" s="96"/>
      <c r="CF7" s="96"/>
      <c r="CG7" s="96"/>
      <c r="CH7" s="97"/>
      <c r="CI7" s="95"/>
      <c r="CJ7" s="96"/>
      <c r="CK7" s="96"/>
      <c r="CL7" s="96"/>
      <c r="CM7" s="97"/>
      <c r="CN7" s="99"/>
      <c r="CO7" s="96"/>
      <c r="CP7" s="96"/>
      <c r="CQ7" s="96"/>
      <c r="CR7" s="97"/>
      <c r="CS7" s="488"/>
      <c r="CT7" s="96"/>
      <c r="CU7" s="96"/>
      <c r="CV7" s="96"/>
      <c r="CW7" s="97"/>
      <c r="CX7" s="95"/>
      <c r="CY7" s="96"/>
      <c r="CZ7" s="96"/>
      <c r="DA7" s="96"/>
      <c r="DB7" s="97"/>
      <c r="DC7" s="95"/>
      <c r="DD7" s="96"/>
      <c r="DE7" s="96"/>
      <c r="DF7" s="96"/>
      <c r="DG7" s="234"/>
      <c r="DH7" s="521"/>
      <c r="DI7" s="522"/>
      <c r="DJ7" s="522"/>
      <c r="DK7" s="522"/>
      <c r="DL7" s="520"/>
      <c r="DM7" s="539"/>
      <c r="DN7" s="117"/>
      <c r="DO7" s="117"/>
      <c r="DP7" s="117"/>
      <c r="DQ7" s="227"/>
      <c r="DR7" s="488"/>
      <c r="DS7" s="117"/>
      <c r="DT7" s="117"/>
      <c r="DU7" s="117"/>
      <c r="DV7" s="118"/>
      <c r="DW7" s="119"/>
      <c r="DX7" s="117"/>
      <c r="DY7" s="117"/>
      <c r="DZ7" s="117"/>
      <c r="EA7" s="648" t="s">
        <v>506</v>
      </c>
      <c r="EB7" s="648" t="s">
        <v>506</v>
      </c>
      <c r="EC7" s="648" t="s">
        <v>506</v>
      </c>
      <c r="EE7" s="654"/>
      <c r="EF7" s="22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486" t="s">
        <v>851</v>
      </c>
      <c r="EU7" s="486" t="s">
        <v>476</v>
      </c>
      <c r="EV7" s="486" t="s">
        <v>476</v>
      </c>
      <c r="EW7" s="486" t="s">
        <v>576</v>
      </c>
      <c r="EX7" s="117"/>
      <c r="EY7" s="117"/>
      <c r="EZ7" s="101"/>
      <c r="FA7" s="117"/>
      <c r="FE7" s="117"/>
      <c r="FF7" s="491"/>
      <c r="FG7" s="491"/>
      <c r="FH7" s="491"/>
      <c r="FI7" s="101"/>
      <c r="FJ7" s="101"/>
      <c r="FK7" s="101"/>
      <c r="FL7" s="117"/>
      <c r="FM7" s="117"/>
      <c r="FN7" s="117"/>
      <c r="FO7" s="117"/>
      <c r="FP7" s="117"/>
      <c r="FQ7" s="117"/>
      <c r="FR7" s="117"/>
      <c r="FS7" s="117"/>
      <c r="FT7" s="491"/>
      <c r="FU7" s="491"/>
      <c r="FV7" s="117"/>
      <c r="FW7" s="117"/>
      <c r="FX7" s="117"/>
      <c r="FY7" s="117"/>
      <c r="FZ7" s="117"/>
      <c r="GA7" s="117"/>
      <c r="GB7" s="117"/>
      <c r="GC7" s="117"/>
      <c r="GD7" s="117"/>
      <c r="GE7" s="117"/>
      <c r="GF7" s="117"/>
      <c r="GG7" s="491"/>
      <c r="GH7" s="117"/>
      <c r="GI7" s="117"/>
      <c r="GJ7" s="117"/>
      <c r="GK7" s="117"/>
      <c r="GL7" s="117"/>
      <c r="GM7" s="491"/>
      <c r="GO7" s="117"/>
      <c r="GP7" s="117"/>
      <c r="GQ7" s="117"/>
      <c r="GR7" s="117"/>
      <c r="GS7" s="491"/>
      <c r="GT7" s="508" t="s">
        <v>1064</v>
      </c>
      <c r="GU7" s="117"/>
      <c r="GV7" s="117"/>
      <c r="GW7" s="117"/>
      <c r="GX7" s="117"/>
      <c r="GY7" s="491"/>
      <c r="GZ7" s="117"/>
      <c r="HA7" s="117"/>
      <c r="HB7" s="117"/>
      <c r="HC7" s="117"/>
      <c r="HD7" s="117"/>
      <c r="HE7" s="491"/>
      <c r="HF7" s="117"/>
      <c r="HG7" s="117"/>
      <c r="HH7" s="117"/>
      <c r="HI7" s="117"/>
      <c r="HJ7" s="117"/>
      <c r="HK7" s="491"/>
      <c r="HL7" s="117"/>
      <c r="HM7" s="117"/>
      <c r="HN7" s="491"/>
      <c r="HO7" s="117"/>
      <c r="HP7" s="117"/>
      <c r="HQ7" s="491"/>
      <c r="HR7" s="117"/>
      <c r="HS7" s="227"/>
      <c r="HT7" s="117"/>
      <c r="HU7" s="117"/>
      <c r="HV7" s="117"/>
      <c r="HW7" s="491"/>
      <c r="HX7" s="117"/>
      <c r="HY7" s="117"/>
      <c r="HZ7" s="117"/>
      <c r="IA7" s="117"/>
      <c r="IB7" s="117"/>
      <c r="IC7" s="491"/>
      <c r="ID7" s="117"/>
      <c r="IE7" s="117"/>
      <c r="IF7" s="117"/>
      <c r="IG7" s="117"/>
      <c r="IH7" s="491"/>
      <c r="II7" s="491"/>
      <c r="IJ7" s="491"/>
      <c r="IK7" s="117"/>
      <c r="IL7" s="117"/>
      <c r="IM7" s="117"/>
      <c r="IN7" s="117"/>
      <c r="IO7" s="491"/>
      <c r="IP7" s="117"/>
      <c r="IQ7" s="117"/>
      <c r="IR7" s="117"/>
      <c r="IS7" s="117"/>
      <c r="IT7" s="117"/>
      <c r="IU7" s="491"/>
    </row>
    <row r="8" spans="1:265" ht="24.95" hidden="1" customHeight="1">
      <c r="A8" s="403" t="s">
        <v>1040</v>
      </c>
      <c r="B8" s="201"/>
      <c r="C8" s="201"/>
      <c r="D8" s="407" t="e">
        <f t="shared" ref="D8:D18" si="0">B8/C8</f>
        <v>#DIV/0!</v>
      </c>
      <c r="E8" s="187"/>
      <c r="F8" s="100"/>
      <c r="G8" s="101"/>
      <c r="H8" s="101"/>
      <c r="I8" s="101"/>
      <c r="J8" s="103"/>
      <c r="K8" s="105" t="s">
        <v>437</v>
      </c>
      <c r="L8" s="106" t="s">
        <v>437</v>
      </c>
      <c r="M8" s="106" t="s">
        <v>437</v>
      </c>
      <c r="N8" s="106" t="s">
        <v>437</v>
      </c>
      <c r="O8" s="107" t="s">
        <v>437</v>
      </c>
      <c r="P8" s="102"/>
      <c r="Q8" s="101"/>
      <c r="R8" s="101"/>
      <c r="S8" s="101"/>
      <c r="T8" s="98"/>
      <c r="U8" s="281" t="s">
        <v>437</v>
      </c>
      <c r="V8" s="106" t="s">
        <v>437</v>
      </c>
      <c r="W8" s="106" t="s">
        <v>437</v>
      </c>
      <c r="X8" s="106" t="s">
        <v>437</v>
      </c>
      <c r="Y8" s="106" t="s">
        <v>437</v>
      </c>
      <c r="Z8" s="100"/>
      <c r="AA8" s="101"/>
      <c r="AB8" s="101"/>
      <c r="AC8" s="101"/>
      <c r="AD8" s="98"/>
      <c r="AE8" s="100"/>
      <c r="AF8" s="101"/>
      <c r="AG8" s="101"/>
      <c r="AH8" s="101"/>
      <c r="AI8" s="98"/>
      <c r="AJ8" s="100"/>
      <c r="AK8" s="334" t="s">
        <v>474</v>
      </c>
      <c r="AL8" s="101"/>
      <c r="AM8" s="101"/>
      <c r="AN8" s="103" t="s">
        <v>244</v>
      </c>
      <c r="AO8" s="100"/>
      <c r="AP8" s="101"/>
      <c r="AQ8" s="316" t="s">
        <v>506</v>
      </c>
      <c r="AR8" s="101"/>
      <c r="AS8" s="317" t="s">
        <v>506</v>
      </c>
      <c r="AT8" s="390" t="s">
        <v>506</v>
      </c>
      <c r="AU8" s="316" t="s">
        <v>506</v>
      </c>
      <c r="AV8" s="379" t="s">
        <v>506</v>
      </c>
      <c r="AW8" s="379" t="s">
        <v>476</v>
      </c>
      <c r="AX8" s="379" t="s">
        <v>595</v>
      </c>
      <c r="AY8" s="392"/>
      <c r="AZ8" s="102"/>
      <c r="BA8" s="101"/>
      <c r="BB8" s="101"/>
      <c r="BC8" s="101" t="s">
        <v>244</v>
      </c>
      <c r="BD8" s="103" t="s">
        <v>244</v>
      </c>
      <c r="BE8" s="100"/>
      <c r="BF8" s="101"/>
      <c r="BG8" s="101"/>
      <c r="BH8" s="101"/>
      <c r="BI8" s="98"/>
      <c r="BJ8" s="100"/>
      <c r="BK8" s="101"/>
      <c r="BL8" s="101"/>
      <c r="BM8" s="101"/>
      <c r="BN8" s="98"/>
      <c r="BO8" s="102"/>
      <c r="BQ8" s="238" t="s">
        <v>474</v>
      </c>
      <c r="BR8" s="238" t="s">
        <v>474</v>
      </c>
      <c r="BS8" s="238" t="s">
        <v>475</v>
      </c>
      <c r="BT8" s="98"/>
      <c r="BU8" s="101"/>
      <c r="BV8" s="101"/>
      <c r="BW8" s="101"/>
      <c r="BY8" s="397" t="s">
        <v>595</v>
      </c>
      <c r="BZ8" s="101"/>
      <c r="CA8" s="101"/>
      <c r="CB8" s="101"/>
      <c r="CC8" s="98"/>
      <c r="CD8" s="100"/>
      <c r="CE8" s="101"/>
      <c r="CF8" s="101"/>
      <c r="CG8" s="101"/>
      <c r="CH8" s="98"/>
      <c r="CI8" s="476"/>
      <c r="CJ8" s="101"/>
      <c r="CK8" s="101"/>
      <c r="CL8" s="101"/>
      <c r="CM8" s="98"/>
      <c r="CN8" s="102"/>
      <c r="CO8" s="493" t="s">
        <v>506</v>
      </c>
      <c r="CP8" s="101"/>
      <c r="CQ8" s="101"/>
      <c r="CR8" s="98"/>
      <c r="CS8" s="489"/>
      <c r="CT8" s="101"/>
      <c r="CU8" s="101"/>
      <c r="CV8" s="101"/>
      <c r="CW8" s="98"/>
      <c r="CX8" s="100"/>
      <c r="CY8" s="101"/>
      <c r="CZ8" s="101"/>
      <c r="DA8" s="101"/>
      <c r="DB8" s="98"/>
      <c r="DC8" s="100"/>
      <c r="DD8" s="101"/>
      <c r="DE8" s="101"/>
      <c r="DF8" s="101"/>
      <c r="DG8" s="103"/>
      <c r="DH8" s="116"/>
      <c r="DI8" s="117"/>
      <c r="DJ8" s="117"/>
      <c r="DK8" s="117"/>
      <c r="DL8" s="227"/>
      <c r="DM8" s="116"/>
      <c r="DN8" s="117"/>
      <c r="DO8" s="117"/>
      <c r="DR8" s="489"/>
      <c r="DS8" s="524" t="s">
        <v>476</v>
      </c>
      <c r="DT8" s="536" t="s">
        <v>506</v>
      </c>
      <c r="DU8" s="117"/>
      <c r="DV8" s="118"/>
      <c r="DW8" s="119"/>
      <c r="DX8" s="117"/>
      <c r="DY8" s="117"/>
      <c r="DZ8" s="117"/>
      <c r="EA8" s="118"/>
      <c r="EB8" s="116"/>
      <c r="EC8" s="117"/>
      <c r="ED8" s="117"/>
      <c r="EE8" s="117"/>
      <c r="EF8" s="227"/>
      <c r="EG8" s="117"/>
      <c r="EH8" s="117"/>
      <c r="EI8" s="117"/>
      <c r="EJ8" s="117"/>
      <c r="EK8" s="117"/>
      <c r="EL8" s="117"/>
      <c r="EM8" s="117"/>
      <c r="EN8" s="238" t="s">
        <v>506</v>
      </c>
      <c r="EO8" s="238" t="s">
        <v>506</v>
      </c>
      <c r="EP8" s="238" t="s">
        <v>506</v>
      </c>
      <c r="EQ8" s="117"/>
      <c r="ER8" s="117"/>
      <c r="ES8" s="117"/>
      <c r="ET8" s="117"/>
      <c r="EU8" s="117"/>
      <c r="EV8" s="117"/>
      <c r="EW8" s="117"/>
      <c r="EX8" s="117"/>
      <c r="EY8" s="117"/>
      <c r="EZ8" s="101"/>
      <c r="FA8" s="117"/>
      <c r="FB8" s="117"/>
      <c r="FC8" s="117"/>
      <c r="FD8" s="117"/>
      <c r="FE8" s="117"/>
      <c r="FF8" s="491"/>
      <c r="FG8" s="491"/>
      <c r="FH8" s="491"/>
      <c r="FI8" s="117"/>
      <c r="FJ8" s="117"/>
      <c r="FK8" s="101"/>
      <c r="FL8" s="117"/>
      <c r="FM8" s="117"/>
      <c r="FN8" s="117"/>
      <c r="FO8" s="117"/>
      <c r="FR8" s="117"/>
      <c r="FS8" s="117"/>
      <c r="FT8" s="491"/>
      <c r="FU8" s="491"/>
      <c r="FV8" s="117"/>
      <c r="FW8" s="117"/>
      <c r="FX8" s="117"/>
      <c r="FY8" s="117"/>
      <c r="FZ8" s="117"/>
      <c r="GA8" s="117"/>
      <c r="GB8" s="117"/>
      <c r="GC8" s="117"/>
      <c r="GD8" s="101"/>
      <c r="GE8" s="400" t="s">
        <v>1052</v>
      </c>
      <c r="GF8" s="400" t="s">
        <v>1052</v>
      </c>
      <c r="GG8" s="491"/>
      <c r="GH8" s="117"/>
      <c r="GI8" s="117"/>
      <c r="GJ8" s="117"/>
      <c r="GK8" s="117"/>
      <c r="GL8" s="117"/>
      <c r="GM8" s="491"/>
      <c r="GO8" s="117"/>
      <c r="GP8" s="117"/>
      <c r="GQ8" s="117"/>
      <c r="GR8" s="117"/>
      <c r="GS8" s="491"/>
      <c r="GT8" s="508" t="s">
        <v>1064</v>
      </c>
      <c r="GU8" s="117"/>
      <c r="GV8" s="117"/>
      <c r="GW8" s="117"/>
      <c r="GX8" s="117"/>
      <c r="GY8" s="491"/>
      <c r="GZ8" s="117"/>
      <c r="HA8" s="117"/>
      <c r="HB8" s="117"/>
      <c r="HC8" s="117"/>
      <c r="HD8" s="117"/>
      <c r="HE8" s="491"/>
      <c r="HF8" s="117"/>
      <c r="HG8" s="117"/>
      <c r="HH8" s="117"/>
      <c r="HI8" s="117"/>
      <c r="HJ8" s="117"/>
      <c r="HK8" s="491"/>
      <c r="HL8" s="117"/>
      <c r="HM8" s="117"/>
      <c r="HN8" s="491"/>
      <c r="HO8" s="117"/>
      <c r="HP8" s="117"/>
      <c r="HQ8" s="491"/>
      <c r="HR8" s="117"/>
      <c r="HS8" s="227"/>
      <c r="HT8" s="117"/>
      <c r="HU8" s="117"/>
      <c r="HV8" s="117"/>
      <c r="HW8" s="491"/>
      <c r="HX8" s="117"/>
      <c r="HY8" s="117"/>
      <c r="HZ8" s="117"/>
      <c r="IA8" s="117"/>
      <c r="IB8" s="117"/>
      <c r="IC8" s="491"/>
      <c r="ID8" s="117"/>
      <c r="IE8" s="117"/>
      <c r="IF8" s="117"/>
      <c r="IG8" s="117"/>
      <c r="IH8" s="491"/>
      <c r="II8" s="491"/>
      <c r="IJ8" s="491"/>
      <c r="IK8" s="117"/>
      <c r="IL8" s="117"/>
      <c r="IM8" s="117"/>
      <c r="IN8" s="117"/>
      <c r="IO8" s="491"/>
      <c r="IP8" s="117"/>
      <c r="IQ8" s="117"/>
      <c r="IR8" s="117"/>
      <c r="IS8" s="117"/>
      <c r="IT8" s="117"/>
      <c r="IU8" s="491"/>
    </row>
    <row r="9" spans="1:265" ht="24.95" customHeight="1">
      <c r="A9" s="403" t="s">
        <v>1041</v>
      </c>
      <c r="B9" s="201">
        <v>529</v>
      </c>
      <c r="C9" s="201">
        <v>150</v>
      </c>
      <c r="D9" s="407">
        <f t="shared" si="0"/>
        <v>3.5266666666666668</v>
      </c>
      <c r="E9" s="481" t="e">
        <f>SUM(#REF!)-666</f>
        <v>#REF!</v>
      </c>
      <c r="F9" s="100"/>
      <c r="G9" s="101"/>
      <c r="H9" s="101"/>
      <c r="I9" s="101"/>
      <c r="J9" s="103"/>
      <c r="K9" s="105" t="s">
        <v>437</v>
      </c>
      <c r="L9" s="106" t="s">
        <v>437</v>
      </c>
      <c r="M9" s="106" t="s">
        <v>437</v>
      </c>
      <c r="N9" s="106" t="s">
        <v>437</v>
      </c>
      <c r="O9" s="107" t="s">
        <v>437</v>
      </c>
      <c r="P9" s="102"/>
      <c r="Q9" s="101"/>
      <c r="R9" s="101"/>
      <c r="S9" s="101"/>
      <c r="T9" s="98"/>
      <c r="U9" s="281" t="s">
        <v>437</v>
      </c>
      <c r="V9" s="106" t="s">
        <v>437</v>
      </c>
      <c r="W9" s="106" t="s">
        <v>437</v>
      </c>
      <c r="X9" s="106" t="s">
        <v>437</v>
      </c>
      <c r="Y9" s="106" t="s">
        <v>437</v>
      </c>
      <c r="Z9" s="315" t="s">
        <v>476</v>
      </c>
      <c r="AA9" s="316" t="s">
        <v>24</v>
      </c>
      <c r="AB9" s="101"/>
      <c r="AC9" s="101"/>
      <c r="AD9" s="98"/>
      <c r="AE9" s="334" t="s">
        <v>474</v>
      </c>
      <c r="AF9" s="101"/>
      <c r="AG9" s="101"/>
      <c r="AH9" s="101"/>
      <c r="AI9" s="98"/>
      <c r="AJ9" s="100"/>
      <c r="AK9" s="101"/>
      <c r="AL9" s="101"/>
      <c r="AM9" s="101"/>
      <c r="AN9" s="103" t="s">
        <v>244</v>
      </c>
      <c r="AO9" s="100"/>
      <c r="AP9" s="101"/>
      <c r="AQ9" s="117"/>
      <c r="AR9" s="117"/>
      <c r="AS9" s="118"/>
      <c r="AT9" s="119"/>
      <c r="AU9" s="101"/>
      <c r="AV9" s="101"/>
      <c r="AW9" s="101"/>
      <c r="AX9" s="117"/>
      <c r="AY9" s="98"/>
      <c r="AZ9" s="102"/>
      <c r="BA9" s="101"/>
      <c r="BB9" s="101"/>
      <c r="BC9" s="101" t="s">
        <v>244</v>
      </c>
      <c r="BD9" s="103" t="s">
        <v>244</v>
      </c>
      <c r="BE9" s="415" t="s">
        <v>474</v>
      </c>
      <c r="BF9" s="416" t="s">
        <v>474</v>
      </c>
      <c r="BG9" s="416" t="s">
        <v>475</v>
      </c>
      <c r="BH9" s="416" t="s">
        <v>476</v>
      </c>
      <c r="BI9" s="98"/>
      <c r="BK9" s="117"/>
      <c r="BL9" s="117"/>
      <c r="BM9" s="117"/>
      <c r="BN9" s="117"/>
      <c r="BO9" s="117"/>
      <c r="BP9" s="117"/>
      <c r="BQ9" s="101"/>
      <c r="BR9" s="101"/>
      <c r="BS9" s="101"/>
      <c r="BT9" s="101"/>
      <c r="BU9" s="101"/>
      <c r="BV9" s="101"/>
      <c r="BW9" s="101"/>
      <c r="BX9" s="98"/>
      <c r="BY9" s="100"/>
      <c r="BZ9" s="101"/>
      <c r="CA9" s="101"/>
      <c r="CB9" s="101"/>
      <c r="CC9" s="98"/>
      <c r="CD9" s="100"/>
      <c r="CE9" s="101"/>
      <c r="CF9" s="101"/>
      <c r="CG9" s="101"/>
      <c r="CH9" s="98"/>
      <c r="CI9" s="100"/>
      <c r="CJ9" s="101"/>
      <c r="CK9" s="101"/>
      <c r="CL9" s="101"/>
      <c r="CM9" s="98"/>
      <c r="CN9" s="102"/>
      <c r="CO9" s="101"/>
      <c r="CP9" s="101"/>
      <c r="CQ9" s="101"/>
      <c r="CR9" s="98"/>
      <c r="CS9" s="489"/>
      <c r="CT9" s="101"/>
      <c r="CU9" s="101"/>
      <c r="CV9" s="101"/>
      <c r="CW9" s="98"/>
      <c r="CX9" s="476"/>
      <c r="CY9" s="238"/>
      <c r="CZ9" s="238"/>
      <c r="DA9" s="101"/>
      <c r="DB9" s="98"/>
      <c r="DC9" s="238"/>
      <c r="DD9" s="512"/>
      <c r="DE9" s="476"/>
      <c r="DF9" s="519"/>
      <c r="DG9" s="519"/>
      <c r="DH9" s="109"/>
      <c r="DM9" s="116"/>
      <c r="DO9" s="101"/>
      <c r="DP9" s="117"/>
      <c r="DQ9" s="227"/>
      <c r="DR9" s="489"/>
      <c r="DS9" s="117"/>
      <c r="DT9" s="117"/>
      <c r="DU9" s="117"/>
      <c r="DV9" s="118"/>
      <c r="DW9" s="119"/>
      <c r="DX9" s="117"/>
      <c r="DY9" s="117"/>
      <c r="DZ9" s="117"/>
      <c r="EF9" s="648" t="s">
        <v>803</v>
      </c>
      <c r="EK9" s="648" t="s">
        <v>506</v>
      </c>
      <c r="EL9" s="648" t="s">
        <v>506</v>
      </c>
      <c r="EM9" s="400" t="s">
        <v>506</v>
      </c>
      <c r="EO9" s="117"/>
      <c r="EP9" s="117"/>
      <c r="EQ9" s="117"/>
      <c r="ER9" s="117"/>
      <c r="ES9" s="117"/>
      <c r="ET9" s="117"/>
      <c r="EU9" s="117"/>
      <c r="EV9" s="117"/>
      <c r="EW9" s="117"/>
      <c r="EX9" s="117"/>
      <c r="EY9" s="117"/>
      <c r="EZ9" s="101"/>
      <c r="FA9" s="117"/>
      <c r="FB9" s="117"/>
      <c r="FC9" s="117"/>
      <c r="FD9" s="117"/>
      <c r="FE9" s="117"/>
      <c r="FF9" s="491"/>
      <c r="FG9" s="491"/>
      <c r="FH9" s="491"/>
      <c r="FI9" s="117"/>
      <c r="FJ9" s="117"/>
      <c r="FK9" s="117"/>
      <c r="FL9" s="117"/>
      <c r="FM9" s="117"/>
      <c r="FN9" s="117"/>
      <c r="FO9" s="117"/>
      <c r="FR9" s="117"/>
      <c r="FS9" s="117"/>
      <c r="FT9" s="491"/>
      <c r="FU9" s="491"/>
      <c r="FV9" s="117"/>
      <c r="FW9" s="117"/>
      <c r="FX9" s="117"/>
      <c r="FY9" s="117"/>
      <c r="FZ9" s="117"/>
      <c r="GA9" s="117"/>
      <c r="GB9" s="117"/>
      <c r="GC9" s="117"/>
      <c r="GD9" s="117"/>
      <c r="GE9" s="117"/>
      <c r="GF9" s="117"/>
      <c r="GG9" s="491"/>
      <c r="GH9" s="117"/>
      <c r="GI9" s="508" t="s">
        <v>1052</v>
      </c>
      <c r="GJ9" s="508" t="s">
        <v>1052</v>
      </c>
      <c r="GK9" s="508" t="s">
        <v>1052</v>
      </c>
      <c r="GM9" s="491"/>
      <c r="GN9" s="508" t="s">
        <v>1052</v>
      </c>
      <c r="GO9" s="508" t="s">
        <v>1052</v>
      </c>
      <c r="GP9" s="508" t="s">
        <v>1052</v>
      </c>
      <c r="GR9" s="117"/>
      <c r="GS9" s="491"/>
      <c r="GT9" s="117"/>
      <c r="GU9" s="117"/>
      <c r="GV9" s="117"/>
      <c r="GW9" s="117"/>
      <c r="GX9" s="117"/>
      <c r="GY9" s="491"/>
      <c r="GZ9" s="117"/>
      <c r="HA9" s="117"/>
      <c r="HB9" s="117"/>
      <c r="HC9" s="117"/>
      <c r="HD9" s="117"/>
      <c r="HE9" s="491"/>
      <c r="HF9" s="117"/>
      <c r="HG9" s="117"/>
      <c r="HH9" s="117"/>
      <c r="HI9" s="117"/>
      <c r="HJ9" s="117"/>
      <c r="HK9" s="491"/>
      <c r="HL9" s="117"/>
      <c r="HM9" s="117"/>
      <c r="HN9" s="491"/>
      <c r="HO9" s="117"/>
      <c r="HP9" s="117"/>
      <c r="HQ9" s="491"/>
      <c r="HR9" s="117"/>
      <c r="HS9" s="227"/>
      <c r="HT9" s="117"/>
      <c r="HU9" s="117"/>
      <c r="HV9" s="117"/>
      <c r="HW9" s="491"/>
      <c r="HX9" s="117"/>
      <c r="HY9" s="117"/>
      <c r="HZ9" s="117"/>
      <c r="IA9" s="117"/>
      <c r="IB9" s="117"/>
      <c r="IC9" s="491"/>
      <c r="ID9" s="117"/>
      <c r="IE9" s="117"/>
      <c r="IF9" s="117"/>
      <c r="IG9" s="117"/>
      <c r="IH9" s="491"/>
      <c r="II9" s="491"/>
      <c r="IJ9" s="491"/>
      <c r="IK9" s="117"/>
      <c r="IL9" s="117"/>
      <c r="IM9" s="117"/>
      <c r="IN9" s="117"/>
      <c r="IO9" s="491"/>
      <c r="IP9" s="117"/>
      <c r="IQ9" s="117"/>
      <c r="IR9" s="117"/>
      <c r="IS9" s="117"/>
      <c r="IT9" s="117"/>
      <c r="IU9" s="491"/>
    </row>
    <row r="10" spans="1:265" ht="24.95" customHeight="1">
      <c r="A10" s="403" t="s">
        <v>1037</v>
      </c>
      <c r="B10" s="201">
        <v>1000</v>
      </c>
      <c r="C10" s="201">
        <v>250</v>
      </c>
      <c r="D10" s="407">
        <f t="shared" si="0"/>
        <v>4</v>
      </c>
      <c r="E10" s="187"/>
      <c r="F10" s="100"/>
      <c r="G10" s="101"/>
      <c r="H10" s="101"/>
      <c r="I10" s="101"/>
      <c r="J10" s="103"/>
      <c r="K10" s="105" t="s">
        <v>437</v>
      </c>
      <c r="L10" s="106" t="s">
        <v>437</v>
      </c>
      <c r="M10" s="106" t="s">
        <v>437</v>
      </c>
      <c r="N10" s="106" t="s">
        <v>437</v>
      </c>
      <c r="O10" s="107" t="s">
        <v>437</v>
      </c>
      <c r="P10" s="102"/>
      <c r="Q10" s="101"/>
      <c r="R10" s="101"/>
      <c r="S10" s="101"/>
      <c r="T10" s="98"/>
      <c r="U10" s="281" t="s">
        <v>437</v>
      </c>
      <c r="V10" s="106" t="s">
        <v>437</v>
      </c>
      <c r="W10" s="106" t="s">
        <v>437</v>
      </c>
      <c r="X10" s="106" t="s">
        <v>437</v>
      </c>
      <c r="Y10" s="106" t="s">
        <v>437</v>
      </c>
      <c r="Z10" s="100"/>
      <c r="AA10" s="101"/>
      <c r="AB10" s="101"/>
      <c r="AC10" s="101"/>
      <c r="AD10" s="98"/>
      <c r="AE10" s="100"/>
      <c r="AF10" s="101"/>
      <c r="AG10" s="101"/>
      <c r="AH10" s="101"/>
      <c r="AI10" s="98"/>
      <c r="AJ10" s="100"/>
      <c r="AL10" s="101"/>
      <c r="AM10" s="101"/>
      <c r="AN10" s="103" t="s">
        <v>244</v>
      </c>
      <c r="AO10" s="100"/>
      <c r="AP10" s="101"/>
      <c r="AQ10" s="117"/>
      <c r="AR10" s="117"/>
      <c r="AS10" s="333" t="s">
        <v>506</v>
      </c>
      <c r="AT10" s="378" t="s">
        <v>476</v>
      </c>
      <c r="AU10" s="104"/>
      <c r="AV10" s="104"/>
      <c r="AW10" s="117"/>
      <c r="AX10" s="104"/>
      <c r="AY10" s="392"/>
      <c r="AZ10" s="102"/>
      <c r="BA10" s="101"/>
      <c r="BB10" s="101"/>
      <c r="BC10" s="101" t="s">
        <v>244</v>
      </c>
      <c r="BD10" s="103" t="s">
        <v>244</v>
      </c>
      <c r="BE10" s="100"/>
      <c r="BF10" s="101"/>
      <c r="BG10" s="101"/>
      <c r="BH10" s="101"/>
      <c r="BI10" s="98"/>
      <c r="BJ10" s="100"/>
      <c r="BK10" s="101"/>
      <c r="BL10" s="101"/>
      <c r="BM10" s="101"/>
      <c r="BN10" s="98"/>
      <c r="BO10" s="102"/>
      <c r="BP10" s="101"/>
      <c r="BQ10" s="101"/>
      <c r="BR10" s="101"/>
      <c r="BS10" s="98"/>
      <c r="BT10" s="102"/>
      <c r="BU10" s="101"/>
      <c r="BV10" s="101"/>
      <c r="BW10" s="101"/>
      <c r="BX10" s="98"/>
      <c r="BY10" s="100"/>
      <c r="BZ10" s="101"/>
      <c r="CA10" s="101"/>
      <c r="CB10" s="101"/>
      <c r="CC10" s="98"/>
      <c r="CD10" s="100"/>
      <c r="CE10" s="101"/>
      <c r="CF10" s="101"/>
      <c r="CG10" s="238" t="s">
        <v>506</v>
      </c>
      <c r="CH10" s="397" t="s">
        <v>506</v>
      </c>
      <c r="CI10" s="100"/>
      <c r="CJ10" s="101"/>
      <c r="CK10" s="101"/>
      <c r="CL10" s="101"/>
      <c r="CM10" s="98"/>
      <c r="CN10" s="102"/>
      <c r="CO10" s="101"/>
      <c r="CP10" s="101"/>
      <c r="CQ10" s="101"/>
      <c r="CR10" s="98"/>
      <c r="CS10" s="489"/>
      <c r="CT10" s="101"/>
      <c r="CU10" s="101"/>
      <c r="CV10" s="101"/>
      <c r="CW10" s="98"/>
      <c r="CX10" s="100"/>
      <c r="CY10" s="101"/>
      <c r="CZ10" s="101"/>
      <c r="DA10" s="101"/>
      <c r="DB10" s="98"/>
      <c r="DC10" s="100"/>
      <c r="DD10" s="101"/>
      <c r="DE10" s="101"/>
      <c r="DF10" s="101"/>
      <c r="DG10" s="103"/>
      <c r="DH10" s="116"/>
      <c r="DM10" s="116"/>
      <c r="DN10" s="117"/>
      <c r="DQ10" s="227"/>
      <c r="DR10" s="489"/>
      <c r="DU10" s="523" t="s">
        <v>506</v>
      </c>
      <c r="DW10" s="523" t="s">
        <v>506</v>
      </c>
      <c r="DX10" s="117"/>
      <c r="DY10" s="117"/>
      <c r="DZ10" s="117"/>
      <c r="EA10" s="118"/>
      <c r="EB10" s="116"/>
      <c r="EC10" s="117"/>
      <c r="ED10" s="117"/>
      <c r="EE10" s="117"/>
      <c r="EF10" s="22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17"/>
      <c r="EY10" s="117"/>
      <c r="EZ10" s="101"/>
      <c r="FA10" s="117"/>
      <c r="FB10" s="117"/>
      <c r="FC10" s="117"/>
      <c r="FD10" s="117"/>
      <c r="FE10" s="117"/>
      <c r="FF10" s="491"/>
      <c r="FG10" s="491"/>
      <c r="FH10" s="491"/>
      <c r="FI10" s="117"/>
      <c r="FJ10" s="117"/>
      <c r="FK10" s="117"/>
      <c r="FL10" s="117"/>
      <c r="FM10" s="117"/>
      <c r="FN10" s="117"/>
      <c r="FO10" s="117"/>
      <c r="FP10" s="117"/>
      <c r="FQ10" s="117"/>
      <c r="FR10" s="117"/>
      <c r="FS10" s="117"/>
      <c r="FT10" s="491"/>
      <c r="FU10" s="491"/>
      <c r="FV10" s="117"/>
      <c r="FW10" s="117"/>
      <c r="FX10" s="117"/>
      <c r="FY10" s="117"/>
      <c r="FZ10" s="117"/>
      <c r="GA10" s="117"/>
      <c r="GB10" s="117"/>
      <c r="GC10" s="117"/>
      <c r="GD10" s="117"/>
      <c r="GE10" s="117"/>
      <c r="GF10" s="117"/>
      <c r="GG10" s="491"/>
      <c r="GH10" s="117"/>
      <c r="GI10" s="117"/>
      <c r="GJ10" s="117"/>
      <c r="GK10" s="117"/>
      <c r="GL10" s="117"/>
      <c r="GM10" s="491"/>
      <c r="GS10" s="491"/>
      <c r="GY10" s="491"/>
      <c r="HB10" s="117"/>
      <c r="HE10" s="491"/>
      <c r="HK10" s="491"/>
      <c r="HN10" s="491"/>
      <c r="HQ10" s="491"/>
      <c r="HR10" s="508" t="s">
        <v>1190</v>
      </c>
      <c r="HS10" s="508" t="s">
        <v>1190</v>
      </c>
      <c r="HT10" s="508" t="s">
        <v>1190</v>
      </c>
      <c r="HU10" s="508" t="s">
        <v>1190</v>
      </c>
      <c r="HV10" s="508" t="s">
        <v>1190</v>
      </c>
      <c r="HW10" s="491"/>
      <c r="HX10" s="101"/>
      <c r="HY10" s="101"/>
      <c r="IA10" s="117"/>
      <c r="IB10" s="117"/>
      <c r="IC10" s="491"/>
      <c r="IE10" s="117"/>
      <c r="IF10" s="117"/>
      <c r="IG10" s="117"/>
      <c r="IH10" s="491"/>
      <c r="II10" s="491"/>
      <c r="IJ10" s="491"/>
      <c r="IL10" s="117"/>
      <c r="IM10" s="117"/>
      <c r="IN10" s="508" t="s">
        <v>1064</v>
      </c>
      <c r="IO10" s="491"/>
      <c r="IP10" s="508" t="s">
        <v>1064</v>
      </c>
      <c r="IQ10" s="117"/>
      <c r="IR10" s="117"/>
      <c r="IS10" s="117"/>
      <c r="IT10" s="117"/>
      <c r="IU10" s="491"/>
    </row>
    <row r="11" spans="1:265" ht="24.95" customHeight="1">
      <c r="A11" s="403" t="s">
        <v>456</v>
      </c>
      <c r="B11" s="201">
        <v>450</v>
      </c>
      <c r="C11" s="201">
        <v>100</v>
      </c>
      <c r="D11" s="407">
        <f t="shared" si="0"/>
        <v>4.5</v>
      </c>
      <c r="E11" s="187"/>
      <c r="F11" s="100"/>
      <c r="G11" s="101"/>
      <c r="H11" s="101"/>
      <c r="I11" s="101"/>
      <c r="J11" s="103"/>
      <c r="K11" s="105" t="s">
        <v>437</v>
      </c>
      <c r="L11" s="106" t="s">
        <v>437</v>
      </c>
      <c r="M11" s="106" t="s">
        <v>437</v>
      </c>
      <c r="N11" s="106" t="s">
        <v>437</v>
      </c>
      <c r="O11" s="107" t="s">
        <v>437</v>
      </c>
      <c r="P11" s="102"/>
      <c r="Q11" s="101"/>
      <c r="R11" s="101"/>
      <c r="S11" s="101"/>
      <c r="T11" s="98"/>
      <c r="U11" s="281" t="s">
        <v>437</v>
      </c>
      <c r="V11" s="106" t="s">
        <v>437</v>
      </c>
      <c r="W11" s="106" t="s">
        <v>437</v>
      </c>
      <c r="X11" s="106" t="s">
        <v>437</v>
      </c>
      <c r="Y11" s="106" t="s">
        <v>437</v>
      </c>
      <c r="Z11" s="100"/>
      <c r="AA11" s="101"/>
      <c r="AB11" s="316" t="s">
        <v>24</v>
      </c>
      <c r="AC11" s="101"/>
      <c r="AD11" s="98"/>
      <c r="AE11" s="100"/>
      <c r="AF11" s="101"/>
      <c r="AG11" s="101"/>
      <c r="AH11" s="101"/>
      <c r="AI11" s="98"/>
      <c r="AJ11" s="100"/>
      <c r="AK11" s="101"/>
      <c r="AL11" s="101"/>
      <c r="AM11" s="101"/>
      <c r="AN11" s="103" t="s">
        <v>244</v>
      </c>
      <c r="AO11" s="100"/>
      <c r="AP11" s="101"/>
      <c r="AQ11" s="101"/>
      <c r="AR11" s="101"/>
      <c r="AS11" s="98"/>
      <c r="AT11" s="102"/>
      <c r="AU11" s="104"/>
      <c r="AV11" s="104"/>
      <c r="AW11" s="104"/>
      <c r="AX11" s="104"/>
      <c r="AY11" s="392"/>
      <c r="AZ11" s="102"/>
      <c r="BA11" s="101"/>
      <c r="BB11" s="101"/>
      <c r="BC11" s="101" t="s">
        <v>244</v>
      </c>
      <c r="BD11" s="103" t="s">
        <v>244</v>
      </c>
      <c r="BE11" s="100"/>
      <c r="BF11" s="101"/>
      <c r="BG11" s="101"/>
      <c r="BH11" s="101"/>
      <c r="BI11" s="98"/>
      <c r="BJ11" s="100"/>
      <c r="BK11" s="101"/>
      <c r="BL11" s="101"/>
      <c r="BM11" s="101"/>
      <c r="BN11" s="98"/>
      <c r="BO11" s="102"/>
      <c r="BP11" s="101"/>
      <c r="BQ11" s="101"/>
      <c r="BR11" s="101"/>
      <c r="BS11" s="98"/>
      <c r="BT11" s="102"/>
      <c r="BU11" s="101"/>
      <c r="BV11" s="101"/>
      <c r="BW11" s="101"/>
      <c r="BX11" s="98"/>
      <c r="BY11" s="100"/>
      <c r="BZ11" s="101"/>
      <c r="CA11" s="101"/>
      <c r="CB11" s="101"/>
      <c r="CC11" s="98"/>
      <c r="CD11" s="100"/>
      <c r="CE11" s="101"/>
      <c r="CF11" s="101"/>
      <c r="CG11" s="101"/>
      <c r="CH11" s="98"/>
      <c r="CI11" s="100"/>
      <c r="CJ11" s="101"/>
      <c r="CK11" s="101"/>
      <c r="CL11" s="101"/>
      <c r="CM11" s="98"/>
      <c r="CN11" s="102"/>
      <c r="CO11" s="101"/>
      <c r="CP11" s="101"/>
      <c r="CQ11" s="101"/>
      <c r="CR11" s="98"/>
      <c r="CS11" s="489"/>
      <c r="CT11" s="101"/>
      <c r="CU11" s="101"/>
      <c r="CV11" s="101"/>
      <c r="CW11" s="98"/>
      <c r="CX11" s="100"/>
      <c r="CY11" s="101"/>
      <c r="CZ11" s="101"/>
      <c r="DA11" s="101"/>
      <c r="DB11" s="98"/>
      <c r="DC11" s="100"/>
      <c r="DD11" s="101"/>
      <c r="DE11" s="101"/>
      <c r="DF11" s="101"/>
      <c r="DG11" s="103"/>
      <c r="DH11" s="116"/>
      <c r="DI11" s="117"/>
      <c r="DJ11" s="117"/>
      <c r="DK11" s="117"/>
      <c r="DL11" s="227"/>
      <c r="DM11" s="116"/>
      <c r="DN11" s="117"/>
      <c r="DO11" s="117"/>
      <c r="DP11" s="117"/>
      <c r="DR11" s="489"/>
      <c r="DS11" s="424"/>
      <c r="DT11" s="424"/>
      <c r="DV11" s="118"/>
      <c r="DW11" s="119"/>
      <c r="DX11" s="117"/>
      <c r="DY11" s="117"/>
      <c r="EB11" s="116"/>
      <c r="ED11" s="648" t="s">
        <v>803</v>
      </c>
      <c r="EE11" s="540" t="s">
        <v>476</v>
      </c>
      <c r="EG11" s="117"/>
      <c r="EH11" s="117"/>
      <c r="EI11" s="117"/>
      <c r="EJ11" s="117"/>
      <c r="EK11" s="117"/>
      <c r="EL11" s="117"/>
      <c r="EM11" s="117"/>
      <c r="EO11" s="508" t="s">
        <v>803</v>
      </c>
      <c r="EQ11" s="117"/>
      <c r="ER11" s="117"/>
      <c r="ES11" s="117"/>
      <c r="ET11" s="117"/>
      <c r="EU11" s="117"/>
      <c r="EV11" s="117"/>
      <c r="EW11" s="117"/>
      <c r="EX11" s="117"/>
      <c r="EY11" s="117"/>
      <c r="EZ11" s="101"/>
      <c r="FA11" s="117"/>
      <c r="FB11" s="117"/>
      <c r="FC11" s="117"/>
      <c r="FD11" s="117"/>
      <c r="FE11" s="117"/>
      <c r="FF11" s="491"/>
      <c r="FG11" s="491"/>
      <c r="FH11" s="491"/>
      <c r="FI11" s="117"/>
      <c r="FJ11" s="117"/>
      <c r="FK11" s="117"/>
      <c r="FL11" s="117"/>
      <c r="FM11" s="117"/>
      <c r="FN11" s="117"/>
      <c r="FO11" s="117"/>
      <c r="FP11" s="101"/>
      <c r="FQ11" s="117"/>
      <c r="FR11" s="117"/>
      <c r="FS11" s="117"/>
      <c r="FT11" s="491"/>
      <c r="FU11" s="491"/>
      <c r="FV11" s="117"/>
      <c r="FW11" s="117"/>
      <c r="FX11" s="117"/>
      <c r="FY11" s="117"/>
      <c r="FZ11" s="117"/>
      <c r="GA11" s="117"/>
      <c r="GB11" s="117"/>
      <c r="GC11" s="117"/>
      <c r="GD11" s="117"/>
      <c r="GE11" s="117"/>
      <c r="GG11" s="491"/>
      <c r="GH11" s="101"/>
      <c r="GI11" s="101"/>
      <c r="GJ11" s="101"/>
      <c r="GK11" s="101"/>
      <c r="GL11" s="101"/>
      <c r="GM11" s="491"/>
      <c r="GN11" s="101"/>
      <c r="GO11" s="117"/>
      <c r="GP11" s="117"/>
      <c r="GQ11" s="101"/>
      <c r="GR11" s="101"/>
      <c r="GS11" s="491"/>
      <c r="GT11" s="101"/>
      <c r="GX11" s="101"/>
      <c r="GY11" s="491"/>
      <c r="HB11" s="552" t="s">
        <v>1052</v>
      </c>
      <c r="HC11" s="552" t="s">
        <v>1052</v>
      </c>
      <c r="HD11" s="552" t="s">
        <v>1052</v>
      </c>
      <c r="HE11" s="491"/>
      <c r="HF11" s="552" t="s">
        <v>1052</v>
      </c>
      <c r="HG11" s="552" t="s">
        <v>1052</v>
      </c>
      <c r="HH11" s="552" t="s">
        <v>1052</v>
      </c>
      <c r="HI11" s="334" t="s">
        <v>1057</v>
      </c>
      <c r="HK11" s="491"/>
      <c r="HN11" s="491"/>
      <c r="HO11" s="101"/>
      <c r="HP11" s="334" t="s">
        <v>1056</v>
      </c>
      <c r="HQ11" s="491"/>
      <c r="HS11" s="227"/>
      <c r="HT11" s="117"/>
      <c r="HU11" s="117"/>
      <c r="HV11" s="117"/>
      <c r="HW11" s="491"/>
      <c r="HX11" s="552" t="s">
        <v>1052</v>
      </c>
      <c r="HY11" s="552" t="s">
        <v>1052</v>
      </c>
      <c r="HZ11" s="552" t="s">
        <v>1052</v>
      </c>
      <c r="IA11" s="552" t="s">
        <v>1052</v>
      </c>
      <c r="IB11" s="552" t="s">
        <v>1052</v>
      </c>
      <c r="IC11" s="491"/>
      <c r="ID11" s="552" t="s">
        <v>1052</v>
      </c>
      <c r="IE11" s="552" t="s">
        <v>1052</v>
      </c>
      <c r="IF11" s="508" t="s">
        <v>1052</v>
      </c>
      <c r="IG11" s="117"/>
      <c r="IH11" s="491"/>
      <c r="II11" s="491"/>
      <c r="IJ11" s="491"/>
      <c r="IK11" s="334" t="s">
        <v>1056</v>
      </c>
      <c r="IL11" s="117"/>
      <c r="IM11" s="117"/>
      <c r="IN11" s="117"/>
      <c r="IO11" s="491"/>
      <c r="IP11" s="880" t="s">
        <v>1064</v>
      </c>
      <c r="IQ11" s="880" t="s">
        <v>1064</v>
      </c>
      <c r="IR11" s="880" t="s">
        <v>1064</v>
      </c>
      <c r="IS11" s="880" t="s">
        <v>1064</v>
      </c>
      <c r="IT11" s="880" t="s">
        <v>1064</v>
      </c>
      <c r="IU11" s="491"/>
      <c r="IV11" s="880" t="s">
        <v>1064</v>
      </c>
      <c r="IW11" s="880" t="s">
        <v>1064</v>
      </c>
      <c r="IX11" s="880" t="s">
        <v>1064</v>
      </c>
      <c r="IY11" s="880" t="s">
        <v>1064</v>
      </c>
      <c r="IZ11" s="880" t="s">
        <v>1064</v>
      </c>
      <c r="JA11" s="880" t="s">
        <v>1064</v>
      </c>
      <c r="JB11" s="880" t="s">
        <v>1064</v>
      </c>
      <c r="JC11" s="880" t="s">
        <v>1064</v>
      </c>
      <c r="JD11" s="880" t="s">
        <v>1064</v>
      </c>
      <c r="JE11" s="880" t="s">
        <v>1064</v>
      </c>
    </row>
    <row r="12" spans="1:265" ht="24.95" hidden="1" customHeight="1">
      <c r="A12" s="403" t="s">
        <v>699</v>
      </c>
      <c r="B12" s="201">
        <v>270</v>
      </c>
      <c r="C12" s="201">
        <v>200</v>
      </c>
      <c r="D12" s="407">
        <f t="shared" si="0"/>
        <v>1.35</v>
      </c>
      <c r="E12" s="188"/>
      <c r="F12" s="105"/>
      <c r="G12" s="106"/>
      <c r="H12" s="106"/>
      <c r="I12" s="106"/>
      <c r="J12" s="237"/>
      <c r="K12" s="105" t="s">
        <v>437</v>
      </c>
      <c r="L12" s="106" t="s">
        <v>437</v>
      </c>
      <c r="M12" s="106" t="s">
        <v>437</v>
      </c>
      <c r="N12" s="106" t="s">
        <v>437</v>
      </c>
      <c r="O12" s="107" t="s">
        <v>437</v>
      </c>
      <c r="P12" s="102"/>
      <c r="Q12" s="101"/>
      <c r="R12" s="101"/>
      <c r="S12" s="101"/>
      <c r="T12" s="98"/>
      <c r="U12" s="281" t="s">
        <v>437</v>
      </c>
      <c r="V12" s="106" t="s">
        <v>437</v>
      </c>
      <c r="W12" s="106" t="s">
        <v>437</v>
      </c>
      <c r="X12" s="106" t="s">
        <v>437</v>
      </c>
      <c r="Y12" s="106" t="s">
        <v>437</v>
      </c>
      <c r="Z12" s="100"/>
      <c r="AA12" s="101"/>
      <c r="AB12" s="316" t="s">
        <v>506</v>
      </c>
      <c r="AC12" s="316" t="s">
        <v>474</v>
      </c>
      <c r="AD12" s="317" t="s">
        <v>506</v>
      </c>
      <c r="AE12" s="334" t="s">
        <v>474</v>
      </c>
      <c r="AF12" s="101"/>
      <c r="AG12" s="101"/>
      <c r="AH12" s="101"/>
      <c r="AI12" s="98"/>
      <c r="AL12" s="101"/>
      <c r="AM12" s="101"/>
      <c r="AN12" s="103" t="s">
        <v>244</v>
      </c>
      <c r="AO12" s="100"/>
      <c r="AP12" s="336" t="s">
        <v>474</v>
      </c>
      <c r="AQ12" s="336" t="s">
        <v>474</v>
      </c>
      <c r="AR12" s="336" t="s">
        <v>476</v>
      </c>
      <c r="AS12" s="98"/>
      <c r="AT12" s="119"/>
      <c r="AU12" s="117"/>
      <c r="AV12" s="104"/>
      <c r="AW12" s="104"/>
      <c r="AX12" s="104"/>
      <c r="AY12" s="392"/>
      <c r="AZ12" s="102"/>
      <c r="BA12" s="101"/>
      <c r="BB12" s="101"/>
      <c r="BC12" s="101" t="s">
        <v>244</v>
      </c>
      <c r="BD12" s="103" t="s">
        <v>244</v>
      </c>
      <c r="BE12" s="100"/>
      <c r="BF12" s="101"/>
      <c r="BG12" s="101"/>
      <c r="BH12" s="101"/>
      <c r="BI12" s="98"/>
      <c r="BJ12" s="100"/>
      <c r="BK12" s="101"/>
      <c r="BL12" s="101"/>
      <c r="BM12" s="101"/>
      <c r="BN12" s="98"/>
      <c r="BO12" s="102"/>
      <c r="BP12" s="101"/>
      <c r="BQ12" s="101"/>
      <c r="BR12" s="101"/>
      <c r="BS12" s="98"/>
      <c r="BT12" s="441" t="s">
        <v>506</v>
      </c>
      <c r="BU12" s="441" t="s">
        <v>506</v>
      </c>
      <c r="BV12" s="441" t="s">
        <v>506</v>
      </c>
      <c r="BW12" s="101"/>
      <c r="BX12" s="98"/>
      <c r="BY12" s="100"/>
      <c r="BZ12" s="101"/>
      <c r="CA12" s="101"/>
      <c r="CB12" s="101"/>
      <c r="CC12" s="98"/>
      <c r="CD12" s="100"/>
      <c r="CE12" s="101"/>
      <c r="CF12" s="101"/>
      <c r="CG12" s="101"/>
      <c r="CH12" s="98"/>
      <c r="CI12" s="476"/>
      <c r="CJ12" s="238"/>
      <c r="CK12" s="101"/>
      <c r="CL12" s="101"/>
      <c r="CM12" s="98"/>
      <c r="CN12" s="102"/>
      <c r="CO12" s="101"/>
      <c r="CP12" s="101"/>
      <c r="CQ12" s="101"/>
      <c r="CR12" s="494"/>
      <c r="CS12" s="489"/>
      <c r="CT12" s="494"/>
      <c r="CV12" s="101"/>
      <c r="CW12" s="98"/>
      <c r="CX12" s="100"/>
      <c r="CY12" s="101"/>
      <c r="CZ12" s="101"/>
      <c r="DA12" s="101"/>
      <c r="DB12" s="98"/>
      <c r="DC12" s="100"/>
      <c r="DD12" s="101"/>
      <c r="DE12" s="101"/>
      <c r="DF12" s="101"/>
      <c r="DG12" s="103"/>
      <c r="DH12" s="116"/>
      <c r="DI12" s="117"/>
      <c r="DM12" s="116"/>
      <c r="DR12" s="489"/>
      <c r="DS12" s="424"/>
      <c r="DT12" s="424"/>
      <c r="DU12" s="424"/>
      <c r="DV12" s="494" t="s">
        <v>506</v>
      </c>
      <c r="DX12" s="569" t="s">
        <v>476</v>
      </c>
      <c r="DY12" s="494" t="s">
        <v>506</v>
      </c>
      <c r="EA12" s="118"/>
      <c r="EB12" s="116"/>
      <c r="EC12" s="117"/>
      <c r="ED12" s="117"/>
      <c r="EE12" s="117"/>
      <c r="EF12" s="227"/>
      <c r="EG12" s="117"/>
      <c r="EH12" s="117"/>
      <c r="EI12" s="117"/>
      <c r="EJ12" s="117"/>
      <c r="EK12" s="117"/>
      <c r="EL12" s="117"/>
      <c r="EM12" s="117"/>
      <c r="EN12" s="666" t="s">
        <v>803</v>
      </c>
      <c r="EO12" s="117"/>
      <c r="EP12" s="117"/>
      <c r="EQ12" s="117"/>
      <c r="ER12" s="117"/>
      <c r="ES12" s="117"/>
      <c r="ET12" s="117"/>
      <c r="EU12" s="117"/>
      <c r="EV12" s="316" t="s">
        <v>803</v>
      </c>
      <c r="EW12" s="117"/>
      <c r="EY12" s="117"/>
      <c r="EZ12" s="101"/>
      <c r="FA12" s="117"/>
      <c r="FC12" s="117"/>
      <c r="FD12" s="316" t="s">
        <v>476</v>
      </c>
      <c r="FE12" s="117"/>
      <c r="FF12" s="491"/>
      <c r="FG12" s="491"/>
      <c r="FH12" s="491"/>
      <c r="FI12" s="117"/>
      <c r="FJ12" s="117"/>
      <c r="FK12" s="117"/>
      <c r="FL12" s="117"/>
      <c r="FM12" s="117"/>
      <c r="FN12" s="117"/>
      <c r="FO12" s="117"/>
      <c r="FQ12" s="117"/>
      <c r="FR12" s="117"/>
      <c r="FS12" s="117"/>
      <c r="FT12" s="491"/>
      <c r="FU12" s="491"/>
      <c r="FV12" s="117"/>
      <c r="FW12" s="117"/>
      <c r="FX12" s="117"/>
      <c r="FY12" s="117"/>
      <c r="FZ12" s="117"/>
      <c r="GA12" s="117"/>
      <c r="GB12" s="117"/>
      <c r="GC12" s="117"/>
      <c r="GD12" s="117"/>
      <c r="GE12" s="117"/>
      <c r="GF12" s="117"/>
      <c r="GG12" s="491"/>
      <c r="GH12" s="438" t="s">
        <v>572</v>
      </c>
      <c r="GI12" s="438" t="s">
        <v>572</v>
      </c>
      <c r="GJ12" s="438" t="s">
        <v>572</v>
      </c>
      <c r="GK12" s="438" t="s">
        <v>572</v>
      </c>
      <c r="GL12" s="117"/>
      <c r="GM12" s="491"/>
      <c r="GN12" s="117"/>
      <c r="GO12" s="117"/>
      <c r="GP12" s="117"/>
      <c r="GQ12" s="117"/>
      <c r="GR12" s="117"/>
      <c r="GS12" s="491"/>
      <c r="GT12" s="117"/>
      <c r="GU12" s="117"/>
      <c r="GV12" s="117"/>
      <c r="GW12" s="117"/>
      <c r="GX12" s="117"/>
      <c r="GY12" s="491"/>
      <c r="GZ12" s="117"/>
      <c r="HA12" s="117"/>
      <c r="HB12" s="117"/>
      <c r="HC12" s="117"/>
      <c r="HD12" s="117"/>
      <c r="HE12" s="491"/>
      <c r="HF12" s="117"/>
      <c r="HG12" s="117"/>
      <c r="HH12" s="117"/>
      <c r="HI12" s="117"/>
      <c r="HJ12" s="117"/>
      <c r="HK12" s="491"/>
      <c r="HL12" s="117"/>
      <c r="HM12" s="117"/>
      <c r="HN12" s="491"/>
      <c r="HO12" s="117"/>
      <c r="HP12" s="117"/>
      <c r="HQ12" s="491"/>
      <c r="HR12" s="117"/>
      <c r="HS12" s="227"/>
      <c r="HT12" s="117"/>
      <c r="HU12" s="117"/>
      <c r="HV12" s="117"/>
      <c r="HW12" s="491"/>
      <c r="HX12" s="117"/>
      <c r="HY12" s="117"/>
      <c r="HZ12" s="117"/>
      <c r="IA12" s="117"/>
      <c r="IB12" s="117"/>
      <c r="IC12" s="491"/>
      <c r="ID12" s="117"/>
      <c r="IE12" s="117"/>
      <c r="IF12" s="117"/>
      <c r="IG12" s="117"/>
      <c r="IH12" s="491"/>
      <c r="II12" s="491"/>
      <c r="IJ12" s="491"/>
      <c r="IK12" s="117"/>
      <c r="IL12" s="117"/>
      <c r="IM12" s="117"/>
      <c r="IN12" s="117"/>
      <c r="IO12" s="491"/>
      <c r="IP12" s="117"/>
      <c r="IQ12" s="117"/>
      <c r="IR12" s="117"/>
      <c r="IS12" s="117"/>
      <c r="IT12" s="117"/>
      <c r="IU12" s="491"/>
    </row>
    <row r="13" spans="1:265" ht="24.95" hidden="1" customHeight="1">
      <c r="A13" s="825">
        <v>1860</v>
      </c>
      <c r="B13" s="201">
        <v>500</v>
      </c>
      <c r="C13" s="201">
        <v>150</v>
      </c>
      <c r="D13" s="407">
        <f t="shared" si="0"/>
        <v>3.3333333333333335</v>
      </c>
      <c r="E13" s="188"/>
      <c r="F13" s="105"/>
      <c r="G13" s="106"/>
      <c r="H13" s="106"/>
      <c r="I13" s="106"/>
      <c r="J13" s="237"/>
      <c r="K13" s="105" t="s">
        <v>437</v>
      </c>
      <c r="L13" s="106" t="s">
        <v>437</v>
      </c>
      <c r="M13" s="106" t="s">
        <v>437</v>
      </c>
      <c r="N13" s="106" t="s">
        <v>437</v>
      </c>
      <c r="O13" s="107" t="s">
        <v>437</v>
      </c>
      <c r="P13" s="102"/>
      <c r="Q13" s="101"/>
      <c r="R13" s="101"/>
      <c r="S13" s="101"/>
      <c r="T13" s="98"/>
      <c r="U13" s="281" t="s">
        <v>437</v>
      </c>
      <c r="V13" s="106" t="s">
        <v>437</v>
      </c>
      <c r="W13" s="106" t="s">
        <v>437</v>
      </c>
      <c r="X13" s="106" t="s">
        <v>437</v>
      </c>
      <c r="Y13" s="106" t="s">
        <v>437</v>
      </c>
      <c r="Z13" s="100"/>
      <c r="AA13" s="101"/>
      <c r="AB13" s="101"/>
      <c r="AC13" s="101"/>
      <c r="AD13" s="98"/>
      <c r="AE13" s="100"/>
      <c r="AF13" s="101"/>
      <c r="AG13" s="101"/>
      <c r="AH13" s="101"/>
      <c r="AI13" s="98"/>
      <c r="AJ13" s="100"/>
      <c r="AK13" s="103"/>
      <c r="AL13" s="101"/>
      <c r="AM13" s="101"/>
      <c r="AN13" s="103" t="s">
        <v>244</v>
      </c>
      <c r="AO13" s="100"/>
      <c r="AP13" s="101"/>
      <c r="AQ13" s="101"/>
      <c r="AR13" s="101"/>
      <c r="AS13" s="98"/>
      <c r="AT13" s="102"/>
      <c r="AU13" s="104"/>
      <c r="AV13" s="104"/>
      <c r="AW13" s="104"/>
      <c r="AX13" s="104"/>
      <c r="AY13" s="392"/>
      <c r="AZ13" s="102"/>
      <c r="BA13" s="101"/>
      <c r="BB13" s="101"/>
      <c r="BC13" s="101" t="s">
        <v>244</v>
      </c>
      <c r="BD13" s="103" t="s">
        <v>244</v>
      </c>
      <c r="BE13" s="100"/>
      <c r="BF13" s="101"/>
      <c r="BG13" s="101"/>
      <c r="BH13" s="101"/>
      <c r="BI13" s="98"/>
      <c r="BJ13" s="100"/>
      <c r="BK13" s="101"/>
      <c r="BL13" s="101"/>
      <c r="BM13" s="101"/>
      <c r="BN13" s="98"/>
      <c r="BO13" s="102"/>
      <c r="BP13" s="101"/>
      <c r="BQ13" s="101"/>
      <c r="BR13" s="101"/>
      <c r="BS13" s="98"/>
      <c r="BT13" s="102"/>
      <c r="BU13" s="101"/>
      <c r="BV13" s="101"/>
      <c r="BW13" s="101"/>
      <c r="BX13" s="98"/>
      <c r="BY13" s="100"/>
      <c r="BZ13" s="101"/>
      <c r="CA13" s="101"/>
      <c r="CB13" s="101"/>
      <c r="CC13" s="98"/>
      <c r="CD13" s="100"/>
      <c r="CE13" s="101"/>
      <c r="CF13" s="101"/>
      <c r="CG13" s="101"/>
      <c r="CH13" s="98"/>
      <c r="CI13" s="100"/>
      <c r="CJ13" s="101"/>
      <c r="CK13" s="101"/>
      <c r="CL13" s="101"/>
      <c r="CM13" s="98"/>
      <c r="CN13" s="102"/>
      <c r="CO13" s="101"/>
      <c r="CP13" s="101"/>
      <c r="CQ13" s="101"/>
      <c r="CR13" s="98"/>
      <c r="CS13" s="489"/>
      <c r="CT13" s="101"/>
      <c r="CU13" s="101"/>
      <c r="CV13" s="101"/>
      <c r="CW13" s="98"/>
      <c r="CX13" s="100"/>
      <c r="CY13" s="101"/>
      <c r="CZ13" s="101"/>
      <c r="DA13" s="101"/>
      <c r="DB13" s="98"/>
      <c r="DC13" s="100"/>
      <c r="DD13" s="101"/>
      <c r="DE13" s="101"/>
      <c r="DF13" s="101"/>
      <c r="DG13" s="103"/>
      <c r="DH13" s="116"/>
      <c r="DI13" s="117"/>
      <c r="DJ13" s="117"/>
      <c r="DK13" s="117"/>
      <c r="DL13" s="227"/>
      <c r="DM13" s="116"/>
      <c r="DN13" s="117"/>
      <c r="DO13" s="117"/>
      <c r="DP13" s="117"/>
      <c r="DQ13" s="227"/>
      <c r="DR13" s="489"/>
      <c r="DS13" s="117"/>
      <c r="DT13" s="117"/>
      <c r="DU13" s="117"/>
      <c r="DV13" s="118"/>
      <c r="DW13" s="119"/>
      <c r="DX13" s="117"/>
      <c r="DY13" s="117"/>
      <c r="DZ13" s="117"/>
      <c r="EA13" s="118"/>
      <c r="EB13" s="116"/>
      <c r="EC13" s="117"/>
      <c r="ED13" s="117"/>
      <c r="EE13" s="117"/>
      <c r="EF13" s="22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17"/>
      <c r="ER13" s="117"/>
      <c r="ES13" s="117"/>
      <c r="ET13" s="117"/>
      <c r="EU13" s="117"/>
      <c r="EV13" s="117"/>
      <c r="EW13" s="117"/>
      <c r="EX13" s="117"/>
      <c r="EY13" s="117"/>
      <c r="EZ13" s="101"/>
      <c r="FA13" s="117"/>
      <c r="FB13" s="117"/>
      <c r="FC13" s="117"/>
      <c r="FD13" s="117"/>
      <c r="FE13" s="117"/>
      <c r="FF13" s="491"/>
      <c r="FG13" s="491"/>
      <c r="FH13" s="491"/>
      <c r="FI13" s="117"/>
      <c r="FJ13" s="117"/>
      <c r="FK13" s="117"/>
      <c r="FL13" s="117"/>
      <c r="FM13" s="117"/>
      <c r="FN13" s="117"/>
      <c r="FO13" s="117"/>
      <c r="FP13" s="117"/>
      <c r="FQ13" s="117"/>
      <c r="FR13" s="117"/>
      <c r="FS13" s="117"/>
      <c r="FT13" s="491"/>
      <c r="FU13" s="491"/>
      <c r="FV13" s="117"/>
      <c r="FW13" s="117"/>
      <c r="FX13" s="117"/>
      <c r="FY13" s="117"/>
      <c r="FZ13" s="117"/>
      <c r="GA13" s="117"/>
      <c r="GB13" s="117"/>
      <c r="GC13" s="117"/>
      <c r="GD13" s="117"/>
      <c r="GE13" s="117"/>
      <c r="GF13" s="117"/>
      <c r="GG13" s="491"/>
      <c r="GH13" s="117"/>
      <c r="GI13" s="117"/>
      <c r="GJ13" s="117"/>
      <c r="GK13" s="117"/>
      <c r="GL13" s="117"/>
      <c r="GM13" s="491"/>
      <c r="GN13" s="117"/>
      <c r="GO13" s="117"/>
      <c r="GS13" s="491"/>
      <c r="GV13" s="101"/>
      <c r="GW13" s="552" t="s">
        <v>572</v>
      </c>
      <c r="GX13" s="552" t="s">
        <v>572</v>
      </c>
      <c r="GY13" s="491"/>
      <c r="GZ13" s="552" t="s">
        <v>572</v>
      </c>
      <c r="HA13" s="552" t="s">
        <v>572</v>
      </c>
      <c r="HB13" s="117"/>
      <c r="HC13" s="117"/>
      <c r="HD13" s="117"/>
      <c r="HE13" s="491"/>
      <c r="HF13" s="117"/>
      <c r="HG13" s="117"/>
      <c r="HH13" s="117"/>
      <c r="HI13" s="117"/>
      <c r="HJ13" s="117"/>
      <c r="HK13" s="491"/>
      <c r="HL13" s="117"/>
      <c r="HM13" s="117"/>
      <c r="HN13" s="491"/>
      <c r="HO13" s="117"/>
      <c r="HP13" s="117"/>
      <c r="HQ13" s="491"/>
      <c r="HR13" s="117"/>
      <c r="HS13" s="227"/>
      <c r="HT13" s="117"/>
      <c r="HU13" s="117"/>
      <c r="HV13" s="117"/>
      <c r="HW13" s="491"/>
      <c r="HX13" s="117"/>
      <c r="HY13" s="117"/>
      <c r="HZ13" s="117"/>
      <c r="IA13" s="117"/>
      <c r="IB13" s="117"/>
      <c r="IC13" s="491"/>
      <c r="ID13" s="117"/>
      <c r="IE13" s="117"/>
      <c r="IF13" s="117"/>
      <c r="IG13" s="117"/>
      <c r="IH13" s="491"/>
      <c r="II13" s="491"/>
      <c r="IJ13" s="491"/>
      <c r="IK13" s="117"/>
      <c r="IL13" s="117"/>
      <c r="IM13" s="117"/>
      <c r="IN13" s="117"/>
      <c r="IO13" s="491"/>
      <c r="IP13" s="117"/>
      <c r="IQ13" s="117"/>
      <c r="IR13" s="117"/>
      <c r="IS13" s="117"/>
      <c r="IT13" s="117"/>
      <c r="IU13" s="491"/>
    </row>
    <row r="14" spans="1:265" ht="26.25" hidden="1" customHeight="1">
      <c r="A14" s="825" t="s">
        <v>1038</v>
      </c>
      <c r="B14" s="201">
        <v>1000</v>
      </c>
      <c r="C14" s="201">
        <v>100</v>
      </c>
      <c r="D14" s="407">
        <f t="shared" si="0"/>
        <v>10</v>
      </c>
      <c r="E14" s="188"/>
      <c r="F14" s="105"/>
      <c r="G14" s="106"/>
      <c r="H14" s="106"/>
      <c r="I14" s="106"/>
      <c r="J14" s="237"/>
      <c r="K14" s="105"/>
      <c r="L14" s="106"/>
      <c r="M14" s="106"/>
      <c r="N14" s="106"/>
      <c r="O14" s="107"/>
      <c r="P14" s="102"/>
      <c r="Q14" s="101"/>
      <c r="R14" s="101"/>
      <c r="S14" s="101"/>
      <c r="T14" s="98"/>
      <c r="U14" s="281"/>
      <c r="V14" s="106"/>
      <c r="W14" s="106"/>
      <c r="X14" s="106"/>
      <c r="Y14" s="106"/>
      <c r="Z14" s="100"/>
      <c r="AA14" s="101"/>
      <c r="AB14" s="101"/>
      <c r="AC14" s="101"/>
      <c r="AD14" s="98"/>
      <c r="AE14" s="102"/>
      <c r="AF14" s="101"/>
      <c r="AG14" s="101"/>
      <c r="AH14" s="101"/>
      <c r="AI14" s="98"/>
      <c r="AJ14" s="830"/>
      <c r="AK14" s="103"/>
      <c r="AL14" s="101"/>
      <c r="AM14" s="101"/>
      <c r="AN14" s="103"/>
      <c r="AO14" s="100"/>
      <c r="AP14" s="101"/>
      <c r="AQ14" s="101"/>
      <c r="AR14" s="101"/>
      <c r="AS14" s="98"/>
      <c r="AT14" s="102"/>
      <c r="AU14" s="104"/>
      <c r="AV14" s="104"/>
      <c r="AW14" s="104"/>
      <c r="AX14" s="104"/>
      <c r="AY14" s="392"/>
      <c r="AZ14" s="102"/>
      <c r="BA14" s="101"/>
      <c r="BB14" s="101"/>
      <c r="BC14" s="101"/>
      <c r="BD14" s="103"/>
      <c r="BE14" s="100"/>
      <c r="BF14" s="101"/>
      <c r="BG14" s="101"/>
      <c r="BH14" s="101"/>
      <c r="BI14" s="98"/>
      <c r="BJ14" s="100"/>
      <c r="BK14" s="101"/>
      <c r="BL14" s="101"/>
      <c r="BM14" s="101"/>
      <c r="BN14" s="98"/>
      <c r="BO14" s="102"/>
      <c r="BP14" s="101"/>
      <c r="BQ14" s="101"/>
      <c r="BR14" s="101"/>
      <c r="BS14" s="98"/>
      <c r="BT14" s="187"/>
      <c r="BU14" s="103"/>
      <c r="BV14" s="101"/>
      <c r="BW14" s="101"/>
      <c r="BX14" s="98"/>
      <c r="BY14" s="100"/>
      <c r="BZ14" s="101"/>
      <c r="CA14" s="101"/>
      <c r="CB14" s="101"/>
      <c r="CC14" s="98"/>
      <c r="CD14" s="100"/>
      <c r="CE14" s="101"/>
      <c r="CF14" s="101"/>
      <c r="CG14" s="101"/>
      <c r="CH14" s="98"/>
      <c r="CI14" s="100"/>
      <c r="CJ14" s="101"/>
      <c r="CK14" s="101"/>
      <c r="CL14" s="101"/>
      <c r="CM14" s="98"/>
      <c r="CN14" s="102"/>
      <c r="CO14" s="101"/>
      <c r="CP14" s="101"/>
      <c r="CQ14" s="101"/>
      <c r="CR14" s="98"/>
      <c r="CS14" s="489"/>
      <c r="CT14" s="101"/>
      <c r="CU14" s="101"/>
      <c r="CV14" s="101"/>
      <c r="CW14" s="98"/>
      <c r="CX14" s="100"/>
      <c r="CY14" s="101"/>
      <c r="CZ14" s="101"/>
      <c r="DA14" s="101"/>
      <c r="DB14" s="98"/>
      <c r="DC14" s="830"/>
      <c r="DD14" s="830"/>
      <c r="DE14" s="830"/>
      <c r="DF14" s="830"/>
      <c r="DG14" s="830"/>
      <c r="DH14" s="116"/>
      <c r="DI14" s="119"/>
      <c r="DJ14" s="119"/>
      <c r="DK14" s="119"/>
      <c r="DL14" s="227"/>
      <c r="DM14" s="116"/>
      <c r="DN14" s="117"/>
      <c r="DO14" s="424"/>
      <c r="DP14" s="424"/>
      <c r="DQ14" s="424"/>
      <c r="DR14" s="489"/>
      <c r="DS14" s="424"/>
      <c r="DT14" s="424"/>
      <c r="DU14" s="190"/>
      <c r="DV14" s="831"/>
      <c r="DW14" s="424"/>
      <c r="DX14" s="117"/>
      <c r="DY14" s="117"/>
      <c r="DZ14" s="424"/>
      <c r="EA14" s="424"/>
      <c r="EB14" s="116"/>
      <c r="EC14" s="117"/>
      <c r="ED14" s="117"/>
      <c r="EE14" s="117"/>
      <c r="EF14" s="227"/>
      <c r="EG14" s="424"/>
      <c r="EH14" s="117"/>
      <c r="EI14" s="117"/>
      <c r="EJ14" s="117"/>
      <c r="EK14" s="117"/>
      <c r="EL14" s="117"/>
      <c r="EM14" s="117"/>
      <c r="EN14" s="117"/>
      <c r="EO14" s="424"/>
      <c r="EP14" s="117"/>
      <c r="EQ14" s="117"/>
      <c r="ER14" s="117"/>
      <c r="ES14" s="117"/>
      <c r="ET14" s="117"/>
      <c r="EU14" s="117"/>
      <c r="EV14" s="117"/>
      <c r="EW14" s="227"/>
      <c r="EX14" s="117"/>
      <c r="EY14" s="117"/>
      <c r="EZ14" s="101"/>
      <c r="FA14" s="117"/>
      <c r="FB14" s="117"/>
      <c r="FC14" s="117"/>
      <c r="FD14" s="117"/>
      <c r="FE14" s="117"/>
      <c r="FF14" s="491"/>
      <c r="FG14" s="491"/>
      <c r="FH14" s="491"/>
      <c r="FI14" s="424"/>
      <c r="FJ14" s="117"/>
      <c r="FK14" s="117"/>
      <c r="FL14" s="117"/>
      <c r="FM14" s="117"/>
      <c r="FN14" s="117"/>
      <c r="FO14" s="117"/>
      <c r="FP14" s="424"/>
      <c r="FQ14" s="117"/>
      <c r="FR14" s="117"/>
      <c r="FS14" s="117"/>
      <c r="FT14" s="491"/>
      <c r="FU14" s="491"/>
      <c r="FV14" s="117"/>
      <c r="FW14" s="117"/>
      <c r="FX14" s="117"/>
      <c r="FY14" s="117"/>
      <c r="FZ14" s="117"/>
      <c r="GA14" s="117"/>
      <c r="GB14" s="117"/>
      <c r="GC14" s="117"/>
      <c r="GD14" s="336" t="s">
        <v>1055</v>
      </c>
      <c r="GE14" s="336" t="s">
        <v>1055</v>
      </c>
      <c r="GF14" s="336" t="s">
        <v>1055</v>
      </c>
      <c r="GG14" s="491"/>
      <c r="GH14" s="762" t="s">
        <v>1055</v>
      </c>
      <c r="GI14" s="336" t="s">
        <v>1055</v>
      </c>
      <c r="GJ14" s="316" t="s">
        <v>1055</v>
      </c>
      <c r="GK14" s="316" t="s">
        <v>1055</v>
      </c>
      <c r="GL14" s="316" t="s">
        <v>1055</v>
      </c>
      <c r="GM14" s="491"/>
      <c r="GN14" s="316" t="s">
        <v>1055</v>
      </c>
      <c r="GO14" s="316" t="s">
        <v>1055</v>
      </c>
      <c r="GP14" s="316" t="s">
        <v>1055</v>
      </c>
      <c r="GQ14" s="101"/>
      <c r="GR14" s="316" t="s">
        <v>1055</v>
      </c>
      <c r="GS14" s="491"/>
      <c r="GT14" s="334" t="s">
        <v>1098</v>
      </c>
      <c r="GU14" s="316" t="s">
        <v>1117</v>
      </c>
      <c r="GV14" s="316" t="s">
        <v>1117</v>
      </c>
      <c r="GY14" s="491"/>
      <c r="HC14" s="552" t="s">
        <v>1054</v>
      </c>
      <c r="HD14" s="552" t="s">
        <v>1054</v>
      </c>
      <c r="HE14" s="491"/>
      <c r="HK14" s="491"/>
      <c r="HL14" s="508" t="s">
        <v>1053</v>
      </c>
      <c r="HM14" s="508" t="s">
        <v>1175</v>
      </c>
      <c r="HN14" s="491"/>
      <c r="HO14" s="508" t="s">
        <v>1175</v>
      </c>
      <c r="HP14" s="508" t="s">
        <v>1175</v>
      </c>
      <c r="HQ14" s="491"/>
      <c r="HR14" s="508" t="s">
        <v>1175</v>
      </c>
      <c r="HS14" s="334" t="s">
        <v>1056</v>
      </c>
      <c r="HW14" s="491"/>
      <c r="IB14" s="117"/>
      <c r="IC14" s="491"/>
      <c r="IH14" s="491"/>
      <c r="II14" s="491"/>
      <c r="IJ14" s="491"/>
      <c r="IK14" s="508" t="s">
        <v>1053</v>
      </c>
      <c r="IL14" s="508" t="s">
        <v>1053</v>
      </c>
      <c r="IM14" s="508" t="s">
        <v>1117</v>
      </c>
      <c r="IN14" s="508" t="s">
        <v>1117</v>
      </c>
      <c r="IO14" s="491"/>
      <c r="IP14" s="117"/>
      <c r="IQ14" s="334" t="s">
        <v>1056</v>
      </c>
      <c r="IR14" s="117"/>
      <c r="IS14" s="117"/>
      <c r="IT14" s="117"/>
      <c r="IU14" s="491"/>
    </row>
    <row r="15" spans="1:265" ht="24.95" hidden="1" customHeight="1">
      <c r="A15" s="403" t="s">
        <v>1042</v>
      </c>
      <c r="B15" s="201">
        <v>500</v>
      </c>
      <c r="C15" s="201">
        <v>100</v>
      </c>
      <c r="D15" s="407">
        <f t="shared" si="0"/>
        <v>5</v>
      </c>
      <c r="E15" s="188"/>
      <c r="F15" s="105"/>
      <c r="G15" s="106"/>
      <c r="H15" s="106"/>
      <c r="I15" s="106"/>
      <c r="J15" s="237"/>
      <c r="K15" s="105"/>
      <c r="L15" s="106"/>
      <c r="M15" s="106"/>
      <c r="N15" s="106"/>
      <c r="O15" s="107"/>
      <c r="P15" s="102"/>
      <c r="Q15" s="101"/>
      <c r="R15" s="101"/>
      <c r="S15" s="101"/>
      <c r="T15" s="98"/>
      <c r="U15" s="281"/>
      <c r="V15" s="106"/>
      <c r="W15" s="106"/>
      <c r="X15" s="106"/>
      <c r="Y15" s="106"/>
      <c r="Z15" s="100"/>
      <c r="AA15" s="101"/>
      <c r="AB15" s="101"/>
      <c r="AC15" s="101"/>
      <c r="AD15" s="98"/>
      <c r="AE15" s="391"/>
      <c r="AF15" s="101"/>
      <c r="AG15" s="101"/>
      <c r="AH15" s="101"/>
      <c r="AI15" s="98"/>
      <c r="AK15" s="103"/>
      <c r="AL15" s="101"/>
      <c r="AM15" s="101"/>
      <c r="AN15" s="103"/>
      <c r="AO15" s="100"/>
      <c r="AP15" s="101"/>
      <c r="AQ15" s="101"/>
      <c r="AR15" s="101"/>
      <c r="AS15" s="98"/>
      <c r="AT15" s="102"/>
      <c r="AU15" s="104"/>
      <c r="AV15" s="104"/>
      <c r="AW15" s="104"/>
      <c r="AX15" s="104"/>
      <c r="AY15" s="392"/>
      <c r="AZ15" s="102"/>
      <c r="BA15" s="101"/>
      <c r="BB15" s="101"/>
      <c r="BC15" s="101"/>
      <c r="BD15" s="103"/>
      <c r="BE15" s="100"/>
      <c r="BF15" s="101"/>
      <c r="BG15" s="101"/>
      <c r="BH15" s="101"/>
      <c r="BI15" s="98"/>
      <c r="BJ15" s="100"/>
      <c r="BK15" s="101"/>
      <c r="BL15" s="101"/>
      <c r="BM15" s="101"/>
      <c r="BN15" s="98"/>
      <c r="BO15" s="102"/>
      <c r="BP15" s="101"/>
      <c r="BQ15" s="438"/>
      <c r="BR15" s="438"/>
      <c r="BS15" s="417"/>
      <c r="BT15" s="826"/>
      <c r="BU15" s="827"/>
      <c r="BV15" s="101"/>
      <c r="BW15" s="101"/>
      <c r="BX15" s="98"/>
      <c r="BY15" s="100"/>
      <c r="BZ15" s="101"/>
      <c r="CA15" s="101"/>
      <c r="CB15" s="101"/>
      <c r="CC15" s="98"/>
      <c r="CD15" s="100"/>
      <c r="CE15" s="101"/>
      <c r="CF15" s="101"/>
      <c r="CG15" s="101"/>
      <c r="CH15" s="98"/>
      <c r="CI15" s="100"/>
      <c r="CJ15" s="101"/>
      <c r="CK15" s="101"/>
      <c r="CL15" s="101"/>
      <c r="CM15" s="98"/>
      <c r="CN15" s="102"/>
      <c r="CO15" s="101"/>
      <c r="CP15" s="101"/>
      <c r="CQ15" s="101"/>
      <c r="CR15" s="98"/>
      <c r="CS15" s="489"/>
      <c r="CT15" s="101"/>
      <c r="CU15" s="101"/>
      <c r="CV15" s="101"/>
      <c r="CW15" s="98"/>
      <c r="CX15" s="100"/>
      <c r="CY15" s="101"/>
      <c r="CZ15" s="101"/>
      <c r="DA15" s="101"/>
      <c r="DB15" s="98"/>
      <c r="DH15" s="100"/>
      <c r="DI15" s="102"/>
      <c r="DJ15" s="485"/>
      <c r="DK15" s="485"/>
      <c r="DL15" s="505"/>
      <c r="DM15" s="504"/>
      <c r="DN15" s="486"/>
      <c r="DR15" s="489"/>
      <c r="DU15" s="828"/>
      <c r="DV15" s="829"/>
      <c r="DX15" s="486"/>
      <c r="DY15" s="486"/>
      <c r="EB15" s="116"/>
      <c r="EC15" s="117"/>
      <c r="ED15" s="117"/>
      <c r="EE15" s="117"/>
      <c r="EF15" s="227"/>
      <c r="EH15" s="117"/>
      <c r="EI15" s="117"/>
      <c r="EJ15" s="117"/>
      <c r="EK15" s="117"/>
      <c r="EL15" s="117"/>
      <c r="EM15" s="117"/>
      <c r="EN15" s="117"/>
      <c r="EP15" s="117"/>
      <c r="EQ15" s="117"/>
      <c r="ER15" s="117"/>
      <c r="ES15" s="117"/>
      <c r="ET15" s="117"/>
      <c r="EU15" s="117"/>
      <c r="EV15" s="117"/>
      <c r="EW15" s="103"/>
      <c r="EX15" s="117"/>
      <c r="EY15" s="117"/>
      <c r="EZ15" s="101"/>
      <c r="FA15" s="117"/>
      <c r="FB15" s="117"/>
      <c r="FC15" s="117"/>
      <c r="FD15" s="117"/>
      <c r="FE15" s="117"/>
      <c r="FF15" s="491"/>
      <c r="FG15" s="491"/>
      <c r="FH15" s="491"/>
      <c r="FJ15" s="316"/>
      <c r="FK15" s="316"/>
      <c r="FL15" s="316"/>
      <c r="FM15" s="117"/>
      <c r="FN15" s="117"/>
      <c r="FO15" s="117"/>
      <c r="FQ15" s="117"/>
      <c r="FR15" s="117"/>
      <c r="FS15" s="117"/>
      <c r="FT15" s="491"/>
      <c r="FU15" s="491"/>
      <c r="FV15" s="117"/>
      <c r="FW15" s="117"/>
      <c r="FX15" s="117"/>
      <c r="FY15" s="117"/>
      <c r="FZ15" s="117"/>
      <c r="GA15" s="117"/>
      <c r="GB15" s="117"/>
      <c r="GC15" s="117"/>
      <c r="GD15" s="238" t="s">
        <v>244</v>
      </c>
      <c r="GE15" s="238" t="s">
        <v>788</v>
      </c>
      <c r="GF15" s="238" t="s">
        <v>1063</v>
      </c>
      <c r="GG15" s="491"/>
      <c r="GH15" s="101"/>
      <c r="GI15" s="101"/>
      <c r="GJ15" s="316" t="s">
        <v>788</v>
      </c>
      <c r="GK15" s="316" t="s">
        <v>788</v>
      </c>
      <c r="GL15" s="316" t="s">
        <v>788</v>
      </c>
      <c r="GM15" s="491"/>
      <c r="GN15" s="316" t="s">
        <v>788</v>
      </c>
      <c r="GO15" s="316" t="s">
        <v>788</v>
      </c>
      <c r="GP15" s="117"/>
      <c r="GQ15" s="316" t="s">
        <v>1055</v>
      </c>
      <c r="GR15" s="117"/>
      <c r="GS15" s="491"/>
      <c r="GT15" s="101"/>
      <c r="GU15" s="101"/>
      <c r="GV15" s="101"/>
      <c r="GY15" s="491"/>
      <c r="HB15" s="552" t="s">
        <v>572</v>
      </c>
      <c r="HC15" s="552" t="s">
        <v>572</v>
      </c>
      <c r="HE15" s="491"/>
      <c r="HF15" s="552" t="s">
        <v>572</v>
      </c>
      <c r="HG15" s="552" t="s">
        <v>572</v>
      </c>
      <c r="HH15" s="552" t="s">
        <v>572</v>
      </c>
      <c r="HI15" s="117"/>
      <c r="HJ15" s="117"/>
      <c r="HK15" s="491"/>
      <c r="HL15" s="117"/>
      <c r="HM15" s="117"/>
      <c r="HN15" s="491"/>
      <c r="HO15" s="117"/>
      <c r="HP15" s="117"/>
      <c r="HQ15" s="491"/>
      <c r="HT15" s="117"/>
      <c r="HU15" s="117"/>
      <c r="HV15" s="117"/>
      <c r="HW15" s="491"/>
      <c r="IB15" s="117"/>
      <c r="IC15" s="491"/>
      <c r="IH15" s="491"/>
      <c r="II15" s="491"/>
      <c r="IJ15" s="491"/>
      <c r="IK15" s="508" t="s">
        <v>572</v>
      </c>
      <c r="IL15" s="508" t="s">
        <v>572</v>
      </c>
      <c r="IM15" s="508" t="s">
        <v>572</v>
      </c>
      <c r="IN15" s="508" t="s">
        <v>572</v>
      </c>
      <c r="IO15" s="491"/>
      <c r="IP15" s="117"/>
      <c r="IQ15" s="117"/>
      <c r="IR15" s="117"/>
      <c r="IS15" s="117"/>
      <c r="IT15" s="117"/>
      <c r="IU15" s="491"/>
    </row>
    <row r="16" spans="1:265" ht="24.95" hidden="1" customHeight="1">
      <c r="A16" s="403" t="s">
        <v>1043</v>
      </c>
      <c r="B16" s="201"/>
      <c r="C16" s="201"/>
      <c r="D16" s="407" t="e">
        <f t="shared" si="0"/>
        <v>#DIV/0!</v>
      </c>
      <c r="E16" s="188"/>
      <c r="F16" s="105"/>
      <c r="G16" s="106"/>
      <c r="H16" s="106"/>
      <c r="I16" s="106"/>
      <c r="J16" s="237"/>
      <c r="K16" s="105"/>
      <c r="L16" s="106"/>
      <c r="M16" s="106"/>
      <c r="N16" s="106"/>
      <c r="O16" s="107"/>
      <c r="P16" s="102"/>
      <c r="Q16" s="101"/>
      <c r="R16" s="101"/>
      <c r="S16" s="101"/>
      <c r="T16" s="98"/>
      <c r="U16" s="281"/>
      <c r="V16" s="106"/>
      <c r="W16" s="106"/>
      <c r="X16" s="106"/>
      <c r="Y16" s="106"/>
      <c r="Z16" s="100"/>
      <c r="AA16" s="101"/>
      <c r="AB16" s="101"/>
      <c r="AC16" s="101"/>
      <c r="AD16" s="98"/>
      <c r="AE16" s="391"/>
      <c r="AF16" s="101"/>
      <c r="AG16" s="101"/>
      <c r="AH16" s="101"/>
      <c r="AI16" s="98"/>
      <c r="AK16" s="103"/>
      <c r="AL16" s="101"/>
      <c r="AM16" s="101"/>
      <c r="AN16" s="103"/>
      <c r="AO16" s="100"/>
      <c r="AP16" s="101"/>
      <c r="AQ16" s="101"/>
      <c r="AR16" s="101"/>
      <c r="AS16" s="98"/>
      <c r="AT16" s="102"/>
      <c r="AU16" s="104"/>
      <c r="AV16" s="104"/>
      <c r="AW16" s="104"/>
      <c r="AX16" s="104"/>
      <c r="AY16" s="392"/>
      <c r="AZ16" s="102"/>
      <c r="BA16" s="101"/>
      <c r="BB16" s="101"/>
      <c r="BC16" s="101"/>
      <c r="BD16" s="103"/>
      <c r="BE16" s="100"/>
      <c r="BF16" s="101"/>
      <c r="BG16" s="101"/>
      <c r="BH16" s="101"/>
      <c r="BI16" s="98"/>
      <c r="BJ16" s="100"/>
      <c r="BK16" s="101"/>
      <c r="BL16" s="101"/>
      <c r="BM16" s="101"/>
      <c r="BN16" s="98"/>
      <c r="BO16" s="102"/>
      <c r="BP16" s="101"/>
      <c r="BQ16" s="438"/>
      <c r="BR16" s="438"/>
      <c r="BS16" s="417"/>
      <c r="BT16" s="826"/>
      <c r="BU16" s="827"/>
      <c r="BV16" s="101"/>
      <c r="BW16" s="101"/>
      <c r="BX16" s="98"/>
      <c r="BY16" s="100"/>
      <c r="BZ16" s="101"/>
      <c r="CA16" s="101"/>
      <c r="CB16" s="101"/>
      <c r="CC16" s="98"/>
      <c r="CD16" s="100"/>
      <c r="CE16" s="101"/>
      <c r="CF16" s="101"/>
      <c r="CG16" s="101"/>
      <c r="CH16" s="98"/>
      <c r="CI16" s="100"/>
      <c r="CJ16" s="101"/>
      <c r="CK16" s="101"/>
      <c r="CL16" s="101"/>
      <c r="CM16" s="98"/>
      <c r="CN16" s="102"/>
      <c r="CO16" s="101"/>
      <c r="CP16" s="101"/>
      <c r="CQ16" s="101"/>
      <c r="CR16" s="98"/>
      <c r="CS16" s="489"/>
      <c r="CT16" s="101"/>
      <c r="CU16" s="101"/>
      <c r="CV16" s="101"/>
      <c r="CW16" s="98"/>
      <c r="CX16" s="100"/>
      <c r="CY16" s="101"/>
      <c r="CZ16" s="101"/>
      <c r="DA16" s="101"/>
      <c r="DB16" s="98"/>
      <c r="DH16" s="100"/>
      <c r="DI16" s="102"/>
      <c r="DJ16" s="485"/>
      <c r="DK16" s="485"/>
      <c r="DL16" s="505"/>
      <c r="DM16" s="504"/>
      <c r="DN16" s="486"/>
      <c r="DR16" s="489"/>
      <c r="DU16" s="828"/>
      <c r="DV16" s="829"/>
      <c r="DX16" s="486"/>
      <c r="DY16" s="486"/>
      <c r="EB16" s="116"/>
      <c r="EC16" s="117"/>
      <c r="ED16" s="117"/>
      <c r="EE16" s="117"/>
      <c r="EF16" s="227"/>
      <c r="EH16" s="117"/>
      <c r="EI16" s="117"/>
      <c r="EJ16" s="117"/>
      <c r="EK16" s="117"/>
      <c r="EL16" s="117"/>
      <c r="EM16" s="117"/>
      <c r="EN16" s="117"/>
      <c r="EP16" s="117"/>
      <c r="EQ16" s="117"/>
      <c r="ER16" s="117"/>
      <c r="ES16" s="117"/>
      <c r="ET16" s="117"/>
      <c r="EU16" s="117"/>
      <c r="EV16" s="117"/>
      <c r="EW16" s="103"/>
      <c r="EX16" s="117"/>
      <c r="EY16" s="117"/>
      <c r="EZ16" s="101"/>
      <c r="FA16" s="117"/>
      <c r="FB16" s="117"/>
      <c r="FC16" s="117"/>
      <c r="FD16" s="117"/>
      <c r="FE16" s="117"/>
      <c r="FF16" s="491"/>
      <c r="FG16" s="491"/>
      <c r="FH16" s="491"/>
      <c r="FJ16" s="316"/>
      <c r="FK16" s="316"/>
      <c r="FL16" s="316"/>
      <c r="FM16" s="117"/>
      <c r="FN16" s="117"/>
      <c r="FO16" s="117"/>
      <c r="FQ16" s="117"/>
      <c r="FR16" s="117"/>
      <c r="FS16" s="117"/>
      <c r="FT16" s="491"/>
      <c r="FU16" s="491"/>
      <c r="FV16" s="117"/>
      <c r="FW16" s="117"/>
      <c r="FX16" s="117"/>
      <c r="FY16" s="117"/>
      <c r="FZ16" s="117"/>
      <c r="GA16" s="117"/>
      <c r="GB16" s="117"/>
      <c r="GC16" s="117"/>
      <c r="GD16" s="117"/>
      <c r="GE16" s="117"/>
      <c r="GF16" s="117"/>
      <c r="GG16" s="491"/>
      <c r="GH16" s="117"/>
      <c r="GI16" s="117"/>
      <c r="GJ16" s="117"/>
      <c r="GK16" s="117"/>
      <c r="GL16" s="117"/>
      <c r="GM16" s="491"/>
      <c r="GN16" s="117"/>
      <c r="GO16" s="117"/>
      <c r="GP16" s="117"/>
      <c r="GQ16" s="117"/>
      <c r="GR16" s="117"/>
      <c r="GS16" s="491"/>
      <c r="GT16" s="117"/>
      <c r="GU16" s="117"/>
      <c r="GV16" s="117"/>
      <c r="GW16" s="117"/>
      <c r="GX16" s="117"/>
      <c r="GY16" s="491"/>
      <c r="GZ16" s="117"/>
      <c r="HA16" s="117"/>
      <c r="HB16" s="117"/>
      <c r="HC16" s="117"/>
      <c r="HD16" s="117"/>
      <c r="HE16" s="491"/>
      <c r="HF16" s="117"/>
      <c r="HG16" s="117"/>
      <c r="HH16" s="117"/>
      <c r="HI16" s="117"/>
      <c r="HJ16" s="117"/>
      <c r="HK16" s="491"/>
      <c r="HL16" s="117"/>
      <c r="HM16" s="117"/>
      <c r="HN16" s="491"/>
      <c r="HO16" s="117"/>
      <c r="HP16" s="117"/>
      <c r="HQ16" s="491"/>
      <c r="HR16" s="117"/>
      <c r="HS16" s="227"/>
      <c r="HT16" s="117"/>
      <c r="HU16" s="117"/>
      <c r="HV16" s="117"/>
      <c r="HW16" s="491"/>
      <c r="HX16" s="117"/>
      <c r="HY16" s="117"/>
      <c r="HZ16" s="117"/>
      <c r="IA16" s="117"/>
      <c r="IB16" s="117"/>
      <c r="IC16" s="491"/>
      <c r="ID16" s="117"/>
      <c r="IE16" s="117"/>
      <c r="IF16" s="117"/>
      <c r="IG16" s="117"/>
      <c r="IH16" s="491"/>
      <c r="II16" s="491"/>
      <c r="IJ16" s="491"/>
      <c r="IK16" s="117"/>
      <c r="IL16" s="117"/>
      <c r="IM16" s="117"/>
      <c r="IN16" s="117"/>
      <c r="IO16" s="491"/>
      <c r="IP16" s="117"/>
      <c r="IQ16" s="117"/>
      <c r="IR16" s="117"/>
      <c r="IS16" s="117"/>
      <c r="IT16" s="117"/>
      <c r="IU16" s="491"/>
    </row>
    <row r="17" spans="1:255" ht="24.95" hidden="1" customHeight="1">
      <c r="A17" s="403" t="s">
        <v>1044</v>
      </c>
      <c r="B17" s="201"/>
      <c r="C17" s="201"/>
      <c r="D17" s="407" t="e">
        <f t="shared" si="0"/>
        <v>#DIV/0!</v>
      </c>
      <c r="E17" s="188"/>
      <c r="F17" s="105"/>
      <c r="G17" s="106"/>
      <c r="H17" s="106"/>
      <c r="I17" s="106"/>
      <c r="J17" s="237"/>
      <c r="K17" s="105" t="s">
        <v>437</v>
      </c>
      <c r="L17" s="106" t="s">
        <v>437</v>
      </c>
      <c r="M17" s="106" t="s">
        <v>437</v>
      </c>
      <c r="N17" s="106" t="s">
        <v>437</v>
      </c>
      <c r="O17" s="107" t="s">
        <v>437</v>
      </c>
      <c r="P17" s="102"/>
      <c r="Q17" s="101"/>
      <c r="R17" s="101"/>
      <c r="S17" s="101"/>
      <c r="T17" s="98"/>
      <c r="U17" s="281" t="s">
        <v>437</v>
      </c>
      <c r="V17" s="106" t="s">
        <v>437</v>
      </c>
      <c r="W17" s="106" t="s">
        <v>437</v>
      </c>
      <c r="X17" s="106" t="s">
        <v>437</v>
      </c>
      <c r="Y17" s="106" t="s">
        <v>437</v>
      </c>
      <c r="Z17" s="100"/>
      <c r="AA17" s="101"/>
      <c r="AB17" s="101"/>
      <c r="AC17" s="101"/>
      <c r="AD17" s="98"/>
      <c r="AE17" s="100"/>
      <c r="AF17" s="101"/>
      <c r="AG17" s="101"/>
      <c r="AH17" s="101"/>
      <c r="AI17" s="98"/>
      <c r="AJ17" s="100"/>
      <c r="AK17" s="103"/>
      <c r="AL17" s="101"/>
      <c r="AM17" s="101"/>
      <c r="AN17" s="103" t="s">
        <v>244</v>
      </c>
      <c r="AO17" s="100"/>
      <c r="AP17" s="101"/>
      <c r="AQ17" s="101"/>
      <c r="AR17" s="101"/>
      <c r="AS17" s="98"/>
      <c r="AT17" s="102"/>
      <c r="AU17" s="104"/>
      <c r="AV17" s="104"/>
      <c r="AW17" s="104"/>
      <c r="AX17" s="104"/>
      <c r="AY17" s="392"/>
      <c r="AZ17" s="102"/>
      <c r="BA17" s="101"/>
      <c r="BB17" s="101"/>
      <c r="BC17" s="101" t="s">
        <v>244</v>
      </c>
      <c r="BD17" s="103" t="s">
        <v>244</v>
      </c>
      <c r="BE17" s="100"/>
      <c r="BF17" s="101"/>
      <c r="BG17" s="101"/>
      <c r="BH17" s="101"/>
      <c r="BI17" s="98"/>
      <c r="BJ17" s="100"/>
      <c r="BK17" s="101"/>
      <c r="BL17" s="101"/>
      <c r="BM17" s="101"/>
      <c r="BN17" s="98"/>
      <c r="BO17" s="102"/>
      <c r="BP17" s="101"/>
      <c r="BQ17" s="101"/>
      <c r="BR17" s="101"/>
      <c r="BS17" s="98"/>
      <c r="BT17" s="102"/>
      <c r="BU17" s="101"/>
      <c r="BV17" s="101"/>
      <c r="BW17" s="101"/>
      <c r="BX17" s="98"/>
      <c r="BY17" s="100"/>
      <c r="BZ17" s="101"/>
      <c r="CA17" s="101"/>
      <c r="CB17" s="101"/>
      <c r="CC17" s="98"/>
      <c r="CD17" s="100"/>
      <c r="CE17" s="101"/>
      <c r="CF17" s="101"/>
      <c r="CG17" s="101"/>
      <c r="CH17" s="98"/>
      <c r="CI17" s="100"/>
      <c r="CJ17" s="101"/>
      <c r="CK17" s="101"/>
      <c r="CL17" s="101"/>
      <c r="CM17" s="98"/>
      <c r="CN17" s="102"/>
      <c r="CO17" s="101"/>
      <c r="CP17" s="101"/>
      <c r="CQ17" s="101"/>
      <c r="CR17" s="98"/>
      <c r="CS17" s="489"/>
      <c r="CT17" s="101"/>
      <c r="CU17" s="101"/>
      <c r="CV17" s="101"/>
      <c r="CW17" s="98"/>
      <c r="CX17" s="100"/>
      <c r="CY17" s="101"/>
      <c r="CZ17" s="101"/>
      <c r="DA17" s="101"/>
      <c r="DB17" s="98"/>
      <c r="DC17" s="100"/>
      <c r="DD17" s="101"/>
      <c r="DE17" s="101"/>
      <c r="DF17" s="101"/>
      <c r="DG17" s="103"/>
      <c r="DH17" s="116"/>
      <c r="DI17" s="117"/>
      <c r="DJ17" s="117"/>
      <c r="DK17" s="117"/>
      <c r="DL17" s="227"/>
      <c r="DM17" s="116"/>
      <c r="DN17" s="117"/>
      <c r="DO17" s="117"/>
      <c r="DP17" s="117"/>
      <c r="DQ17" s="227"/>
      <c r="DR17" s="489"/>
      <c r="DS17" s="117"/>
      <c r="DT17" s="117"/>
      <c r="DU17" s="117"/>
      <c r="DV17" s="118"/>
      <c r="DW17" s="119"/>
      <c r="DX17" s="117"/>
      <c r="DY17" s="117"/>
      <c r="DZ17" s="117"/>
      <c r="EA17" s="118"/>
      <c r="EB17" s="116"/>
      <c r="EC17" s="117"/>
      <c r="ED17" s="117"/>
      <c r="EE17" s="117"/>
      <c r="EF17" s="227"/>
      <c r="EG17" s="117"/>
      <c r="EH17" s="117"/>
      <c r="EI17" s="117"/>
      <c r="EJ17" s="117"/>
      <c r="EK17" s="117"/>
      <c r="EL17" s="117"/>
      <c r="EM17" s="117"/>
      <c r="EN17" s="117"/>
      <c r="EO17" s="117"/>
      <c r="EP17" s="117"/>
      <c r="EQ17" s="117"/>
      <c r="ER17" s="117"/>
      <c r="ES17" s="117"/>
      <c r="ET17" s="117"/>
      <c r="EU17" s="117"/>
      <c r="EV17" s="117"/>
      <c r="EW17" s="117"/>
      <c r="EX17" s="117"/>
      <c r="EY17" s="117"/>
      <c r="EZ17" s="101"/>
      <c r="FA17" s="117"/>
      <c r="FB17" s="117"/>
      <c r="FC17" s="117"/>
      <c r="FD17" s="117"/>
      <c r="FE17" s="117"/>
      <c r="FF17" s="491"/>
      <c r="FG17" s="491"/>
      <c r="FH17" s="491"/>
      <c r="FI17" s="117"/>
      <c r="FJ17" s="117"/>
      <c r="FK17" s="117"/>
      <c r="FL17" s="117"/>
      <c r="FM17" s="117"/>
      <c r="FN17" s="117"/>
      <c r="FO17" s="117"/>
      <c r="FP17" s="117"/>
      <c r="FQ17" s="117"/>
      <c r="FR17" s="117"/>
      <c r="FS17" s="117"/>
      <c r="FT17" s="491"/>
      <c r="FU17" s="491"/>
      <c r="FV17" s="117"/>
      <c r="FW17" s="117"/>
      <c r="FX17" s="117"/>
      <c r="FY17" s="117"/>
      <c r="FZ17" s="117"/>
      <c r="GA17" s="117"/>
      <c r="GB17" s="117"/>
      <c r="GC17" s="117"/>
      <c r="GD17" s="117"/>
      <c r="GE17" s="117"/>
      <c r="GF17" s="117"/>
      <c r="GG17" s="491"/>
      <c r="GH17" s="117"/>
      <c r="GI17" s="117"/>
      <c r="GJ17" s="117"/>
      <c r="GK17" s="117"/>
      <c r="GL17" s="117"/>
      <c r="GM17" s="491"/>
      <c r="GN17" s="117"/>
      <c r="GO17" s="117"/>
      <c r="GP17" s="117"/>
      <c r="GQ17" s="117"/>
      <c r="GR17" s="117"/>
      <c r="GS17" s="491"/>
      <c r="GT17" s="117"/>
      <c r="GU17" s="117"/>
      <c r="GV17" s="117"/>
      <c r="GW17" s="117"/>
      <c r="GX17" s="117"/>
      <c r="GY17" s="491"/>
      <c r="GZ17" s="117"/>
      <c r="HA17" s="117"/>
      <c r="HB17" s="117"/>
      <c r="HC17" s="117"/>
      <c r="HD17" s="117"/>
      <c r="HE17" s="491"/>
      <c r="HF17" s="117"/>
      <c r="HG17" s="117"/>
      <c r="HH17" s="117"/>
      <c r="HI17" s="117"/>
      <c r="HJ17" s="117"/>
      <c r="HK17" s="491"/>
      <c r="HL17" s="117"/>
      <c r="HM17" s="117"/>
      <c r="HN17" s="491"/>
      <c r="HO17" s="117"/>
      <c r="HP17" s="117"/>
      <c r="HQ17" s="491"/>
      <c r="HR17" s="117"/>
      <c r="HS17" s="227"/>
      <c r="HT17" s="117"/>
      <c r="HU17" s="117"/>
      <c r="HV17" s="117"/>
      <c r="HW17" s="491"/>
      <c r="HX17" s="117"/>
      <c r="HY17" s="117"/>
      <c r="HZ17" s="117"/>
      <c r="IA17" s="117"/>
      <c r="IB17" s="117"/>
      <c r="IC17" s="491"/>
      <c r="ID17" s="117"/>
      <c r="IE17" s="117"/>
      <c r="IF17" s="117"/>
      <c r="IG17" s="117"/>
      <c r="IH17" s="491"/>
      <c r="II17" s="491"/>
      <c r="IJ17" s="491"/>
      <c r="IK17" s="117"/>
      <c r="IL17" s="117"/>
      <c r="IM17" s="117"/>
      <c r="IN17" s="117"/>
      <c r="IO17" s="491"/>
      <c r="IP17" s="117"/>
      <c r="IQ17" s="117"/>
      <c r="IR17" s="117"/>
      <c r="IS17" s="117"/>
      <c r="IT17" s="117"/>
      <c r="IU17" s="491"/>
    </row>
    <row r="18" spans="1:255" ht="24.95" hidden="1" customHeight="1">
      <c r="A18" s="403" t="s">
        <v>1045</v>
      </c>
      <c r="B18" s="201"/>
      <c r="C18" s="201"/>
      <c r="D18" s="407" t="e">
        <f t="shared" si="0"/>
        <v>#DIV/0!</v>
      </c>
      <c r="E18" s="188"/>
      <c r="F18" s="105"/>
      <c r="G18" s="106"/>
      <c r="H18" s="106"/>
      <c r="I18" s="106"/>
      <c r="J18" s="237"/>
      <c r="K18" s="105" t="s">
        <v>437</v>
      </c>
      <c r="L18" s="106" t="s">
        <v>437</v>
      </c>
      <c r="M18" s="106" t="s">
        <v>437</v>
      </c>
      <c r="N18" s="106" t="s">
        <v>437</v>
      </c>
      <c r="O18" s="107" t="s">
        <v>437</v>
      </c>
      <c r="P18" s="102"/>
      <c r="Q18" s="101"/>
      <c r="R18" s="101"/>
      <c r="S18" s="101"/>
      <c r="T18" s="98"/>
      <c r="U18" s="281" t="s">
        <v>437</v>
      </c>
      <c r="V18" s="106" t="s">
        <v>437</v>
      </c>
      <c r="W18" s="106" t="s">
        <v>437</v>
      </c>
      <c r="X18" s="106" t="s">
        <v>437</v>
      </c>
      <c r="Y18" s="106" t="s">
        <v>437</v>
      </c>
      <c r="Z18" s="100"/>
      <c r="AA18" s="101"/>
      <c r="AB18" s="101"/>
      <c r="AC18" s="101"/>
      <c r="AD18" s="98"/>
      <c r="AE18" s="100"/>
      <c r="AF18" s="101"/>
      <c r="AG18" s="101"/>
      <c r="AH18" s="101"/>
      <c r="AI18" s="98"/>
      <c r="AJ18" s="100"/>
      <c r="AK18" s="101"/>
      <c r="AL18" s="101"/>
      <c r="AM18" s="343" t="s">
        <v>572</v>
      </c>
      <c r="AN18" s="103" t="s">
        <v>244</v>
      </c>
      <c r="AO18" s="100"/>
      <c r="AP18" s="101"/>
      <c r="AQ18" s="101"/>
      <c r="AR18" s="101"/>
      <c r="AS18" s="98"/>
      <c r="AT18" s="102"/>
      <c r="AU18" s="104"/>
      <c r="AV18" s="104"/>
      <c r="AW18" s="104"/>
      <c r="AX18" s="104"/>
      <c r="AY18" s="392"/>
      <c r="AZ18" s="102"/>
      <c r="BA18" s="101"/>
      <c r="BB18" s="101"/>
      <c r="BC18" s="101" t="s">
        <v>244</v>
      </c>
      <c r="BD18" s="103" t="s">
        <v>244</v>
      </c>
      <c r="BE18" s="100"/>
      <c r="BF18" s="101"/>
      <c r="BG18" s="101"/>
      <c r="BH18" s="101"/>
      <c r="BI18" s="98"/>
      <c r="BJ18" s="100"/>
      <c r="BK18" s="101"/>
      <c r="BL18" s="101"/>
      <c r="BM18" s="101"/>
      <c r="BN18" s="98"/>
      <c r="BO18" s="102"/>
      <c r="BP18" s="101"/>
      <c r="BQ18" s="101"/>
      <c r="BR18" s="101"/>
      <c r="BS18" s="98"/>
      <c r="BT18" s="102"/>
      <c r="BU18" s="101"/>
      <c r="BV18" s="101"/>
      <c r="BW18" s="101"/>
      <c r="BX18" s="98"/>
      <c r="BY18" s="100"/>
      <c r="BZ18" s="101"/>
      <c r="CA18" s="101"/>
      <c r="CB18" s="101"/>
      <c r="CC18" s="98"/>
      <c r="CD18" s="100"/>
      <c r="CE18" s="101"/>
      <c r="CF18" s="101"/>
      <c r="CG18" s="101"/>
      <c r="CH18" s="98"/>
      <c r="CI18" s="100"/>
      <c r="CJ18" s="101"/>
      <c r="CK18" s="101"/>
      <c r="CL18" s="101"/>
      <c r="CM18" s="98"/>
      <c r="CN18" s="102"/>
      <c r="CO18" s="101"/>
      <c r="CP18" s="101"/>
      <c r="CQ18" s="101"/>
      <c r="CR18" s="98"/>
      <c r="CS18" s="489"/>
      <c r="CT18" s="101"/>
      <c r="CU18" s="101"/>
      <c r="CV18" s="101"/>
      <c r="CW18" s="98"/>
      <c r="CX18" s="100"/>
      <c r="CY18" s="101"/>
      <c r="CZ18" s="101"/>
      <c r="DA18" s="101"/>
      <c r="DB18" s="98"/>
      <c r="DC18" s="100"/>
      <c r="DD18" s="101"/>
      <c r="DE18" s="101"/>
      <c r="DF18" s="101"/>
      <c r="DG18" s="103"/>
      <c r="DH18" s="116"/>
      <c r="DI18" s="117"/>
      <c r="DJ18" s="117"/>
      <c r="DK18" s="117"/>
      <c r="DL18" s="227"/>
      <c r="DM18" s="116"/>
      <c r="DN18" s="117"/>
      <c r="DO18" s="117"/>
      <c r="DP18" s="532"/>
      <c r="DQ18" s="566"/>
      <c r="DR18" s="489"/>
      <c r="DS18" s="424"/>
      <c r="DT18" s="424"/>
      <c r="DU18" s="117"/>
      <c r="DV18" s="118"/>
      <c r="DW18" s="119"/>
      <c r="DX18" s="117"/>
      <c r="DY18" s="117"/>
      <c r="DZ18" s="117"/>
      <c r="EA18" s="118"/>
      <c r="EB18" s="116"/>
      <c r="EC18" s="117"/>
      <c r="ED18" s="117"/>
      <c r="EE18" s="117"/>
      <c r="EF18" s="227"/>
      <c r="EG18" s="117"/>
      <c r="EH18" s="117"/>
      <c r="EI18" s="117"/>
      <c r="EK18" s="117"/>
      <c r="EL18" s="117"/>
      <c r="EM18" s="493" t="s">
        <v>506</v>
      </c>
      <c r="EP18" s="493" t="s">
        <v>839</v>
      </c>
      <c r="EQ18" s="117"/>
      <c r="ER18" s="117"/>
      <c r="ET18" s="117"/>
      <c r="EU18" s="117"/>
      <c r="EV18" s="117"/>
      <c r="EW18" s="117"/>
      <c r="EX18" s="117"/>
      <c r="EY18" s="117"/>
      <c r="EZ18" s="101"/>
      <c r="FA18" s="117"/>
      <c r="FB18" s="117"/>
      <c r="FC18" s="117"/>
      <c r="FD18" s="117"/>
      <c r="FE18" s="117"/>
      <c r="FF18" s="491"/>
      <c r="FG18" s="491"/>
      <c r="FH18" s="491"/>
      <c r="FI18" s="117"/>
      <c r="FJ18" s="117"/>
      <c r="FK18" s="117"/>
      <c r="FL18" s="117"/>
      <c r="FM18" s="117"/>
      <c r="FN18" s="117"/>
      <c r="FO18" s="117"/>
      <c r="FQ18" s="117"/>
      <c r="FR18" s="117"/>
      <c r="FS18" s="117"/>
      <c r="FT18" s="491"/>
      <c r="FU18" s="491"/>
      <c r="FV18" s="117"/>
      <c r="FW18" s="117"/>
      <c r="FX18" s="117"/>
      <c r="FY18" s="117"/>
      <c r="FZ18" s="117"/>
      <c r="GA18" s="117"/>
      <c r="GB18" s="117"/>
      <c r="GC18" s="117"/>
      <c r="GD18" s="833" t="s">
        <v>1052</v>
      </c>
      <c r="GE18" s="117"/>
      <c r="GF18" s="117"/>
      <c r="GG18" s="491"/>
      <c r="GH18" s="117"/>
      <c r="GI18" s="117"/>
      <c r="GJ18" s="117"/>
      <c r="GK18" s="117"/>
      <c r="GL18" s="117"/>
      <c r="GM18" s="491"/>
      <c r="GN18" s="508" t="s">
        <v>572</v>
      </c>
      <c r="GO18" s="508" t="s">
        <v>572</v>
      </c>
      <c r="GP18" s="508" t="s">
        <v>1099</v>
      </c>
      <c r="GQ18" s="117"/>
      <c r="GR18" s="122"/>
      <c r="GS18" s="491"/>
      <c r="GT18" s="117"/>
      <c r="GU18" s="117"/>
      <c r="GV18" s="117"/>
      <c r="GW18" s="117"/>
      <c r="GX18" s="117"/>
      <c r="GY18" s="491"/>
      <c r="GZ18" s="117"/>
      <c r="HA18" s="117"/>
      <c r="HB18" s="117"/>
      <c r="HC18" s="117"/>
      <c r="HD18" s="117"/>
      <c r="HE18" s="491"/>
      <c r="HF18" s="117"/>
      <c r="HG18" s="117"/>
      <c r="HH18" s="117"/>
      <c r="HI18" s="117"/>
      <c r="HJ18" s="117"/>
      <c r="HK18" s="491"/>
      <c r="HL18" s="117"/>
      <c r="HM18" s="117"/>
      <c r="HN18" s="491"/>
      <c r="HO18" s="117"/>
      <c r="HP18" s="117"/>
      <c r="HQ18" s="491"/>
      <c r="HR18" s="117"/>
      <c r="HS18" s="227"/>
      <c r="HT18" s="117"/>
      <c r="HU18" s="117"/>
      <c r="HV18" s="117"/>
      <c r="HW18" s="491"/>
      <c r="HX18" s="117"/>
      <c r="HY18" s="117"/>
      <c r="HZ18" s="117"/>
      <c r="IA18" s="117"/>
      <c r="IB18" s="117"/>
      <c r="IC18" s="491"/>
      <c r="ID18" s="117"/>
      <c r="IE18" s="117"/>
      <c r="IF18" s="117"/>
      <c r="IG18" s="117"/>
      <c r="IH18" s="491"/>
      <c r="II18" s="491"/>
      <c r="IJ18" s="491"/>
      <c r="IK18" s="117"/>
      <c r="IL18" s="117"/>
      <c r="IM18" s="117"/>
      <c r="IN18" s="117"/>
      <c r="IO18" s="491"/>
      <c r="IP18" s="117"/>
      <c r="IQ18" s="117"/>
      <c r="IR18" s="117"/>
      <c r="IS18" s="117"/>
      <c r="IT18" s="117"/>
      <c r="IU18" s="491"/>
    </row>
    <row r="19" spans="1:255" ht="24.95" hidden="1" customHeight="1">
      <c r="A19" s="403" t="s">
        <v>1058</v>
      </c>
      <c r="B19" s="201"/>
      <c r="C19" s="201"/>
      <c r="D19" s="406" t="e">
        <f>#REF!/B19</f>
        <v>#REF!</v>
      </c>
      <c r="E19" s="188"/>
      <c r="F19" s="105"/>
      <c r="G19" s="106"/>
      <c r="H19" s="106"/>
      <c r="I19" s="106"/>
      <c r="J19" s="237"/>
      <c r="K19" s="105" t="s">
        <v>437</v>
      </c>
      <c r="L19" s="106" t="s">
        <v>437</v>
      </c>
      <c r="M19" s="106" t="s">
        <v>437</v>
      </c>
      <c r="N19" s="106" t="s">
        <v>437</v>
      </c>
      <c r="O19" s="107" t="s">
        <v>437</v>
      </c>
      <c r="P19" s="102"/>
      <c r="Q19" s="101"/>
      <c r="R19" s="101"/>
      <c r="S19" s="101"/>
      <c r="T19" s="98"/>
      <c r="U19" s="281" t="s">
        <v>437</v>
      </c>
      <c r="V19" s="106" t="s">
        <v>437</v>
      </c>
      <c r="W19" s="106" t="s">
        <v>437</v>
      </c>
      <c r="X19" s="106" t="s">
        <v>437</v>
      </c>
      <c r="Y19" s="106" t="s">
        <v>437</v>
      </c>
      <c r="Z19" s="100"/>
      <c r="AA19" s="101"/>
      <c r="AB19" s="101"/>
      <c r="AC19" s="101"/>
      <c r="AD19" s="98"/>
      <c r="AE19" s="334" t="s">
        <v>474</v>
      </c>
      <c r="AF19" s="101"/>
      <c r="AG19" s="101"/>
      <c r="AH19" s="101"/>
      <c r="AI19" s="98"/>
      <c r="AJ19" s="100"/>
      <c r="AK19" s="101"/>
      <c r="AL19" s="242" t="s">
        <v>531</v>
      </c>
      <c r="AN19" s="103" t="s">
        <v>244</v>
      </c>
      <c r="AO19" s="100"/>
      <c r="AP19" s="101"/>
      <c r="AQ19" s="101"/>
      <c r="AR19" s="101"/>
      <c r="AS19" s="98"/>
      <c r="AT19" s="102"/>
      <c r="AU19" s="104"/>
      <c r="AV19" s="104"/>
      <c r="AW19" s="104"/>
      <c r="AX19" s="104"/>
      <c r="AY19" s="392"/>
      <c r="BC19" s="101" t="s">
        <v>244</v>
      </c>
      <c r="BD19" s="103" t="s">
        <v>244</v>
      </c>
      <c r="BE19" s="100"/>
      <c r="BF19" s="101"/>
      <c r="BG19" s="101"/>
      <c r="BH19" s="101"/>
      <c r="BI19" s="98"/>
      <c r="BJ19" s="100"/>
      <c r="BK19" s="101"/>
      <c r="BL19" s="101"/>
      <c r="BM19" s="424"/>
      <c r="BN19" s="422"/>
      <c r="BP19" s="102"/>
      <c r="BQ19" s="98"/>
      <c r="BR19" s="100"/>
      <c r="BS19" s="98"/>
      <c r="BT19" s="102"/>
      <c r="BU19" s="101"/>
      <c r="BV19" s="101"/>
      <c r="BW19" s="101"/>
      <c r="BX19" s="101"/>
      <c r="BY19" s="100"/>
      <c r="BZ19" s="101"/>
      <c r="CA19" s="101"/>
      <c r="CB19" s="101"/>
      <c r="CC19" s="98"/>
      <c r="CD19" s="100"/>
      <c r="CE19" s="101"/>
      <c r="CF19" s="101"/>
      <c r="CG19" s="101"/>
      <c r="CH19" s="98"/>
      <c r="CI19" s="100"/>
      <c r="CJ19" s="101"/>
      <c r="CK19" s="101"/>
      <c r="CL19" s="101"/>
      <c r="CM19" s="98"/>
      <c r="CN19" s="102"/>
      <c r="CO19" s="101"/>
      <c r="CP19" s="101"/>
      <c r="CQ19" s="242"/>
      <c r="CR19" s="426"/>
      <c r="CS19" s="489"/>
      <c r="CT19" s="101"/>
      <c r="CU19" s="101"/>
      <c r="CV19" s="101"/>
      <c r="CW19" s="98"/>
      <c r="DB19" s="316"/>
      <c r="DC19" s="100"/>
      <c r="DD19" s="101"/>
      <c r="DE19" s="101"/>
      <c r="DF19" s="101"/>
      <c r="DG19" s="103"/>
      <c r="DH19" s="116"/>
      <c r="DI19" s="117"/>
      <c r="DJ19" s="117"/>
      <c r="DK19" s="117"/>
      <c r="DL19" s="227"/>
      <c r="DM19" s="116"/>
      <c r="DN19" s="117"/>
      <c r="DO19" s="117"/>
      <c r="DP19" s="117"/>
      <c r="DQ19" s="227"/>
      <c r="DR19" s="489"/>
      <c r="DS19" s="117"/>
      <c r="DT19" s="117"/>
      <c r="DU19" s="117"/>
      <c r="DV19" s="118"/>
      <c r="DW19" s="119"/>
      <c r="DX19" s="117"/>
      <c r="DY19" s="117"/>
      <c r="DZ19" s="117"/>
      <c r="EA19" s="118"/>
      <c r="EB19" s="116"/>
      <c r="EC19" s="117"/>
      <c r="ED19" s="117"/>
      <c r="EE19" s="117"/>
      <c r="EF19" s="227"/>
      <c r="EG19" s="117"/>
      <c r="EH19" s="117"/>
      <c r="EI19" s="117"/>
      <c r="EJ19" s="117"/>
      <c r="EK19" s="117"/>
      <c r="EL19" s="117"/>
      <c r="EM19" s="117"/>
      <c r="EN19" s="117"/>
      <c r="EO19" s="117"/>
      <c r="EP19" s="117"/>
      <c r="EQ19" s="117"/>
      <c r="ER19" s="117"/>
      <c r="ES19" s="117"/>
      <c r="ET19" s="117"/>
      <c r="EU19" s="117"/>
      <c r="EV19" s="117"/>
      <c r="EW19" s="117"/>
      <c r="EX19" s="117"/>
      <c r="EY19" s="117"/>
      <c r="EZ19" s="101"/>
      <c r="FA19" s="117"/>
      <c r="FB19" s="117"/>
      <c r="FC19" s="117"/>
      <c r="FD19" s="117"/>
      <c r="FE19" s="117"/>
      <c r="FF19" s="491"/>
      <c r="FG19" s="491"/>
      <c r="FH19" s="491"/>
      <c r="FI19" s="117"/>
      <c r="FJ19" s="117"/>
      <c r="FK19" s="117"/>
      <c r="FL19" s="117"/>
      <c r="FM19" s="117"/>
      <c r="FN19" s="117"/>
      <c r="FO19" s="117"/>
      <c r="FP19" s="117"/>
      <c r="FQ19" s="117"/>
      <c r="FR19" s="117"/>
      <c r="FS19" s="117"/>
      <c r="FT19" s="491"/>
      <c r="FU19" s="491"/>
      <c r="FV19" s="117"/>
      <c r="FW19" s="117"/>
      <c r="FX19" s="117"/>
      <c r="FY19" s="117"/>
      <c r="FZ19" s="117"/>
      <c r="GA19" s="117"/>
      <c r="GB19" s="117"/>
      <c r="GC19" s="117"/>
      <c r="GD19" s="564" t="s">
        <v>788</v>
      </c>
      <c r="GG19" s="491"/>
      <c r="GH19" s="564" t="s">
        <v>788</v>
      </c>
      <c r="GI19" s="564" t="s">
        <v>788</v>
      </c>
      <c r="GJ19" s="117"/>
      <c r="GK19" s="117"/>
      <c r="GL19" s="117"/>
      <c r="GM19" s="491"/>
      <c r="GN19" s="117"/>
      <c r="GO19" s="117"/>
      <c r="GP19" s="117"/>
      <c r="GQ19" s="227"/>
      <c r="GR19" s="117"/>
      <c r="GS19" s="491"/>
      <c r="GT19" s="117"/>
      <c r="GU19" s="117"/>
      <c r="GV19" s="117"/>
      <c r="GW19" s="117"/>
      <c r="GX19" s="117"/>
      <c r="GY19" s="491"/>
      <c r="GZ19" s="117"/>
      <c r="HA19" s="117"/>
      <c r="HB19" s="117"/>
      <c r="HC19" s="117"/>
      <c r="HD19" s="117"/>
      <c r="HE19" s="491"/>
      <c r="HF19" s="117"/>
      <c r="HG19" s="117"/>
      <c r="HH19" s="117"/>
      <c r="HI19" s="117"/>
      <c r="HJ19" s="117"/>
      <c r="HK19" s="491"/>
      <c r="HL19" s="117"/>
      <c r="HM19" s="117"/>
      <c r="HN19" s="491"/>
      <c r="HO19" s="117"/>
      <c r="HP19" s="117"/>
      <c r="HQ19" s="491"/>
      <c r="HR19" s="117"/>
      <c r="HS19" s="227"/>
      <c r="HT19" s="117"/>
      <c r="HU19" s="117"/>
      <c r="HV19" s="117"/>
      <c r="HW19" s="491"/>
      <c r="HX19" s="117"/>
      <c r="HY19" s="117"/>
      <c r="HZ19" s="117"/>
      <c r="IA19" s="117"/>
      <c r="IB19" s="117"/>
      <c r="IC19" s="491"/>
      <c r="ID19" s="117"/>
      <c r="IE19" s="117"/>
      <c r="IF19" s="117"/>
      <c r="IG19" s="117"/>
      <c r="IH19" s="491"/>
      <c r="II19" s="491"/>
      <c r="IJ19" s="491"/>
      <c r="IK19" s="117"/>
      <c r="IL19" s="117"/>
      <c r="IM19" s="117"/>
      <c r="IN19" s="117"/>
      <c r="IO19" s="491"/>
      <c r="IP19" s="117"/>
      <c r="IQ19" s="117"/>
      <c r="IR19" s="117"/>
      <c r="IS19" s="117"/>
      <c r="IT19" s="117"/>
      <c r="IU19" s="491"/>
    </row>
    <row r="20" spans="1:255" ht="24.95" hidden="1" customHeight="1">
      <c r="A20" s="403" t="s">
        <v>1060</v>
      </c>
      <c r="B20" s="201"/>
      <c r="C20" s="201"/>
      <c r="D20" s="406" t="e">
        <f>#REF!/B20</f>
        <v>#REF!</v>
      </c>
      <c r="E20" s="188"/>
      <c r="F20" s="105"/>
      <c r="G20" s="106"/>
      <c r="H20" s="106"/>
      <c r="I20" s="106"/>
      <c r="J20" s="237"/>
      <c r="K20" s="105" t="s">
        <v>437</v>
      </c>
      <c r="L20" s="106" t="s">
        <v>437</v>
      </c>
      <c r="M20" s="106" t="s">
        <v>437</v>
      </c>
      <c r="N20" s="106" t="s">
        <v>437</v>
      </c>
      <c r="O20" s="107" t="s">
        <v>437</v>
      </c>
      <c r="P20" s="102"/>
      <c r="Q20" s="101"/>
      <c r="R20" s="101"/>
      <c r="S20" s="101"/>
      <c r="T20" s="98"/>
      <c r="U20" s="281" t="s">
        <v>437</v>
      </c>
      <c r="V20" s="106" t="s">
        <v>437</v>
      </c>
      <c r="W20" s="106" t="s">
        <v>437</v>
      </c>
      <c r="X20" s="106" t="s">
        <v>437</v>
      </c>
      <c r="Y20" s="106" t="s">
        <v>437</v>
      </c>
      <c r="Z20" s="100"/>
      <c r="AA20" s="101"/>
      <c r="AB20" s="101"/>
      <c r="AC20" s="101"/>
      <c r="AD20" s="98"/>
      <c r="AE20" s="100"/>
      <c r="AF20" s="101"/>
      <c r="AG20" s="101"/>
      <c r="AH20" s="101"/>
      <c r="AI20" s="98"/>
      <c r="AJ20" s="100"/>
      <c r="AK20" s="101"/>
      <c r="AL20" s="101"/>
      <c r="AM20" s="101"/>
      <c r="AN20" s="103" t="s">
        <v>244</v>
      </c>
      <c r="AO20" s="100"/>
      <c r="AP20" s="101"/>
      <c r="AQ20" s="101"/>
      <c r="AR20" s="101"/>
      <c r="AS20" s="98"/>
      <c r="AT20" s="102"/>
      <c r="AU20" s="104"/>
      <c r="AV20" s="104"/>
      <c r="AW20" s="104"/>
      <c r="AX20" s="104"/>
      <c r="AY20" s="392"/>
      <c r="AZ20" s="102"/>
      <c r="BA20" s="101"/>
      <c r="BB20" s="101"/>
      <c r="BC20" s="101" t="s">
        <v>244</v>
      </c>
      <c r="BD20" s="103" t="s">
        <v>244</v>
      </c>
      <c r="BE20" s="100"/>
      <c r="BF20" s="101"/>
      <c r="BG20" s="101"/>
      <c r="BH20" s="101"/>
      <c r="BI20" s="98"/>
      <c r="BJ20" s="100"/>
      <c r="BK20" s="101"/>
      <c r="BL20" s="101"/>
      <c r="BM20" s="101"/>
      <c r="BN20" s="98"/>
      <c r="BO20" s="102"/>
      <c r="BP20" s="101"/>
      <c r="BQ20" s="101"/>
      <c r="BR20" s="101"/>
      <c r="BS20" s="98"/>
      <c r="BT20" s="102"/>
      <c r="BU20" s="101"/>
      <c r="BV20" s="101"/>
      <c r="BW20" s="101"/>
      <c r="BX20" s="101"/>
      <c r="BY20" s="100"/>
      <c r="BZ20" s="101"/>
      <c r="CA20" s="101"/>
      <c r="CB20" s="101"/>
      <c r="CC20" s="98"/>
      <c r="CD20" s="100"/>
      <c r="CE20" s="101"/>
      <c r="CF20" s="101"/>
      <c r="CG20" s="101"/>
      <c r="CH20" s="98"/>
      <c r="CI20" s="100"/>
      <c r="CJ20" s="101"/>
      <c r="CK20" s="101"/>
      <c r="CL20" s="101"/>
      <c r="CM20" s="98"/>
      <c r="CN20" s="102"/>
      <c r="CO20" s="101"/>
      <c r="CP20" s="101"/>
      <c r="CQ20" s="101"/>
      <c r="CR20" s="98"/>
      <c r="CS20" s="489"/>
      <c r="CT20" s="101"/>
      <c r="CU20" s="101"/>
      <c r="CV20" s="101"/>
      <c r="CW20" s="98"/>
      <c r="CX20" s="100"/>
      <c r="CY20" s="101"/>
      <c r="CZ20" s="101"/>
      <c r="DA20" s="101"/>
      <c r="DB20" s="98"/>
      <c r="DC20" s="100"/>
      <c r="DD20" s="101"/>
      <c r="DE20" s="101"/>
      <c r="DF20" s="101"/>
      <c r="DG20" s="103"/>
      <c r="DH20" s="116"/>
      <c r="DI20" s="117"/>
      <c r="DJ20" s="117"/>
      <c r="DK20" s="117"/>
      <c r="DL20" s="227"/>
      <c r="DM20" s="116"/>
      <c r="DN20" s="117"/>
      <c r="DO20" s="117"/>
      <c r="DP20" s="117"/>
      <c r="DQ20" s="227"/>
      <c r="DR20" s="489"/>
      <c r="DS20" s="117"/>
      <c r="DT20" s="117"/>
      <c r="DU20" s="117"/>
      <c r="DV20" s="118"/>
      <c r="DW20" s="119"/>
      <c r="DX20" s="117"/>
      <c r="DY20" s="117"/>
      <c r="DZ20" s="117"/>
      <c r="EA20" s="118"/>
      <c r="EB20" s="116"/>
      <c r="EC20" s="117"/>
      <c r="ED20" s="117"/>
      <c r="EE20" s="117"/>
      <c r="EF20" s="227"/>
      <c r="EG20" s="117"/>
      <c r="EH20" s="117"/>
      <c r="EI20" s="117"/>
      <c r="EJ20" s="117"/>
      <c r="EK20" s="117"/>
      <c r="EL20" s="117"/>
      <c r="EM20" s="117"/>
      <c r="EN20" s="117"/>
      <c r="EO20" s="117"/>
      <c r="EP20" s="117"/>
      <c r="EQ20" s="117"/>
      <c r="ER20" s="117"/>
      <c r="ES20" s="117"/>
      <c r="ET20" s="117"/>
      <c r="EU20" s="117"/>
      <c r="EV20" s="117"/>
      <c r="EW20" s="117"/>
      <c r="EX20" s="117"/>
      <c r="EY20" s="117"/>
      <c r="EZ20" s="101"/>
      <c r="FA20" s="117"/>
      <c r="FB20" s="117"/>
      <c r="FC20" s="117"/>
      <c r="FD20" s="117"/>
      <c r="FE20" s="117"/>
      <c r="FF20" s="491"/>
      <c r="FG20" s="491"/>
      <c r="FH20" s="491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491"/>
      <c r="FU20" s="491"/>
      <c r="FV20" s="117"/>
      <c r="FW20" s="117"/>
      <c r="FX20" s="117"/>
      <c r="FY20" s="117"/>
      <c r="FZ20" s="117"/>
      <c r="GA20" s="117"/>
      <c r="GB20" s="117"/>
      <c r="GC20" s="117"/>
      <c r="GD20" s="833" t="s">
        <v>1052</v>
      </c>
      <c r="GE20" s="117"/>
      <c r="GF20" s="117"/>
      <c r="GG20" s="491"/>
      <c r="GH20" s="117"/>
      <c r="GI20" s="117"/>
      <c r="GJ20" s="117"/>
      <c r="GK20" s="117"/>
      <c r="GL20" s="117"/>
      <c r="GM20" s="491"/>
      <c r="GN20" s="117"/>
      <c r="GO20" s="117"/>
      <c r="GP20" s="117"/>
      <c r="GQ20" s="227"/>
      <c r="GR20" s="117"/>
      <c r="GS20" s="491"/>
      <c r="GT20" s="117"/>
      <c r="GU20" s="117"/>
      <c r="GV20" s="117"/>
      <c r="GW20" s="117"/>
      <c r="GX20" s="117"/>
      <c r="GY20" s="491"/>
      <c r="GZ20" s="117"/>
      <c r="HA20" s="117"/>
      <c r="HB20" s="117"/>
      <c r="HC20" s="117"/>
      <c r="HD20" s="117"/>
      <c r="HE20" s="491"/>
      <c r="HF20" s="117"/>
      <c r="HG20" s="117"/>
      <c r="HH20" s="117"/>
      <c r="HI20" s="117"/>
      <c r="HJ20" s="117"/>
      <c r="HK20" s="491"/>
      <c r="HL20" s="117"/>
      <c r="HM20" s="117"/>
      <c r="HN20" s="491"/>
      <c r="HO20" s="117"/>
      <c r="HP20" s="117"/>
      <c r="HQ20" s="491"/>
      <c r="HR20" s="117"/>
      <c r="HS20" s="227"/>
      <c r="HT20" s="117"/>
      <c r="HU20" s="117"/>
      <c r="HV20" s="117"/>
      <c r="HW20" s="491"/>
      <c r="HX20" s="117"/>
      <c r="HY20" s="117"/>
      <c r="HZ20" s="117"/>
      <c r="IA20" s="117"/>
      <c r="IB20" s="117"/>
      <c r="IC20" s="491"/>
      <c r="ID20" s="117"/>
      <c r="IE20" s="117"/>
      <c r="IF20" s="117"/>
      <c r="IG20" s="117"/>
      <c r="IH20" s="491"/>
      <c r="II20" s="491"/>
      <c r="IJ20" s="491"/>
      <c r="IK20" s="117"/>
      <c r="IL20" s="117"/>
      <c r="IM20" s="117"/>
      <c r="IN20" s="117"/>
      <c r="IO20" s="491"/>
      <c r="IP20" s="117"/>
      <c r="IQ20" s="117"/>
      <c r="IR20" s="117"/>
      <c r="IS20" s="117"/>
      <c r="IT20" s="117"/>
      <c r="IU20" s="491"/>
    </row>
    <row r="21" spans="1:255" ht="24" hidden="1" customHeight="1">
      <c r="A21" s="404" t="s">
        <v>1065</v>
      </c>
      <c r="B21" s="219">
        <v>538</v>
      </c>
      <c r="C21" s="219">
        <v>120</v>
      </c>
      <c r="D21" s="406">
        <f t="shared" ref="D21:D25" si="1">B21/C21</f>
        <v>4.4833333333333334</v>
      </c>
      <c r="E21" s="188"/>
      <c r="F21" s="105"/>
      <c r="G21" s="106"/>
      <c r="H21" s="106"/>
      <c r="I21" s="106"/>
      <c r="J21" s="237"/>
      <c r="K21" s="105" t="s">
        <v>437</v>
      </c>
      <c r="L21" s="106" t="s">
        <v>437</v>
      </c>
      <c r="M21" s="106" t="s">
        <v>437</v>
      </c>
      <c r="N21" s="106" t="s">
        <v>437</v>
      </c>
      <c r="O21" s="107" t="s">
        <v>437</v>
      </c>
      <c r="P21" s="102"/>
      <c r="Q21" s="101"/>
      <c r="R21" s="101"/>
      <c r="S21" s="101"/>
      <c r="T21" s="98"/>
      <c r="U21" s="281" t="s">
        <v>437</v>
      </c>
      <c r="V21" s="106" t="s">
        <v>437</v>
      </c>
      <c r="W21" s="106" t="s">
        <v>437</v>
      </c>
      <c r="X21" s="106" t="s">
        <v>437</v>
      </c>
      <c r="Y21" s="106" t="s">
        <v>437</v>
      </c>
      <c r="Z21" s="100"/>
      <c r="AA21" s="101"/>
      <c r="AB21" s="101"/>
      <c r="AC21" s="101"/>
      <c r="AD21" s="98"/>
      <c r="AE21" s="100"/>
      <c r="AF21" s="101"/>
      <c r="AG21" s="101"/>
      <c r="AH21" s="101"/>
      <c r="AI21" s="98"/>
      <c r="AJ21" s="100"/>
      <c r="AK21" s="101"/>
      <c r="AL21" s="101"/>
      <c r="AM21" s="101"/>
      <c r="AN21" s="103" t="s">
        <v>244</v>
      </c>
      <c r="AO21" s="100"/>
      <c r="AP21" s="101"/>
      <c r="AQ21" s="101"/>
      <c r="AR21" s="101"/>
      <c r="AS21" s="98"/>
      <c r="AT21" s="102"/>
      <c r="AU21" s="104"/>
      <c r="AV21" s="104"/>
      <c r="AW21" s="104"/>
      <c r="AX21" s="104"/>
      <c r="AY21" s="392"/>
      <c r="AZ21" s="102"/>
      <c r="BA21" s="101"/>
      <c r="BB21" s="101"/>
      <c r="BC21" s="101" t="s">
        <v>244</v>
      </c>
      <c r="BD21" s="103" t="s">
        <v>244</v>
      </c>
      <c r="BE21" s="100"/>
      <c r="BF21" s="101"/>
      <c r="BG21" s="101"/>
      <c r="BH21" s="101"/>
      <c r="BI21" s="98"/>
      <c r="BJ21" s="100"/>
      <c r="BK21" s="101"/>
      <c r="BL21" s="101"/>
      <c r="BM21" s="101"/>
      <c r="BN21" s="98"/>
      <c r="BO21" s="102"/>
      <c r="BP21" s="101"/>
      <c r="BQ21" s="101"/>
      <c r="BR21" s="101"/>
      <c r="BS21" s="98"/>
      <c r="BT21" s="102"/>
      <c r="BU21" s="101"/>
      <c r="BV21" s="101"/>
      <c r="BW21" s="101"/>
      <c r="BX21" s="98"/>
      <c r="BY21" s="100"/>
      <c r="BZ21" s="101"/>
      <c r="CA21" s="101"/>
      <c r="CB21" s="101"/>
      <c r="CC21" s="98"/>
      <c r="CD21" s="100"/>
      <c r="CE21" s="101"/>
      <c r="CF21" s="101"/>
      <c r="CG21" s="101"/>
      <c r="CH21" s="98"/>
      <c r="CI21" s="100"/>
      <c r="CJ21" s="101"/>
      <c r="CK21" s="101"/>
      <c r="CL21" s="101"/>
      <c r="CM21" s="98"/>
      <c r="CN21" s="102"/>
      <c r="CO21" s="101"/>
      <c r="CP21" s="101"/>
      <c r="CQ21" s="101"/>
      <c r="CR21" s="98"/>
      <c r="CS21" s="489"/>
      <c r="CT21" s="101"/>
      <c r="CU21" s="101"/>
      <c r="CV21" s="101"/>
      <c r="CW21" s="98"/>
      <c r="CX21" s="100"/>
      <c r="CY21" s="101"/>
      <c r="CZ21" s="101"/>
      <c r="DA21" s="101"/>
      <c r="DB21" s="98"/>
      <c r="DC21" s="100"/>
      <c r="DD21" s="101"/>
      <c r="DE21" s="101"/>
      <c r="DF21" s="101"/>
      <c r="DG21" s="103"/>
      <c r="DH21" s="116"/>
      <c r="DI21" s="117"/>
      <c r="DJ21" s="117"/>
      <c r="DK21" s="117"/>
      <c r="DL21" s="227"/>
      <c r="DM21" s="116"/>
      <c r="DN21" s="117"/>
      <c r="DO21" s="117"/>
      <c r="DP21" s="117"/>
      <c r="DQ21" s="227"/>
      <c r="DR21" s="489"/>
      <c r="DS21" s="117"/>
      <c r="DT21" s="117"/>
      <c r="DU21" s="117"/>
      <c r="DV21" s="118"/>
      <c r="DW21" s="119"/>
      <c r="DX21" s="117"/>
      <c r="DY21" s="117"/>
      <c r="DZ21" s="117"/>
      <c r="EA21" s="118"/>
      <c r="EB21" s="116"/>
      <c r="EC21" s="117"/>
      <c r="ED21" s="117"/>
      <c r="EE21" s="117"/>
      <c r="EF21" s="227"/>
      <c r="EG21" s="117"/>
      <c r="EH21" s="117"/>
      <c r="EI21" s="117"/>
      <c r="EJ21" s="117"/>
      <c r="EK21" s="117"/>
      <c r="EL21" s="117"/>
      <c r="EM21" s="117"/>
      <c r="EN21" s="117"/>
      <c r="EO21" s="117"/>
      <c r="EP21" s="117"/>
      <c r="EQ21" s="117"/>
      <c r="ER21" s="117"/>
      <c r="ES21" s="117"/>
      <c r="ET21" s="117"/>
      <c r="EU21" s="117"/>
      <c r="EV21" s="117"/>
      <c r="EW21" s="117"/>
      <c r="EX21" s="117"/>
      <c r="EY21" s="117"/>
      <c r="EZ21" s="101"/>
      <c r="FA21" s="117"/>
      <c r="FB21" s="117"/>
      <c r="FC21" s="117"/>
      <c r="FD21" s="117"/>
      <c r="FE21" s="117"/>
      <c r="FF21" s="491"/>
      <c r="FG21" s="491"/>
      <c r="FH21" s="491"/>
      <c r="FI21" s="117"/>
      <c r="FJ21" s="117"/>
      <c r="FK21" s="101"/>
      <c r="FL21" s="117"/>
      <c r="FM21" s="117"/>
      <c r="FN21" s="117"/>
      <c r="FO21" s="117"/>
      <c r="FQ21" s="101"/>
      <c r="FR21" s="117"/>
      <c r="FS21" s="117"/>
      <c r="FT21" s="491"/>
      <c r="FU21" s="491"/>
      <c r="FV21" s="117"/>
      <c r="FW21" s="117"/>
      <c r="FX21" s="117"/>
      <c r="FY21" s="117"/>
      <c r="FZ21" s="117"/>
      <c r="GA21" s="117"/>
      <c r="GB21" s="117"/>
      <c r="GC21" s="117"/>
      <c r="GD21" s="117"/>
      <c r="GE21" s="117"/>
      <c r="GF21" s="117"/>
      <c r="GG21" s="491"/>
      <c r="GH21" s="117"/>
      <c r="GI21" s="117"/>
      <c r="GJ21" s="117"/>
      <c r="GK21" s="117"/>
      <c r="GL21" s="117"/>
      <c r="GM21" s="491"/>
      <c r="GN21" s="117"/>
      <c r="GO21" s="117"/>
      <c r="GP21" s="508" t="s">
        <v>572</v>
      </c>
      <c r="GQ21" s="508" t="s">
        <v>1052</v>
      </c>
      <c r="GR21" s="508" t="s">
        <v>1052</v>
      </c>
      <c r="GS21" s="491"/>
      <c r="GT21" s="508" t="s">
        <v>1052</v>
      </c>
      <c r="GV21" s="508" t="s">
        <v>1118</v>
      </c>
      <c r="GW21" s="117"/>
      <c r="GX21" s="101"/>
      <c r="GY21" s="491"/>
      <c r="GZ21" s="117"/>
      <c r="HA21" s="117"/>
      <c r="HB21" s="117"/>
      <c r="HC21" s="117"/>
      <c r="HD21" s="117"/>
      <c r="HE21" s="491"/>
      <c r="HF21" s="101"/>
      <c r="HG21" s="101"/>
      <c r="HH21" s="101"/>
      <c r="HI21" s="101"/>
      <c r="HJ21" s="101"/>
      <c r="HK21" s="491"/>
      <c r="HL21" s="117"/>
      <c r="HM21" s="117"/>
      <c r="HN21" s="491"/>
      <c r="HO21" s="117"/>
      <c r="HP21" s="117"/>
      <c r="HQ21" s="491"/>
      <c r="HR21" s="117"/>
      <c r="HS21" s="227"/>
      <c r="HT21" s="117"/>
      <c r="HU21" s="117"/>
      <c r="HV21" s="117"/>
      <c r="HW21" s="491"/>
      <c r="HX21" s="117"/>
      <c r="HY21" s="117"/>
      <c r="HZ21" s="117"/>
      <c r="IA21" s="117"/>
      <c r="IB21" s="117"/>
      <c r="IC21" s="491"/>
      <c r="ID21" s="117"/>
      <c r="IE21" s="117"/>
      <c r="IF21" s="117"/>
      <c r="IG21" s="117"/>
      <c r="IH21" s="491"/>
      <c r="II21" s="491"/>
      <c r="IJ21" s="491"/>
      <c r="IK21" s="117"/>
      <c r="IL21" s="117"/>
      <c r="IM21" s="117"/>
      <c r="IN21" s="117"/>
      <c r="IO21" s="491"/>
      <c r="IP21" s="117"/>
      <c r="IQ21" s="117"/>
      <c r="IR21" s="117"/>
      <c r="IS21" s="117"/>
      <c r="IT21" s="117"/>
      <c r="IU21" s="491"/>
    </row>
    <row r="22" spans="1:255" ht="24.95" hidden="1" customHeight="1">
      <c r="A22" s="403" t="s">
        <v>1089</v>
      </c>
      <c r="B22" s="201">
        <v>500</v>
      </c>
      <c r="C22" s="201">
        <v>180</v>
      </c>
      <c r="D22" s="406">
        <f t="shared" si="1"/>
        <v>2.7777777777777777</v>
      </c>
      <c r="E22" s="188"/>
      <c r="F22" s="105"/>
      <c r="G22" s="106"/>
      <c r="H22" s="106"/>
      <c r="I22" s="106"/>
      <c r="J22" s="237"/>
      <c r="K22" s="105" t="s">
        <v>437</v>
      </c>
      <c r="L22" s="106" t="s">
        <v>437</v>
      </c>
      <c r="M22" s="106" t="s">
        <v>437</v>
      </c>
      <c r="N22" s="106" t="s">
        <v>437</v>
      </c>
      <c r="O22" s="107" t="s">
        <v>437</v>
      </c>
      <c r="P22" s="102"/>
      <c r="Q22" s="101"/>
      <c r="R22" s="101"/>
      <c r="S22" s="101"/>
      <c r="T22" s="98"/>
      <c r="U22" s="281" t="s">
        <v>437</v>
      </c>
      <c r="V22" s="106" t="s">
        <v>437</v>
      </c>
      <c r="W22" s="106" t="s">
        <v>437</v>
      </c>
      <c r="X22" s="106" t="s">
        <v>437</v>
      </c>
      <c r="Y22" s="106" t="s">
        <v>437</v>
      </c>
      <c r="Z22" s="100"/>
      <c r="AA22" s="101"/>
      <c r="AB22" s="101"/>
      <c r="AC22" s="101"/>
      <c r="AD22" s="98"/>
      <c r="AE22" s="100"/>
      <c r="AF22" s="101"/>
      <c r="AG22" s="101"/>
      <c r="AH22" s="101"/>
      <c r="AI22" s="98"/>
      <c r="AJ22" s="100"/>
      <c r="AK22" s="101"/>
      <c r="AL22" s="101"/>
      <c r="AM22" s="101"/>
      <c r="AN22" s="103" t="s">
        <v>244</v>
      </c>
      <c r="AO22" s="100"/>
      <c r="AP22" s="101"/>
      <c r="AQ22" s="101"/>
      <c r="AR22" s="101"/>
      <c r="AS22" s="98"/>
      <c r="AT22" s="102"/>
      <c r="AU22" s="104"/>
      <c r="AV22" s="104"/>
      <c r="AW22" s="104"/>
      <c r="AX22" s="104"/>
      <c r="AY22" s="399"/>
      <c r="BA22" s="101"/>
      <c r="BB22" s="101"/>
      <c r="BC22" s="101" t="s">
        <v>244</v>
      </c>
      <c r="BD22" s="103" t="s">
        <v>244</v>
      </c>
      <c r="BE22" s="100"/>
      <c r="BF22" s="101"/>
      <c r="BG22" s="101"/>
      <c r="BH22" s="101"/>
      <c r="BI22" s="98"/>
      <c r="BJ22" s="100"/>
      <c r="BK22" s="101"/>
      <c r="BL22" s="101"/>
      <c r="BM22" s="101"/>
      <c r="BN22" s="98"/>
      <c r="BO22" s="102"/>
      <c r="BP22" s="101"/>
      <c r="BQ22" s="101"/>
      <c r="BR22" s="101"/>
      <c r="BS22" s="98"/>
      <c r="BT22" s="102"/>
      <c r="BU22" s="101"/>
      <c r="BV22" s="101"/>
      <c r="BW22" s="101"/>
      <c r="BX22" s="98"/>
      <c r="BY22" s="100"/>
      <c r="BZ22" s="101"/>
      <c r="CA22" s="101"/>
      <c r="CB22" s="101"/>
      <c r="CC22" s="98"/>
      <c r="CD22" s="100"/>
      <c r="CE22" s="101"/>
      <c r="CF22" s="101"/>
      <c r="CG22" s="101"/>
      <c r="CH22" s="98"/>
      <c r="CI22" s="100"/>
      <c r="CJ22" s="101"/>
      <c r="CK22" s="101"/>
      <c r="CL22" s="101"/>
      <c r="CM22" s="98"/>
      <c r="CN22" s="102"/>
      <c r="CO22" s="101"/>
      <c r="CP22" s="101"/>
      <c r="CQ22" s="101"/>
      <c r="CR22" s="98"/>
      <c r="CS22" s="489"/>
      <c r="CT22" s="101"/>
      <c r="CU22" s="101"/>
      <c r="CV22" s="101"/>
      <c r="CW22" s="98"/>
      <c r="CX22" s="100"/>
      <c r="CY22" s="101"/>
      <c r="CZ22" s="101"/>
      <c r="DA22" s="101"/>
      <c r="DB22" s="98"/>
      <c r="DC22" s="100"/>
      <c r="DD22" s="101"/>
      <c r="DE22" s="101"/>
      <c r="DF22" s="101"/>
      <c r="DG22" s="103"/>
      <c r="DH22" s="116"/>
      <c r="DI22" s="117"/>
      <c r="DJ22" s="117"/>
      <c r="DK22" s="117"/>
      <c r="DM22" s="116"/>
      <c r="DN22" s="117"/>
      <c r="DO22" s="117"/>
      <c r="DP22" s="117"/>
      <c r="DR22" s="489"/>
      <c r="DS22" s="424"/>
      <c r="DT22" s="117"/>
      <c r="DV22" s="118"/>
      <c r="DX22" s="117"/>
      <c r="DY22" s="117"/>
      <c r="DZ22" s="541"/>
      <c r="EA22" s="118"/>
      <c r="EB22" s="116"/>
      <c r="EC22" s="117"/>
      <c r="ED22" s="117"/>
      <c r="EE22" s="117"/>
      <c r="EF22" s="227"/>
      <c r="EG22" s="117"/>
      <c r="EH22" s="117"/>
      <c r="EI22" s="117"/>
      <c r="EJ22" s="117"/>
      <c r="EK22" s="117"/>
      <c r="EL22" s="117"/>
      <c r="EM22" s="117"/>
      <c r="EN22" s="117"/>
      <c r="EO22" s="117"/>
      <c r="EP22" s="117"/>
      <c r="EQ22" s="117"/>
      <c r="ER22" s="117"/>
      <c r="ES22" s="117"/>
      <c r="ET22" s="117"/>
      <c r="EU22" s="117"/>
      <c r="EV22" s="117"/>
      <c r="EW22" s="117"/>
      <c r="EX22" s="117"/>
      <c r="EY22" s="117"/>
      <c r="EZ22" s="101"/>
      <c r="FA22" s="117"/>
      <c r="FB22" s="117"/>
      <c r="FC22" s="117"/>
      <c r="FD22" s="117"/>
      <c r="FE22" s="117"/>
      <c r="FF22" s="491"/>
      <c r="FG22" s="491"/>
      <c r="FH22" s="491"/>
      <c r="FI22" s="117"/>
      <c r="FJ22" s="117"/>
      <c r="FK22" s="117"/>
      <c r="FL22" s="117"/>
      <c r="FM22" s="117"/>
      <c r="FN22" s="117"/>
      <c r="FO22" s="117"/>
      <c r="FP22" s="117"/>
      <c r="FQ22" s="117"/>
      <c r="FR22" s="117"/>
      <c r="FS22" s="117"/>
      <c r="FT22" s="491"/>
      <c r="FU22" s="491"/>
      <c r="FV22" s="117"/>
      <c r="FW22" s="117"/>
      <c r="FX22" s="117"/>
      <c r="FY22" s="117"/>
      <c r="FZ22" s="117"/>
      <c r="GA22" s="117"/>
      <c r="GB22" s="117"/>
      <c r="GC22" s="117"/>
      <c r="GD22" s="117"/>
      <c r="GE22" s="117"/>
      <c r="GF22" s="117"/>
      <c r="GG22" s="491"/>
      <c r="GH22" s="117"/>
      <c r="GI22" s="117"/>
      <c r="GJ22" s="117"/>
      <c r="GK22" s="117"/>
      <c r="GL22" s="117"/>
      <c r="GM22" s="491"/>
      <c r="GN22" s="117"/>
      <c r="GO22" s="117"/>
      <c r="GP22" s="117"/>
      <c r="GQ22" s="227"/>
      <c r="GR22" s="117"/>
      <c r="GS22" s="491"/>
      <c r="GW22" s="552" t="s">
        <v>1053</v>
      </c>
      <c r="GX22" s="552" t="s">
        <v>1053</v>
      </c>
      <c r="GY22" s="491"/>
      <c r="GZ22" s="552" t="s">
        <v>1053</v>
      </c>
      <c r="HC22" s="117"/>
      <c r="HD22" s="117"/>
      <c r="HE22" s="491"/>
      <c r="HH22" s="101"/>
      <c r="HI22" s="101"/>
      <c r="HJ22" s="117"/>
      <c r="HK22" s="491"/>
      <c r="HN22" s="491"/>
      <c r="HO22" s="877" t="s">
        <v>1141</v>
      </c>
      <c r="HP22" s="877" t="s">
        <v>1141</v>
      </c>
      <c r="HQ22" s="491"/>
      <c r="HR22" s="117"/>
      <c r="HS22" s="227"/>
      <c r="HT22" s="117"/>
      <c r="HU22" s="117"/>
      <c r="HV22" s="117"/>
      <c r="HW22" s="491"/>
      <c r="HX22" s="117"/>
      <c r="HY22" s="117"/>
      <c r="HZ22" s="117"/>
      <c r="IA22" s="117"/>
      <c r="IB22" s="117"/>
      <c r="IC22" s="491"/>
      <c r="ID22" s="117"/>
      <c r="IE22" s="117"/>
      <c r="IF22" s="117"/>
      <c r="IG22" s="117"/>
      <c r="IH22" s="491"/>
      <c r="II22" s="491"/>
      <c r="IJ22" s="491"/>
      <c r="IK22" s="117"/>
      <c r="IL22" s="117"/>
      <c r="IM22" s="117"/>
      <c r="IN22" s="117"/>
      <c r="IO22" s="491"/>
      <c r="IP22" s="117"/>
      <c r="IQ22" s="117"/>
      <c r="IR22" s="117"/>
      <c r="IS22" s="117"/>
      <c r="IT22" s="117"/>
      <c r="IU22" s="491"/>
    </row>
    <row r="23" spans="1:255" ht="24.95" hidden="1" customHeight="1">
      <c r="A23" s="872" t="s">
        <v>1090</v>
      </c>
      <c r="B23" s="861">
        <v>600</v>
      </c>
      <c r="C23" s="220">
        <v>120</v>
      </c>
      <c r="D23" s="406">
        <f t="shared" si="1"/>
        <v>5</v>
      </c>
      <c r="E23" s="188"/>
      <c r="F23" s="105"/>
      <c r="G23" s="106"/>
      <c r="H23" s="106"/>
      <c r="I23" s="106"/>
      <c r="J23" s="237"/>
      <c r="K23" s="105" t="s">
        <v>437</v>
      </c>
      <c r="L23" s="106" t="s">
        <v>437</v>
      </c>
      <c r="M23" s="106" t="s">
        <v>437</v>
      </c>
      <c r="N23" s="106" t="s">
        <v>437</v>
      </c>
      <c r="O23" s="107" t="s">
        <v>437</v>
      </c>
      <c r="P23" s="102"/>
      <c r="Q23" s="238"/>
      <c r="R23" s="238"/>
      <c r="S23" s="238"/>
      <c r="T23" s="98"/>
      <c r="U23" s="281" t="s">
        <v>437</v>
      </c>
      <c r="V23" s="106" t="s">
        <v>437</v>
      </c>
      <c r="W23" s="106" t="s">
        <v>437</v>
      </c>
      <c r="X23" s="106" t="s">
        <v>437</v>
      </c>
      <c r="Y23" s="106" t="s">
        <v>437</v>
      </c>
      <c r="Z23" s="100"/>
      <c r="AA23" s="101"/>
      <c r="AB23" s="101"/>
      <c r="AC23" s="101"/>
      <c r="AD23" s="98"/>
      <c r="AE23" s="100"/>
      <c r="AF23" s="101"/>
      <c r="AG23" s="101"/>
      <c r="AH23" s="101"/>
      <c r="AI23" s="98"/>
      <c r="AJ23" s="100"/>
      <c r="AK23" s="101"/>
      <c r="AL23" s="101"/>
      <c r="AM23" s="101"/>
      <c r="AN23" s="103" t="s">
        <v>244</v>
      </c>
      <c r="AO23" s="100"/>
      <c r="AP23" s="101"/>
      <c r="AQ23" s="101"/>
      <c r="AR23" s="101"/>
      <c r="AS23" s="98"/>
      <c r="AT23" s="102"/>
      <c r="AU23" s="104"/>
      <c r="AV23" s="117"/>
      <c r="AW23" s="377" t="s">
        <v>476</v>
      </c>
      <c r="AX23" s="377" t="s">
        <v>476</v>
      </c>
      <c r="AY23" s="392"/>
      <c r="AZ23" s="102"/>
      <c r="BA23" s="101"/>
      <c r="BB23" s="101"/>
      <c r="BC23" s="101" t="s">
        <v>244</v>
      </c>
      <c r="BD23" s="103" t="s">
        <v>244</v>
      </c>
      <c r="BE23" s="100"/>
      <c r="BF23" s="101"/>
      <c r="BG23" s="101"/>
      <c r="BH23" s="101"/>
      <c r="BI23" s="98"/>
      <c r="BJ23" s="100"/>
      <c r="BK23" s="101"/>
      <c r="BL23" s="101"/>
      <c r="BM23" s="101"/>
      <c r="BN23" s="98"/>
      <c r="BO23" s="102"/>
      <c r="BP23" s="101"/>
      <c r="BQ23" s="101"/>
      <c r="BR23" s="101"/>
      <c r="BS23" s="98"/>
      <c r="BT23" s="102"/>
      <c r="BU23" s="101"/>
      <c r="BV23" s="101"/>
      <c r="BW23" s="101"/>
      <c r="BX23" s="98"/>
      <c r="BY23" s="100"/>
      <c r="BZ23" s="101"/>
      <c r="CA23" s="101"/>
      <c r="CB23" s="101"/>
      <c r="CC23" s="98"/>
      <c r="CD23" s="100"/>
      <c r="CE23" s="101"/>
      <c r="CF23" s="101"/>
      <c r="CG23" s="101"/>
      <c r="CH23" s="98"/>
      <c r="CI23" s="100"/>
      <c r="CJ23" s="101"/>
      <c r="CK23" s="101"/>
      <c r="CL23" s="101"/>
      <c r="CM23" s="98"/>
      <c r="CN23" s="102"/>
      <c r="CO23" s="101"/>
      <c r="CP23" s="101"/>
      <c r="CQ23" s="101"/>
      <c r="CR23" s="98"/>
      <c r="CS23" s="489"/>
      <c r="CT23" s="101"/>
      <c r="CU23" s="101"/>
      <c r="CV23" s="101"/>
      <c r="CW23" s="98"/>
      <c r="CX23" s="100"/>
      <c r="CY23" s="101"/>
      <c r="CZ23" s="101"/>
      <c r="DA23" s="110"/>
      <c r="DB23" s="507"/>
      <c r="DE23" s="511"/>
      <c r="DF23" s="508"/>
      <c r="DG23" s="103"/>
      <c r="DH23" s="116"/>
      <c r="DI23" s="117"/>
      <c r="DJ23" s="117"/>
      <c r="DK23" s="117"/>
      <c r="DL23" s="227"/>
      <c r="DM23" s="116"/>
      <c r="DN23" s="117"/>
      <c r="DO23" s="117"/>
      <c r="DP23" s="117"/>
      <c r="DQ23" s="227"/>
      <c r="DR23" s="489"/>
      <c r="DS23" s="117"/>
      <c r="DT23" s="117"/>
      <c r="DU23" s="117"/>
      <c r="DV23" s="118"/>
      <c r="DW23" s="119"/>
      <c r="DX23" s="117"/>
      <c r="DY23" s="117"/>
      <c r="DZ23" s="117"/>
      <c r="EA23" s="118"/>
      <c r="EB23" s="116"/>
      <c r="EC23" s="117"/>
      <c r="ED23" s="117"/>
      <c r="EE23" s="117"/>
      <c r="EF23" s="22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17"/>
      <c r="EU23" s="117"/>
      <c r="EV23" s="117"/>
      <c r="EW23" s="117"/>
      <c r="EZ23" s="101"/>
      <c r="FA23" s="117"/>
      <c r="FB23" s="101"/>
      <c r="FC23" s="101"/>
      <c r="FD23" s="117"/>
      <c r="FE23" s="117"/>
      <c r="FF23" s="491"/>
      <c r="FG23" s="491"/>
      <c r="FH23" s="491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491"/>
      <c r="FU23" s="491"/>
      <c r="FV23" s="117"/>
      <c r="FW23" s="117"/>
      <c r="FX23" s="117"/>
      <c r="FY23" s="117"/>
      <c r="FZ23" s="117"/>
      <c r="GA23" s="117"/>
      <c r="GB23" s="117"/>
      <c r="GC23" s="117"/>
      <c r="GD23" s="117"/>
      <c r="GE23" s="117"/>
      <c r="GF23" s="117"/>
      <c r="GG23" s="491"/>
      <c r="GH23" s="117"/>
      <c r="GI23" s="117"/>
      <c r="GJ23" s="117"/>
      <c r="GK23" s="117"/>
      <c r="GL23" s="117"/>
      <c r="GM23" s="491"/>
      <c r="GN23" s="117"/>
      <c r="GO23" s="117"/>
      <c r="GP23" s="117"/>
      <c r="GQ23" s="227"/>
      <c r="GR23" s="117"/>
      <c r="GS23" s="491"/>
      <c r="GT23" s="117"/>
      <c r="GU23" s="117"/>
      <c r="GV23" s="117"/>
      <c r="GW23" s="552" t="s">
        <v>1052</v>
      </c>
      <c r="GX23" s="552" t="s">
        <v>1052</v>
      </c>
      <c r="GY23" s="491"/>
      <c r="GZ23" s="552" t="s">
        <v>1052</v>
      </c>
      <c r="HA23" s="552" t="s">
        <v>1053</v>
      </c>
      <c r="HB23" s="552" t="s">
        <v>1055</v>
      </c>
      <c r="HC23" s="552" t="s">
        <v>1053</v>
      </c>
      <c r="HD23" s="774" t="s">
        <v>1141</v>
      </c>
      <c r="HE23" s="774" t="s">
        <v>1141</v>
      </c>
      <c r="HF23" s="774" t="s">
        <v>1141</v>
      </c>
      <c r="HG23" s="774" t="s">
        <v>1141</v>
      </c>
      <c r="HH23" s="774" t="s">
        <v>1141</v>
      </c>
      <c r="HI23" s="774" t="s">
        <v>1141</v>
      </c>
      <c r="HJ23" s="70" t="s">
        <v>1146</v>
      </c>
      <c r="HK23" s="491"/>
      <c r="HL23" s="117"/>
      <c r="HM23" s="117"/>
      <c r="HN23" s="491"/>
      <c r="HO23" s="117"/>
      <c r="HP23" s="117"/>
      <c r="HQ23" s="491"/>
      <c r="HR23" s="117"/>
      <c r="HS23" s="227"/>
      <c r="HT23" s="117"/>
      <c r="HU23" s="117"/>
      <c r="HV23" s="117"/>
      <c r="HW23" s="491"/>
      <c r="HX23" s="117"/>
      <c r="HY23" s="117"/>
      <c r="HZ23" s="117"/>
      <c r="IA23" s="117"/>
      <c r="IB23" s="117"/>
      <c r="IC23" s="491"/>
      <c r="ID23" s="117"/>
      <c r="IE23" s="117"/>
      <c r="IF23" s="117"/>
      <c r="IG23" s="117"/>
      <c r="IH23" s="491"/>
      <c r="II23" s="491"/>
      <c r="IJ23" s="491"/>
      <c r="IK23" s="117"/>
      <c r="IL23" s="117"/>
      <c r="IM23" s="117"/>
      <c r="IN23" s="117"/>
      <c r="IO23" s="491"/>
      <c r="IP23" s="117"/>
      <c r="IQ23" s="117"/>
      <c r="IR23" s="117"/>
      <c r="IS23" s="117"/>
      <c r="IT23" s="117"/>
      <c r="IU23" s="491"/>
    </row>
    <row r="24" spans="1:255" ht="24.95" hidden="1" customHeight="1">
      <c r="A24" s="15" t="s">
        <v>1091</v>
      </c>
      <c r="B24" s="46">
        <v>600</v>
      </c>
      <c r="C24" s="220">
        <v>120</v>
      </c>
      <c r="D24" s="406">
        <f t="shared" si="1"/>
        <v>5</v>
      </c>
      <c r="E24" s="188"/>
      <c r="F24" s="105"/>
      <c r="G24" s="106"/>
      <c r="H24" s="106"/>
      <c r="I24" s="106"/>
      <c r="J24" s="237"/>
      <c r="K24" s="105" t="s">
        <v>437</v>
      </c>
      <c r="L24" s="106" t="s">
        <v>437</v>
      </c>
      <c r="M24" s="106" t="s">
        <v>437</v>
      </c>
      <c r="N24" s="106" t="s">
        <v>437</v>
      </c>
      <c r="O24" s="107" t="s">
        <v>437</v>
      </c>
      <c r="P24" s="102"/>
      <c r="Q24" s="101"/>
      <c r="R24" s="101"/>
      <c r="S24" s="101"/>
      <c r="T24" s="98"/>
      <c r="U24" s="281" t="s">
        <v>437</v>
      </c>
      <c r="V24" s="106" t="s">
        <v>437</v>
      </c>
      <c r="W24" s="106" t="s">
        <v>437</v>
      </c>
      <c r="X24" s="106" t="s">
        <v>437</v>
      </c>
      <c r="Y24" s="106" t="s">
        <v>437</v>
      </c>
      <c r="Z24" s="100"/>
      <c r="AA24" s="316" t="s">
        <v>506</v>
      </c>
      <c r="AB24" s="101"/>
      <c r="AC24" s="101"/>
      <c r="AD24" s="98"/>
      <c r="AE24" s="100"/>
      <c r="AF24" s="101"/>
      <c r="AG24" s="101"/>
      <c r="AH24" s="101"/>
      <c r="AI24" s="98"/>
      <c r="AJ24" s="100"/>
      <c r="AK24" s="334" t="s">
        <v>474</v>
      </c>
      <c r="AL24" s="101"/>
      <c r="AM24" s="101"/>
      <c r="AN24" s="103" t="s">
        <v>244</v>
      </c>
      <c r="AO24" s="100"/>
      <c r="AP24" s="117"/>
      <c r="AQ24" s="117"/>
      <c r="AR24" s="117"/>
      <c r="AS24" s="397" t="s">
        <v>576</v>
      </c>
      <c r="AT24" s="396" t="s">
        <v>474</v>
      </c>
      <c r="AU24" s="238" t="s">
        <v>474</v>
      </c>
      <c r="AV24" s="238" t="s">
        <v>474</v>
      </c>
      <c r="AW24" s="104"/>
      <c r="AX24" s="104"/>
      <c r="AY24" s="392"/>
      <c r="AZ24" s="102"/>
      <c r="BA24" s="101"/>
      <c r="BB24" s="101"/>
      <c r="BC24" s="101" t="s">
        <v>244</v>
      </c>
      <c r="BD24" s="103" t="s">
        <v>244</v>
      </c>
      <c r="BE24" s="100"/>
      <c r="BF24" s="101"/>
      <c r="BG24" s="101"/>
      <c r="BH24" s="101"/>
      <c r="BI24" s="98"/>
      <c r="BJ24" s="100"/>
      <c r="BK24" s="101"/>
      <c r="BL24" s="101"/>
      <c r="BM24" s="101"/>
      <c r="BN24" s="98"/>
      <c r="BO24" s="102"/>
      <c r="BP24" s="101"/>
      <c r="BQ24" s="101"/>
      <c r="BR24" s="108"/>
      <c r="BS24" s="98"/>
      <c r="BT24" s="102"/>
      <c r="BU24" s="101"/>
      <c r="BV24" s="101"/>
      <c r="BW24" s="101"/>
      <c r="BX24" s="98"/>
      <c r="BY24" s="100"/>
      <c r="BZ24" s="101"/>
      <c r="CA24" s="101"/>
      <c r="CB24" s="101"/>
      <c r="CC24" s="98"/>
      <c r="CD24" s="100"/>
      <c r="CE24" s="101"/>
      <c r="CF24" s="101"/>
      <c r="CG24" s="101"/>
      <c r="CH24" s="98"/>
      <c r="CI24" s="100"/>
      <c r="CJ24" s="101"/>
      <c r="CK24" s="101"/>
      <c r="CL24" s="101"/>
      <c r="CM24" s="98"/>
      <c r="CN24" s="102"/>
      <c r="CO24" s="101"/>
      <c r="CP24" s="101"/>
      <c r="CQ24" s="101"/>
      <c r="CR24" s="98"/>
      <c r="CS24" s="489"/>
      <c r="CT24" s="101"/>
      <c r="CU24" s="101"/>
      <c r="CV24" s="101"/>
      <c r="CW24" s="98"/>
      <c r="CX24" s="100"/>
      <c r="CY24" s="101"/>
      <c r="CZ24" s="101"/>
      <c r="DA24" s="101"/>
      <c r="DB24" s="98"/>
      <c r="DC24" s="100"/>
      <c r="DD24" s="101"/>
      <c r="DE24" s="101"/>
      <c r="DF24" s="101"/>
      <c r="DG24" s="103"/>
      <c r="DH24" s="116"/>
      <c r="DI24" s="117"/>
      <c r="DJ24" s="117"/>
      <c r="DK24" s="117"/>
      <c r="DL24" s="227"/>
      <c r="DM24" s="116"/>
      <c r="DN24" s="117"/>
      <c r="DO24" s="117"/>
      <c r="DQ24" s="227"/>
      <c r="DR24" s="489"/>
      <c r="DS24" s="117"/>
      <c r="DT24" s="424"/>
      <c r="DU24" s="424"/>
      <c r="DX24" s="117"/>
      <c r="DZ24" s="117"/>
      <c r="EA24" s="487"/>
      <c r="EB24" s="116"/>
      <c r="EC24" s="117"/>
      <c r="ED24" s="117"/>
      <c r="EE24" s="117"/>
      <c r="EF24" s="22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01"/>
      <c r="FA24" s="117"/>
      <c r="FB24" s="316" t="s">
        <v>506</v>
      </c>
      <c r="FC24" s="117"/>
      <c r="FE24" s="117"/>
      <c r="FF24" s="491"/>
      <c r="FG24" s="491"/>
      <c r="FH24" s="491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491"/>
      <c r="FU24" s="491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491"/>
      <c r="GH24" s="117"/>
      <c r="GI24" s="117"/>
      <c r="GJ24" s="117"/>
      <c r="GK24" s="117"/>
      <c r="GL24" s="117"/>
      <c r="GM24" s="491"/>
      <c r="GN24" s="117"/>
      <c r="GO24" s="117"/>
      <c r="GP24" s="117"/>
      <c r="GQ24" s="227"/>
      <c r="GR24" s="117"/>
      <c r="GS24" s="491"/>
      <c r="GT24" s="117"/>
      <c r="GU24" s="117"/>
      <c r="GV24" s="117"/>
      <c r="GW24" s="117"/>
      <c r="GX24" s="117"/>
      <c r="GY24" s="491"/>
      <c r="GZ24" s="117"/>
      <c r="HA24" s="117"/>
      <c r="HB24" s="117"/>
      <c r="HC24" s="117"/>
      <c r="HD24" s="117"/>
      <c r="HE24" s="491"/>
      <c r="HK24" s="491"/>
      <c r="HN24" s="491"/>
      <c r="HO24" s="101"/>
      <c r="HP24" s="508" t="s">
        <v>1191</v>
      </c>
      <c r="HQ24" s="491"/>
      <c r="HT24" s="101"/>
      <c r="HU24" s="101"/>
      <c r="HV24" s="508" t="s">
        <v>1053</v>
      </c>
      <c r="HW24" s="491"/>
      <c r="HX24" s="552" t="s">
        <v>1053</v>
      </c>
      <c r="HY24" s="552" t="s">
        <v>1053</v>
      </c>
      <c r="HZ24" s="552" t="s">
        <v>1055</v>
      </c>
      <c r="IA24" s="117"/>
      <c r="IB24" s="117"/>
      <c r="IC24" s="491"/>
      <c r="ID24" s="117"/>
      <c r="IE24" s="117"/>
      <c r="IF24" s="117"/>
      <c r="IG24" s="117"/>
      <c r="IH24" s="491"/>
      <c r="II24" s="491"/>
      <c r="IJ24" s="491"/>
      <c r="IK24" s="117"/>
      <c r="IL24" s="117"/>
      <c r="IM24" s="117"/>
      <c r="IN24" s="117"/>
      <c r="IO24" s="491"/>
      <c r="IP24" s="117"/>
      <c r="IQ24" s="117"/>
      <c r="IR24" s="117"/>
      <c r="IS24" s="117"/>
      <c r="IT24" s="117"/>
      <c r="IU24" s="491"/>
    </row>
    <row r="25" spans="1:255" ht="24.95" hidden="1" customHeight="1">
      <c r="A25" s="871" t="s">
        <v>1092</v>
      </c>
      <c r="B25" s="46">
        <v>300</v>
      </c>
      <c r="C25" s="219">
        <v>120</v>
      </c>
      <c r="D25" s="406">
        <f t="shared" si="1"/>
        <v>2.5</v>
      </c>
      <c r="E25" s="188"/>
      <c r="F25" s="105"/>
      <c r="G25" s="106"/>
      <c r="H25" s="106"/>
      <c r="I25" s="106"/>
      <c r="J25" s="237"/>
      <c r="K25" s="105" t="s">
        <v>437</v>
      </c>
      <c r="L25" s="106" t="s">
        <v>437</v>
      </c>
      <c r="M25" s="106" t="s">
        <v>437</v>
      </c>
      <c r="N25" s="106" t="s">
        <v>437</v>
      </c>
      <c r="O25" s="107" t="s">
        <v>437</v>
      </c>
      <c r="P25" s="102"/>
      <c r="Q25" s="101"/>
      <c r="R25" s="101"/>
      <c r="S25" s="101"/>
      <c r="T25" s="98"/>
      <c r="U25" s="281" t="s">
        <v>437</v>
      </c>
      <c r="V25" s="106" t="s">
        <v>437</v>
      </c>
      <c r="W25" s="106" t="s">
        <v>437</v>
      </c>
      <c r="X25" s="106" t="s">
        <v>437</v>
      </c>
      <c r="Y25" s="106" t="s">
        <v>437</v>
      </c>
      <c r="Z25" s="100"/>
      <c r="AA25" s="101"/>
      <c r="AB25" s="101"/>
      <c r="AC25" s="101"/>
      <c r="AD25" s="98"/>
      <c r="AE25" s="100"/>
      <c r="AF25" s="101"/>
      <c r="AG25" s="101"/>
      <c r="AH25" s="101"/>
      <c r="AI25" s="98"/>
      <c r="AJ25" s="100"/>
      <c r="AK25" s="101"/>
      <c r="AL25" s="101"/>
      <c r="AM25" s="101"/>
      <c r="AN25" s="103" t="s">
        <v>244</v>
      </c>
      <c r="AO25" s="100"/>
      <c r="AP25" s="101"/>
      <c r="AQ25" s="101"/>
      <c r="AR25" s="101"/>
      <c r="AS25" s="98"/>
      <c r="AT25" s="102"/>
      <c r="AU25" s="104"/>
      <c r="AV25" s="104"/>
      <c r="AW25" s="104"/>
      <c r="AX25" s="104"/>
      <c r="AY25" s="392"/>
      <c r="AZ25" s="102"/>
      <c r="BA25" s="101"/>
      <c r="BB25" s="101"/>
      <c r="BC25" s="101" t="s">
        <v>244</v>
      </c>
      <c r="BD25" s="103" t="s">
        <v>244</v>
      </c>
      <c r="BE25" s="100"/>
      <c r="BF25" s="101"/>
      <c r="BG25" s="101"/>
      <c r="BH25" s="101"/>
      <c r="BI25" s="98"/>
      <c r="BJ25" s="100"/>
      <c r="BK25" s="101"/>
      <c r="BL25" s="101"/>
      <c r="BM25" s="101"/>
      <c r="BN25" s="98"/>
      <c r="BO25" s="390"/>
      <c r="BP25" s="101"/>
      <c r="BQ25" s="101"/>
      <c r="BR25" s="101"/>
      <c r="BS25" s="98"/>
      <c r="BT25" s="102"/>
      <c r="BU25" s="101"/>
      <c r="BV25" s="101"/>
      <c r="BW25" s="101"/>
      <c r="BX25" s="98"/>
      <c r="BY25" s="100"/>
      <c r="BZ25" s="101"/>
      <c r="CA25" s="101"/>
      <c r="CB25" s="101"/>
      <c r="CC25" s="98"/>
      <c r="CD25" s="100"/>
      <c r="CE25" s="101"/>
      <c r="CF25" s="101"/>
      <c r="CG25" s="101"/>
      <c r="CH25" s="98"/>
      <c r="CI25" s="100"/>
      <c r="CJ25" s="101"/>
      <c r="CK25" s="101"/>
      <c r="CL25" s="101"/>
      <c r="CM25" s="98"/>
      <c r="CN25" s="102"/>
      <c r="CO25" s="101"/>
      <c r="CP25" s="101"/>
      <c r="CQ25" s="101"/>
      <c r="CR25" s="98"/>
      <c r="CS25" s="489"/>
      <c r="CT25" s="101"/>
      <c r="CU25" s="101"/>
      <c r="CV25" s="101"/>
      <c r="CW25" s="98"/>
      <c r="CX25" s="100"/>
      <c r="CY25" s="101"/>
      <c r="CZ25" s="101"/>
      <c r="DA25" s="101"/>
      <c r="DB25" s="98"/>
      <c r="DC25" s="238"/>
      <c r="DG25" s="103"/>
      <c r="DH25" s="116"/>
      <c r="DI25" s="117"/>
      <c r="DJ25" s="117"/>
      <c r="DK25" s="117"/>
      <c r="DL25" s="227"/>
      <c r="DM25" s="116"/>
      <c r="DN25" s="117"/>
      <c r="DO25" s="117"/>
      <c r="DP25" s="117"/>
      <c r="DQ25" s="227"/>
      <c r="DR25" s="489"/>
      <c r="DS25" s="117"/>
      <c r="DT25" s="117"/>
      <c r="DU25" s="117"/>
      <c r="DV25" s="118"/>
      <c r="DW25" s="119"/>
      <c r="DX25" s="117"/>
      <c r="DY25" s="117"/>
      <c r="DZ25" s="117"/>
      <c r="EA25" s="118"/>
      <c r="EB25" s="116"/>
      <c r="EC25" s="117"/>
      <c r="ED25" s="117"/>
      <c r="EE25" s="117"/>
      <c r="EF25" s="22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17"/>
      <c r="EY25" s="117"/>
      <c r="EZ25" s="101"/>
      <c r="FA25" s="117"/>
      <c r="FB25" s="117"/>
      <c r="FC25" s="117"/>
      <c r="FD25" s="117"/>
      <c r="FE25" s="117"/>
      <c r="FF25" s="491"/>
      <c r="FG25" s="491"/>
      <c r="FH25" s="491"/>
      <c r="FI25" s="117"/>
      <c r="FJ25" s="117"/>
      <c r="FK25" s="117"/>
      <c r="FL25" s="117"/>
      <c r="FM25" s="117"/>
      <c r="FN25" s="117"/>
      <c r="FO25" s="117"/>
      <c r="FP25" s="117"/>
      <c r="FQ25" s="117"/>
      <c r="FR25" s="117"/>
      <c r="FS25" s="117"/>
      <c r="FT25" s="491"/>
      <c r="FU25" s="491"/>
      <c r="FV25" s="117"/>
      <c r="FW25" s="117"/>
      <c r="FX25" s="117"/>
      <c r="FY25" s="117"/>
      <c r="FZ25" s="117"/>
      <c r="GA25" s="117"/>
      <c r="GB25" s="117"/>
      <c r="GC25" s="117"/>
      <c r="GD25" s="117"/>
      <c r="GE25" s="117"/>
      <c r="GF25" s="117"/>
      <c r="GG25" s="101"/>
      <c r="GH25" s="117"/>
      <c r="GI25" s="117"/>
      <c r="GJ25" s="117"/>
      <c r="GK25" s="117"/>
      <c r="GL25" s="117"/>
      <c r="GM25" s="117"/>
      <c r="GN25" s="117"/>
      <c r="GO25" s="117"/>
      <c r="GP25" s="117"/>
      <c r="GQ25" s="117"/>
      <c r="GR25" s="834"/>
      <c r="GS25" s="491"/>
      <c r="GT25" s="117"/>
      <c r="GU25" s="117"/>
      <c r="GY25" s="491"/>
      <c r="HE25" s="491"/>
      <c r="HG25" s="552" t="s">
        <v>1054</v>
      </c>
      <c r="HH25" s="552" t="s">
        <v>1143</v>
      </c>
      <c r="HI25" s="552" t="s">
        <v>256</v>
      </c>
      <c r="HJ25" s="774" t="s">
        <v>1141</v>
      </c>
      <c r="HK25" s="491"/>
      <c r="HL25" s="774" t="s">
        <v>1141</v>
      </c>
      <c r="HM25" s="774" t="s">
        <v>1141</v>
      </c>
      <c r="HN25" s="491"/>
      <c r="HO25" s="117"/>
      <c r="HP25" s="117"/>
      <c r="HQ25" s="491"/>
      <c r="HR25" s="117"/>
      <c r="HS25" s="227"/>
      <c r="HT25" s="117"/>
      <c r="HU25" s="117"/>
      <c r="HV25" s="117"/>
      <c r="HW25" s="491"/>
      <c r="HX25" s="117"/>
      <c r="HY25" s="117"/>
      <c r="HZ25" s="117"/>
      <c r="IA25" s="117"/>
      <c r="IB25" s="117"/>
      <c r="IC25" s="491"/>
      <c r="ID25" s="117"/>
      <c r="IE25" s="117"/>
      <c r="IF25" s="117"/>
      <c r="IG25" s="117"/>
      <c r="IH25" s="491"/>
      <c r="II25" s="491"/>
      <c r="IJ25" s="491"/>
      <c r="IK25" s="117"/>
      <c r="IL25" s="117"/>
      <c r="IM25" s="117"/>
      <c r="IN25" s="117"/>
      <c r="IO25" s="491"/>
      <c r="IP25" s="117"/>
      <c r="IQ25" s="117"/>
      <c r="IR25" s="117"/>
      <c r="IS25" s="117"/>
      <c r="IT25" s="117"/>
      <c r="IU25" s="491"/>
    </row>
    <row r="26" spans="1:255" s="109" customFormat="1" ht="24.95" hidden="1" customHeight="1">
      <c r="A26" s="15" t="s">
        <v>1093</v>
      </c>
      <c r="B26" s="46">
        <v>200</v>
      </c>
      <c r="C26" s="200">
        <v>120</v>
      </c>
      <c r="D26" s="406">
        <f>B26/C26</f>
        <v>1.6666666666666667</v>
      </c>
      <c r="E26" s="188"/>
      <c r="F26" s="105"/>
      <c r="G26" s="106"/>
      <c r="H26" s="106"/>
      <c r="I26" s="106"/>
      <c r="J26" s="237"/>
      <c r="K26" s="105" t="s">
        <v>437</v>
      </c>
      <c r="L26" s="106" t="s">
        <v>437</v>
      </c>
      <c r="M26" s="106" t="s">
        <v>437</v>
      </c>
      <c r="N26" s="106" t="s">
        <v>437</v>
      </c>
      <c r="O26" s="107" t="s">
        <v>437</v>
      </c>
      <c r="P26" s="102"/>
      <c r="Q26" s="101"/>
      <c r="R26" s="101"/>
      <c r="S26" s="101"/>
      <c r="T26" s="98"/>
      <c r="U26" s="281" t="s">
        <v>437</v>
      </c>
      <c r="V26" s="106" t="s">
        <v>437</v>
      </c>
      <c r="W26" s="106" t="s">
        <v>437</v>
      </c>
      <c r="X26" s="106" t="s">
        <v>437</v>
      </c>
      <c r="Y26" s="106" t="s">
        <v>437</v>
      </c>
      <c r="Z26" s="315" t="s">
        <v>476</v>
      </c>
      <c r="AA26" s="101"/>
      <c r="AB26" s="101"/>
      <c r="AC26" s="101"/>
      <c r="AD26" s="98"/>
      <c r="AE26" s="100"/>
      <c r="AF26" s="101"/>
      <c r="AG26" s="101"/>
      <c r="AH26" s="101"/>
      <c r="AI26" s="98"/>
      <c r="AJ26" s="100"/>
      <c r="AK26" s="101"/>
      <c r="AL26" s="101"/>
      <c r="AM26" s="101"/>
      <c r="AN26" s="103" t="s">
        <v>244</v>
      </c>
      <c r="AO26" s="100"/>
      <c r="AP26" s="101"/>
      <c r="AQ26" s="101"/>
      <c r="AR26" s="101"/>
      <c r="AS26" s="98"/>
      <c r="AT26" s="102"/>
      <c r="AU26" s="104"/>
      <c r="AV26" s="104"/>
      <c r="AW26" s="104"/>
      <c r="AX26" s="104"/>
      <c r="AY26" s="392"/>
      <c r="AZ26" s="102"/>
      <c r="BA26" s="101"/>
      <c r="BB26" s="101"/>
      <c r="BC26" s="101" t="s">
        <v>244</v>
      </c>
      <c r="BD26" s="103" t="s">
        <v>244</v>
      </c>
      <c r="BE26" s="100"/>
      <c r="BF26" s="101"/>
      <c r="BG26" s="101"/>
      <c r="BH26" s="101"/>
      <c r="BI26" s="98"/>
      <c r="BJ26" s="100"/>
      <c r="BK26" s="101"/>
      <c r="BL26" s="101"/>
      <c r="BM26" s="101"/>
      <c r="BN26" s="98"/>
      <c r="BO26" s="102"/>
      <c r="BP26" s="101"/>
      <c r="BQ26" s="101"/>
      <c r="BR26" s="101"/>
      <c r="BS26" s="98"/>
      <c r="BT26" s="102"/>
      <c r="BU26" s="101"/>
      <c r="BV26" s="101"/>
      <c r="BW26" s="101"/>
      <c r="BX26" s="98"/>
      <c r="BY26" s="100"/>
      <c r="BZ26" s="101"/>
      <c r="CA26" s="101"/>
      <c r="CB26" s="101"/>
      <c r="CC26" s="98"/>
      <c r="CD26" s="100"/>
      <c r="CE26" s="101"/>
      <c r="CF26" s="101"/>
      <c r="CG26" s="101"/>
      <c r="CH26" s="98"/>
      <c r="CI26" s="100"/>
      <c r="CJ26" s="101"/>
      <c r="CK26" s="101"/>
      <c r="CL26" s="101"/>
      <c r="CM26" s="98"/>
      <c r="CN26" s="102"/>
      <c r="CO26" s="101"/>
      <c r="CP26" s="101"/>
      <c r="CQ26" s="101"/>
      <c r="CR26" s="98"/>
      <c r="CS26" s="489"/>
      <c r="CT26" s="101"/>
      <c r="CU26" s="101"/>
      <c r="CV26" s="101"/>
      <c r="CW26" s="98"/>
      <c r="CX26" s="100"/>
      <c r="CY26" s="101"/>
      <c r="CZ26" s="101"/>
      <c r="DA26" s="101"/>
      <c r="DB26" s="98"/>
      <c r="DC26" s="100"/>
      <c r="DD26" s="238"/>
      <c r="DE26" s="101"/>
      <c r="DF26" s="101"/>
      <c r="DG26" s="103"/>
      <c r="DH26" s="100"/>
      <c r="DI26" s="101"/>
      <c r="DJ26" s="101"/>
      <c r="DK26" s="101"/>
      <c r="DL26" s="103"/>
      <c r="DM26" s="100"/>
      <c r="DN26" s="101"/>
      <c r="DO26" s="101"/>
      <c r="DP26" s="101"/>
      <c r="DQ26" s="103"/>
      <c r="DR26" s="489"/>
      <c r="DS26" s="101"/>
      <c r="DT26" s="101"/>
      <c r="DU26" s="101"/>
      <c r="DV26" s="98"/>
      <c r="DW26" s="102"/>
      <c r="DX26" s="101"/>
      <c r="DY26" s="101"/>
      <c r="DZ26" s="101"/>
      <c r="EA26" s="98"/>
      <c r="EB26" s="100"/>
      <c r="EC26" s="101"/>
      <c r="ED26" s="101"/>
      <c r="EE26" s="101"/>
      <c r="EF26" s="103"/>
      <c r="EG26" s="101"/>
      <c r="EH26" s="101"/>
      <c r="EI26" s="101"/>
      <c r="EJ26" s="101"/>
      <c r="EK26" s="101"/>
      <c r="EL26" s="101"/>
      <c r="EM26" s="101"/>
      <c r="EN26" s="101"/>
      <c r="EO26" s="101"/>
      <c r="EP26" s="101"/>
      <c r="EQ26" s="101"/>
      <c r="ER26" s="101"/>
      <c r="ES26" s="101"/>
      <c r="ET26" s="101"/>
      <c r="EU26" s="101"/>
      <c r="EV26" s="101"/>
      <c r="EW26" s="238" t="s">
        <v>476</v>
      </c>
      <c r="EX26" s="101"/>
      <c r="EY26" s="101"/>
      <c r="EZ26" s="101"/>
      <c r="FA26" s="101"/>
      <c r="FB26" s="101"/>
      <c r="FC26" s="101"/>
      <c r="FD26" s="101"/>
      <c r="FE26" s="101"/>
      <c r="FF26" s="491"/>
      <c r="FG26" s="491"/>
      <c r="FH26" s="491"/>
      <c r="FI26" s="101"/>
      <c r="FJ26" s="101"/>
      <c r="FK26" s="101"/>
      <c r="FL26" s="101"/>
      <c r="FM26" s="101"/>
      <c r="FN26" s="101"/>
      <c r="FO26" s="101"/>
      <c r="FP26" s="101"/>
      <c r="FQ26" s="101"/>
      <c r="FR26" s="101"/>
      <c r="FS26" s="101"/>
      <c r="FT26" s="491"/>
      <c r="FU26" s="491"/>
      <c r="FV26" s="101"/>
      <c r="FW26" s="101"/>
      <c r="FX26" s="101"/>
      <c r="FY26" s="101"/>
      <c r="FZ26" s="101"/>
      <c r="GA26" s="101"/>
      <c r="GB26" s="101"/>
      <c r="GC26" s="101"/>
      <c r="GD26" s="101"/>
      <c r="GE26" s="101"/>
      <c r="GF26" s="101"/>
      <c r="GG26" s="101"/>
      <c r="GH26" s="101"/>
      <c r="GI26" s="101"/>
      <c r="GJ26" s="101"/>
      <c r="GK26" s="101"/>
      <c r="GL26" s="101"/>
      <c r="GM26" s="101"/>
      <c r="GN26" s="101"/>
      <c r="GO26" s="101"/>
      <c r="GP26" s="101"/>
      <c r="GQ26" s="101"/>
      <c r="GR26" s="101"/>
      <c r="GS26" s="491"/>
      <c r="GT26" s="101"/>
      <c r="GU26" s="101"/>
      <c r="GV26" s="101"/>
      <c r="GW26" s="101"/>
      <c r="GX26" s="101"/>
      <c r="GY26" s="491"/>
      <c r="GZ26" s="101"/>
      <c r="HA26" s="101"/>
      <c r="HB26" s="101"/>
      <c r="HE26" s="491"/>
      <c r="HK26" s="491"/>
      <c r="HM26" s="508" t="s">
        <v>1052</v>
      </c>
      <c r="HN26" s="491"/>
      <c r="HO26" s="508" t="s">
        <v>1191</v>
      </c>
      <c r="HP26" s="101"/>
      <c r="HQ26" s="491"/>
      <c r="HR26" s="877" t="s">
        <v>1141</v>
      </c>
      <c r="HS26" s="877" t="s">
        <v>1141</v>
      </c>
      <c r="HT26" s="101" t="s">
        <v>1146</v>
      </c>
      <c r="HV26" s="101"/>
      <c r="HW26" s="491"/>
      <c r="HX26" s="101"/>
      <c r="HY26" s="101"/>
      <c r="HZ26" s="101"/>
      <c r="IA26" s="101"/>
      <c r="IB26" s="101"/>
      <c r="IC26" s="491"/>
      <c r="ID26" s="101"/>
      <c r="IE26" s="101"/>
      <c r="IF26" s="101"/>
      <c r="IG26" s="101"/>
      <c r="IH26" s="491"/>
      <c r="II26" s="491"/>
      <c r="IJ26" s="491"/>
      <c r="IK26" s="101"/>
      <c r="IL26" s="101"/>
      <c r="IM26" s="101"/>
      <c r="IN26" s="101"/>
      <c r="IO26" s="491"/>
      <c r="IP26" s="101"/>
      <c r="IQ26" s="101"/>
      <c r="IR26" s="101"/>
      <c r="IS26" s="101"/>
      <c r="IT26" s="101"/>
      <c r="IU26" s="491"/>
    </row>
    <row r="27" spans="1:255" ht="24.95" hidden="1" customHeight="1">
      <c r="A27" s="862" t="s">
        <v>1094</v>
      </c>
      <c r="B27" s="46">
        <v>500</v>
      </c>
      <c r="C27" s="200">
        <v>120</v>
      </c>
      <c r="D27" s="406">
        <f>B27/C27</f>
        <v>4.166666666666667</v>
      </c>
      <c r="E27" s="188"/>
      <c r="F27" s="105"/>
      <c r="G27" s="106"/>
      <c r="H27" s="106"/>
      <c r="I27" s="106"/>
      <c r="J27" s="237"/>
      <c r="K27" s="105" t="s">
        <v>437</v>
      </c>
      <c r="L27" s="106" t="s">
        <v>437</v>
      </c>
      <c r="M27" s="106" t="s">
        <v>437</v>
      </c>
      <c r="N27" s="106" t="s">
        <v>437</v>
      </c>
      <c r="O27" s="107" t="s">
        <v>437</v>
      </c>
      <c r="P27" s="102"/>
      <c r="Q27" s="101"/>
      <c r="R27" s="101"/>
      <c r="S27" s="101"/>
      <c r="T27" s="98"/>
      <c r="U27" s="281" t="s">
        <v>437</v>
      </c>
      <c r="V27" s="106" t="s">
        <v>437</v>
      </c>
      <c r="W27" s="106" t="s">
        <v>437</v>
      </c>
      <c r="X27" s="106" t="s">
        <v>437</v>
      </c>
      <c r="Y27" s="106" t="s">
        <v>437</v>
      </c>
      <c r="Z27" s="100"/>
      <c r="AA27" s="101"/>
      <c r="AB27" s="101"/>
      <c r="AC27" s="101"/>
      <c r="AD27" s="98"/>
      <c r="AE27" s="100"/>
      <c r="AF27" s="101"/>
      <c r="AG27" s="101"/>
      <c r="AH27" s="101"/>
      <c r="AI27" s="98"/>
      <c r="AJ27" s="100"/>
      <c r="AK27" s="101"/>
      <c r="AL27" s="101"/>
      <c r="AM27" s="101"/>
      <c r="AN27" s="103" t="s">
        <v>244</v>
      </c>
      <c r="AO27" s="100"/>
      <c r="AP27" s="101"/>
      <c r="AQ27" s="101"/>
      <c r="AR27" s="101"/>
      <c r="AS27" s="98"/>
      <c r="AT27" s="102"/>
      <c r="AU27" s="104"/>
      <c r="AV27" s="104"/>
      <c r="AW27" s="104"/>
      <c r="AX27" s="104"/>
      <c r="AY27" s="392"/>
      <c r="AZ27" s="102"/>
      <c r="BA27" s="101"/>
      <c r="BB27" s="101"/>
      <c r="BC27" s="101" t="s">
        <v>244</v>
      </c>
      <c r="BD27" s="103" t="s">
        <v>244</v>
      </c>
      <c r="BE27" s="100"/>
      <c r="BF27" s="101"/>
      <c r="BG27" s="101"/>
      <c r="BH27" s="101"/>
      <c r="BI27" s="98"/>
      <c r="BJ27" s="100"/>
      <c r="BK27" s="101"/>
      <c r="BL27" s="101"/>
      <c r="BM27" s="101"/>
      <c r="BN27" s="98"/>
      <c r="BO27" s="102"/>
      <c r="BP27" s="101"/>
      <c r="BQ27" s="101"/>
      <c r="BR27" s="101"/>
      <c r="BS27" s="98"/>
      <c r="BT27" s="102"/>
      <c r="BU27" s="101"/>
      <c r="BV27" s="101"/>
      <c r="BW27" s="101"/>
      <c r="BX27" s="98"/>
      <c r="BY27" s="100"/>
      <c r="BZ27" s="101"/>
      <c r="CA27" s="101"/>
      <c r="CB27" s="101"/>
      <c r="CC27" s="98"/>
      <c r="CD27" s="100"/>
      <c r="CE27" s="101"/>
      <c r="CF27" s="101"/>
      <c r="CG27" s="101"/>
      <c r="CH27" s="98"/>
      <c r="CI27" s="100"/>
      <c r="CJ27" s="101"/>
      <c r="CK27" s="101"/>
      <c r="CL27" s="101"/>
      <c r="CM27" s="98"/>
      <c r="CN27" s="102"/>
      <c r="CO27" s="101"/>
      <c r="CP27" s="101"/>
      <c r="CQ27" s="101"/>
      <c r="CR27" s="98"/>
      <c r="CS27" s="489"/>
      <c r="CT27" s="101"/>
      <c r="CU27" s="101"/>
      <c r="CV27" s="101"/>
      <c r="CW27" s="98"/>
      <c r="CX27" s="100"/>
      <c r="CY27" s="101"/>
      <c r="CZ27" s="101"/>
      <c r="DA27" s="101"/>
      <c r="DB27" s="98"/>
      <c r="DC27" s="100"/>
      <c r="DD27" s="101"/>
      <c r="DE27" s="101"/>
      <c r="DF27" s="101"/>
      <c r="DG27" s="103"/>
      <c r="DH27" s="116"/>
      <c r="DI27" s="117"/>
      <c r="DJ27" s="117"/>
      <c r="DK27" s="117"/>
      <c r="DL27" s="227"/>
      <c r="DM27" s="116"/>
      <c r="DN27" s="117"/>
      <c r="DO27" s="117"/>
      <c r="DP27" s="117"/>
      <c r="DQ27" s="227"/>
      <c r="DR27" s="489"/>
      <c r="DS27" s="117"/>
      <c r="DT27" s="117"/>
      <c r="DU27" s="117"/>
      <c r="DV27" s="118"/>
      <c r="DW27" s="119"/>
      <c r="DX27" s="117"/>
      <c r="DY27" s="117"/>
      <c r="DZ27" s="117"/>
      <c r="EA27" s="118"/>
      <c r="EB27" s="116"/>
      <c r="EC27" s="117"/>
      <c r="ED27" s="117"/>
      <c r="EE27" s="117"/>
      <c r="EF27" s="22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17"/>
      <c r="EY27" s="117"/>
      <c r="EZ27" s="101"/>
      <c r="FA27" s="117"/>
      <c r="FB27" s="117"/>
      <c r="FC27" s="316" t="s">
        <v>506</v>
      </c>
      <c r="FD27" s="117"/>
      <c r="FF27" s="491"/>
      <c r="FG27" s="491"/>
      <c r="FH27" s="491"/>
      <c r="FJ27" s="117"/>
      <c r="FK27" s="117"/>
      <c r="FL27" s="117"/>
      <c r="FM27" s="117"/>
      <c r="FN27" s="117"/>
      <c r="FO27" s="117"/>
      <c r="FP27" s="117"/>
      <c r="FQ27" s="117"/>
      <c r="FR27" s="117"/>
      <c r="FS27" s="117"/>
      <c r="FT27" s="491"/>
      <c r="FU27" s="491"/>
      <c r="FV27" s="117"/>
      <c r="FW27" s="117"/>
      <c r="FX27" s="117"/>
      <c r="FY27" s="117"/>
      <c r="FZ27" s="117"/>
      <c r="GA27" s="117"/>
      <c r="GB27" s="117"/>
      <c r="GC27" s="117"/>
      <c r="GD27" s="117"/>
      <c r="GE27" s="117"/>
      <c r="GF27" s="117"/>
      <c r="GG27" s="101"/>
      <c r="GH27" s="117"/>
      <c r="GI27" s="117"/>
      <c r="GJ27" s="117"/>
      <c r="GK27" s="117"/>
      <c r="GL27" s="117"/>
      <c r="GM27" s="117"/>
      <c r="GN27" s="117"/>
      <c r="GO27" s="117"/>
      <c r="GP27" s="117"/>
      <c r="GQ27" s="117"/>
      <c r="GR27" s="117"/>
      <c r="GS27" s="491"/>
      <c r="GT27" s="117"/>
      <c r="GU27" s="117"/>
      <c r="GV27" s="117"/>
      <c r="GW27" s="117"/>
      <c r="GX27" s="117"/>
      <c r="GY27" s="491"/>
      <c r="GZ27" s="117"/>
      <c r="HA27" s="117"/>
      <c r="HB27" s="117"/>
      <c r="HC27" s="117"/>
      <c r="HD27" s="117"/>
      <c r="HE27" s="491"/>
      <c r="HK27" s="491"/>
      <c r="HN27" s="491"/>
      <c r="HP27" s="117"/>
      <c r="HQ27" s="491"/>
      <c r="HS27" s="343" t="s">
        <v>1141</v>
      </c>
      <c r="HT27" s="343" t="s">
        <v>1141</v>
      </c>
      <c r="HU27" s="343" t="s">
        <v>1141</v>
      </c>
      <c r="HW27" s="491"/>
      <c r="HX27" s="552" t="s">
        <v>1141</v>
      </c>
      <c r="HY27" s="552" t="s">
        <v>1141</v>
      </c>
      <c r="HZ27" s="552" t="s">
        <v>1141</v>
      </c>
      <c r="IC27" s="491"/>
      <c r="IE27" s="508" t="s">
        <v>1234</v>
      </c>
      <c r="IF27" s="508" t="s">
        <v>1234</v>
      </c>
      <c r="IG27" s="508" t="s">
        <v>1064</v>
      </c>
      <c r="IH27" s="491"/>
      <c r="II27" s="491"/>
      <c r="IJ27" s="491"/>
      <c r="IK27" s="117"/>
      <c r="IL27" s="117"/>
      <c r="IM27" s="117"/>
      <c r="IN27" s="117"/>
      <c r="IO27" s="491"/>
      <c r="IP27" s="117"/>
      <c r="IQ27" s="117"/>
      <c r="IR27" s="117"/>
      <c r="IS27" s="117"/>
      <c r="IT27" s="117"/>
      <c r="IU27" s="491"/>
    </row>
    <row r="28" spans="1:255" ht="24.95" customHeight="1">
      <c r="A28" s="862" t="s">
        <v>1095</v>
      </c>
      <c r="B28" s="46">
        <v>300</v>
      </c>
      <c r="C28" s="200">
        <v>120</v>
      </c>
      <c r="D28" s="406">
        <f t="shared" ref="D28:D42" si="2">B28/C28</f>
        <v>2.5</v>
      </c>
      <c r="E28" s="188"/>
      <c r="F28" s="105"/>
      <c r="G28" s="106"/>
      <c r="H28" s="106"/>
      <c r="I28" s="106"/>
      <c r="J28" s="237"/>
      <c r="K28" s="105" t="s">
        <v>437</v>
      </c>
      <c r="L28" s="106" t="s">
        <v>437</v>
      </c>
      <c r="M28" s="106" t="s">
        <v>437</v>
      </c>
      <c r="N28" s="106" t="s">
        <v>437</v>
      </c>
      <c r="O28" s="107" t="s">
        <v>437</v>
      </c>
      <c r="P28" s="102"/>
      <c r="Q28" s="101"/>
      <c r="R28" s="101"/>
      <c r="S28" s="101"/>
      <c r="T28" s="98"/>
      <c r="U28" s="281" t="s">
        <v>437</v>
      </c>
      <c r="V28" s="106" t="s">
        <v>437</v>
      </c>
      <c r="W28" s="106" t="s">
        <v>437</v>
      </c>
      <c r="X28" s="106" t="s">
        <v>437</v>
      </c>
      <c r="Y28" s="106" t="s">
        <v>437</v>
      </c>
      <c r="Z28" s="101" t="s">
        <v>474</v>
      </c>
      <c r="AA28" s="101"/>
      <c r="AB28" s="101"/>
      <c r="AC28" s="101"/>
      <c r="AD28" s="98"/>
      <c r="AE28" s="100"/>
      <c r="AF28" s="101"/>
      <c r="AG28" s="101"/>
      <c r="AH28" s="101"/>
      <c r="AI28" s="98"/>
      <c r="AJ28" s="100"/>
      <c r="AK28" s="101"/>
      <c r="AL28" s="101"/>
      <c r="AM28" s="101"/>
      <c r="AN28" s="103" t="s">
        <v>244</v>
      </c>
      <c r="AO28" s="100"/>
      <c r="AP28" s="101"/>
      <c r="AQ28" s="101"/>
      <c r="AR28" s="101"/>
      <c r="AS28" s="98"/>
      <c r="AT28" s="102"/>
      <c r="AU28" s="101"/>
      <c r="AV28" s="104"/>
      <c r="AW28" s="104"/>
      <c r="AX28" s="101"/>
      <c r="AY28" s="392"/>
      <c r="AZ28" s="102"/>
      <c r="BA28" s="101"/>
      <c r="BB28" s="101"/>
      <c r="BC28" s="101" t="s">
        <v>244</v>
      </c>
      <c r="BD28" s="103" t="s">
        <v>244</v>
      </c>
      <c r="BE28" s="100"/>
      <c r="BF28" s="101"/>
      <c r="BG28" s="101"/>
      <c r="BH28" s="101"/>
      <c r="BI28" s="98"/>
      <c r="BJ28" s="100"/>
      <c r="BK28" s="101"/>
      <c r="BL28" s="101"/>
      <c r="BM28" s="109"/>
      <c r="BN28" s="109"/>
      <c r="BO28" s="109"/>
      <c r="BP28" s="109"/>
      <c r="BQ28" s="109"/>
      <c r="BR28" s="109"/>
      <c r="BS28" s="109"/>
      <c r="BT28" s="110"/>
      <c r="BU28" s="110"/>
      <c r="BV28" s="110"/>
      <c r="BW28" s="110"/>
      <c r="BX28" s="110"/>
      <c r="BY28" s="110"/>
      <c r="BZ28" s="101"/>
      <c r="CA28" s="101"/>
      <c r="CB28" s="101"/>
      <c r="CC28" s="98"/>
      <c r="CD28" s="100"/>
      <c r="CE28" s="101"/>
      <c r="CF28" s="101"/>
      <c r="CG28" s="101"/>
      <c r="CH28" s="98"/>
      <c r="CI28" s="100"/>
      <c r="CJ28" s="101"/>
      <c r="CK28" s="101"/>
      <c r="CL28" s="101"/>
      <c r="CM28" s="98"/>
      <c r="CN28" s="102"/>
      <c r="CO28" s="101"/>
      <c r="CP28" s="101"/>
      <c r="CQ28" s="101"/>
      <c r="CR28" s="98"/>
      <c r="CS28" s="100"/>
      <c r="CT28" s="101"/>
      <c r="CU28" s="101"/>
      <c r="CV28" s="101"/>
      <c r="CW28" s="98"/>
      <c r="CX28" s="98"/>
      <c r="CY28" s="98"/>
      <c r="CZ28" s="98"/>
      <c r="DA28" s="98"/>
      <c r="DB28" s="98"/>
      <c r="DC28" s="100"/>
      <c r="DD28" s="101"/>
      <c r="DE28" s="101"/>
      <c r="DF28" s="101"/>
      <c r="DG28" s="103"/>
      <c r="DH28" s="100"/>
      <c r="DI28" s="101"/>
      <c r="DJ28" s="101"/>
      <c r="DK28" s="101"/>
      <c r="DL28" s="103"/>
      <c r="DM28" s="100"/>
      <c r="DN28" s="101"/>
      <c r="DO28" s="101"/>
      <c r="DP28" s="101"/>
      <c r="DQ28" s="103"/>
      <c r="DR28" s="100"/>
      <c r="DS28" s="101"/>
      <c r="DT28" s="101"/>
      <c r="DU28" s="101"/>
      <c r="DV28" s="98"/>
      <c r="DW28" s="102"/>
      <c r="DX28" s="101"/>
      <c r="DY28" s="101"/>
      <c r="DZ28" s="101"/>
      <c r="EA28" s="98"/>
      <c r="EB28" s="100"/>
      <c r="EC28" s="101"/>
      <c r="ED28" s="101"/>
      <c r="EE28" s="101"/>
      <c r="EF28" s="103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17"/>
      <c r="GD28" s="117"/>
      <c r="GE28" s="117"/>
      <c r="GF28" s="117"/>
      <c r="GG28" s="101"/>
      <c r="GH28" s="117"/>
      <c r="GI28" s="117"/>
      <c r="GJ28" s="117"/>
      <c r="GK28" s="117"/>
      <c r="GL28" s="117"/>
      <c r="GM28" s="117"/>
      <c r="GN28" s="117"/>
      <c r="GO28" s="117"/>
      <c r="GP28" s="117"/>
      <c r="GQ28" s="117"/>
      <c r="GR28" s="117"/>
      <c r="GS28" s="491"/>
      <c r="GT28" s="117"/>
      <c r="GU28" s="117"/>
      <c r="GV28" s="117"/>
      <c r="GW28" s="117"/>
      <c r="GX28" s="117"/>
      <c r="GY28" s="491"/>
      <c r="GZ28" s="117"/>
      <c r="HA28" s="117"/>
      <c r="HB28" s="117"/>
      <c r="HC28" s="117"/>
      <c r="HD28" s="117"/>
      <c r="HE28" s="491"/>
      <c r="HK28" s="491"/>
      <c r="HM28" s="117"/>
      <c r="HN28" s="491"/>
      <c r="HO28" s="117"/>
      <c r="HP28" s="117"/>
      <c r="HQ28" s="491"/>
      <c r="HS28" s="880" t="s">
        <v>1074</v>
      </c>
      <c r="HT28" s="508" t="s">
        <v>1074</v>
      </c>
      <c r="HU28" s="101"/>
      <c r="HV28" s="101"/>
      <c r="HW28" s="491"/>
      <c r="HX28" s="552" t="s">
        <v>1054</v>
      </c>
      <c r="IC28" s="491"/>
      <c r="IG28" s="101"/>
      <c r="IH28" s="491"/>
      <c r="II28" s="491"/>
      <c r="IJ28" s="491"/>
      <c r="IK28" s="343" t="s">
        <v>1141</v>
      </c>
      <c r="IL28" s="343" t="s">
        <v>1141</v>
      </c>
      <c r="IM28" s="343" t="s">
        <v>1141</v>
      </c>
      <c r="IN28" s="117"/>
      <c r="IO28" s="491"/>
      <c r="IP28" s="117"/>
      <c r="IQ28" s="117"/>
      <c r="IR28" s="117"/>
      <c r="IS28" s="117"/>
      <c r="IT28" s="117"/>
      <c r="IU28" s="491"/>
    </row>
    <row r="29" spans="1:255" ht="24.95" customHeight="1">
      <c r="A29" s="862" t="s">
        <v>1096</v>
      </c>
      <c r="B29" s="46">
        <v>300</v>
      </c>
      <c r="C29" s="201">
        <v>120</v>
      </c>
      <c r="D29" s="406">
        <f t="shared" si="2"/>
        <v>2.5</v>
      </c>
      <c r="E29" s="188"/>
      <c r="F29" s="105"/>
      <c r="G29" s="106"/>
      <c r="H29" s="106"/>
      <c r="I29" s="106"/>
      <c r="J29" s="237"/>
      <c r="K29" s="105" t="s">
        <v>437</v>
      </c>
      <c r="L29" s="106" t="s">
        <v>437</v>
      </c>
      <c r="M29" s="106" t="s">
        <v>437</v>
      </c>
      <c r="N29" s="106" t="s">
        <v>437</v>
      </c>
      <c r="O29" s="107" t="s">
        <v>437</v>
      </c>
      <c r="P29" s="102"/>
      <c r="Q29" s="101"/>
      <c r="R29" s="101"/>
      <c r="S29" s="101"/>
      <c r="T29" s="98" t="s">
        <v>476</v>
      </c>
      <c r="U29" s="281" t="s">
        <v>437</v>
      </c>
      <c r="V29" s="106" t="s">
        <v>437</v>
      </c>
      <c r="W29" s="106" t="s">
        <v>437</v>
      </c>
      <c r="X29" s="106" t="s">
        <v>437</v>
      </c>
      <c r="Y29" s="106"/>
      <c r="Z29" s="100"/>
      <c r="AA29" s="101"/>
      <c r="AB29" s="101"/>
      <c r="AC29" s="101"/>
      <c r="AD29" s="98"/>
      <c r="AE29" s="100"/>
      <c r="AF29" s="101"/>
      <c r="AG29" s="101"/>
      <c r="AH29" s="101"/>
      <c r="AI29" s="98"/>
      <c r="AJ29" s="100"/>
      <c r="AK29" s="101"/>
      <c r="AL29" s="101"/>
      <c r="AM29" s="101"/>
      <c r="AN29" s="103" t="s">
        <v>244</v>
      </c>
      <c r="AO29" s="100"/>
      <c r="AP29" s="101"/>
      <c r="AQ29" s="101"/>
      <c r="AR29" s="101"/>
      <c r="AS29" s="98"/>
      <c r="AT29" s="102"/>
      <c r="AU29" s="104"/>
      <c r="AV29" s="104"/>
      <c r="AW29" s="104"/>
      <c r="AX29" s="104"/>
      <c r="AY29" s="109"/>
      <c r="AZ29" s="109"/>
      <c r="BA29" s="109"/>
      <c r="BB29" s="109"/>
      <c r="BC29" s="101" t="s">
        <v>244</v>
      </c>
      <c r="BD29" s="103" t="s">
        <v>244</v>
      </c>
      <c r="BE29" s="100"/>
      <c r="BF29" s="102"/>
      <c r="BG29" s="101"/>
      <c r="BH29" s="101"/>
      <c r="BI29" s="98"/>
      <c r="BJ29" s="100"/>
      <c r="BK29" s="101"/>
      <c r="BL29" s="101"/>
      <c r="BM29" s="101"/>
      <c r="BN29" s="98"/>
      <c r="BO29" s="102"/>
      <c r="BP29" s="101"/>
      <c r="BQ29" s="101"/>
      <c r="BR29" s="101"/>
      <c r="BS29" s="98"/>
      <c r="BT29" s="102"/>
      <c r="BU29" s="101"/>
      <c r="BV29" s="101"/>
      <c r="BW29" s="101"/>
      <c r="BX29" s="98"/>
      <c r="BY29" s="100"/>
      <c r="BZ29" s="101"/>
      <c r="CA29" s="101"/>
      <c r="CB29" s="101"/>
      <c r="CC29" s="98"/>
      <c r="CD29" s="100"/>
      <c r="CE29" s="101"/>
      <c r="CF29" s="101"/>
      <c r="CG29" s="101"/>
      <c r="CH29" s="98"/>
      <c r="CI29" s="100"/>
      <c r="CJ29" s="101"/>
      <c r="CK29" s="101"/>
      <c r="CL29" s="101"/>
      <c r="CM29" s="98"/>
      <c r="CN29" s="102"/>
      <c r="CO29" s="101"/>
      <c r="CP29" s="101"/>
      <c r="CQ29" s="101"/>
      <c r="CR29" s="98"/>
      <c r="CS29" s="100"/>
      <c r="CT29" s="101"/>
      <c r="CU29" s="101"/>
      <c r="CV29" s="101"/>
      <c r="CW29" s="98"/>
      <c r="CX29" s="100"/>
      <c r="CY29" s="101"/>
      <c r="CZ29" s="101"/>
      <c r="DA29" s="101"/>
      <c r="DB29" s="98"/>
      <c r="DC29" s="100"/>
      <c r="DD29" s="101"/>
      <c r="DE29" s="101"/>
      <c r="DF29" s="101"/>
      <c r="DG29" s="103"/>
      <c r="DH29" s="100"/>
      <c r="DI29" s="101"/>
      <c r="DJ29" s="101"/>
      <c r="DK29" s="101"/>
      <c r="DL29" s="103"/>
      <c r="DM29" s="100"/>
      <c r="DN29" s="101"/>
      <c r="DO29" s="101"/>
      <c r="DP29" s="101"/>
      <c r="DQ29" s="103"/>
      <c r="DR29" s="100"/>
      <c r="DS29" s="101"/>
      <c r="DT29" s="101"/>
      <c r="DU29" s="101"/>
      <c r="DV29" s="98"/>
      <c r="DW29" s="98"/>
      <c r="DX29" s="101"/>
      <c r="DY29" s="101"/>
      <c r="DZ29" s="101"/>
      <c r="EA29" s="98"/>
      <c r="EB29" s="100"/>
      <c r="EC29" s="101"/>
      <c r="ED29" s="101"/>
      <c r="EE29" s="101"/>
      <c r="EF29" s="103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17"/>
      <c r="GD29" s="117"/>
      <c r="GE29" s="117"/>
      <c r="GF29" s="117"/>
      <c r="GG29" s="101"/>
      <c r="GH29" s="117"/>
      <c r="GI29" s="117"/>
      <c r="GJ29" s="117"/>
      <c r="GK29" s="117"/>
      <c r="GL29" s="117"/>
      <c r="GM29" s="117"/>
      <c r="GN29" s="117"/>
      <c r="GO29" s="117"/>
      <c r="GP29" s="117"/>
      <c r="GQ29" s="117"/>
      <c r="GR29" s="117"/>
      <c r="GS29" s="491"/>
      <c r="GT29" s="117"/>
      <c r="GU29" s="117"/>
      <c r="GV29" s="117"/>
      <c r="GW29" s="117"/>
      <c r="GX29" s="117"/>
      <c r="GY29" s="491"/>
      <c r="GZ29" s="117"/>
      <c r="HA29" s="117"/>
      <c r="HB29" s="117"/>
      <c r="HC29" s="117"/>
      <c r="HD29" s="117"/>
      <c r="HE29" s="491"/>
      <c r="HI29" s="117"/>
      <c r="HJ29" s="117"/>
      <c r="HK29" s="491"/>
      <c r="HL29" s="117"/>
      <c r="HN29" s="491"/>
      <c r="HQ29" s="491"/>
      <c r="HW29" s="491"/>
      <c r="IA29" s="117"/>
      <c r="IB29" s="117"/>
      <c r="IC29" s="491"/>
      <c r="ID29" s="117"/>
      <c r="IE29" s="117"/>
      <c r="IH29" s="491"/>
      <c r="II29" s="491"/>
      <c r="IJ29" s="491"/>
      <c r="IN29" s="117"/>
      <c r="IO29" s="491"/>
      <c r="IP29" s="508" t="s">
        <v>1064</v>
      </c>
      <c r="IQ29" s="880" t="s">
        <v>1064</v>
      </c>
      <c r="IR29" s="508" t="s">
        <v>1064</v>
      </c>
      <c r="IS29" s="117"/>
      <c r="IT29" s="117"/>
      <c r="IU29" s="491"/>
    </row>
    <row r="30" spans="1:255" ht="24.95" hidden="1" customHeight="1">
      <c r="A30" s="257" t="s">
        <v>1097</v>
      </c>
      <c r="B30" s="46">
        <v>300</v>
      </c>
      <c r="C30" s="203">
        <v>180</v>
      </c>
      <c r="D30" s="406">
        <f t="shared" si="2"/>
        <v>1.6666666666666667</v>
      </c>
      <c r="E30" s="188"/>
      <c r="F30" s="105"/>
      <c r="G30" s="106"/>
      <c r="H30" s="106"/>
      <c r="I30" s="106"/>
      <c r="J30" s="237"/>
      <c r="K30" s="105" t="s">
        <v>437</v>
      </c>
      <c r="L30" s="106" t="s">
        <v>437</v>
      </c>
      <c r="M30" s="106" t="s">
        <v>437</v>
      </c>
      <c r="N30" s="106" t="s">
        <v>437</v>
      </c>
      <c r="O30" s="107" t="s">
        <v>437</v>
      </c>
      <c r="P30" s="102"/>
      <c r="Q30" s="101"/>
      <c r="R30" s="101"/>
      <c r="S30" s="101"/>
      <c r="T30" s="101"/>
      <c r="U30" s="281" t="s">
        <v>437</v>
      </c>
      <c r="V30" s="106" t="s">
        <v>437</v>
      </c>
      <c r="W30" s="106" t="s">
        <v>437</v>
      </c>
      <c r="X30" s="106" t="s">
        <v>437</v>
      </c>
      <c r="Y30" s="106" t="s">
        <v>437</v>
      </c>
      <c r="Z30" s="100"/>
      <c r="AA30" s="101"/>
      <c r="AB30" s="101"/>
      <c r="AC30" s="101" t="s">
        <v>545</v>
      </c>
      <c r="AD30" s="98">
        <v>2</v>
      </c>
      <c r="AE30" s="100">
        <v>2</v>
      </c>
      <c r="AF30" s="101">
        <v>3</v>
      </c>
      <c r="AG30" s="101">
        <v>3</v>
      </c>
      <c r="AH30" s="101" t="s">
        <v>544</v>
      </c>
      <c r="AI30" s="101"/>
      <c r="AJ30" s="101">
        <v>4</v>
      </c>
      <c r="AK30" s="101">
        <v>4</v>
      </c>
      <c r="AL30" s="101"/>
      <c r="AM30" s="101" t="s">
        <v>543</v>
      </c>
      <c r="AN30" s="103" t="s">
        <v>244</v>
      </c>
      <c r="AO30" s="100"/>
      <c r="AP30" s="101"/>
      <c r="AQ30" s="101"/>
      <c r="AR30" s="101" t="s">
        <v>541</v>
      </c>
      <c r="AS30" s="98"/>
      <c r="AT30" s="102"/>
      <c r="AU30" s="104"/>
      <c r="AV30" s="104"/>
      <c r="AW30" s="101"/>
      <c r="AX30" s="824" t="s">
        <v>542</v>
      </c>
      <c r="AY30" s="98">
        <v>6</v>
      </c>
      <c r="AZ30" s="102">
        <v>6</v>
      </c>
      <c r="BA30" s="101"/>
      <c r="BB30" s="101" t="s">
        <v>546</v>
      </c>
      <c r="BC30" s="101" t="s">
        <v>244</v>
      </c>
      <c r="BD30" s="103" t="s">
        <v>244</v>
      </c>
      <c r="BE30" s="100"/>
      <c r="BF30" s="101"/>
      <c r="BG30" s="101">
        <v>7</v>
      </c>
      <c r="BH30" s="101" t="s">
        <v>547</v>
      </c>
      <c r="BI30" s="101">
        <v>7</v>
      </c>
      <c r="BJ30" s="100">
        <v>8</v>
      </c>
      <c r="BK30" s="98">
        <v>8</v>
      </c>
      <c r="BL30" s="101">
        <v>9</v>
      </c>
      <c r="BM30" s="101" t="s">
        <v>548</v>
      </c>
      <c r="BN30" s="98">
        <v>10</v>
      </c>
      <c r="BO30" s="102"/>
      <c r="BP30" s="101"/>
      <c r="BQ30" s="101"/>
      <c r="BR30" s="101" t="s">
        <v>607</v>
      </c>
      <c r="BS30" s="98"/>
      <c r="BT30" s="102"/>
      <c r="BU30" s="102">
        <v>10</v>
      </c>
      <c r="BV30" s="102">
        <v>11</v>
      </c>
      <c r="BW30" s="101" t="s">
        <v>608</v>
      </c>
      <c r="BX30" s="98"/>
      <c r="BY30" s="100">
        <v>11</v>
      </c>
      <c r="BZ30" s="101"/>
      <c r="CA30" s="100">
        <v>12</v>
      </c>
      <c r="CB30" s="101" t="s">
        <v>630</v>
      </c>
      <c r="CC30" s="100">
        <v>13</v>
      </c>
      <c r="CD30" s="100">
        <v>13</v>
      </c>
      <c r="CE30" s="101"/>
      <c r="CF30" s="101"/>
      <c r="CG30" s="101" t="s">
        <v>654</v>
      </c>
      <c r="CH30" s="98"/>
      <c r="CI30" s="100"/>
      <c r="CJ30" s="101"/>
      <c r="CK30" s="101" t="s">
        <v>631</v>
      </c>
      <c r="CL30" s="109">
        <v>14</v>
      </c>
      <c r="CM30" s="109">
        <v>14</v>
      </c>
      <c r="CN30" s="102"/>
      <c r="CO30" s="101"/>
      <c r="CP30" s="101"/>
      <c r="CQ30" s="101" t="s">
        <v>632</v>
      </c>
      <c r="CR30" s="98"/>
      <c r="CS30" s="100"/>
      <c r="CT30" s="98">
        <v>15</v>
      </c>
      <c r="CU30" s="98">
        <v>15</v>
      </c>
      <c r="CV30" s="98">
        <v>15</v>
      </c>
      <c r="CW30" s="98"/>
      <c r="CX30" s="100"/>
      <c r="CY30" s="101"/>
      <c r="CZ30" s="109"/>
      <c r="DA30" s="109"/>
      <c r="DB30" s="101"/>
      <c r="DC30" s="101">
        <v>16</v>
      </c>
      <c r="DD30" s="98">
        <v>16</v>
      </c>
      <c r="DE30" s="101"/>
      <c r="DF30" s="109"/>
      <c r="DG30" s="103"/>
      <c r="DH30" s="100"/>
      <c r="DI30" s="101">
        <v>17</v>
      </c>
      <c r="DJ30" s="101">
        <v>17</v>
      </c>
      <c r="DK30" s="101" t="s">
        <v>682</v>
      </c>
      <c r="DL30" s="103" t="s">
        <v>757</v>
      </c>
      <c r="DM30" s="109"/>
      <c r="DN30" s="101"/>
      <c r="DO30" s="101"/>
      <c r="DP30" s="101" t="s">
        <v>755</v>
      </c>
      <c r="DQ30" s="103"/>
      <c r="DR30" s="100"/>
      <c r="DS30" s="101"/>
      <c r="DT30" s="101"/>
      <c r="DU30" s="101" t="s">
        <v>756</v>
      </c>
      <c r="DV30" s="575"/>
      <c r="DW30" s="102"/>
      <c r="DX30" s="109"/>
      <c r="DY30" s="109"/>
      <c r="DZ30" s="101" t="s">
        <v>758</v>
      </c>
      <c r="EA30" s="101">
        <v>19</v>
      </c>
      <c r="EB30" s="109"/>
      <c r="EC30" s="109"/>
      <c r="ED30" s="109"/>
      <c r="EE30" s="101" t="s">
        <v>759</v>
      </c>
      <c r="EF30" s="101">
        <v>20</v>
      </c>
      <c r="EG30" s="109"/>
      <c r="EH30" s="101">
        <v>21</v>
      </c>
      <c r="EI30" s="101"/>
      <c r="EJ30" s="101"/>
      <c r="EK30" s="101"/>
      <c r="EL30" s="101"/>
      <c r="EM30" s="101"/>
      <c r="EN30" s="101"/>
      <c r="EO30" s="101"/>
      <c r="EP30" s="101"/>
      <c r="EQ30" s="101"/>
      <c r="ER30" s="101"/>
      <c r="ES30" s="101"/>
      <c r="ET30" s="101"/>
      <c r="EU30" s="101"/>
      <c r="EV30" s="101"/>
      <c r="EW30" s="101"/>
      <c r="EX30" s="101"/>
      <c r="EY30" s="101"/>
      <c r="EZ30" s="101"/>
      <c r="FA30" s="101"/>
      <c r="FB30" s="101"/>
      <c r="FC30" s="101"/>
      <c r="FD30" s="101"/>
      <c r="FE30" s="101"/>
      <c r="FF30" s="101"/>
      <c r="FG30" s="101"/>
      <c r="FH30" s="101"/>
      <c r="FI30" s="101"/>
      <c r="FJ30" s="101"/>
      <c r="FK30" s="101"/>
      <c r="FL30" s="101"/>
      <c r="FM30" s="101"/>
      <c r="FN30" s="101"/>
      <c r="FO30" s="101"/>
      <c r="FP30" s="101"/>
      <c r="FQ30" s="101"/>
      <c r="FR30" s="101"/>
      <c r="FS30" s="101"/>
      <c r="FT30" s="101"/>
      <c r="FU30" s="101"/>
      <c r="FV30" s="101"/>
      <c r="FW30" s="101"/>
      <c r="FX30" s="101"/>
      <c r="FY30" s="101"/>
      <c r="FZ30" s="101"/>
      <c r="GA30" s="101"/>
      <c r="GB30" s="101"/>
      <c r="GC30" s="117"/>
      <c r="GD30" s="117"/>
      <c r="GE30" s="117"/>
      <c r="GF30" s="117"/>
      <c r="GG30" s="101"/>
      <c r="GH30" s="117"/>
      <c r="GI30" s="117"/>
      <c r="GJ30" s="117"/>
      <c r="GK30" s="117"/>
      <c r="GL30" s="117"/>
      <c r="GM30" s="117"/>
      <c r="GN30" s="117"/>
      <c r="GO30" s="117"/>
      <c r="GP30" s="117"/>
      <c r="GQ30" s="117"/>
      <c r="GR30" s="117"/>
      <c r="GS30" s="491"/>
      <c r="GT30" s="117"/>
      <c r="GU30" s="117"/>
      <c r="GV30" s="117"/>
      <c r="GW30" s="117"/>
      <c r="GX30" s="117"/>
      <c r="GY30" s="491"/>
      <c r="GZ30" s="117"/>
      <c r="HA30" s="117"/>
      <c r="HB30" s="117"/>
      <c r="HC30" s="117"/>
      <c r="HD30" s="117"/>
      <c r="HE30" s="491"/>
      <c r="HK30" s="491"/>
      <c r="HL30" s="117"/>
      <c r="HM30" s="117"/>
      <c r="HN30" s="491"/>
      <c r="HO30" s="117"/>
      <c r="HP30" s="117"/>
      <c r="HQ30" s="491"/>
      <c r="HS30" s="343" t="s">
        <v>1141</v>
      </c>
      <c r="HT30" s="343" t="s">
        <v>1141</v>
      </c>
      <c r="HW30" s="491"/>
      <c r="HZ30" s="101"/>
      <c r="IC30" s="491"/>
      <c r="ID30" s="117"/>
      <c r="IE30" s="117"/>
      <c r="IF30" s="117"/>
      <c r="IG30" s="117"/>
      <c r="IH30" s="491"/>
      <c r="II30" s="491"/>
      <c r="IJ30" s="491"/>
      <c r="IK30" s="117"/>
      <c r="IL30" s="117"/>
      <c r="IM30" s="117"/>
      <c r="IN30" s="117"/>
      <c r="IO30" s="491"/>
      <c r="IP30" s="117"/>
      <c r="IQ30" s="117"/>
      <c r="IR30" s="117"/>
      <c r="IS30" s="117"/>
      <c r="IT30" s="117"/>
      <c r="IU30" s="491"/>
    </row>
    <row r="31" spans="1:255" ht="24.95" hidden="1" customHeight="1">
      <c r="A31" s="205" t="s">
        <v>1152</v>
      </c>
      <c r="B31" s="203">
        <v>238</v>
      </c>
      <c r="C31" s="203">
        <v>120</v>
      </c>
      <c r="D31" s="406">
        <f t="shared" si="2"/>
        <v>1.9833333333333334</v>
      </c>
      <c r="E31" s="188"/>
      <c r="F31" s="105"/>
      <c r="G31" s="106"/>
      <c r="H31" s="106"/>
      <c r="I31" s="106"/>
      <c r="J31" s="237"/>
      <c r="K31" s="105" t="s">
        <v>437</v>
      </c>
      <c r="L31" s="106" t="s">
        <v>437</v>
      </c>
      <c r="M31" s="106" t="s">
        <v>437</v>
      </c>
      <c r="N31" s="106" t="s">
        <v>437</v>
      </c>
      <c r="O31" s="107" t="s">
        <v>437</v>
      </c>
      <c r="P31" s="102"/>
      <c r="Q31" s="101"/>
      <c r="R31" s="101"/>
      <c r="S31" s="101"/>
      <c r="T31" s="98"/>
      <c r="U31" s="281" t="s">
        <v>437</v>
      </c>
      <c r="V31" s="106" t="s">
        <v>437</v>
      </c>
      <c r="W31" s="106" t="s">
        <v>437</v>
      </c>
      <c r="X31" s="106" t="s">
        <v>437</v>
      </c>
      <c r="Y31" s="106" t="s">
        <v>437</v>
      </c>
      <c r="Z31" s="100"/>
      <c r="AA31" s="101"/>
      <c r="AB31" s="101"/>
      <c r="AC31" s="101"/>
      <c r="AD31" s="98"/>
      <c r="AE31" s="100"/>
      <c r="AF31" s="101"/>
      <c r="AG31" s="101"/>
      <c r="AH31" s="101"/>
      <c r="AI31" s="98"/>
      <c r="AJ31" s="100"/>
      <c r="AK31" s="101"/>
      <c r="AL31" s="101"/>
      <c r="AM31" s="101"/>
      <c r="AN31" s="103" t="s">
        <v>244</v>
      </c>
      <c r="AO31" s="100"/>
      <c r="AP31" s="101"/>
      <c r="AQ31" s="101"/>
      <c r="AR31" s="101"/>
      <c r="AS31" s="98"/>
      <c r="AT31" s="102"/>
      <c r="AU31" s="104"/>
      <c r="AV31" s="104"/>
      <c r="AW31" s="104"/>
      <c r="AX31" s="104"/>
      <c r="AY31" s="392"/>
      <c r="AZ31" s="102"/>
      <c r="BA31" s="101"/>
      <c r="BB31" s="101"/>
      <c r="BC31" s="101" t="s">
        <v>244</v>
      </c>
      <c r="BD31" s="103" t="s">
        <v>244</v>
      </c>
      <c r="BE31" s="100"/>
      <c r="BF31" s="101"/>
      <c r="BG31" s="101"/>
      <c r="BH31" s="101"/>
      <c r="BI31" s="98"/>
      <c r="BJ31" s="100"/>
      <c r="BK31" s="101"/>
      <c r="BL31" s="101"/>
      <c r="BM31" s="101"/>
      <c r="BN31" s="98"/>
      <c r="BO31" s="102"/>
      <c r="BP31" s="101"/>
      <c r="BQ31" s="101"/>
      <c r="BR31" s="101"/>
      <c r="BS31" s="98"/>
      <c r="BT31" s="102"/>
      <c r="BU31" s="101"/>
      <c r="BV31" s="101"/>
      <c r="BW31" s="101"/>
      <c r="BX31" s="98"/>
      <c r="BY31" s="100"/>
      <c r="BZ31" s="101"/>
      <c r="CA31" s="101"/>
      <c r="CB31" s="101"/>
      <c r="CC31" s="98"/>
      <c r="CD31" s="100"/>
      <c r="CE31" s="101"/>
      <c r="CF31" s="101"/>
      <c r="CG31" s="101"/>
      <c r="CH31" s="98"/>
      <c r="CI31" s="100"/>
      <c r="CJ31" s="101"/>
      <c r="CK31" s="101"/>
      <c r="CL31" s="101"/>
      <c r="CM31" s="98"/>
      <c r="CN31" s="102"/>
      <c r="CO31" s="101"/>
      <c r="CP31" s="101"/>
      <c r="CQ31" s="101"/>
      <c r="CR31" s="98"/>
      <c r="CS31" s="100"/>
      <c r="CT31" s="101"/>
      <c r="CU31" s="101"/>
      <c r="CV31" s="101"/>
      <c r="CW31" s="98"/>
      <c r="CX31" s="98"/>
      <c r="CY31" s="101"/>
      <c r="CZ31" s="101"/>
      <c r="DA31" s="101"/>
      <c r="DB31" s="98"/>
      <c r="DC31" s="100"/>
      <c r="DD31" s="101"/>
      <c r="DE31" s="101"/>
      <c r="DF31" s="101"/>
      <c r="DG31" s="103"/>
      <c r="DH31" s="100"/>
      <c r="DI31" s="101"/>
      <c r="DJ31" s="101"/>
      <c r="DK31" s="101"/>
      <c r="DL31" s="103"/>
      <c r="DM31" s="100"/>
      <c r="DN31" s="101"/>
      <c r="DO31" s="101"/>
      <c r="DP31" s="101"/>
      <c r="DQ31" s="103"/>
      <c r="DR31" s="100"/>
      <c r="DS31" s="101"/>
      <c r="DT31" s="101"/>
      <c r="DU31" s="101"/>
      <c r="DV31" s="98"/>
      <c r="DW31" s="102"/>
      <c r="DX31" s="101"/>
      <c r="DY31" s="101"/>
      <c r="DZ31" s="101"/>
      <c r="EA31" s="98"/>
      <c r="EB31" s="100"/>
      <c r="EC31" s="101"/>
      <c r="ED31" s="101"/>
      <c r="EE31" s="101"/>
      <c r="EF31" s="103"/>
      <c r="EG31" s="101"/>
      <c r="EH31" s="101"/>
      <c r="EI31" s="101"/>
      <c r="EJ31" s="101"/>
      <c r="EK31" s="101"/>
      <c r="EL31" s="101"/>
      <c r="EM31" s="101"/>
      <c r="EN31" s="101"/>
      <c r="EO31" s="101"/>
      <c r="EP31" s="101"/>
      <c r="EQ31" s="101"/>
      <c r="ER31" s="101"/>
      <c r="ES31" s="101"/>
      <c r="ET31" s="101"/>
      <c r="EU31" s="101"/>
      <c r="EV31" s="101"/>
      <c r="EW31" s="101"/>
      <c r="EX31" s="101"/>
      <c r="EY31" s="101"/>
      <c r="EZ31" s="101"/>
      <c r="FA31" s="101"/>
      <c r="FB31" s="101"/>
      <c r="FC31" s="101"/>
      <c r="FD31" s="101"/>
      <c r="FE31" s="101"/>
      <c r="FF31" s="101"/>
      <c r="FG31" s="101"/>
      <c r="FH31" s="101"/>
      <c r="FI31" s="101"/>
      <c r="FJ31" s="101"/>
      <c r="FK31" s="101"/>
      <c r="FL31" s="101"/>
      <c r="FM31" s="101"/>
      <c r="FN31" s="101"/>
      <c r="FO31" s="101"/>
      <c r="FP31" s="101"/>
      <c r="FQ31" s="101"/>
      <c r="FR31" s="101"/>
      <c r="FS31" s="101"/>
      <c r="FT31" s="101"/>
      <c r="FU31" s="101"/>
      <c r="FV31" s="101"/>
      <c r="FW31" s="101"/>
      <c r="FX31" s="101"/>
      <c r="FY31" s="101"/>
      <c r="FZ31" s="101" t="s">
        <v>904</v>
      </c>
      <c r="GA31" s="101"/>
      <c r="GB31" s="101"/>
      <c r="GC31" s="117"/>
      <c r="GD31" s="117"/>
      <c r="GE31" s="117"/>
      <c r="GF31" s="117"/>
      <c r="GG31" s="101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491"/>
      <c r="GT31" s="117"/>
      <c r="GU31" s="117"/>
      <c r="GV31" s="117"/>
      <c r="GW31" s="117"/>
      <c r="GX31" s="117"/>
      <c r="GY31" s="491"/>
      <c r="GZ31" s="117"/>
      <c r="HA31" s="117"/>
      <c r="HB31" s="117"/>
      <c r="HC31" s="117"/>
      <c r="HD31" s="117"/>
      <c r="HE31" s="491"/>
      <c r="HF31" s="117"/>
      <c r="HG31" s="117"/>
      <c r="HH31" s="117"/>
      <c r="HI31" s="117"/>
      <c r="HJ31" s="117"/>
      <c r="HK31" s="491"/>
      <c r="HL31" s="117"/>
      <c r="HM31" s="117"/>
      <c r="HN31" s="491"/>
      <c r="HO31" s="117"/>
      <c r="HP31" s="117"/>
      <c r="HQ31" s="491"/>
      <c r="HR31" s="508" t="s">
        <v>572</v>
      </c>
      <c r="HS31" s="880" t="s">
        <v>572</v>
      </c>
      <c r="HT31" s="103"/>
      <c r="HU31" s="117"/>
      <c r="HV31" s="117"/>
      <c r="HW31" s="491"/>
      <c r="HX31" s="117"/>
      <c r="HY31" s="117"/>
      <c r="HZ31" s="117"/>
      <c r="IA31" s="117"/>
      <c r="IB31" s="117"/>
      <c r="IC31" s="491"/>
      <c r="ID31" s="117"/>
      <c r="IE31" s="117"/>
      <c r="IF31" s="117"/>
      <c r="IG31" s="117"/>
      <c r="IH31" s="491"/>
      <c r="II31" s="491"/>
      <c r="IJ31" s="491"/>
      <c r="IK31" s="117"/>
      <c r="IL31" s="117"/>
      <c r="IM31" s="117"/>
      <c r="IN31" s="117"/>
      <c r="IO31" s="491"/>
      <c r="IP31" s="117"/>
      <c r="IQ31" s="117"/>
      <c r="IR31" s="117"/>
      <c r="IS31" s="117"/>
      <c r="IT31" s="117"/>
      <c r="IU31" s="491"/>
    </row>
    <row r="32" spans="1:255" ht="24.95" hidden="1" customHeight="1">
      <c r="A32" s="205" t="s">
        <v>1192</v>
      </c>
      <c r="B32" s="203">
        <v>250</v>
      </c>
      <c r="C32" s="203">
        <v>180</v>
      </c>
      <c r="D32" s="406">
        <f t="shared" si="2"/>
        <v>1.3888888888888888</v>
      </c>
      <c r="E32" s="187"/>
      <c r="F32" s="100"/>
      <c r="G32" s="101"/>
      <c r="H32" s="101"/>
      <c r="I32" s="101"/>
      <c r="J32" s="103"/>
      <c r="K32" s="105" t="s">
        <v>437</v>
      </c>
      <c r="L32" s="106" t="s">
        <v>437</v>
      </c>
      <c r="M32" s="106" t="s">
        <v>437</v>
      </c>
      <c r="N32" s="106" t="s">
        <v>437</v>
      </c>
      <c r="O32" s="107" t="s">
        <v>437</v>
      </c>
      <c r="P32" s="102"/>
      <c r="Q32" s="101"/>
      <c r="R32" s="101"/>
      <c r="S32" s="108"/>
      <c r="T32" s="98"/>
      <c r="U32" s="281" t="s">
        <v>437</v>
      </c>
      <c r="V32" s="106" t="s">
        <v>437</v>
      </c>
      <c r="W32" s="106" t="s">
        <v>437</v>
      </c>
      <c r="X32" s="106" t="s">
        <v>437</v>
      </c>
      <c r="Y32" s="106" t="s">
        <v>437</v>
      </c>
      <c r="Z32" s="100"/>
      <c r="AA32" s="101"/>
      <c r="AB32" s="101"/>
      <c r="AC32" s="101"/>
      <c r="AD32" s="98"/>
      <c r="AE32" s="100"/>
      <c r="AF32" s="101"/>
      <c r="AG32" s="101"/>
      <c r="AH32" s="101"/>
      <c r="AI32" s="98"/>
      <c r="AJ32" s="100"/>
      <c r="AK32" s="101"/>
      <c r="AL32" s="101"/>
      <c r="AM32" s="101"/>
      <c r="AN32" s="103" t="s">
        <v>244</v>
      </c>
      <c r="AO32" s="100"/>
      <c r="AP32" s="101"/>
      <c r="AQ32" s="101"/>
      <c r="AR32" s="101"/>
      <c r="AS32" s="98"/>
      <c r="AT32" s="102"/>
      <c r="AU32" s="104"/>
      <c r="AV32" s="104"/>
      <c r="AW32" s="104"/>
      <c r="AX32" s="104"/>
      <c r="AY32" s="392"/>
      <c r="AZ32" s="102"/>
      <c r="BA32" s="101"/>
      <c r="BB32" s="101"/>
      <c r="BC32" s="101" t="s">
        <v>244</v>
      </c>
      <c r="BD32" s="103" t="s">
        <v>244</v>
      </c>
      <c r="BE32" s="100"/>
      <c r="BF32" s="101"/>
      <c r="BG32" s="101"/>
      <c r="BH32" s="101"/>
      <c r="BI32" s="98"/>
      <c r="BJ32" s="100"/>
      <c r="BK32" s="101"/>
      <c r="BL32" s="101"/>
      <c r="BM32" s="101"/>
      <c r="BN32" s="98"/>
      <c r="BO32" s="102"/>
      <c r="BP32" s="101"/>
      <c r="BQ32" s="101"/>
      <c r="BR32" s="101"/>
      <c r="BS32" s="98"/>
      <c r="BT32" s="102"/>
      <c r="BU32" s="101"/>
      <c r="BV32" s="101"/>
      <c r="BW32" s="101"/>
      <c r="BX32" s="98"/>
      <c r="BY32" s="100"/>
      <c r="BZ32" s="101"/>
      <c r="CA32" s="101"/>
      <c r="CB32" s="101"/>
      <c r="CC32" s="98"/>
      <c r="CD32" s="100"/>
      <c r="CE32" s="101"/>
      <c r="CF32" s="101"/>
      <c r="CG32" s="101"/>
      <c r="CH32" s="98"/>
      <c r="CI32" s="100"/>
      <c r="CJ32" s="101"/>
      <c r="CK32" s="101"/>
      <c r="CL32" s="101"/>
      <c r="CM32" s="98"/>
      <c r="CN32" s="102"/>
      <c r="CO32" s="101"/>
      <c r="CP32" s="101"/>
      <c r="CQ32" s="101"/>
      <c r="CR32" s="98"/>
      <c r="CS32" s="100"/>
      <c r="CT32" s="101"/>
      <c r="CU32" s="101"/>
      <c r="CV32" s="101"/>
      <c r="CW32" s="98"/>
      <c r="CX32" s="100"/>
      <c r="CY32" s="101"/>
      <c r="CZ32" s="101"/>
      <c r="DA32" s="101"/>
      <c r="DB32" s="101"/>
      <c r="DC32" s="100"/>
      <c r="DD32" s="101"/>
      <c r="DE32" s="101"/>
      <c r="DF32" s="101"/>
      <c r="DG32" s="103"/>
      <c r="DH32" s="100"/>
      <c r="DI32" s="101"/>
      <c r="DJ32" s="101"/>
      <c r="DK32" s="101"/>
      <c r="DL32" s="103"/>
      <c r="DM32" s="100"/>
      <c r="DN32" s="101"/>
      <c r="DO32" s="101"/>
      <c r="DP32" s="101"/>
      <c r="DQ32" s="103"/>
      <c r="DR32" s="100"/>
      <c r="DS32" s="101"/>
      <c r="DT32" s="101"/>
      <c r="DU32" s="101"/>
      <c r="DV32" s="98"/>
      <c r="DW32" s="102"/>
      <c r="DX32" s="101"/>
      <c r="DY32" s="101"/>
      <c r="DZ32" s="101"/>
      <c r="EA32" s="98"/>
      <c r="EB32" s="100"/>
      <c r="EC32" s="101"/>
      <c r="ED32" s="101"/>
      <c r="EE32" s="101"/>
      <c r="EF32" s="103"/>
      <c r="EG32" s="101"/>
      <c r="EH32" s="101"/>
      <c r="EI32" s="101"/>
      <c r="EJ32" s="101"/>
      <c r="EK32" s="101"/>
      <c r="EL32" s="101"/>
      <c r="EM32" s="101"/>
      <c r="EN32" s="101"/>
      <c r="EO32" s="101"/>
      <c r="EP32" s="101"/>
      <c r="EQ32" s="101"/>
      <c r="ER32" s="101"/>
      <c r="ES32" s="101"/>
      <c r="ET32" s="101"/>
      <c r="EU32" s="101"/>
      <c r="EV32" s="101">
        <v>1</v>
      </c>
      <c r="EW32" s="101">
        <v>2</v>
      </c>
      <c r="EX32" s="101">
        <v>3</v>
      </c>
      <c r="EY32" s="101">
        <v>4</v>
      </c>
      <c r="EZ32" s="101">
        <v>5</v>
      </c>
      <c r="FA32" s="101">
        <v>6</v>
      </c>
      <c r="FB32" s="101">
        <v>7</v>
      </c>
      <c r="FC32" s="101">
        <v>8</v>
      </c>
      <c r="FD32" s="101">
        <v>9</v>
      </c>
      <c r="FE32" s="101"/>
      <c r="FF32" s="101"/>
      <c r="FG32" s="101"/>
      <c r="FH32" s="101"/>
      <c r="FI32" s="101"/>
      <c r="FJ32" s="101"/>
      <c r="FK32" s="101"/>
      <c r="FL32" s="101"/>
      <c r="FM32" s="101"/>
      <c r="FN32" s="101"/>
      <c r="FO32" s="101"/>
      <c r="FP32" s="101"/>
      <c r="FQ32" s="101"/>
      <c r="FR32" s="101"/>
      <c r="FS32" s="101"/>
      <c r="FT32" s="101"/>
      <c r="FU32" s="101"/>
      <c r="FV32" s="101"/>
      <c r="FW32" s="101"/>
      <c r="FX32" s="101"/>
      <c r="FY32" s="101"/>
      <c r="FZ32" s="101"/>
      <c r="GA32" s="101"/>
      <c r="GB32" s="101"/>
      <c r="GC32" s="117"/>
      <c r="GD32" s="117"/>
      <c r="GE32" s="117"/>
      <c r="GF32" s="117"/>
      <c r="GG32" s="101"/>
      <c r="GH32" s="117"/>
      <c r="GI32" s="117"/>
      <c r="GJ32" s="117"/>
      <c r="GK32" s="117"/>
      <c r="GL32" s="117"/>
      <c r="GM32" s="117"/>
      <c r="GN32" s="117"/>
      <c r="GO32" s="117"/>
      <c r="GP32" s="117"/>
      <c r="GQ32" s="117"/>
      <c r="GR32" s="117"/>
      <c r="GS32" s="491"/>
      <c r="GT32" s="117"/>
      <c r="GU32" s="117"/>
      <c r="GV32" s="117"/>
      <c r="GW32" s="117"/>
      <c r="GX32" s="117"/>
      <c r="GY32" s="491"/>
      <c r="GZ32" s="117"/>
      <c r="HA32" s="117"/>
      <c r="HB32" s="117"/>
      <c r="HC32" s="117"/>
      <c r="HD32" s="117"/>
      <c r="HE32" s="491"/>
      <c r="HF32" s="117"/>
      <c r="HG32" s="117"/>
      <c r="HH32" s="117"/>
      <c r="HI32" s="117"/>
      <c r="HJ32" s="552" t="s">
        <v>1074</v>
      </c>
      <c r="HK32" s="491"/>
      <c r="HL32" s="567" t="s">
        <v>1074</v>
      </c>
      <c r="HN32" s="491"/>
      <c r="HP32" s="117"/>
      <c r="HQ32" s="491"/>
      <c r="HW32" s="491"/>
      <c r="HX32" s="343" t="s">
        <v>1141</v>
      </c>
      <c r="IA32" s="117"/>
      <c r="IB32" s="117"/>
      <c r="IC32" s="491"/>
      <c r="ID32" s="117"/>
      <c r="IE32" s="117"/>
      <c r="IF32" s="117"/>
      <c r="IG32" s="117"/>
      <c r="IH32" s="491"/>
      <c r="II32" s="491"/>
      <c r="IJ32" s="491"/>
      <c r="IK32" s="117"/>
      <c r="IL32" s="117"/>
      <c r="IM32" s="117"/>
      <c r="IN32" s="117"/>
      <c r="IO32" s="491"/>
      <c r="IP32" s="117"/>
      <c r="IQ32" s="117"/>
      <c r="IR32" s="117"/>
      <c r="IS32" s="117"/>
      <c r="IT32" s="117"/>
      <c r="IU32" s="491"/>
    </row>
    <row r="33" spans="1:259" ht="24.95" customHeight="1">
      <c r="A33" s="205" t="s">
        <v>1089</v>
      </c>
      <c r="B33" s="203">
        <v>500</v>
      </c>
      <c r="C33" s="203">
        <v>180</v>
      </c>
      <c r="D33" s="406">
        <f t="shared" si="2"/>
        <v>2.7777777777777777</v>
      </c>
      <c r="E33" s="187"/>
      <c r="F33" s="100"/>
      <c r="G33" s="101"/>
      <c r="H33" s="101"/>
      <c r="I33" s="101"/>
      <c r="J33" s="103"/>
      <c r="K33" s="105"/>
      <c r="L33" s="106"/>
      <c r="M33" s="106"/>
      <c r="N33" s="106"/>
      <c r="O33" s="107"/>
      <c r="P33" s="102"/>
      <c r="Q33" s="101"/>
      <c r="R33" s="101"/>
      <c r="S33" s="108"/>
      <c r="T33" s="98"/>
      <c r="U33" s="281"/>
      <c r="V33" s="106"/>
      <c r="W33" s="106"/>
      <c r="X33" s="106"/>
      <c r="Y33" s="106"/>
      <c r="Z33" s="100"/>
      <c r="AA33" s="101"/>
      <c r="AB33" s="101"/>
      <c r="AC33" s="101"/>
      <c r="AD33" s="98"/>
      <c r="AE33" s="100"/>
      <c r="AF33" s="101"/>
      <c r="AG33" s="101"/>
      <c r="AH33" s="101"/>
      <c r="AI33" s="98"/>
      <c r="AJ33" s="100"/>
      <c r="AK33" s="101"/>
      <c r="AL33" s="101"/>
      <c r="AM33" s="101"/>
      <c r="AN33" s="103"/>
      <c r="AO33" s="100"/>
      <c r="AP33" s="101"/>
      <c r="AQ33" s="101"/>
      <c r="AR33" s="101"/>
      <c r="AS33" s="98"/>
      <c r="AT33" s="102"/>
      <c r="AU33" s="104"/>
      <c r="AV33" s="104"/>
      <c r="AW33" s="104"/>
      <c r="AX33" s="104"/>
      <c r="AY33" s="392"/>
      <c r="AZ33" s="102"/>
      <c r="BA33" s="101"/>
      <c r="BB33" s="101"/>
      <c r="BC33" s="101"/>
      <c r="BD33" s="103"/>
      <c r="BE33" s="100"/>
      <c r="BF33" s="101"/>
      <c r="BG33" s="101"/>
      <c r="BH33" s="101"/>
      <c r="BI33" s="98"/>
      <c r="BJ33" s="100"/>
      <c r="BK33" s="101"/>
      <c r="BL33" s="101"/>
      <c r="BM33" s="101"/>
      <c r="BN33" s="98"/>
      <c r="BO33" s="102"/>
      <c r="BP33" s="101"/>
      <c r="BQ33" s="101"/>
      <c r="BR33" s="101"/>
      <c r="BS33" s="98"/>
      <c r="BT33" s="102"/>
      <c r="BU33" s="101"/>
      <c r="BV33" s="101"/>
      <c r="BW33" s="101"/>
      <c r="BX33" s="98"/>
      <c r="BY33" s="100"/>
      <c r="BZ33" s="101"/>
      <c r="CA33" s="101"/>
      <c r="CB33" s="101"/>
      <c r="CC33" s="98"/>
      <c r="CD33" s="100"/>
      <c r="CE33" s="101"/>
      <c r="CF33" s="101"/>
      <c r="CG33" s="101"/>
      <c r="CH33" s="98"/>
      <c r="CI33" s="100"/>
      <c r="CJ33" s="101"/>
      <c r="CK33" s="101"/>
      <c r="CL33" s="101"/>
      <c r="CM33" s="98"/>
      <c r="CN33" s="102"/>
      <c r="CO33" s="101"/>
      <c r="CP33" s="101"/>
      <c r="CQ33" s="101"/>
      <c r="CR33" s="98"/>
      <c r="CS33" s="100"/>
      <c r="CT33" s="101"/>
      <c r="CU33" s="101"/>
      <c r="CV33" s="101"/>
      <c r="CW33" s="98"/>
      <c r="CX33" s="100"/>
      <c r="CY33" s="830"/>
      <c r="CZ33" s="830"/>
      <c r="DA33" s="101"/>
      <c r="DB33" s="103"/>
      <c r="DC33" s="100"/>
      <c r="DD33" s="101"/>
      <c r="DE33" s="101"/>
      <c r="DF33" s="101"/>
      <c r="DG33" s="103"/>
      <c r="DH33" s="100"/>
      <c r="DI33" s="101"/>
      <c r="DJ33" s="101"/>
      <c r="DK33" s="101"/>
      <c r="DL33" s="103"/>
      <c r="DM33" s="100"/>
      <c r="DN33" s="101"/>
      <c r="DO33" s="101"/>
      <c r="DP33" s="101"/>
      <c r="DQ33" s="103"/>
      <c r="DR33" s="100"/>
      <c r="DS33" s="101"/>
      <c r="DT33" s="101"/>
      <c r="DU33" s="101"/>
      <c r="DV33" s="98"/>
      <c r="DW33" s="102"/>
      <c r="DX33" s="101"/>
      <c r="DY33" s="101"/>
      <c r="DZ33" s="101"/>
      <c r="EA33" s="98"/>
      <c r="EB33" s="100"/>
      <c r="EC33" s="101"/>
      <c r="ED33" s="101"/>
      <c r="EE33" s="101"/>
      <c r="EF33" s="103"/>
      <c r="EG33" s="101"/>
      <c r="EH33" s="101"/>
      <c r="EI33" s="101"/>
      <c r="EJ33" s="101"/>
      <c r="EK33" s="101"/>
      <c r="EL33" s="101"/>
      <c r="EM33" s="101"/>
      <c r="EN33" s="101"/>
      <c r="EO33" s="101"/>
      <c r="EP33" s="101"/>
      <c r="EQ33" s="101"/>
      <c r="ER33" s="101"/>
      <c r="ES33" s="101"/>
      <c r="ET33" s="101"/>
      <c r="EU33" s="101"/>
      <c r="EV33" s="101"/>
      <c r="EW33" s="830"/>
      <c r="EX33" s="101"/>
      <c r="EY33" s="101"/>
      <c r="EZ33" s="101"/>
      <c r="FA33" s="101"/>
      <c r="FB33" s="101"/>
      <c r="FC33" s="101"/>
      <c r="FD33" s="101"/>
      <c r="FE33" s="101"/>
      <c r="FF33" s="101"/>
      <c r="FG33" s="101"/>
      <c r="FH33" s="101"/>
      <c r="FI33" s="101"/>
      <c r="FJ33" s="101"/>
      <c r="FK33" s="101"/>
      <c r="FL33" s="101"/>
      <c r="FM33" s="101"/>
      <c r="FN33" s="101"/>
      <c r="FO33" s="101"/>
      <c r="FP33" s="101"/>
      <c r="FQ33" s="101"/>
      <c r="FR33" s="101"/>
      <c r="FS33" s="101"/>
      <c r="FT33" s="101"/>
      <c r="FU33" s="101"/>
      <c r="FV33" s="101"/>
      <c r="FW33" s="101"/>
      <c r="FX33" s="101"/>
      <c r="FY33" s="101"/>
      <c r="FZ33" s="101"/>
      <c r="GA33" s="101"/>
      <c r="GB33" s="101"/>
      <c r="GC33" s="117"/>
      <c r="GD33" s="117"/>
      <c r="GE33" s="117"/>
      <c r="GF33" s="117"/>
      <c r="GG33" s="101"/>
      <c r="GH33" s="117"/>
      <c r="GI33" s="117"/>
      <c r="GJ33" s="117"/>
      <c r="GK33" s="117"/>
      <c r="GL33" s="117"/>
      <c r="GM33" s="117"/>
      <c r="GN33" s="117"/>
      <c r="GO33" s="117"/>
      <c r="GP33" s="117"/>
      <c r="GQ33" s="117"/>
      <c r="GR33" s="117"/>
      <c r="GS33" s="491"/>
      <c r="GT33" s="117"/>
      <c r="GU33" s="117"/>
      <c r="GV33" s="117"/>
      <c r="GW33" s="117"/>
      <c r="GX33" s="117"/>
      <c r="GY33" s="491"/>
      <c r="GZ33" s="117"/>
      <c r="HA33" s="117"/>
      <c r="HB33" s="117"/>
      <c r="HC33" s="117"/>
      <c r="HD33" s="117"/>
      <c r="HE33" s="491"/>
      <c r="HF33" s="117"/>
      <c r="HG33" s="117"/>
      <c r="HH33" s="117"/>
      <c r="HI33" s="117"/>
      <c r="HJ33" s="101"/>
      <c r="HK33" s="491"/>
      <c r="HL33" s="103"/>
      <c r="HN33" s="491"/>
      <c r="HP33" s="117"/>
      <c r="HQ33" s="491"/>
      <c r="HW33" s="491"/>
      <c r="IA33" s="567" t="s">
        <v>1064</v>
      </c>
      <c r="IB33" s="567" t="s">
        <v>1064</v>
      </c>
      <c r="IC33" s="491"/>
      <c r="ID33" s="567" t="s">
        <v>1064</v>
      </c>
      <c r="IG33" s="117"/>
      <c r="IH33" s="491"/>
      <c r="II33" s="491"/>
      <c r="IJ33" s="491"/>
      <c r="IK33" s="117"/>
      <c r="IL33" s="117"/>
      <c r="IM33" s="117"/>
      <c r="IN33" s="117"/>
      <c r="IO33" s="491"/>
      <c r="IP33" s="117"/>
      <c r="IQ33" s="117"/>
      <c r="IR33" s="117"/>
      <c r="IS33" s="117"/>
      <c r="IT33" s="117"/>
      <c r="IU33" s="491"/>
    </row>
    <row r="34" spans="1:259" ht="24.95" hidden="1" customHeight="1">
      <c r="A34" s="205" t="s">
        <v>1188</v>
      </c>
      <c r="B34" s="203">
        <v>303</v>
      </c>
      <c r="C34" s="203">
        <v>180</v>
      </c>
      <c r="D34" s="406">
        <f t="shared" si="2"/>
        <v>1.6833333333333333</v>
      </c>
      <c r="E34" s="187"/>
      <c r="F34" s="100"/>
      <c r="G34" s="101"/>
      <c r="H34" s="101"/>
      <c r="I34" s="101"/>
      <c r="J34" s="103"/>
      <c r="K34" s="105" t="s">
        <v>437</v>
      </c>
      <c r="L34" s="106" t="s">
        <v>437</v>
      </c>
      <c r="M34" s="106" t="s">
        <v>437</v>
      </c>
      <c r="N34" s="106" t="s">
        <v>437</v>
      </c>
      <c r="O34" s="107" t="s">
        <v>437</v>
      </c>
      <c r="P34" s="102"/>
      <c r="Q34" s="101"/>
      <c r="R34" s="101"/>
      <c r="S34" s="101"/>
      <c r="T34" s="98"/>
      <c r="U34" s="281" t="s">
        <v>437</v>
      </c>
      <c r="V34" s="106" t="s">
        <v>437</v>
      </c>
      <c r="W34" s="106" t="s">
        <v>437</v>
      </c>
      <c r="X34" s="106" t="s">
        <v>437</v>
      </c>
      <c r="Y34" s="106" t="s">
        <v>437</v>
      </c>
      <c r="Z34" s="100"/>
      <c r="AA34" s="101"/>
      <c r="AB34" s="101"/>
      <c r="AC34" s="101"/>
      <c r="AD34" s="98"/>
      <c r="AE34" s="100"/>
      <c r="AF34" s="101"/>
      <c r="AG34" s="101"/>
      <c r="AH34" s="101"/>
      <c r="AI34" s="98"/>
      <c r="AJ34" s="100"/>
      <c r="AK34" s="101"/>
      <c r="AL34" s="101"/>
      <c r="AM34" s="101"/>
      <c r="AN34" s="103" t="s">
        <v>244</v>
      </c>
      <c r="AO34" s="100"/>
      <c r="AP34" s="101"/>
      <c r="AQ34" s="101"/>
      <c r="AR34" s="101"/>
      <c r="AS34" s="98"/>
      <c r="AT34" s="102"/>
      <c r="AU34" s="104"/>
      <c r="AV34" s="104"/>
      <c r="AW34" s="104"/>
      <c r="AX34" s="104"/>
      <c r="AY34" s="392"/>
      <c r="AZ34" s="102"/>
      <c r="BA34" s="101"/>
      <c r="BB34" s="101"/>
      <c r="BC34" s="101" t="s">
        <v>244</v>
      </c>
      <c r="BD34" s="103" t="s">
        <v>244</v>
      </c>
      <c r="BE34" s="100"/>
      <c r="BF34" s="101"/>
      <c r="BG34" s="101"/>
      <c r="BH34" s="101"/>
      <c r="BI34" s="98"/>
      <c r="BJ34" s="100"/>
      <c r="BK34" s="101"/>
      <c r="BL34" s="101"/>
      <c r="BM34" s="101"/>
      <c r="BN34" s="98"/>
      <c r="BO34" s="102"/>
      <c r="BP34" s="101"/>
      <c r="BQ34" s="101"/>
      <c r="BR34" s="101"/>
      <c r="BS34" s="98"/>
      <c r="BT34" s="102"/>
      <c r="BU34" s="101"/>
      <c r="BV34" s="101"/>
      <c r="BW34" s="101"/>
      <c r="BX34" s="98"/>
      <c r="BY34" s="100"/>
      <c r="BZ34" s="101"/>
      <c r="CA34" s="101"/>
      <c r="CB34" s="101"/>
      <c r="CC34" s="98"/>
      <c r="CD34" s="100"/>
      <c r="CE34" s="101"/>
      <c r="CF34" s="101"/>
      <c r="CG34" s="101"/>
      <c r="CH34" s="98"/>
      <c r="CI34" s="100"/>
      <c r="CJ34" s="101"/>
      <c r="CK34" s="101"/>
      <c r="CL34" s="101"/>
      <c r="CM34" s="98"/>
      <c r="CN34" s="102"/>
      <c r="CO34" s="101"/>
      <c r="CP34" s="101"/>
      <c r="CQ34" s="101"/>
      <c r="CR34" s="98"/>
      <c r="CS34" s="100"/>
      <c r="CT34" s="101"/>
      <c r="CU34" s="101"/>
      <c r="CV34" s="101"/>
      <c r="CW34" s="98"/>
      <c r="CX34" s="100"/>
      <c r="CY34" s="109"/>
      <c r="CZ34" s="109"/>
      <c r="DA34" s="101"/>
      <c r="DB34" s="98"/>
      <c r="DC34" s="100"/>
      <c r="DD34" s="101"/>
      <c r="DE34" s="101"/>
      <c r="DF34" s="101"/>
      <c r="DG34" s="103"/>
      <c r="DH34" s="100"/>
      <c r="DI34" s="101"/>
      <c r="DJ34" s="101"/>
      <c r="DK34" s="101"/>
      <c r="DL34" s="103"/>
      <c r="DM34" s="100"/>
      <c r="DN34" s="101"/>
      <c r="DO34" s="101"/>
      <c r="DP34" s="101"/>
      <c r="DQ34" s="103"/>
      <c r="DR34" s="100"/>
      <c r="DS34" s="101"/>
      <c r="DT34" s="101"/>
      <c r="DU34" s="101"/>
      <c r="DV34" s="98"/>
      <c r="DW34" s="102"/>
      <c r="DX34" s="101"/>
      <c r="DY34" s="101"/>
      <c r="DZ34" s="101"/>
      <c r="EA34" s="98"/>
      <c r="EB34" s="100"/>
      <c r="EC34" s="101"/>
      <c r="ED34" s="101"/>
      <c r="EE34" s="101"/>
      <c r="EF34" s="103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9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17"/>
      <c r="GD34" s="117"/>
      <c r="GE34" s="117"/>
      <c r="GF34" s="117"/>
      <c r="GG34" s="101"/>
      <c r="GH34" s="117"/>
      <c r="GI34" s="117"/>
      <c r="GJ34" s="117"/>
      <c r="GK34" s="117"/>
      <c r="GL34" s="117"/>
      <c r="GM34" s="117"/>
      <c r="GN34" s="117"/>
      <c r="GO34" s="117"/>
      <c r="GP34" s="117"/>
      <c r="GQ34" s="117"/>
      <c r="GR34" s="117"/>
      <c r="GS34" s="491"/>
      <c r="GT34" s="117"/>
      <c r="GU34" s="117"/>
      <c r="GV34" s="117"/>
      <c r="GW34" s="117"/>
      <c r="GX34" s="117"/>
      <c r="GY34" s="491"/>
      <c r="GZ34" s="117"/>
      <c r="HA34" s="117"/>
      <c r="HB34" s="117"/>
      <c r="HC34" s="117"/>
      <c r="HD34" s="117"/>
      <c r="HE34" s="491"/>
      <c r="HF34" s="117"/>
      <c r="HG34" s="117"/>
      <c r="HH34" s="117"/>
      <c r="HI34" s="117"/>
      <c r="HJ34" s="117"/>
      <c r="HK34" s="491"/>
      <c r="HL34" s="117"/>
      <c r="HM34" s="117"/>
      <c r="HN34" s="491"/>
      <c r="HO34" s="117"/>
      <c r="HP34" s="117"/>
      <c r="HQ34" s="491"/>
      <c r="HR34" s="117"/>
      <c r="HS34" s="227"/>
      <c r="HT34" s="117"/>
      <c r="HU34" s="117"/>
      <c r="HV34" s="117"/>
      <c r="HW34" s="491"/>
      <c r="HX34" s="343" t="s">
        <v>1141</v>
      </c>
      <c r="HY34" s="117"/>
      <c r="HZ34" s="117"/>
      <c r="IA34" s="117"/>
      <c r="IB34" s="117"/>
      <c r="IC34" s="491"/>
      <c r="ID34" s="567" t="s">
        <v>47</v>
      </c>
      <c r="IE34" s="567" t="s">
        <v>47</v>
      </c>
      <c r="IF34" s="117"/>
      <c r="IG34" s="117"/>
      <c r="IH34" s="491"/>
      <c r="II34" s="491"/>
      <c r="IJ34" s="491"/>
      <c r="IK34" s="117"/>
      <c r="IL34" s="117"/>
      <c r="IM34" s="117"/>
      <c r="IN34" s="117"/>
      <c r="IO34" s="491"/>
      <c r="IP34" s="117"/>
      <c r="IQ34" s="117"/>
      <c r="IR34" s="117"/>
      <c r="IS34" s="117"/>
      <c r="IT34" s="117"/>
      <c r="IU34" s="491"/>
    </row>
    <row r="35" spans="1:259" ht="24.95" customHeight="1">
      <c r="A35" s="205" t="s">
        <v>1189</v>
      </c>
      <c r="B35" s="203">
        <f>200+300</f>
        <v>500</v>
      </c>
      <c r="C35" s="203">
        <v>120</v>
      </c>
      <c r="D35" s="406">
        <f t="shared" si="2"/>
        <v>4.166666666666667</v>
      </c>
      <c r="E35" s="187"/>
      <c r="F35" s="100"/>
      <c r="G35" s="101"/>
      <c r="H35" s="101"/>
      <c r="I35" s="101"/>
      <c r="J35" s="103"/>
      <c r="K35" s="105" t="s">
        <v>437</v>
      </c>
      <c r="L35" s="106" t="s">
        <v>437</v>
      </c>
      <c r="M35" s="106" t="s">
        <v>437</v>
      </c>
      <c r="N35" s="106" t="s">
        <v>437</v>
      </c>
      <c r="O35" s="107" t="s">
        <v>437</v>
      </c>
      <c r="P35" s="102"/>
      <c r="Q35" s="101"/>
      <c r="R35" s="101"/>
      <c r="S35" s="101"/>
      <c r="T35" s="98"/>
      <c r="U35" s="281" t="s">
        <v>437</v>
      </c>
      <c r="V35" s="106" t="s">
        <v>437</v>
      </c>
      <c r="W35" s="106" t="s">
        <v>437</v>
      </c>
      <c r="X35" s="106" t="s">
        <v>437</v>
      </c>
      <c r="Y35" s="106" t="s">
        <v>437</v>
      </c>
      <c r="Z35" s="100"/>
      <c r="AA35" s="101"/>
      <c r="AB35" s="101"/>
      <c r="AC35" s="101"/>
      <c r="AD35" s="98"/>
      <c r="AE35" s="100"/>
      <c r="AF35" s="101"/>
      <c r="AG35" s="101"/>
      <c r="AH35" s="101"/>
      <c r="AI35" s="98"/>
      <c r="AJ35" s="100"/>
      <c r="AK35" s="101"/>
      <c r="AL35" s="101"/>
      <c r="AM35" s="101"/>
      <c r="AN35" s="103" t="s">
        <v>244</v>
      </c>
      <c r="AO35" s="100"/>
      <c r="AP35" s="101"/>
      <c r="AQ35" s="101"/>
      <c r="AR35" s="101"/>
      <c r="AS35" s="98"/>
      <c r="AT35" s="102"/>
      <c r="AU35" s="104"/>
      <c r="AV35" s="104"/>
      <c r="AW35" s="104"/>
      <c r="AX35" s="104"/>
      <c r="AY35" s="392"/>
      <c r="AZ35" s="102"/>
      <c r="BA35" s="101"/>
      <c r="BB35" s="101"/>
      <c r="BC35" s="101" t="s">
        <v>244</v>
      </c>
      <c r="BD35" s="103" t="s">
        <v>244</v>
      </c>
      <c r="BE35" s="100"/>
      <c r="BF35" s="101"/>
      <c r="BG35" s="101"/>
      <c r="BH35" s="101"/>
      <c r="BI35" s="98"/>
      <c r="BJ35" s="100"/>
      <c r="BK35" s="101"/>
      <c r="BL35" s="101"/>
      <c r="BM35" s="101"/>
      <c r="BN35" s="98"/>
      <c r="BO35" s="102"/>
      <c r="BP35" s="101"/>
      <c r="BQ35" s="101"/>
      <c r="BR35" s="101"/>
      <c r="BS35" s="98"/>
      <c r="BT35" s="102"/>
      <c r="BU35" s="101"/>
      <c r="BV35" s="101"/>
      <c r="BW35" s="101"/>
      <c r="BX35" s="98"/>
      <c r="BY35" s="100"/>
      <c r="BZ35" s="101"/>
      <c r="CA35" s="101"/>
      <c r="CB35" s="101"/>
      <c r="CC35" s="98"/>
      <c r="CD35" s="100"/>
      <c r="CE35" s="101"/>
      <c r="CF35" s="101"/>
      <c r="CG35" s="101"/>
      <c r="CH35" s="98"/>
      <c r="CI35" s="100"/>
      <c r="CJ35" s="101"/>
      <c r="CK35" s="101"/>
      <c r="CL35" s="101"/>
      <c r="CM35" s="98"/>
      <c r="CN35" s="102"/>
      <c r="CO35" s="101"/>
      <c r="CP35" s="101"/>
      <c r="CQ35" s="101"/>
      <c r="CR35" s="98"/>
      <c r="CS35" s="489"/>
      <c r="CT35" s="101"/>
      <c r="CU35" s="101"/>
      <c r="CV35" s="101"/>
      <c r="CW35" s="98"/>
      <c r="CX35" s="100"/>
      <c r="CY35" s="101"/>
      <c r="CZ35" s="101"/>
      <c r="DA35" s="101"/>
      <c r="DB35" s="98"/>
      <c r="DC35" s="100"/>
      <c r="DD35" s="101"/>
      <c r="DE35" s="101"/>
      <c r="DF35" s="101"/>
      <c r="DG35" s="103"/>
      <c r="DH35" s="116"/>
      <c r="DI35" s="117"/>
      <c r="DJ35" s="117"/>
      <c r="DK35" s="117"/>
      <c r="DL35" s="227"/>
      <c r="DM35" s="116"/>
      <c r="DN35" s="117"/>
      <c r="DO35" s="117"/>
      <c r="DP35" s="117"/>
      <c r="DQ35" s="227"/>
      <c r="DR35" s="489"/>
      <c r="DS35" s="117"/>
      <c r="DT35" s="117"/>
      <c r="DU35" s="117"/>
      <c r="DV35" s="118"/>
      <c r="DW35" s="119"/>
      <c r="DX35" s="117"/>
      <c r="DY35" s="117"/>
      <c r="DZ35" s="117"/>
      <c r="EA35" s="118"/>
      <c r="EB35" s="116"/>
      <c r="EC35" s="117"/>
      <c r="ED35" s="117"/>
      <c r="EE35" s="117"/>
      <c r="EF35" s="22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01"/>
      <c r="FA35" s="117"/>
      <c r="FB35" s="117"/>
      <c r="FC35" s="117"/>
      <c r="FD35" s="117"/>
      <c r="FE35" s="117"/>
      <c r="FF35" s="491"/>
      <c r="FG35" s="491"/>
      <c r="FH35" s="491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491"/>
      <c r="FU35" s="491"/>
      <c r="FV35" s="117"/>
      <c r="FW35" s="117"/>
      <c r="FX35" s="117"/>
      <c r="FY35" s="117"/>
      <c r="FZ35" s="117"/>
      <c r="GA35" s="117"/>
      <c r="GB35" s="117"/>
      <c r="GC35" s="117"/>
      <c r="GD35" s="117"/>
      <c r="GE35" s="117"/>
      <c r="GF35" s="117"/>
      <c r="GG35" s="101"/>
      <c r="GH35" s="117"/>
      <c r="GI35" s="117"/>
      <c r="GJ35" s="117"/>
      <c r="GK35" s="117"/>
      <c r="GL35" s="117"/>
      <c r="GM35" s="117"/>
      <c r="GN35" s="117"/>
      <c r="GO35" s="117"/>
      <c r="GP35" s="117"/>
      <c r="GQ35" s="117"/>
      <c r="GR35" s="117"/>
      <c r="GS35" s="491"/>
      <c r="GT35" s="117"/>
      <c r="GU35" s="117"/>
      <c r="GV35" s="117"/>
      <c r="GW35" s="117"/>
      <c r="GX35" s="117"/>
      <c r="GY35" s="491"/>
      <c r="GZ35" s="117"/>
      <c r="HA35" s="117"/>
      <c r="HB35" s="117"/>
      <c r="HC35" s="117"/>
      <c r="HD35" s="117"/>
      <c r="HE35" s="491"/>
      <c r="HF35" s="117"/>
      <c r="HG35" s="117"/>
      <c r="HH35" s="117"/>
      <c r="HI35" s="117"/>
      <c r="HJ35" s="117"/>
      <c r="HK35" s="491"/>
      <c r="HL35" s="117"/>
      <c r="HM35" s="117"/>
      <c r="HN35" s="491"/>
      <c r="HO35" s="117"/>
      <c r="HP35" s="117"/>
      <c r="HQ35" s="491"/>
      <c r="HR35" s="117"/>
      <c r="HS35" s="227"/>
      <c r="HT35" s="117"/>
      <c r="HU35" s="117"/>
      <c r="HV35" s="117"/>
      <c r="HW35" s="491"/>
      <c r="HX35" s="117"/>
      <c r="HY35" s="117"/>
      <c r="HZ35" s="117"/>
      <c r="IA35" s="117"/>
      <c r="IB35" s="117"/>
      <c r="IC35" s="491"/>
      <c r="IF35" s="117"/>
      <c r="IG35" s="117"/>
      <c r="IH35" s="491"/>
      <c r="II35" s="491"/>
      <c r="IJ35" s="491"/>
      <c r="IO35" s="491"/>
      <c r="IP35" s="880" t="s">
        <v>1064</v>
      </c>
      <c r="IQ35" s="880" t="s">
        <v>1064</v>
      </c>
      <c r="IR35" s="880" t="s">
        <v>1064</v>
      </c>
      <c r="IS35" s="880" t="s">
        <v>1064</v>
      </c>
      <c r="IT35" s="343" t="s">
        <v>1141</v>
      </c>
      <c r="IU35" s="491"/>
      <c r="IV35" s="343" t="s">
        <v>1141</v>
      </c>
      <c r="IW35" s="343" t="s">
        <v>1141</v>
      </c>
      <c r="IX35" s="343" t="s">
        <v>1141</v>
      </c>
      <c r="IY35" s="343" t="s">
        <v>1141</v>
      </c>
    </row>
    <row r="36" spans="1:259" ht="24.95" customHeight="1">
      <c r="A36" s="205" t="s">
        <v>1065</v>
      </c>
      <c r="B36" s="203">
        <v>602</v>
      </c>
      <c r="C36" s="203">
        <v>120</v>
      </c>
      <c r="D36" s="406">
        <f t="shared" si="2"/>
        <v>5.0166666666666666</v>
      </c>
      <c r="E36" s="187"/>
      <c r="F36" s="100"/>
      <c r="G36" s="101"/>
      <c r="H36" s="101"/>
      <c r="I36" s="101"/>
      <c r="J36" s="103"/>
      <c r="K36" s="105" t="s">
        <v>437</v>
      </c>
      <c r="L36" s="106" t="s">
        <v>437</v>
      </c>
      <c r="M36" s="106" t="s">
        <v>437</v>
      </c>
      <c r="N36" s="106" t="s">
        <v>437</v>
      </c>
      <c r="O36" s="107" t="s">
        <v>437</v>
      </c>
      <c r="P36" s="102"/>
      <c r="Q36" s="101"/>
      <c r="R36" s="101"/>
      <c r="S36" s="101"/>
      <c r="T36" s="98"/>
      <c r="U36" s="281" t="s">
        <v>437</v>
      </c>
      <c r="V36" s="106" t="s">
        <v>437</v>
      </c>
      <c r="W36" s="106" t="s">
        <v>437</v>
      </c>
      <c r="X36" s="106" t="s">
        <v>437</v>
      </c>
      <c r="Y36" s="106" t="s">
        <v>437</v>
      </c>
      <c r="Z36" s="100"/>
      <c r="AA36" s="101"/>
      <c r="AB36" s="101"/>
      <c r="AC36" s="101"/>
      <c r="AD36" s="98"/>
      <c r="AE36" s="100"/>
      <c r="AF36" s="101"/>
      <c r="AG36" s="101"/>
      <c r="AH36" s="101"/>
      <c r="AI36" s="98"/>
      <c r="AJ36" s="100"/>
      <c r="AK36" s="101"/>
      <c r="AL36" s="101"/>
      <c r="AM36" s="101"/>
      <c r="AN36" s="103" t="s">
        <v>244</v>
      </c>
      <c r="AO36" s="100"/>
      <c r="AP36" s="101"/>
      <c r="AQ36" s="101"/>
      <c r="AR36" s="101"/>
      <c r="AS36" s="98"/>
      <c r="AT36" s="102"/>
      <c r="AU36" s="104"/>
      <c r="AV36" s="104"/>
      <c r="AW36" s="104"/>
      <c r="AX36" s="104"/>
      <c r="AY36" s="392"/>
      <c r="AZ36" s="102"/>
      <c r="BA36" s="101"/>
      <c r="BB36" s="101"/>
      <c r="BC36" s="101" t="s">
        <v>244</v>
      </c>
      <c r="BD36" s="103" t="s">
        <v>244</v>
      </c>
      <c r="BE36" s="100"/>
      <c r="BF36" s="101"/>
      <c r="BG36" s="101"/>
      <c r="BH36" s="101"/>
      <c r="BI36" s="417"/>
      <c r="BJ36" s="100"/>
      <c r="BK36" s="101"/>
      <c r="BL36" s="101"/>
      <c r="BM36" s="101"/>
      <c r="BN36" s="98"/>
      <c r="BO36" s="102"/>
      <c r="BP36" s="101"/>
      <c r="BQ36" s="101"/>
      <c r="BR36" s="101"/>
      <c r="BS36" s="98"/>
      <c r="BT36" s="102"/>
      <c r="BU36" s="101"/>
      <c r="BV36" s="101"/>
      <c r="BW36" s="101"/>
      <c r="BX36" s="98"/>
      <c r="BY36" s="100"/>
      <c r="BZ36" s="101"/>
      <c r="CA36" s="101"/>
      <c r="CB36" s="101"/>
      <c r="CC36" s="98"/>
      <c r="CD36" s="100"/>
      <c r="CE36" s="101"/>
      <c r="CF36" s="101"/>
      <c r="CG36" s="101"/>
      <c r="CH36" s="98"/>
      <c r="CI36" s="100"/>
      <c r="CJ36" s="101"/>
      <c r="CK36" s="101"/>
      <c r="CL36" s="101"/>
      <c r="CM36" s="98"/>
      <c r="CN36" s="102"/>
      <c r="CO36" s="101"/>
      <c r="CP36" s="101"/>
      <c r="CQ36" s="101"/>
      <c r="CR36" s="98"/>
      <c r="CS36" s="489"/>
      <c r="CT36" s="101"/>
      <c r="CU36" s="101"/>
      <c r="CV36" s="101"/>
      <c r="CW36" s="98"/>
      <c r="CX36" s="100"/>
      <c r="CY36" s="101"/>
      <c r="CZ36" s="101"/>
      <c r="DA36" s="101"/>
      <c r="DB36" s="98"/>
      <c r="DC36" s="100"/>
      <c r="DD36" s="101"/>
      <c r="DE36" s="101"/>
      <c r="DF36" s="101"/>
      <c r="DG36" s="103"/>
      <c r="DH36" s="116"/>
      <c r="DI36" s="117"/>
      <c r="DJ36" s="117"/>
      <c r="DK36" s="117"/>
      <c r="DL36" s="227"/>
      <c r="DM36" s="116"/>
      <c r="DN36" s="117"/>
      <c r="DO36" s="117"/>
      <c r="DP36" s="117"/>
      <c r="DQ36" s="227"/>
      <c r="DR36" s="489"/>
      <c r="DS36" s="117"/>
      <c r="DT36" s="117"/>
      <c r="DU36" s="117"/>
      <c r="DV36" s="118"/>
      <c r="DW36" s="119"/>
      <c r="DX36" s="117"/>
      <c r="DY36" s="117"/>
      <c r="DZ36" s="117"/>
      <c r="EA36" s="118"/>
      <c r="EB36" s="116"/>
      <c r="EC36" s="117"/>
      <c r="ED36" s="117"/>
      <c r="EE36" s="117"/>
      <c r="EF36" s="227"/>
      <c r="EG36" s="117"/>
      <c r="EH36" s="117"/>
      <c r="EI36" s="117"/>
      <c r="EJ36" s="117"/>
      <c r="EK36" s="117"/>
      <c r="EL36" s="117"/>
      <c r="EM36" s="117"/>
      <c r="EN36" s="117"/>
      <c r="EO36" s="117"/>
      <c r="EP36" s="117"/>
      <c r="EQ36" s="117"/>
      <c r="ER36" s="117"/>
      <c r="ES36" s="117"/>
      <c r="ET36" s="117"/>
      <c r="EU36" s="117"/>
      <c r="EV36" s="117"/>
      <c r="EW36" s="117"/>
      <c r="EX36" s="117"/>
      <c r="EY36" s="117"/>
      <c r="EZ36" s="101"/>
      <c r="FA36" s="117"/>
      <c r="FB36" s="117"/>
      <c r="FC36" s="117"/>
      <c r="FD36" s="117"/>
      <c r="FE36" s="117"/>
      <c r="FF36" s="491"/>
      <c r="FG36" s="491"/>
      <c r="FH36" s="491"/>
      <c r="FI36" s="117"/>
      <c r="FJ36" s="117"/>
      <c r="FK36" s="117"/>
      <c r="FL36" s="117"/>
      <c r="FM36" s="117"/>
      <c r="FN36" s="117"/>
      <c r="FO36" s="117"/>
      <c r="FP36" s="117"/>
      <c r="FQ36" s="117"/>
      <c r="FR36" s="117"/>
      <c r="FS36" s="117"/>
      <c r="FT36" s="491"/>
      <c r="FU36" s="491"/>
      <c r="FV36" s="117"/>
      <c r="FW36" s="117"/>
      <c r="FX36" s="117"/>
      <c r="FY36" s="117"/>
      <c r="FZ36" s="117"/>
      <c r="GA36" s="117"/>
      <c r="GB36" s="117"/>
      <c r="GC36" s="117"/>
      <c r="GD36" s="117"/>
      <c r="GE36" s="117"/>
      <c r="GF36" s="117"/>
      <c r="GG36" s="101"/>
      <c r="GH36" s="117"/>
      <c r="GI36" s="117"/>
      <c r="GJ36" s="117"/>
      <c r="GK36" s="117"/>
      <c r="GL36" s="117"/>
      <c r="GM36" s="117"/>
      <c r="GN36" s="117"/>
      <c r="GO36" s="117"/>
      <c r="GP36" s="117"/>
      <c r="GQ36" s="117"/>
      <c r="GR36" s="117"/>
      <c r="GS36" s="491"/>
      <c r="GT36" s="117"/>
      <c r="GU36" s="117"/>
      <c r="GV36" s="117"/>
      <c r="GW36" s="117"/>
      <c r="GX36" s="117"/>
      <c r="GY36" s="491"/>
      <c r="GZ36" s="117"/>
      <c r="HA36" s="117"/>
      <c r="HB36" s="117"/>
      <c r="HC36" s="117"/>
      <c r="HD36" s="117"/>
      <c r="HE36" s="491"/>
      <c r="HF36" s="117"/>
      <c r="HG36" s="117"/>
      <c r="HH36" s="117"/>
      <c r="HI36" s="117"/>
      <c r="HJ36" s="117"/>
      <c r="HK36" s="491"/>
      <c r="HL36" s="117"/>
      <c r="HM36" s="117"/>
      <c r="HN36" s="491"/>
      <c r="HO36" s="117"/>
      <c r="HP36" s="117"/>
      <c r="HQ36" s="491"/>
      <c r="HR36" s="117"/>
      <c r="HS36" s="227"/>
      <c r="HT36" s="117"/>
      <c r="HU36" s="117"/>
      <c r="HV36" s="117"/>
      <c r="HW36" s="491"/>
      <c r="HX36" s="117"/>
      <c r="HY36" s="117"/>
      <c r="HZ36" s="117"/>
      <c r="IA36" s="117"/>
      <c r="IB36" s="117"/>
      <c r="IC36" s="491"/>
      <c r="ID36" s="880" t="s">
        <v>1064</v>
      </c>
      <c r="IE36" s="880" t="s">
        <v>1064</v>
      </c>
      <c r="IF36" s="880" t="s">
        <v>1064</v>
      </c>
      <c r="IG36" s="880" t="s">
        <v>1064</v>
      </c>
      <c r="IH36" s="491"/>
      <c r="II36" s="491"/>
      <c r="IJ36" s="491"/>
      <c r="IM36" s="880" t="s">
        <v>1074</v>
      </c>
      <c r="IN36" s="343" t="s">
        <v>1141</v>
      </c>
      <c r="IO36" s="491"/>
      <c r="IP36" s="343" t="s">
        <v>1141</v>
      </c>
      <c r="IQ36" s="343" t="s">
        <v>1141</v>
      </c>
      <c r="IR36" s="343" t="s">
        <v>1141</v>
      </c>
      <c r="IS36" s="117"/>
      <c r="IT36" s="117"/>
      <c r="IU36" s="491"/>
    </row>
    <row r="37" spans="1:259" ht="24.95" hidden="1" customHeight="1">
      <c r="A37" s="129" t="s">
        <v>1089</v>
      </c>
      <c r="B37" s="203">
        <v>303</v>
      </c>
      <c r="C37" s="203">
        <v>180</v>
      </c>
      <c r="D37" s="406">
        <f t="shared" si="2"/>
        <v>1.6833333333333333</v>
      </c>
      <c r="E37" s="187"/>
      <c r="F37" s="100"/>
      <c r="G37" s="101"/>
      <c r="H37" s="101"/>
      <c r="I37" s="101"/>
      <c r="J37" s="103"/>
      <c r="K37" s="105" t="s">
        <v>437</v>
      </c>
      <c r="L37" s="106" t="s">
        <v>437</v>
      </c>
      <c r="M37" s="106" t="s">
        <v>437</v>
      </c>
      <c r="N37" s="106" t="s">
        <v>437</v>
      </c>
      <c r="O37" s="107" t="s">
        <v>437</v>
      </c>
      <c r="P37" s="102"/>
      <c r="Q37" s="101"/>
      <c r="R37" s="101"/>
      <c r="S37" s="101"/>
      <c r="T37" s="98"/>
      <c r="U37" s="281" t="s">
        <v>437</v>
      </c>
      <c r="V37" s="106" t="s">
        <v>437</v>
      </c>
      <c r="W37" s="106" t="s">
        <v>437</v>
      </c>
      <c r="X37" s="106" t="s">
        <v>437</v>
      </c>
      <c r="Y37" s="106" t="s">
        <v>437</v>
      </c>
      <c r="Z37" s="100"/>
      <c r="AA37" s="101"/>
      <c r="AB37" s="101"/>
      <c r="AC37" s="101"/>
      <c r="AD37" s="98"/>
      <c r="AE37" s="100"/>
      <c r="AF37" s="101"/>
      <c r="AG37" s="101"/>
      <c r="AH37" s="101"/>
      <c r="AI37" s="98"/>
      <c r="AJ37" s="100"/>
      <c r="AK37" s="101"/>
      <c r="AL37" s="101"/>
      <c r="AM37" s="101"/>
      <c r="AN37" s="103" t="s">
        <v>244</v>
      </c>
      <c r="AO37" s="100"/>
      <c r="AP37" s="101"/>
      <c r="AQ37" s="101"/>
      <c r="AR37" s="101"/>
      <c r="AS37" s="98"/>
      <c r="AT37" s="102"/>
      <c r="AU37" s="104"/>
      <c r="AV37" s="104"/>
      <c r="AW37" s="104"/>
      <c r="AX37" s="104"/>
      <c r="AY37" s="392"/>
      <c r="AZ37" s="102"/>
      <c r="BA37" s="101"/>
      <c r="BB37" s="101"/>
      <c r="BC37" s="101" t="s">
        <v>244</v>
      </c>
      <c r="BD37" s="103" t="s">
        <v>244</v>
      </c>
      <c r="BE37" s="100"/>
      <c r="BF37" s="101"/>
      <c r="BG37" s="101"/>
      <c r="BH37" s="101"/>
      <c r="BI37" s="98"/>
      <c r="BJ37" s="100"/>
      <c r="BK37" s="101"/>
      <c r="BL37" s="101"/>
      <c r="BM37" s="101"/>
      <c r="BN37" s="98"/>
      <c r="BO37" s="102"/>
      <c r="BP37" s="101"/>
      <c r="BQ37" s="101"/>
      <c r="BR37" s="101"/>
      <c r="BS37" s="98"/>
      <c r="BT37" s="102"/>
      <c r="BU37" s="101"/>
      <c r="BV37" s="101"/>
      <c r="BW37" s="101"/>
      <c r="BX37" s="98"/>
      <c r="BY37" s="100"/>
      <c r="BZ37" s="101"/>
      <c r="CA37" s="101"/>
      <c r="CB37" s="101"/>
      <c r="CC37" s="98"/>
      <c r="CD37" s="100"/>
      <c r="CE37" s="101"/>
      <c r="CF37" s="101"/>
      <c r="CG37" s="101"/>
      <c r="CH37" s="98"/>
      <c r="CI37" s="100"/>
      <c r="CJ37" s="101"/>
      <c r="CK37" s="101"/>
      <c r="CL37" s="101"/>
      <c r="CM37" s="98"/>
      <c r="CN37" s="102"/>
      <c r="CO37" s="101"/>
      <c r="CP37" s="101"/>
      <c r="CQ37" s="101"/>
      <c r="CR37" s="98"/>
      <c r="CS37" s="489"/>
      <c r="CT37" s="101"/>
      <c r="CU37" s="101"/>
      <c r="CV37" s="101"/>
      <c r="CW37" s="98"/>
      <c r="CX37" s="100"/>
      <c r="CY37" s="101"/>
      <c r="CZ37" s="101"/>
      <c r="DA37" s="101"/>
      <c r="DB37" s="98"/>
      <c r="DC37" s="100"/>
      <c r="DD37" s="101"/>
      <c r="DE37" s="101"/>
      <c r="DF37" s="101"/>
      <c r="DG37" s="103"/>
      <c r="DH37" s="116"/>
      <c r="DI37" s="117"/>
      <c r="DJ37" s="117"/>
      <c r="DK37" s="117"/>
      <c r="DL37" s="227"/>
      <c r="DM37" s="116"/>
      <c r="DN37" s="117"/>
      <c r="DO37" s="117"/>
      <c r="DP37" s="117"/>
      <c r="DQ37" s="227"/>
      <c r="DR37" s="489"/>
      <c r="DS37" s="117"/>
      <c r="DT37" s="117"/>
      <c r="DU37" s="117"/>
      <c r="DV37" s="118"/>
      <c r="DW37" s="119"/>
      <c r="DX37" s="117"/>
      <c r="DY37" s="117"/>
      <c r="DZ37" s="117"/>
      <c r="EA37" s="118"/>
      <c r="EB37" s="116"/>
      <c r="EC37" s="117"/>
      <c r="ED37" s="117"/>
      <c r="EE37" s="117"/>
      <c r="EF37" s="227"/>
      <c r="EG37" s="117"/>
      <c r="EH37" s="117"/>
      <c r="EI37" s="117"/>
      <c r="EJ37" s="117"/>
      <c r="EK37" s="117"/>
      <c r="EL37" s="117"/>
      <c r="EM37" s="117"/>
      <c r="EN37" s="117"/>
      <c r="EO37" s="117"/>
      <c r="EP37" s="117"/>
      <c r="EQ37" s="117"/>
      <c r="ER37" s="117"/>
      <c r="ES37" s="117"/>
      <c r="ET37" s="117"/>
      <c r="EU37" s="117"/>
      <c r="EV37" s="117"/>
      <c r="EW37" s="117"/>
      <c r="EX37" s="117"/>
      <c r="EY37" s="117"/>
      <c r="EZ37" s="101"/>
      <c r="FA37" s="117"/>
      <c r="FB37" s="117"/>
      <c r="FC37" s="117"/>
      <c r="FD37" s="117"/>
      <c r="FE37" s="117"/>
      <c r="FF37" s="491"/>
      <c r="FG37" s="491"/>
      <c r="FH37" s="491"/>
      <c r="FI37" s="117"/>
      <c r="FJ37" s="117"/>
      <c r="FK37" s="117"/>
      <c r="FL37" s="117"/>
      <c r="FM37" s="117"/>
      <c r="FN37" s="117"/>
      <c r="FO37" s="117"/>
      <c r="FP37" s="117"/>
      <c r="FQ37" s="117"/>
      <c r="FR37" s="117"/>
      <c r="FS37" s="117"/>
      <c r="FT37" s="491"/>
      <c r="FU37" s="491"/>
      <c r="FV37" s="117"/>
      <c r="FW37" s="117"/>
      <c r="FX37" s="117"/>
      <c r="FY37" s="117"/>
      <c r="FZ37" s="117"/>
      <c r="GA37" s="117"/>
      <c r="GB37" s="117"/>
      <c r="GC37" s="117"/>
      <c r="GD37" s="117"/>
      <c r="GE37" s="117"/>
      <c r="GF37" s="117"/>
      <c r="GG37" s="101"/>
      <c r="GH37" s="117"/>
      <c r="GI37" s="117"/>
      <c r="GJ37" s="117"/>
      <c r="GK37" s="117"/>
      <c r="GL37" s="117"/>
      <c r="GM37" s="117"/>
      <c r="GN37" s="117"/>
      <c r="GO37" s="117"/>
      <c r="GP37" s="117"/>
      <c r="GQ37" s="117"/>
      <c r="GR37" s="117"/>
      <c r="GS37" s="491"/>
      <c r="GT37" s="117"/>
      <c r="GU37" s="117"/>
      <c r="GV37" s="117"/>
      <c r="GW37" s="117"/>
      <c r="GX37" s="117"/>
      <c r="GY37" s="491"/>
      <c r="GZ37" s="117"/>
      <c r="HA37" s="117"/>
      <c r="HB37" s="117"/>
      <c r="HC37" s="117"/>
      <c r="HD37" s="117"/>
      <c r="HE37" s="491"/>
      <c r="HF37" s="117"/>
      <c r="HG37" s="117"/>
      <c r="HH37" s="117"/>
      <c r="HI37" s="117"/>
      <c r="HJ37" s="117"/>
      <c r="HK37" s="491"/>
      <c r="HL37" s="117"/>
      <c r="HM37" s="117"/>
      <c r="HN37" s="491"/>
      <c r="HO37" s="117"/>
      <c r="HP37" s="117"/>
      <c r="HQ37" s="491"/>
      <c r="HR37" s="117"/>
      <c r="HS37" s="227"/>
      <c r="HT37" s="117"/>
      <c r="HU37" s="117"/>
      <c r="HV37" s="117"/>
      <c r="HW37" s="491"/>
      <c r="HX37" s="117"/>
      <c r="HY37" s="117"/>
      <c r="HZ37" s="117"/>
      <c r="IA37" s="117"/>
      <c r="IB37" s="567" t="s">
        <v>1064</v>
      </c>
      <c r="IC37" s="491"/>
      <c r="ID37" s="567" t="s">
        <v>1064</v>
      </c>
      <c r="IF37" s="117"/>
      <c r="IG37" s="117"/>
      <c r="IH37" s="491"/>
      <c r="II37" s="491"/>
      <c r="IJ37" s="491"/>
      <c r="IK37" s="117"/>
      <c r="IL37" s="117"/>
      <c r="IM37" s="117"/>
      <c r="IN37" s="117"/>
      <c r="IO37" s="491"/>
      <c r="IP37" s="117"/>
      <c r="IQ37" s="117"/>
      <c r="IR37" s="117"/>
      <c r="IS37" s="117"/>
      <c r="IT37" s="117"/>
      <c r="IU37" s="491"/>
    </row>
    <row r="38" spans="1:259" ht="24.95" customHeight="1">
      <c r="A38" s="205" t="s">
        <v>1247</v>
      </c>
      <c r="B38" s="203">
        <v>1374</v>
      </c>
      <c r="C38" s="203"/>
      <c r="D38" s="406" t="e">
        <f t="shared" si="2"/>
        <v>#DIV/0!</v>
      </c>
      <c r="E38" s="187"/>
      <c r="F38" s="100"/>
      <c r="G38" s="101"/>
      <c r="H38" s="101"/>
      <c r="I38" s="101"/>
      <c r="J38" s="103"/>
      <c r="K38" s="105" t="s">
        <v>437</v>
      </c>
      <c r="L38" s="106" t="s">
        <v>437</v>
      </c>
      <c r="M38" s="106" t="s">
        <v>437</v>
      </c>
      <c r="N38" s="106" t="s">
        <v>437</v>
      </c>
      <c r="O38" s="107" t="s">
        <v>437</v>
      </c>
      <c r="P38" s="102"/>
      <c r="Q38" s="101"/>
      <c r="R38" s="101"/>
      <c r="S38" s="101"/>
      <c r="T38" s="98"/>
      <c r="U38" s="281" t="s">
        <v>437</v>
      </c>
      <c r="V38" s="106" t="s">
        <v>437</v>
      </c>
      <c r="W38" s="106" t="s">
        <v>437</v>
      </c>
      <c r="X38" s="106" t="s">
        <v>437</v>
      </c>
      <c r="Y38" s="106" t="s">
        <v>437</v>
      </c>
      <c r="Z38" s="100"/>
      <c r="AA38" s="101"/>
      <c r="AB38" s="101"/>
      <c r="AC38" s="101"/>
      <c r="AD38" s="98"/>
      <c r="AE38" s="100"/>
      <c r="AF38" s="101"/>
      <c r="AG38" s="101"/>
      <c r="AH38" s="101"/>
      <c r="AI38" s="98"/>
      <c r="AJ38" s="100"/>
      <c r="AK38" s="101"/>
      <c r="AL38" s="101"/>
      <c r="AM38" s="101"/>
      <c r="AN38" s="103" t="s">
        <v>244</v>
      </c>
      <c r="AO38" s="376" t="s">
        <v>535</v>
      </c>
      <c r="AP38" s="117"/>
      <c r="AQ38" s="117"/>
      <c r="AR38" s="117"/>
      <c r="AS38" s="98"/>
      <c r="AT38" s="119"/>
      <c r="AU38" s="117"/>
      <c r="AV38" s="117"/>
      <c r="AW38" s="117"/>
      <c r="AX38" s="117"/>
      <c r="AZ38" s="336"/>
      <c r="BC38" s="101" t="s">
        <v>244</v>
      </c>
      <c r="BD38" s="103" t="s">
        <v>244</v>
      </c>
      <c r="BE38" s="100"/>
      <c r="BF38" s="101"/>
      <c r="BG38" s="101"/>
      <c r="BH38" s="101"/>
      <c r="BI38" s="98"/>
      <c r="BJ38" s="100"/>
      <c r="BK38" s="101"/>
      <c r="BL38" s="101"/>
      <c r="BM38" s="101"/>
      <c r="BN38" s="98"/>
      <c r="BO38" s="102"/>
      <c r="BP38" s="101"/>
      <c r="BQ38" s="101"/>
      <c r="BR38" s="101"/>
      <c r="BS38" s="98"/>
      <c r="BT38" s="102"/>
      <c r="BU38" s="101"/>
      <c r="BV38" s="101"/>
      <c r="BW38" s="101"/>
      <c r="BX38" s="98"/>
      <c r="BY38" s="100"/>
      <c r="BZ38" s="101"/>
      <c r="CA38" s="101"/>
      <c r="CB38" s="101"/>
      <c r="CC38" s="98"/>
      <c r="CD38" s="100"/>
      <c r="CE38" s="101"/>
      <c r="CF38" s="334" t="s">
        <v>536</v>
      </c>
      <c r="CG38" s="101"/>
      <c r="CH38" s="98"/>
      <c r="CI38" s="100"/>
      <c r="CJ38" s="101"/>
      <c r="CK38" s="101"/>
      <c r="CL38" s="101"/>
      <c r="CM38" s="98"/>
      <c r="CN38" s="102"/>
      <c r="CO38" s="101"/>
      <c r="CP38" s="101"/>
      <c r="CQ38" s="101"/>
      <c r="CR38" s="98"/>
      <c r="CS38" s="489"/>
      <c r="CT38" s="101"/>
      <c r="CU38" s="101"/>
      <c r="CV38" s="101"/>
      <c r="CW38" s="98"/>
      <c r="CX38" s="100"/>
      <c r="DD38" s="101"/>
      <c r="DF38" s="332"/>
      <c r="DH38" s="116"/>
      <c r="DI38" s="117"/>
      <c r="DJ38" s="117"/>
      <c r="DK38" s="117"/>
      <c r="DL38" s="227"/>
      <c r="DM38" s="116"/>
      <c r="DN38" s="117"/>
      <c r="DO38" s="117"/>
      <c r="DP38" s="117"/>
      <c r="DQ38" s="227"/>
      <c r="DR38" s="489"/>
      <c r="DS38" s="117"/>
      <c r="DT38" s="117"/>
      <c r="DU38" s="117"/>
      <c r="DV38" s="118"/>
      <c r="DW38" s="119"/>
      <c r="DX38" s="117"/>
      <c r="DY38" s="117"/>
      <c r="DZ38" s="117"/>
      <c r="EA38" s="118"/>
      <c r="EB38" s="116"/>
      <c r="EC38" s="117"/>
      <c r="ED38" s="117"/>
      <c r="EE38" s="117"/>
      <c r="EF38" s="227"/>
      <c r="EG38" s="117"/>
      <c r="EH38" s="117"/>
      <c r="EI38" s="117"/>
      <c r="EJ38" s="117"/>
      <c r="EK38" s="117"/>
      <c r="EL38" s="117"/>
      <c r="EM38" s="117"/>
      <c r="EN38" s="117"/>
      <c r="EO38" s="117"/>
      <c r="EP38" s="117"/>
      <c r="EQ38" s="117"/>
      <c r="ER38" s="117"/>
      <c r="ES38" s="117"/>
      <c r="ET38" s="117"/>
      <c r="EU38" s="117"/>
      <c r="EV38" s="117"/>
      <c r="EW38" s="117"/>
      <c r="EX38" s="117"/>
      <c r="EY38" s="117"/>
      <c r="EZ38" s="101"/>
      <c r="FA38" s="117"/>
      <c r="FB38" s="117"/>
      <c r="FC38" s="117"/>
      <c r="FD38" s="117"/>
      <c r="FE38" s="117"/>
      <c r="FF38" s="491"/>
      <c r="FG38" s="491"/>
      <c r="FH38" s="491"/>
      <c r="FI38" s="117"/>
      <c r="FJ38" s="117"/>
      <c r="FK38" s="117"/>
      <c r="FL38" s="117"/>
      <c r="FM38" s="117"/>
      <c r="FN38" s="117"/>
      <c r="FO38" s="117"/>
      <c r="FP38" s="117"/>
      <c r="FQ38" s="117"/>
      <c r="FR38" s="117"/>
      <c r="FS38" s="117"/>
      <c r="FT38" s="491"/>
      <c r="FU38" s="491"/>
      <c r="FV38" s="117"/>
      <c r="FW38" s="117"/>
      <c r="FX38" s="117"/>
      <c r="FY38" s="117"/>
      <c r="FZ38" s="117"/>
      <c r="GA38" s="117"/>
      <c r="GB38" s="117"/>
      <c r="GC38" s="117"/>
      <c r="GD38" s="117"/>
      <c r="GE38" s="117"/>
      <c r="GF38" s="117"/>
      <c r="GG38" s="101"/>
      <c r="GH38" s="117"/>
      <c r="GI38" s="117"/>
      <c r="GJ38" s="117"/>
      <c r="GK38" s="117"/>
      <c r="GL38" s="117"/>
      <c r="GM38" s="117"/>
      <c r="GN38" s="117"/>
      <c r="GO38" s="117"/>
      <c r="GP38" s="117"/>
      <c r="GQ38" s="117"/>
      <c r="GR38" s="117"/>
      <c r="GS38" s="117"/>
      <c r="GT38" s="117"/>
      <c r="GU38" s="117"/>
      <c r="GV38" s="117"/>
      <c r="GW38" s="117"/>
      <c r="GX38" s="117"/>
      <c r="GY38" s="117"/>
      <c r="GZ38" s="117"/>
      <c r="HA38" s="117"/>
      <c r="HB38" s="117"/>
      <c r="HC38" s="117"/>
      <c r="HD38" s="117"/>
      <c r="HE38" s="117"/>
      <c r="HF38" s="117"/>
      <c r="HG38" s="117"/>
      <c r="HH38" s="117"/>
      <c r="HI38" s="117"/>
      <c r="HJ38" s="117"/>
      <c r="HK38" s="117"/>
      <c r="HL38" s="117"/>
      <c r="HM38" s="117"/>
      <c r="HN38" s="117"/>
      <c r="HO38" s="117"/>
      <c r="HP38" s="117"/>
      <c r="HQ38" s="117"/>
      <c r="HR38" s="117"/>
      <c r="HS38" s="227"/>
      <c r="HT38" s="117"/>
      <c r="HU38" s="117"/>
      <c r="HV38" s="117"/>
      <c r="HW38" s="117"/>
      <c r="HX38" s="117"/>
      <c r="HY38" s="117"/>
      <c r="HZ38" s="117"/>
      <c r="IA38" s="117"/>
      <c r="IB38" s="117"/>
      <c r="IC38" s="117"/>
      <c r="ID38" s="117"/>
      <c r="IE38" s="117"/>
      <c r="IF38" s="117"/>
      <c r="IG38" s="117"/>
      <c r="IH38" s="491"/>
      <c r="II38" s="491"/>
      <c r="IJ38" s="491"/>
      <c r="IK38" s="117"/>
      <c r="IL38" s="117"/>
      <c r="IM38" s="117"/>
      <c r="IN38" s="117"/>
      <c r="IO38" s="491"/>
      <c r="IP38" s="117"/>
      <c r="IQ38" s="117"/>
      <c r="IR38" s="117"/>
      <c r="IS38" s="117"/>
      <c r="IT38" s="117"/>
      <c r="IU38" s="491"/>
    </row>
    <row r="39" spans="1:259" ht="24.95" customHeight="1">
      <c r="A39" s="129" t="s">
        <v>163</v>
      </c>
      <c r="B39" s="203">
        <v>683</v>
      </c>
      <c r="C39" s="203"/>
      <c r="D39" s="406" t="e">
        <f t="shared" si="2"/>
        <v>#DIV/0!</v>
      </c>
      <c r="E39" s="187"/>
      <c r="F39" s="100"/>
      <c r="G39" s="101"/>
      <c r="H39" s="101"/>
      <c r="I39" s="101"/>
      <c r="J39" s="103"/>
      <c r="K39" s="105" t="s">
        <v>437</v>
      </c>
      <c r="L39" s="106" t="s">
        <v>437</v>
      </c>
      <c r="M39" s="106" t="s">
        <v>437</v>
      </c>
      <c r="N39" s="106" t="s">
        <v>437</v>
      </c>
      <c r="O39" s="107" t="s">
        <v>437</v>
      </c>
      <c r="P39" s="102"/>
      <c r="Q39" s="101"/>
      <c r="R39" s="101"/>
      <c r="S39" s="101"/>
      <c r="T39" s="98"/>
      <c r="U39" s="281" t="s">
        <v>437</v>
      </c>
      <c r="V39" s="106" t="s">
        <v>437</v>
      </c>
      <c r="W39" s="106" t="s">
        <v>437</v>
      </c>
      <c r="X39" s="106" t="s">
        <v>437</v>
      </c>
      <c r="Y39" s="106" t="s">
        <v>437</v>
      </c>
      <c r="Z39" s="100"/>
      <c r="AA39" s="101"/>
      <c r="AB39" s="101"/>
      <c r="AC39" s="101"/>
      <c r="AD39" s="98"/>
      <c r="AE39" s="100"/>
      <c r="AF39" s="101"/>
      <c r="AG39" s="101"/>
      <c r="AH39" s="101"/>
      <c r="AI39" s="98"/>
      <c r="AJ39" s="100"/>
      <c r="AK39" s="101"/>
      <c r="AL39" s="101"/>
      <c r="AM39" s="101"/>
      <c r="AN39" s="103" t="s">
        <v>244</v>
      </c>
      <c r="AO39" s="100"/>
      <c r="AP39" s="101"/>
      <c r="AQ39" s="101"/>
      <c r="AR39" s="101"/>
      <c r="AS39" s="98"/>
      <c r="AT39" s="102"/>
      <c r="AU39" s="104"/>
      <c r="AV39" s="104"/>
      <c r="AW39" s="104"/>
      <c r="AX39" s="104"/>
      <c r="AY39" s="392"/>
      <c r="AZ39" s="102"/>
      <c r="BA39" s="101"/>
      <c r="BB39" s="101"/>
      <c r="BC39" s="101" t="s">
        <v>244</v>
      </c>
      <c r="BD39" s="103" t="s">
        <v>244</v>
      </c>
      <c r="BE39" s="100"/>
      <c r="BF39" s="101"/>
      <c r="BG39" s="101"/>
      <c r="BH39" s="101"/>
      <c r="BI39" s="98"/>
      <c r="BJ39" s="100"/>
      <c r="BK39" s="101"/>
      <c r="BL39" s="101"/>
      <c r="BM39" s="101"/>
      <c r="BN39" s="98"/>
      <c r="BO39" s="102"/>
      <c r="BP39" s="101"/>
      <c r="BQ39" s="101"/>
      <c r="BR39" s="101"/>
      <c r="BS39" s="98"/>
      <c r="BT39" s="102"/>
      <c r="BU39" s="101"/>
      <c r="BV39" s="101"/>
      <c r="BW39" s="101"/>
      <c r="BX39" s="98"/>
      <c r="BY39" s="100"/>
      <c r="BZ39" s="101"/>
      <c r="CA39" s="101"/>
      <c r="CB39" s="101"/>
      <c r="CC39" s="98"/>
      <c r="CD39" s="100"/>
      <c r="CE39" s="101"/>
      <c r="CF39" s="101"/>
      <c r="CG39" s="101"/>
      <c r="CH39" s="98"/>
      <c r="CI39" s="100"/>
      <c r="CJ39" s="101"/>
      <c r="CK39" s="101"/>
      <c r="CL39" s="101"/>
      <c r="CM39" s="98"/>
      <c r="CN39" s="102"/>
      <c r="CO39" s="101"/>
      <c r="CP39" s="101"/>
      <c r="CQ39" s="101"/>
      <c r="CR39" s="98"/>
      <c r="CS39" s="489"/>
      <c r="CT39" s="101"/>
      <c r="CU39" s="101"/>
      <c r="CV39" s="101"/>
      <c r="CW39" s="98"/>
      <c r="CX39" s="100"/>
      <c r="CY39" s="101"/>
      <c r="CZ39" s="101"/>
      <c r="DA39" s="101"/>
      <c r="DB39" s="98"/>
      <c r="DC39" s="100"/>
      <c r="DD39" s="101"/>
      <c r="DE39" s="101"/>
      <c r="DF39" s="101"/>
      <c r="DG39" s="103"/>
      <c r="DH39" s="116"/>
      <c r="DI39" s="117"/>
      <c r="DJ39" s="117"/>
      <c r="DK39" s="117"/>
      <c r="DL39" s="227"/>
      <c r="DM39" s="116"/>
      <c r="DN39" s="117"/>
      <c r="DO39" s="117"/>
      <c r="DP39" s="117"/>
      <c r="DQ39" s="227"/>
      <c r="DR39" s="489"/>
      <c r="DS39" s="117"/>
      <c r="DT39" s="117"/>
      <c r="DU39" s="117"/>
      <c r="DV39" s="118"/>
      <c r="DW39" s="119"/>
      <c r="DX39" s="117"/>
      <c r="DY39" s="117"/>
      <c r="DZ39" s="117"/>
      <c r="EA39" s="118"/>
      <c r="EB39" s="116"/>
      <c r="EC39" s="117"/>
      <c r="ED39" s="117"/>
      <c r="EE39" s="117"/>
      <c r="EF39" s="227"/>
      <c r="EG39" s="117"/>
      <c r="EH39" s="117"/>
      <c r="EI39" s="117"/>
      <c r="EJ39" s="117"/>
      <c r="EK39" s="117"/>
      <c r="EL39" s="117"/>
      <c r="EM39" s="117"/>
      <c r="EN39" s="117"/>
      <c r="EO39" s="117"/>
      <c r="EP39" s="117"/>
      <c r="EQ39" s="117"/>
      <c r="ER39" s="117"/>
      <c r="ES39" s="117"/>
      <c r="ET39" s="117"/>
      <c r="EU39" s="117"/>
      <c r="EV39" s="117"/>
      <c r="EW39" s="117"/>
      <c r="EX39" s="117"/>
      <c r="EY39" s="117"/>
      <c r="EZ39" s="101"/>
      <c r="FA39" s="117"/>
      <c r="FB39" s="117"/>
      <c r="FC39" s="117"/>
      <c r="FD39" s="117"/>
      <c r="FE39" s="117"/>
      <c r="FF39" s="491"/>
      <c r="FG39" s="491"/>
      <c r="FH39" s="491"/>
      <c r="FI39" s="117"/>
      <c r="FJ39" s="117"/>
      <c r="FK39" s="117"/>
      <c r="FL39" s="117"/>
      <c r="FM39" s="117"/>
      <c r="FN39" s="117"/>
      <c r="FO39" s="117"/>
      <c r="FP39" s="117"/>
      <c r="FQ39" s="117"/>
      <c r="FR39" s="117"/>
      <c r="FS39" s="117"/>
      <c r="FT39" s="491"/>
      <c r="FU39" s="491"/>
      <c r="FV39" s="117"/>
      <c r="FW39" s="117"/>
      <c r="FX39" s="117"/>
      <c r="FY39" s="117"/>
      <c r="FZ39" s="117"/>
      <c r="GA39" s="117"/>
      <c r="GB39" s="117"/>
      <c r="GC39" s="117"/>
      <c r="GD39" s="117"/>
      <c r="GE39" s="117"/>
      <c r="GF39" s="117"/>
      <c r="GG39" s="101"/>
      <c r="GH39" s="117"/>
      <c r="GI39" s="117"/>
      <c r="GJ39" s="117"/>
      <c r="GK39" s="117"/>
      <c r="GL39" s="117"/>
      <c r="GM39" s="117"/>
      <c r="GN39" s="117"/>
      <c r="GO39" s="117"/>
      <c r="GP39" s="117"/>
      <c r="GQ39" s="117"/>
      <c r="GR39" s="117"/>
      <c r="GS39" s="117"/>
      <c r="GT39" s="117"/>
      <c r="GU39" s="117"/>
      <c r="GV39" s="117"/>
      <c r="GW39" s="117"/>
      <c r="GX39" s="117"/>
      <c r="GY39" s="117"/>
      <c r="GZ39" s="117"/>
      <c r="HA39" s="117"/>
      <c r="HB39" s="117"/>
      <c r="HC39" s="117"/>
      <c r="HD39" s="117"/>
      <c r="HE39" s="117"/>
      <c r="HF39" s="117"/>
      <c r="HG39" s="117"/>
      <c r="HH39" s="117"/>
      <c r="HI39" s="117"/>
      <c r="HJ39" s="117"/>
      <c r="HK39" s="117"/>
      <c r="HL39" s="117"/>
      <c r="HM39" s="117"/>
      <c r="HN39" s="117"/>
      <c r="HO39" s="117"/>
      <c r="HP39" s="117"/>
      <c r="HQ39" s="117"/>
      <c r="HR39" s="117"/>
      <c r="HS39" s="227"/>
      <c r="HT39" s="117"/>
      <c r="HU39" s="117"/>
      <c r="HV39" s="117"/>
      <c r="HW39" s="117"/>
      <c r="HX39" s="117"/>
      <c r="HY39" s="117"/>
      <c r="HZ39" s="117"/>
      <c r="IA39" s="117"/>
      <c r="IB39" s="117"/>
      <c r="IC39" s="117"/>
      <c r="ID39" s="117"/>
      <c r="IE39" s="117"/>
      <c r="IF39" s="117"/>
      <c r="IG39" s="117"/>
      <c r="IH39" s="491"/>
      <c r="II39" s="491"/>
      <c r="IJ39" s="491"/>
      <c r="IK39" s="117"/>
      <c r="IL39" s="117"/>
      <c r="IM39" s="117"/>
      <c r="IN39" s="117"/>
      <c r="IO39" s="491"/>
      <c r="IP39" s="117"/>
      <c r="IQ39" s="117"/>
      <c r="IR39" s="117"/>
      <c r="IS39" s="117"/>
      <c r="IT39" s="117"/>
      <c r="IU39" s="491"/>
    </row>
    <row r="40" spans="1:259" ht="24.95" customHeight="1">
      <c r="A40" s="129" t="s">
        <v>1248</v>
      </c>
      <c r="B40" s="203">
        <f>119+354</f>
        <v>473</v>
      </c>
      <c r="C40" s="203">
        <v>100</v>
      </c>
      <c r="D40" s="406">
        <f t="shared" si="2"/>
        <v>4.7300000000000004</v>
      </c>
      <c r="E40" s="187"/>
      <c r="F40" s="100"/>
      <c r="G40" s="101"/>
      <c r="H40" s="101"/>
      <c r="I40" s="101"/>
      <c r="J40" s="103"/>
      <c r="K40" s="105" t="s">
        <v>437</v>
      </c>
      <c r="L40" s="106" t="s">
        <v>437</v>
      </c>
      <c r="M40" s="106" t="s">
        <v>437</v>
      </c>
      <c r="N40" s="106" t="s">
        <v>437</v>
      </c>
      <c r="O40" s="107" t="s">
        <v>437</v>
      </c>
      <c r="P40" s="102"/>
      <c r="Q40" s="101"/>
      <c r="R40" s="101"/>
      <c r="S40" s="101"/>
      <c r="T40" s="98"/>
      <c r="U40" s="281" t="s">
        <v>437</v>
      </c>
      <c r="V40" s="106" t="s">
        <v>437</v>
      </c>
      <c r="W40" s="106" t="s">
        <v>437</v>
      </c>
      <c r="X40" s="106" t="s">
        <v>437</v>
      </c>
      <c r="Y40" s="106" t="s">
        <v>437</v>
      </c>
      <c r="Z40" s="100"/>
      <c r="AA40" s="101"/>
      <c r="AB40" s="101"/>
      <c r="AC40" s="101"/>
      <c r="AD40" s="98"/>
      <c r="AE40" s="100"/>
      <c r="AF40" s="101"/>
      <c r="AG40" s="101"/>
      <c r="AH40" s="101"/>
      <c r="AI40" s="98"/>
      <c r="AJ40" s="100"/>
      <c r="AK40" s="101"/>
      <c r="AL40" s="101"/>
      <c r="AM40" s="101"/>
      <c r="AN40" s="103" t="s">
        <v>244</v>
      </c>
      <c r="AO40" s="100"/>
      <c r="AP40" s="101"/>
      <c r="AQ40" s="101"/>
      <c r="AR40" s="101"/>
      <c r="AS40" s="98"/>
      <c r="AT40" s="102"/>
      <c r="AU40" s="104"/>
      <c r="AV40" s="104"/>
      <c r="AW40" s="104"/>
      <c r="AX40" s="104"/>
      <c r="AY40" s="392"/>
      <c r="AZ40" s="102"/>
      <c r="BA40" s="101"/>
      <c r="BB40" s="101"/>
      <c r="BC40" s="101" t="s">
        <v>244</v>
      </c>
      <c r="BD40" s="103" t="s">
        <v>244</v>
      </c>
      <c r="BE40" s="100"/>
      <c r="BF40" s="101"/>
      <c r="BG40" s="101"/>
      <c r="BH40" s="101"/>
      <c r="BI40" s="98"/>
      <c r="BJ40" s="100"/>
      <c r="BK40" s="101"/>
      <c r="BL40" s="101"/>
      <c r="BM40" s="101"/>
      <c r="BN40" s="98"/>
      <c r="BO40" s="102"/>
      <c r="BP40" s="101"/>
      <c r="BQ40" s="101"/>
      <c r="BR40" s="101"/>
      <c r="BS40" s="98"/>
      <c r="BT40" s="102"/>
      <c r="BU40" s="101"/>
      <c r="BV40" s="101"/>
      <c r="BW40" s="101"/>
      <c r="BX40" s="98"/>
      <c r="BY40" s="100"/>
      <c r="BZ40" s="101"/>
      <c r="CA40" s="101"/>
      <c r="CB40" s="101"/>
      <c r="CC40" s="101"/>
      <c r="CD40" s="100"/>
      <c r="CE40" s="101"/>
      <c r="CF40" s="101"/>
      <c r="CG40" s="101"/>
      <c r="CH40" s="98"/>
      <c r="CI40" s="100"/>
      <c r="CJ40" s="101"/>
      <c r="CK40" s="101"/>
      <c r="CL40" s="101"/>
      <c r="CM40" s="98"/>
      <c r="CN40" s="102"/>
      <c r="CO40" s="101"/>
      <c r="CP40" s="101"/>
      <c r="CQ40" s="101"/>
      <c r="CR40" s="101"/>
      <c r="CS40" s="489"/>
      <c r="CT40" s="101"/>
      <c r="CU40" s="101"/>
      <c r="CV40" s="101"/>
      <c r="CW40" s="98"/>
      <c r="CX40" s="100"/>
      <c r="CY40" s="101"/>
      <c r="CZ40" s="101"/>
      <c r="DA40" s="101"/>
      <c r="DB40" s="98"/>
      <c r="DC40" s="100"/>
      <c r="DD40" s="101"/>
      <c r="DE40" s="101"/>
      <c r="DF40" s="101"/>
      <c r="DG40" s="103"/>
      <c r="DH40" s="116"/>
      <c r="DI40" s="117"/>
      <c r="DJ40" s="117"/>
      <c r="DK40" s="117"/>
      <c r="DL40" s="227"/>
      <c r="DM40" s="116"/>
      <c r="DN40" s="117"/>
      <c r="DO40" s="117"/>
      <c r="DP40" s="117"/>
      <c r="DQ40" s="227"/>
      <c r="DR40" s="489"/>
      <c r="DS40" s="117"/>
      <c r="DT40" s="117"/>
      <c r="DU40" s="117"/>
      <c r="DV40" s="118"/>
      <c r="DW40" s="119"/>
      <c r="DX40" s="117"/>
      <c r="DY40" s="117"/>
      <c r="DZ40" s="117"/>
      <c r="EA40" s="118"/>
      <c r="EB40" s="116"/>
      <c r="EC40" s="117"/>
      <c r="ED40" s="117"/>
      <c r="EE40" s="117"/>
      <c r="EF40" s="227"/>
      <c r="EG40" s="117"/>
      <c r="EH40" s="117"/>
      <c r="EI40" s="117"/>
      <c r="EJ40" s="117"/>
      <c r="EK40" s="117"/>
      <c r="EL40" s="117"/>
      <c r="EM40" s="117"/>
      <c r="EN40" s="117"/>
      <c r="EO40" s="117"/>
      <c r="EP40" s="117"/>
      <c r="EQ40" s="117"/>
      <c r="ER40" s="117"/>
      <c r="ES40" s="117"/>
      <c r="ET40" s="117"/>
      <c r="EU40" s="117"/>
      <c r="EV40" s="117"/>
      <c r="EW40" s="117"/>
      <c r="EX40" s="117"/>
      <c r="EY40" s="117"/>
      <c r="EZ40" s="101"/>
      <c r="FA40" s="117"/>
      <c r="FB40" s="117"/>
      <c r="FC40" s="117"/>
      <c r="FD40" s="117"/>
      <c r="FE40" s="117"/>
      <c r="FF40" s="491"/>
      <c r="FG40" s="491"/>
      <c r="FH40" s="491"/>
      <c r="FI40" s="117"/>
      <c r="FJ40" s="117"/>
      <c r="FK40" s="117"/>
      <c r="FL40" s="117"/>
      <c r="FM40" s="117"/>
      <c r="FN40" s="117"/>
      <c r="FO40" s="117"/>
      <c r="FP40" s="117"/>
      <c r="FQ40" s="117"/>
      <c r="FR40" s="117"/>
      <c r="FS40" s="117"/>
      <c r="FT40" s="491"/>
      <c r="FU40" s="491"/>
      <c r="FV40" s="117"/>
      <c r="FW40" s="117"/>
      <c r="FX40" s="117"/>
      <c r="FY40" s="117"/>
      <c r="FZ40" s="117"/>
      <c r="GA40" s="117"/>
      <c r="GB40" s="117"/>
      <c r="GC40" s="117"/>
      <c r="GD40" s="117"/>
      <c r="GE40" s="117"/>
      <c r="GF40" s="117"/>
      <c r="GG40" s="101"/>
      <c r="GH40" s="117"/>
      <c r="GI40" s="117"/>
      <c r="GJ40" s="117"/>
      <c r="GK40" s="117"/>
      <c r="GL40" s="117"/>
      <c r="GM40" s="117"/>
      <c r="GN40" s="117"/>
      <c r="GO40" s="117"/>
      <c r="GP40" s="117"/>
      <c r="GQ40" s="117"/>
      <c r="GR40" s="117"/>
      <c r="GS40" s="117"/>
      <c r="GT40" s="117"/>
      <c r="GU40" s="117"/>
      <c r="GV40" s="117"/>
      <c r="GW40" s="117"/>
      <c r="GX40" s="117"/>
      <c r="GY40" s="117"/>
      <c r="GZ40" s="117"/>
      <c r="HA40" s="117"/>
      <c r="HB40" s="117"/>
      <c r="HC40" s="117"/>
      <c r="HD40" s="117"/>
      <c r="HE40" s="117"/>
      <c r="HF40" s="117"/>
      <c r="HG40" s="117"/>
      <c r="HH40" s="117"/>
      <c r="HI40" s="117"/>
      <c r="HJ40" s="117"/>
      <c r="HK40" s="117"/>
      <c r="HL40" s="117"/>
      <c r="HM40" s="117"/>
      <c r="HN40" s="117"/>
      <c r="HO40" s="117"/>
      <c r="HP40" s="117"/>
      <c r="HQ40" s="117"/>
      <c r="HR40" s="117"/>
      <c r="HS40" s="227"/>
      <c r="HT40" s="117"/>
      <c r="HU40" s="117"/>
      <c r="HV40" s="117"/>
      <c r="HW40" s="117"/>
      <c r="HX40" s="117"/>
      <c r="HY40" s="117"/>
      <c r="HZ40" s="117"/>
      <c r="IA40" s="117"/>
      <c r="IB40" s="117"/>
      <c r="IC40" s="117"/>
      <c r="ID40" s="117"/>
      <c r="IE40" s="117"/>
      <c r="IF40" s="117"/>
      <c r="IG40" s="567" t="s">
        <v>1064</v>
      </c>
      <c r="IH40" s="491"/>
      <c r="II40" s="491"/>
      <c r="IJ40" s="491"/>
      <c r="IK40" s="567" t="s">
        <v>572</v>
      </c>
      <c r="IL40" s="567" t="s">
        <v>572</v>
      </c>
      <c r="IM40" s="880" t="s">
        <v>572</v>
      </c>
      <c r="IN40" s="880" t="s">
        <v>572</v>
      </c>
      <c r="IO40" s="491"/>
      <c r="IQ40" s="117"/>
      <c r="IR40" s="117"/>
      <c r="IS40" s="117"/>
      <c r="IT40" s="117"/>
      <c r="IU40" s="491"/>
    </row>
    <row r="41" spans="1:259" ht="24.95" customHeight="1">
      <c r="A41" s="129" t="s">
        <v>1249</v>
      </c>
      <c r="B41" s="203">
        <f>119+354</f>
        <v>473</v>
      </c>
      <c r="C41" s="203">
        <v>100</v>
      </c>
      <c r="D41" s="406">
        <f t="shared" si="2"/>
        <v>4.7300000000000004</v>
      </c>
      <c r="E41" s="187"/>
      <c r="F41" s="100"/>
      <c r="G41" s="101"/>
      <c r="H41" s="101"/>
      <c r="I41" s="101"/>
      <c r="J41" s="103"/>
      <c r="K41" s="105"/>
      <c r="L41" s="106"/>
      <c r="M41" s="106"/>
      <c r="N41" s="106"/>
      <c r="O41" s="107"/>
      <c r="P41" s="102"/>
      <c r="Q41" s="101"/>
      <c r="R41" s="101"/>
      <c r="S41" s="101"/>
      <c r="T41" s="98"/>
      <c r="U41" s="281"/>
      <c r="V41" s="106"/>
      <c r="W41" s="106"/>
      <c r="X41" s="106"/>
      <c r="Y41" s="106"/>
      <c r="Z41" s="100"/>
      <c r="AA41" s="101"/>
      <c r="AB41" s="101"/>
      <c r="AC41" s="101"/>
      <c r="AD41" s="98"/>
      <c r="AE41" s="100"/>
      <c r="AF41" s="101"/>
      <c r="AG41" s="101"/>
      <c r="AH41" s="101"/>
      <c r="AI41" s="98"/>
      <c r="AJ41" s="100"/>
      <c r="AK41" s="101"/>
      <c r="AL41" s="101"/>
      <c r="AM41" s="101"/>
      <c r="AN41" s="103"/>
      <c r="AO41" s="100"/>
      <c r="AP41" s="101"/>
      <c r="AQ41" s="101"/>
      <c r="AR41" s="101"/>
      <c r="AS41" s="98"/>
      <c r="AT41" s="102"/>
      <c r="AU41" s="104"/>
      <c r="AV41" s="104"/>
      <c r="AW41" s="104"/>
      <c r="AX41" s="104"/>
      <c r="AY41" s="392"/>
      <c r="AZ41" s="102"/>
      <c r="BA41" s="101"/>
      <c r="BB41" s="101"/>
      <c r="BC41" s="101"/>
      <c r="BD41" s="103"/>
      <c r="BE41" s="100"/>
      <c r="BF41" s="101"/>
      <c r="BG41" s="101"/>
      <c r="BH41" s="101"/>
      <c r="BI41" s="98"/>
      <c r="BJ41" s="100"/>
      <c r="BK41" s="830"/>
      <c r="BL41" s="101"/>
      <c r="BM41" s="101"/>
      <c r="BN41" s="98"/>
      <c r="BO41" s="102"/>
      <c r="BP41" s="101"/>
      <c r="BQ41" s="101"/>
      <c r="BR41" s="101"/>
      <c r="BS41" s="98"/>
      <c r="BT41" s="830"/>
      <c r="BU41" s="101"/>
      <c r="BV41" s="101"/>
      <c r="BW41" s="101"/>
      <c r="BX41" s="98"/>
      <c r="BY41" s="100"/>
      <c r="BZ41" s="101"/>
      <c r="CA41" s="101"/>
      <c r="CB41" s="101"/>
      <c r="CC41" s="101"/>
      <c r="CD41" s="100"/>
      <c r="CE41" s="101"/>
      <c r="CF41" s="101"/>
      <c r="CG41" s="101"/>
      <c r="CH41" s="98"/>
      <c r="CI41" s="100"/>
      <c r="CJ41" s="101"/>
      <c r="CK41" s="101"/>
      <c r="CL41" s="101"/>
      <c r="CM41" s="98"/>
      <c r="CN41" s="102"/>
      <c r="CO41" s="101"/>
      <c r="CP41" s="101"/>
      <c r="CQ41" s="101"/>
      <c r="CR41" s="103"/>
      <c r="CS41" s="489"/>
      <c r="CT41" s="101"/>
      <c r="CU41" s="101"/>
      <c r="CV41" s="101"/>
      <c r="CW41" s="98"/>
      <c r="CX41" s="100"/>
      <c r="CY41" s="101"/>
      <c r="CZ41" s="101"/>
      <c r="DA41" s="101"/>
      <c r="DB41" s="98"/>
      <c r="DC41" s="100"/>
      <c r="DD41" s="101"/>
      <c r="DE41" s="101"/>
      <c r="DF41" s="101"/>
      <c r="DG41" s="103"/>
      <c r="DH41" s="116"/>
      <c r="DI41" s="117"/>
      <c r="DJ41" s="117"/>
      <c r="DK41" s="117"/>
      <c r="DL41" s="227"/>
      <c r="DM41" s="116"/>
      <c r="DN41" s="117"/>
      <c r="DO41" s="117"/>
      <c r="DP41" s="117"/>
      <c r="DQ41" s="227"/>
      <c r="DR41" s="489"/>
      <c r="DS41" s="117"/>
      <c r="DT41" s="117"/>
      <c r="DU41" s="117"/>
      <c r="DV41" s="118"/>
      <c r="DW41" s="119"/>
      <c r="DX41" s="117"/>
      <c r="DY41" s="117"/>
      <c r="DZ41" s="117"/>
      <c r="EA41" s="227"/>
      <c r="EB41" s="116"/>
      <c r="EC41" s="117"/>
      <c r="ED41" s="117"/>
      <c r="EE41" s="117"/>
      <c r="EF41" s="227"/>
      <c r="EG41" s="117"/>
      <c r="EH41" s="117"/>
      <c r="EI41" s="117"/>
      <c r="EJ41" s="117"/>
      <c r="EK41" s="117"/>
      <c r="EL41" s="117"/>
      <c r="EM41" s="117"/>
      <c r="EN41" s="117"/>
      <c r="EO41" s="117"/>
      <c r="EP41" s="117"/>
      <c r="EQ41" s="117"/>
      <c r="ER41" s="117"/>
      <c r="ES41" s="117"/>
      <c r="ET41" s="117"/>
      <c r="EU41" s="117"/>
      <c r="EV41" s="117"/>
      <c r="EW41" s="117"/>
      <c r="EX41" s="117"/>
      <c r="EY41" s="117"/>
      <c r="EZ41" s="101"/>
      <c r="FA41" s="117"/>
      <c r="FB41" s="117"/>
      <c r="FC41" s="117"/>
      <c r="FD41" s="117"/>
      <c r="FE41" s="117"/>
      <c r="FF41" s="491"/>
      <c r="FG41" s="491"/>
      <c r="FH41" s="491"/>
      <c r="FI41" s="117"/>
      <c r="FJ41" s="117"/>
      <c r="FK41" s="117"/>
      <c r="FL41" s="117"/>
      <c r="FM41" s="117"/>
      <c r="FN41" s="117"/>
      <c r="FO41" s="117"/>
      <c r="FP41" s="117"/>
      <c r="FQ41" s="117"/>
      <c r="FR41" s="117"/>
      <c r="FS41" s="117"/>
      <c r="FT41" s="491"/>
      <c r="FU41" s="491"/>
      <c r="FV41" s="117"/>
      <c r="FW41" s="117"/>
      <c r="FX41" s="117"/>
      <c r="FY41" s="117"/>
      <c r="FZ41" s="117"/>
      <c r="GA41" s="117"/>
      <c r="GB41" s="117"/>
      <c r="GC41" s="117"/>
      <c r="GD41" s="117"/>
      <c r="GE41" s="117"/>
      <c r="GF41" s="117"/>
      <c r="GG41" s="101"/>
      <c r="GH41" s="117"/>
      <c r="GI41" s="117"/>
      <c r="GJ41" s="117"/>
      <c r="GK41" s="117"/>
      <c r="GL41" s="117"/>
      <c r="GM41" s="117"/>
      <c r="GN41" s="117"/>
      <c r="GO41" s="117"/>
      <c r="GP41" s="117"/>
      <c r="GQ41" s="117"/>
      <c r="GR41" s="117"/>
      <c r="GS41" s="117"/>
      <c r="GT41" s="117"/>
      <c r="GU41" s="117"/>
      <c r="GV41" s="117"/>
      <c r="GW41" s="117"/>
      <c r="GX41" s="117"/>
      <c r="GY41" s="117"/>
      <c r="GZ41" s="117"/>
      <c r="HA41" s="117"/>
      <c r="HB41" s="117"/>
      <c r="HC41" s="117"/>
      <c r="HD41" s="117"/>
      <c r="HE41" s="117"/>
      <c r="HF41" s="117"/>
      <c r="HG41" s="117"/>
      <c r="HH41" s="117"/>
      <c r="HI41" s="117"/>
      <c r="HJ41" s="117"/>
      <c r="HK41" s="117"/>
      <c r="HL41" s="117"/>
      <c r="HM41" s="117"/>
      <c r="HN41" s="117"/>
      <c r="HO41" s="117"/>
      <c r="HP41" s="117"/>
      <c r="HQ41" s="117"/>
      <c r="HR41" s="117"/>
      <c r="HS41" s="227"/>
      <c r="HT41" s="117"/>
      <c r="HU41" s="117"/>
      <c r="HV41" s="117"/>
      <c r="HW41" s="117"/>
      <c r="HX41" s="117"/>
      <c r="HY41" s="117"/>
      <c r="HZ41" s="117"/>
      <c r="IA41" s="117"/>
      <c r="IB41" s="117"/>
      <c r="IC41" s="117"/>
      <c r="ID41" s="117"/>
      <c r="IE41" s="117"/>
      <c r="IF41" s="117"/>
      <c r="IG41" s="567" t="s">
        <v>1064</v>
      </c>
      <c r="IH41" s="491"/>
      <c r="II41" s="491"/>
      <c r="IJ41" s="491"/>
      <c r="IL41" s="567" t="s">
        <v>1053</v>
      </c>
      <c r="IM41" s="880" t="s">
        <v>1053</v>
      </c>
      <c r="IN41" s="880" t="s">
        <v>1053</v>
      </c>
      <c r="IO41" s="491"/>
      <c r="IP41" s="880" t="s">
        <v>1064</v>
      </c>
      <c r="IQ41" s="117"/>
      <c r="IR41" s="117"/>
      <c r="IS41" s="117"/>
      <c r="IT41" s="117"/>
      <c r="IU41" s="491"/>
    </row>
    <row r="42" spans="1:259" ht="24.95" customHeight="1">
      <c r="A42" s="129" t="s">
        <v>1250</v>
      </c>
      <c r="B42" s="203">
        <f>119+354</f>
        <v>473</v>
      </c>
      <c r="C42" s="203">
        <v>100</v>
      </c>
      <c r="D42" s="406">
        <f t="shared" si="2"/>
        <v>4.7300000000000004</v>
      </c>
      <c r="E42" s="187"/>
      <c r="F42" s="100"/>
      <c r="G42" s="101"/>
      <c r="H42" s="101"/>
      <c r="I42" s="101"/>
      <c r="J42" s="103"/>
      <c r="K42" s="105" t="s">
        <v>437</v>
      </c>
      <c r="L42" s="106" t="s">
        <v>437</v>
      </c>
      <c r="M42" s="106" t="s">
        <v>437</v>
      </c>
      <c r="N42" s="106" t="s">
        <v>437</v>
      </c>
      <c r="O42" s="107" t="s">
        <v>437</v>
      </c>
      <c r="P42" s="240"/>
      <c r="Q42" s="101"/>
      <c r="R42" s="101"/>
      <c r="S42" s="101"/>
      <c r="T42" s="98"/>
      <c r="U42" s="281" t="s">
        <v>437</v>
      </c>
      <c r="V42" s="106" t="s">
        <v>437</v>
      </c>
      <c r="W42" s="106" t="s">
        <v>437</v>
      </c>
      <c r="X42" s="106" t="s">
        <v>437</v>
      </c>
      <c r="Y42" s="106" t="s">
        <v>437</v>
      </c>
      <c r="Z42" s="100"/>
      <c r="AA42" s="101"/>
      <c r="AB42" s="101"/>
      <c r="AC42" s="101"/>
      <c r="AD42" s="98"/>
      <c r="AE42" s="100"/>
      <c r="AF42" s="101"/>
      <c r="AG42" s="101"/>
      <c r="AH42" s="101"/>
      <c r="AI42" s="98"/>
      <c r="AJ42" s="100"/>
      <c r="AK42" s="101"/>
      <c r="AL42" s="101"/>
      <c r="AM42" s="101"/>
      <c r="AN42" s="103" t="s">
        <v>244</v>
      </c>
      <c r="AO42" s="100"/>
      <c r="AP42" s="101"/>
      <c r="AQ42" s="101"/>
      <c r="AR42" s="101"/>
      <c r="AS42" s="98"/>
      <c r="AT42" s="102"/>
      <c r="AU42" s="104"/>
      <c r="AV42" s="104"/>
      <c r="AW42" s="104"/>
      <c r="AX42" s="104"/>
      <c r="AY42" s="392"/>
      <c r="AZ42" s="102"/>
      <c r="BA42" s="101"/>
      <c r="BB42" s="101"/>
      <c r="BC42" s="101" t="s">
        <v>244</v>
      </c>
      <c r="BD42" s="103" t="s">
        <v>244</v>
      </c>
      <c r="BE42" s="100"/>
      <c r="BF42" s="101"/>
      <c r="BG42" s="101"/>
      <c r="BH42" s="101"/>
      <c r="BI42" s="98"/>
      <c r="BJ42" s="376" t="s">
        <v>538</v>
      </c>
      <c r="BL42" s="101"/>
      <c r="BM42" s="101"/>
      <c r="BN42" s="98"/>
      <c r="BO42" s="102"/>
      <c r="BP42" s="420"/>
      <c r="BQ42" s="101"/>
      <c r="BR42" s="101"/>
      <c r="BS42" s="98"/>
      <c r="BU42" s="101"/>
      <c r="BV42" s="101"/>
      <c r="BW42" s="101"/>
      <c r="BX42" s="98"/>
      <c r="BY42" s="100"/>
      <c r="BZ42" s="442"/>
      <c r="CA42" s="101"/>
      <c r="CB42" s="110"/>
      <c r="CC42" s="110"/>
      <c r="CD42" s="100"/>
      <c r="CE42" s="101"/>
      <c r="CF42" s="101"/>
      <c r="CG42" s="101"/>
      <c r="CH42" s="98"/>
      <c r="CI42" s="100"/>
      <c r="CJ42" s="101"/>
      <c r="CK42" s="101"/>
      <c r="CL42" s="101"/>
      <c r="CM42" s="98"/>
      <c r="CN42" s="102"/>
      <c r="CO42" s="101"/>
      <c r="CP42" s="101"/>
      <c r="CQ42" s="101"/>
      <c r="CR42" s="98"/>
      <c r="CS42" s="489"/>
      <c r="CT42" s="101"/>
      <c r="CU42" s="101"/>
      <c r="CV42" s="101"/>
      <c r="CW42" s="98"/>
      <c r="CX42" s="100"/>
      <c r="CY42" s="101"/>
      <c r="CZ42" s="101"/>
      <c r="DA42" s="101"/>
      <c r="DB42" s="98"/>
      <c r="DC42" s="100"/>
      <c r="DD42" s="101"/>
      <c r="DE42" s="101"/>
      <c r="DF42" s="101"/>
      <c r="DG42" s="103"/>
      <c r="DH42" s="116"/>
      <c r="DI42" s="117"/>
      <c r="DJ42" s="117"/>
      <c r="DK42" s="117"/>
      <c r="DL42" s="227"/>
      <c r="DM42" s="116"/>
      <c r="DN42" s="117"/>
      <c r="DO42" s="117"/>
      <c r="DP42" s="117"/>
      <c r="DQ42" s="227"/>
      <c r="DR42" s="489"/>
      <c r="DS42" s="117"/>
      <c r="DT42" s="117"/>
      <c r="DU42" s="117"/>
      <c r="DV42" s="118"/>
      <c r="DW42" s="576"/>
      <c r="DX42" s="117"/>
      <c r="DY42" s="117"/>
      <c r="DZ42" s="117"/>
      <c r="EA42" s="334" t="s">
        <v>788</v>
      </c>
      <c r="EB42" s="116"/>
      <c r="EC42" s="117"/>
      <c r="ED42" s="117"/>
      <c r="EE42" s="117"/>
      <c r="EF42" s="227"/>
      <c r="EG42" s="117"/>
      <c r="EH42" s="117"/>
      <c r="EI42" s="117"/>
      <c r="EJ42" s="117"/>
      <c r="EK42" s="117"/>
      <c r="EL42" s="117"/>
      <c r="EM42" s="117"/>
      <c r="EN42" s="117"/>
      <c r="EO42" s="117"/>
      <c r="EP42" s="117"/>
      <c r="EQ42" s="117"/>
      <c r="ER42" s="117"/>
      <c r="ES42" s="117"/>
      <c r="ET42" s="117"/>
      <c r="EU42" s="117"/>
      <c r="EV42" s="117"/>
      <c r="EW42" s="117"/>
      <c r="EX42" s="117"/>
      <c r="EY42" s="117"/>
      <c r="EZ42" s="101"/>
      <c r="FA42" s="117"/>
      <c r="FB42" s="117"/>
      <c r="FC42" s="117"/>
      <c r="FD42" s="117"/>
      <c r="FE42" s="117"/>
      <c r="FF42" s="491"/>
      <c r="FG42" s="491"/>
      <c r="FH42" s="491"/>
      <c r="FI42" s="117"/>
      <c r="FJ42" s="117"/>
      <c r="FK42" s="117"/>
      <c r="FL42" s="117"/>
      <c r="FM42" s="117"/>
      <c r="FN42" s="117"/>
      <c r="FO42" s="117"/>
      <c r="FP42" s="117"/>
      <c r="FQ42" s="117"/>
      <c r="FR42" s="117"/>
      <c r="FS42" s="117"/>
      <c r="FT42" s="491"/>
      <c r="FU42" s="491"/>
      <c r="FV42" s="117"/>
      <c r="FW42" s="117"/>
      <c r="FX42" s="117"/>
      <c r="FY42" s="117"/>
      <c r="FZ42" s="117"/>
      <c r="GA42" s="117"/>
      <c r="GB42" s="117"/>
      <c r="GC42" s="117"/>
      <c r="GD42" s="117"/>
      <c r="GE42" s="117"/>
      <c r="GF42" s="117"/>
      <c r="GG42" s="101"/>
      <c r="GH42" s="117"/>
      <c r="GI42" s="117"/>
      <c r="GJ42" s="117"/>
      <c r="GK42" s="117"/>
      <c r="GL42" s="117"/>
      <c r="GM42" s="117"/>
      <c r="GN42" s="117"/>
      <c r="GO42" s="117"/>
      <c r="GP42" s="117"/>
      <c r="GQ42" s="117"/>
      <c r="GR42" s="117"/>
      <c r="GS42" s="117"/>
      <c r="GT42" s="117"/>
      <c r="GU42" s="117"/>
      <c r="GV42" s="117"/>
      <c r="GW42" s="117"/>
      <c r="GX42" s="117"/>
      <c r="GY42" s="117"/>
      <c r="GZ42" s="117"/>
      <c r="HA42" s="117"/>
      <c r="HB42" s="117"/>
      <c r="HC42" s="117"/>
      <c r="HD42" s="117"/>
      <c r="HE42" s="117"/>
      <c r="HF42" s="117"/>
      <c r="HG42" s="117"/>
      <c r="HH42" s="117"/>
      <c r="HI42" s="117"/>
      <c r="HJ42" s="117"/>
      <c r="HK42" s="117"/>
      <c r="HL42" s="117"/>
      <c r="HM42" s="117"/>
      <c r="HN42" s="117"/>
      <c r="HO42" s="117"/>
      <c r="HP42" s="117"/>
      <c r="HQ42" s="117"/>
      <c r="HR42" s="117"/>
      <c r="HS42" s="227"/>
      <c r="HT42" s="117"/>
      <c r="HU42" s="117"/>
      <c r="HV42" s="117"/>
      <c r="HW42" s="117"/>
      <c r="HX42" s="117"/>
      <c r="HY42" s="117"/>
      <c r="HZ42" s="117"/>
      <c r="IA42" s="117"/>
      <c r="IB42" s="117"/>
      <c r="IC42" s="117"/>
      <c r="ID42" s="117"/>
      <c r="IE42" s="117"/>
      <c r="IF42" s="117"/>
      <c r="IG42" s="117"/>
      <c r="IH42" s="491"/>
      <c r="II42" s="491"/>
      <c r="IJ42" s="491"/>
      <c r="IK42" s="567" t="s">
        <v>1053</v>
      </c>
      <c r="IL42" s="567" t="s">
        <v>1052</v>
      </c>
      <c r="IM42" s="880" t="s">
        <v>1052</v>
      </c>
      <c r="IN42" s="880" t="s">
        <v>1052</v>
      </c>
      <c r="IO42" s="491"/>
      <c r="IP42" s="880" t="s">
        <v>1064</v>
      </c>
      <c r="IR42" s="117"/>
      <c r="IS42" s="117"/>
      <c r="IT42" s="117"/>
      <c r="IU42" s="491"/>
    </row>
    <row r="43" spans="1:259" ht="24.95" customHeight="1">
      <c r="A43" s="129" t="s">
        <v>699</v>
      </c>
      <c r="B43" s="203">
        <f>123+114</f>
        <v>237</v>
      </c>
      <c r="C43" s="203"/>
      <c r="D43" s="226" t="e">
        <f>#REF!/B43</f>
        <v>#REF!</v>
      </c>
      <c r="E43" s="187"/>
      <c r="F43" s="100"/>
      <c r="G43" s="101"/>
      <c r="H43" s="101"/>
      <c r="I43" s="101"/>
      <c r="J43" s="103"/>
      <c r="K43" s="105" t="s">
        <v>437</v>
      </c>
      <c r="L43" s="106" t="s">
        <v>437</v>
      </c>
      <c r="M43" s="106" t="s">
        <v>437</v>
      </c>
      <c r="N43" s="106" t="s">
        <v>437</v>
      </c>
      <c r="O43" s="107" t="s">
        <v>437</v>
      </c>
      <c r="P43" s="102"/>
      <c r="Q43" s="241"/>
      <c r="R43" s="101"/>
      <c r="S43" s="101"/>
      <c r="T43" s="98"/>
      <c r="U43" s="281" t="s">
        <v>437</v>
      </c>
      <c r="V43" s="106" t="s">
        <v>437</v>
      </c>
      <c r="W43" s="106" t="s">
        <v>437</v>
      </c>
      <c r="X43" s="106" t="s">
        <v>437</v>
      </c>
      <c r="Y43" s="106" t="s">
        <v>437</v>
      </c>
      <c r="Z43" s="100"/>
      <c r="AA43" s="101"/>
      <c r="AB43" s="101"/>
      <c r="AC43" s="101"/>
      <c r="AD43" s="98"/>
      <c r="AE43" s="100"/>
      <c r="AF43" s="101"/>
      <c r="AG43" s="101"/>
      <c r="AH43" s="101"/>
      <c r="AI43" s="98"/>
      <c r="AJ43" s="100"/>
      <c r="AK43" s="101"/>
      <c r="AL43" s="101"/>
      <c r="AM43" s="101"/>
      <c r="AN43" s="103" t="s">
        <v>244</v>
      </c>
      <c r="AO43" s="100"/>
      <c r="AP43" s="101"/>
      <c r="AQ43" s="101"/>
      <c r="AR43" s="101"/>
      <c r="AS43" s="98"/>
      <c r="AT43" s="102"/>
      <c r="AU43" s="104"/>
      <c r="AV43" s="104"/>
      <c r="AW43" s="104"/>
      <c r="AX43" s="104"/>
      <c r="AY43" s="392"/>
      <c r="AZ43" s="102"/>
      <c r="BA43" s="101"/>
      <c r="BB43" s="101"/>
      <c r="BC43" s="101" t="s">
        <v>244</v>
      </c>
      <c r="BD43" s="103" t="s">
        <v>244</v>
      </c>
      <c r="BE43" s="100"/>
      <c r="BF43" s="101"/>
      <c r="BG43" s="101"/>
      <c r="BH43" s="101"/>
      <c r="BI43" s="98"/>
      <c r="BJ43" s="376" t="s">
        <v>538</v>
      </c>
      <c r="BL43" s="101"/>
      <c r="BM43" s="101"/>
      <c r="BQ43" s="420"/>
      <c r="BR43" s="101"/>
      <c r="BS43" s="98"/>
      <c r="BU43" s="101"/>
      <c r="BV43" s="101"/>
      <c r="BW43" s="101"/>
      <c r="BX43" s="98"/>
      <c r="BY43" s="100"/>
      <c r="BZ43" s="101"/>
      <c r="CA43" s="101"/>
      <c r="CB43" s="101"/>
      <c r="CC43" s="98"/>
      <c r="CD43" s="100"/>
      <c r="CE43" s="101"/>
      <c r="CF43" s="101"/>
      <c r="CG43" s="101"/>
      <c r="CH43" s="98"/>
      <c r="CI43" s="100"/>
      <c r="CJ43" s="101"/>
      <c r="CK43" s="101"/>
      <c r="CL43" s="101"/>
      <c r="CM43" s="98"/>
      <c r="CN43" s="102"/>
      <c r="CO43" s="101"/>
      <c r="CP43" s="101"/>
      <c r="CQ43" s="101"/>
      <c r="CR43" s="98"/>
      <c r="CS43" s="489"/>
      <c r="CT43" s="101"/>
      <c r="CU43" s="101"/>
      <c r="CV43" s="101"/>
      <c r="CW43" s="98"/>
      <c r="CX43" s="100"/>
      <c r="CY43" s="101"/>
      <c r="CZ43" s="101"/>
      <c r="DA43" s="101"/>
      <c r="DB43" s="98"/>
      <c r="DC43" s="100"/>
      <c r="DD43" s="101"/>
      <c r="DE43" s="101"/>
      <c r="DF43" s="101"/>
      <c r="DG43" s="103"/>
      <c r="DH43" s="116"/>
      <c r="DI43" s="117"/>
      <c r="DJ43" s="117"/>
      <c r="DK43" s="117"/>
      <c r="DL43" s="227"/>
      <c r="DM43" s="116"/>
      <c r="DN43" s="117"/>
      <c r="DO43" s="117"/>
      <c r="DP43" s="117"/>
      <c r="DQ43" s="227"/>
      <c r="DR43" s="489"/>
      <c r="DT43" s="336"/>
      <c r="DU43" s="117"/>
      <c r="DV43" s="118"/>
      <c r="DW43" s="119"/>
      <c r="DX43" s="117"/>
      <c r="DY43" s="117"/>
      <c r="DZ43" s="117"/>
      <c r="EA43" s="334" t="s">
        <v>788</v>
      </c>
      <c r="EB43" s="116"/>
      <c r="EC43" s="117"/>
      <c r="ED43" s="117"/>
      <c r="EE43" s="117"/>
      <c r="EF43" s="227"/>
      <c r="EG43" s="117"/>
      <c r="EH43" s="117"/>
      <c r="EI43" s="117"/>
      <c r="EJ43" s="117"/>
      <c r="EK43" s="117"/>
      <c r="EL43" s="117"/>
      <c r="EM43" s="117"/>
      <c r="EN43" s="117"/>
      <c r="EO43" s="117"/>
      <c r="EP43" s="117"/>
      <c r="EQ43" s="117"/>
      <c r="ER43" s="117"/>
      <c r="ES43" s="117"/>
      <c r="ET43" s="117"/>
      <c r="EU43" s="117"/>
      <c r="EV43" s="117"/>
      <c r="EW43" s="117"/>
      <c r="EX43" s="117"/>
      <c r="EY43" s="117"/>
      <c r="EZ43" s="101"/>
      <c r="FA43" s="117"/>
      <c r="FB43" s="117"/>
      <c r="FC43" s="117"/>
      <c r="FD43" s="117"/>
      <c r="FE43" s="117"/>
      <c r="FF43" s="491"/>
      <c r="FG43" s="491"/>
      <c r="FH43" s="491"/>
      <c r="FI43" s="117"/>
      <c r="FJ43" s="117"/>
      <c r="FK43" s="117"/>
      <c r="FL43" s="117"/>
      <c r="FM43" s="117"/>
      <c r="FN43" s="117"/>
      <c r="FO43" s="117"/>
      <c r="FP43" s="117"/>
      <c r="FQ43" s="117"/>
      <c r="FR43" s="117"/>
      <c r="FS43" s="117"/>
      <c r="FT43" s="491"/>
      <c r="FU43" s="491"/>
      <c r="FV43" s="117"/>
      <c r="FW43" s="117"/>
      <c r="FX43" s="117"/>
      <c r="FY43" s="117"/>
      <c r="FZ43" s="117"/>
      <c r="GA43" s="117"/>
      <c r="GB43" s="117"/>
      <c r="GC43" s="117"/>
      <c r="GD43" s="117"/>
      <c r="GE43" s="117"/>
      <c r="GF43" s="117"/>
      <c r="GG43" s="101"/>
      <c r="GH43" s="117"/>
      <c r="GI43" s="117"/>
      <c r="GJ43" s="117"/>
      <c r="GK43" s="117"/>
      <c r="GL43" s="117"/>
      <c r="GM43" s="117"/>
      <c r="GN43" s="117"/>
      <c r="GO43" s="117"/>
      <c r="GP43" s="117"/>
      <c r="GQ43" s="117"/>
      <c r="GR43" s="117"/>
      <c r="GS43" s="117"/>
      <c r="GT43" s="117"/>
      <c r="GU43" s="117"/>
      <c r="GV43" s="117"/>
      <c r="GW43" s="117"/>
      <c r="GX43" s="117"/>
      <c r="GY43" s="117"/>
      <c r="GZ43" s="117"/>
      <c r="HA43" s="117"/>
      <c r="HB43" s="117"/>
      <c r="HC43" s="117"/>
      <c r="HD43" s="117"/>
      <c r="HE43" s="117"/>
      <c r="HF43" s="117"/>
      <c r="HG43" s="117"/>
      <c r="HH43" s="117"/>
      <c r="HI43" s="117"/>
      <c r="HJ43" s="117"/>
      <c r="HK43" s="117"/>
      <c r="HL43" s="117"/>
      <c r="HM43" s="117"/>
      <c r="HN43" s="117"/>
      <c r="HO43" s="117"/>
      <c r="HP43" s="117"/>
      <c r="HQ43" s="117"/>
      <c r="HR43" s="117"/>
      <c r="HS43" s="227"/>
      <c r="HT43" s="117"/>
      <c r="HU43" s="117"/>
      <c r="HV43" s="117"/>
      <c r="HW43" s="117"/>
      <c r="HX43" s="117"/>
      <c r="HY43" s="117"/>
      <c r="HZ43" s="117"/>
      <c r="IA43" s="117"/>
      <c r="IB43" s="117"/>
      <c r="IC43" s="117"/>
      <c r="ID43" s="117"/>
      <c r="IE43" s="117"/>
      <c r="IF43" s="117"/>
      <c r="IG43" s="117"/>
      <c r="IH43" s="491"/>
      <c r="II43" s="491"/>
      <c r="IJ43" s="491"/>
      <c r="IK43" s="117"/>
      <c r="IL43" s="117"/>
      <c r="IM43" s="117"/>
      <c r="IN43" s="117"/>
      <c r="IO43" s="491"/>
      <c r="IP43" s="117"/>
      <c r="IQ43" s="117"/>
      <c r="IR43" s="117"/>
      <c r="IS43" s="117"/>
      <c r="IT43" s="117"/>
      <c r="IU43" s="491"/>
    </row>
    <row r="44" spans="1:259" ht="24.95" customHeight="1">
      <c r="A44" s="205" t="s">
        <v>716</v>
      </c>
      <c r="B44" s="203"/>
      <c r="C44" s="203"/>
      <c r="D44" s="226" t="e">
        <f>#REF!/B44</f>
        <v>#REF!</v>
      </c>
      <c r="E44" s="187"/>
      <c r="F44" s="100"/>
      <c r="G44" s="101"/>
      <c r="H44" s="101"/>
      <c r="I44" s="101"/>
      <c r="J44" s="103"/>
      <c r="K44" s="105" t="s">
        <v>437</v>
      </c>
      <c r="L44" s="106" t="s">
        <v>437</v>
      </c>
      <c r="M44" s="106" t="s">
        <v>437</v>
      </c>
      <c r="N44" s="106" t="s">
        <v>437</v>
      </c>
      <c r="O44" s="107" t="s">
        <v>437</v>
      </c>
      <c r="P44" s="102"/>
      <c r="Q44" s="101"/>
      <c r="R44" s="101"/>
      <c r="S44" s="101"/>
      <c r="T44" s="98"/>
      <c r="U44" s="281" t="s">
        <v>437</v>
      </c>
      <c r="V44" s="106" t="s">
        <v>437</v>
      </c>
      <c r="W44" s="106" t="s">
        <v>437</v>
      </c>
      <c r="X44" s="106" t="s">
        <v>437</v>
      </c>
      <c r="Y44" s="106" t="s">
        <v>437</v>
      </c>
      <c r="Z44" s="100"/>
      <c r="AA44" s="101"/>
      <c r="AB44" s="101"/>
      <c r="AC44" s="101"/>
      <c r="AD44" s="98"/>
      <c r="AE44" s="100"/>
      <c r="AF44" s="101"/>
      <c r="AG44" s="101"/>
      <c r="AH44" s="101"/>
      <c r="AI44" s="98"/>
      <c r="AJ44" s="100"/>
      <c r="AK44" s="101"/>
      <c r="AL44" s="101"/>
      <c r="AM44" s="101"/>
      <c r="AN44" s="103" t="s">
        <v>244</v>
      </c>
      <c r="AO44" s="100"/>
      <c r="AP44" s="101"/>
      <c r="AQ44" s="101"/>
      <c r="AR44" s="101"/>
      <c r="AS44" s="98"/>
      <c r="AT44" s="102"/>
      <c r="AU44" s="104"/>
      <c r="AV44" s="104"/>
      <c r="AW44" s="104"/>
      <c r="AX44" s="104"/>
      <c r="AY44" s="392"/>
      <c r="AZ44" s="102"/>
      <c r="BA44" s="101"/>
      <c r="BB44" s="101"/>
      <c r="BC44" s="101" t="s">
        <v>244</v>
      </c>
      <c r="BD44" s="103" t="s">
        <v>244</v>
      </c>
      <c r="BE44" s="100"/>
      <c r="BF44" s="101"/>
      <c r="BG44" s="101"/>
      <c r="BH44" s="101"/>
      <c r="BI44" s="98"/>
      <c r="BJ44" s="425"/>
      <c r="BK44" s="101"/>
      <c r="BL44" s="101"/>
      <c r="BM44" s="101"/>
      <c r="BN44" s="98"/>
      <c r="BO44" s="102"/>
      <c r="BP44" s="101"/>
      <c r="BQ44" s="101"/>
      <c r="BR44" s="101"/>
      <c r="BS44" s="98"/>
      <c r="BT44" s="376" t="s">
        <v>537</v>
      </c>
      <c r="BU44" s="101"/>
      <c r="BV44" s="101"/>
      <c r="BW44" s="101"/>
      <c r="BX44" s="98"/>
      <c r="BY44" s="100"/>
      <c r="BZ44" s="101"/>
      <c r="CA44" s="101"/>
      <c r="CC44" s="98"/>
      <c r="CD44" s="400"/>
      <c r="CE44" s="101"/>
      <c r="CF44" s="101"/>
      <c r="CG44" s="101"/>
      <c r="CH44" s="98"/>
      <c r="CI44" s="100"/>
      <c r="CJ44" s="101"/>
      <c r="CK44" s="101"/>
      <c r="CL44" s="101"/>
      <c r="CM44" s="98"/>
      <c r="CN44" s="102"/>
      <c r="CO44" s="101"/>
      <c r="CP44" s="101"/>
      <c r="CQ44" s="101"/>
      <c r="CR44" s="98"/>
      <c r="CS44" s="489"/>
      <c r="CT44" s="101"/>
      <c r="CU44" s="101"/>
      <c r="CV44" s="101"/>
      <c r="CW44" s="98"/>
      <c r="CX44" s="100"/>
      <c r="CY44" s="101"/>
      <c r="CZ44" s="101"/>
      <c r="DA44" s="101"/>
      <c r="DB44" s="98"/>
      <c r="DC44" s="100"/>
      <c r="DD44" s="101"/>
      <c r="DE44" s="101"/>
      <c r="DF44" s="101"/>
      <c r="DG44" s="103"/>
      <c r="DH44" s="116"/>
      <c r="DI44" s="117"/>
      <c r="DJ44" s="117"/>
      <c r="DK44" s="117"/>
      <c r="DL44" s="227"/>
      <c r="DM44" s="116"/>
      <c r="DN44" s="117"/>
      <c r="DO44" s="117"/>
      <c r="DP44" s="117"/>
      <c r="DQ44" s="227"/>
      <c r="DR44" s="489"/>
      <c r="DS44" s="117"/>
      <c r="DT44" s="117"/>
      <c r="DU44" s="117"/>
      <c r="DV44" s="118"/>
      <c r="DW44" s="119"/>
      <c r="DX44" s="117"/>
      <c r="DY44" s="117"/>
      <c r="DZ44" s="117"/>
      <c r="EA44" s="118"/>
      <c r="EB44" s="428"/>
      <c r="EC44" s="117"/>
      <c r="ED44" s="117"/>
      <c r="EE44" s="117"/>
      <c r="EF44" s="334" t="s">
        <v>788</v>
      </c>
      <c r="EG44" s="117"/>
      <c r="EH44" s="117"/>
      <c r="EI44" s="117"/>
      <c r="EJ44" s="117"/>
      <c r="EK44" s="117"/>
      <c r="EL44" s="117"/>
      <c r="EM44" s="117"/>
      <c r="EN44" s="117"/>
      <c r="EO44" s="117"/>
      <c r="EP44" s="117"/>
      <c r="EQ44" s="117"/>
      <c r="ER44" s="117"/>
      <c r="ES44" s="117"/>
      <c r="ET44" s="117"/>
      <c r="EU44" s="117"/>
      <c r="EV44" s="117"/>
      <c r="EW44" s="117"/>
      <c r="EX44" s="117"/>
      <c r="EY44" s="117"/>
      <c r="EZ44" s="101"/>
      <c r="FA44" s="117"/>
      <c r="FB44" s="117"/>
      <c r="FC44" s="117"/>
      <c r="FD44" s="117"/>
      <c r="FE44" s="117"/>
      <c r="FF44" s="491"/>
      <c r="FG44" s="491"/>
      <c r="FH44" s="491"/>
      <c r="FI44" s="117"/>
      <c r="FJ44" s="117"/>
      <c r="FK44" s="117"/>
      <c r="FL44" s="117"/>
      <c r="FM44" s="117"/>
      <c r="FN44" s="117"/>
      <c r="FO44" s="117"/>
      <c r="FP44" s="117"/>
      <c r="FQ44" s="117"/>
      <c r="FR44" s="117"/>
      <c r="FS44" s="117"/>
      <c r="FT44" s="491"/>
      <c r="FU44" s="491"/>
      <c r="FV44" s="117"/>
      <c r="FW44" s="117"/>
      <c r="FX44" s="117"/>
      <c r="FY44" s="117"/>
      <c r="FZ44" s="117"/>
      <c r="GA44" s="117"/>
      <c r="GB44" s="117"/>
      <c r="GC44" s="117"/>
      <c r="GD44" s="117"/>
      <c r="GE44" s="117"/>
      <c r="GF44" s="117"/>
      <c r="GG44" s="101"/>
      <c r="GH44" s="117"/>
      <c r="GI44" s="117"/>
      <c r="GJ44" s="117"/>
      <c r="GK44" s="117"/>
      <c r="GL44" s="117"/>
      <c r="GM44" s="117"/>
      <c r="GN44" s="117"/>
      <c r="GO44" s="117"/>
      <c r="GP44" s="117"/>
      <c r="GQ44" s="117"/>
      <c r="GR44" s="117"/>
      <c r="GS44" s="117"/>
      <c r="GT44" s="117"/>
      <c r="GU44" s="117"/>
      <c r="GV44" s="117"/>
      <c r="GW44" s="117"/>
      <c r="GX44" s="117"/>
      <c r="GY44" s="117"/>
      <c r="GZ44" s="117"/>
      <c r="HA44" s="117"/>
      <c r="HB44" s="117"/>
      <c r="HC44" s="117"/>
      <c r="HD44" s="117"/>
      <c r="HE44" s="117"/>
      <c r="HF44" s="117"/>
      <c r="HG44" s="117"/>
      <c r="HH44" s="117"/>
      <c r="HI44" s="117"/>
      <c r="HJ44" s="117"/>
      <c r="HK44" s="117"/>
      <c r="HL44" s="117"/>
      <c r="HM44" s="117"/>
      <c r="HN44" s="117"/>
      <c r="HO44" s="117"/>
      <c r="HP44" s="117"/>
      <c r="HQ44" s="117"/>
      <c r="HR44" s="117"/>
      <c r="HS44" s="227"/>
      <c r="HT44" s="117"/>
      <c r="HU44" s="117"/>
      <c r="HV44" s="117"/>
      <c r="HW44" s="117"/>
      <c r="HX44" s="117"/>
      <c r="HY44" s="117"/>
      <c r="HZ44" s="117"/>
      <c r="IA44" s="117"/>
      <c r="IB44" s="117"/>
      <c r="IC44" s="117"/>
      <c r="ID44" s="117"/>
      <c r="IE44" s="117"/>
      <c r="IF44" s="117"/>
      <c r="IG44" s="117"/>
      <c r="IH44" s="491"/>
      <c r="II44" s="491"/>
      <c r="IJ44" s="491"/>
      <c r="IK44" s="117"/>
      <c r="IL44" s="117"/>
      <c r="IM44" s="117"/>
      <c r="IN44" s="117"/>
      <c r="IO44" s="491"/>
      <c r="IP44" s="117"/>
      <c r="IQ44" s="117"/>
      <c r="IR44" s="117"/>
      <c r="IS44" s="117"/>
      <c r="IT44" s="117"/>
      <c r="IU44" s="491"/>
    </row>
    <row r="45" spans="1:259" ht="24.95" customHeight="1">
      <c r="A45" s="205"/>
      <c r="B45" s="203"/>
      <c r="C45" s="203"/>
      <c r="D45" s="226" t="e">
        <f>#REF!/B45</f>
        <v>#REF!</v>
      </c>
      <c r="E45" s="187"/>
      <c r="F45" s="100"/>
      <c r="G45" s="101"/>
      <c r="H45" s="101"/>
      <c r="I45" s="101"/>
      <c r="J45" s="103"/>
      <c r="K45" s="105" t="s">
        <v>437</v>
      </c>
      <c r="L45" s="106" t="s">
        <v>437</v>
      </c>
      <c r="M45" s="106" t="s">
        <v>437</v>
      </c>
      <c r="N45" s="106" t="s">
        <v>437</v>
      </c>
      <c r="O45" s="107" t="s">
        <v>437</v>
      </c>
      <c r="P45" s="102"/>
      <c r="Q45" s="101"/>
      <c r="R45" s="101"/>
      <c r="S45" s="101"/>
      <c r="T45" s="98"/>
      <c r="U45" s="281" t="s">
        <v>437</v>
      </c>
      <c r="V45" s="106" t="s">
        <v>437</v>
      </c>
      <c r="W45" s="106" t="s">
        <v>437</v>
      </c>
      <c r="X45" s="106" t="s">
        <v>437</v>
      </c>
      <c r="Y45" s="106" t="s">
        <v>437</v>
      </c>
      <c r="Z45" s="100"/>
      <c r="AA45" s="101"/>
      <c r="AB45" s="101"/>
      <c r="AC45" s="101"/>
      <c r="AD45" s="98"/>
      <c r="AE45" s="334" t="s">
        <v>535</v>
      </c>
      <c r="AG45" s="101"/>
      <c r="AH45" s="315"/>
      <c r="AI45" s="316"/>
      <c r="AJ45" s="100"/>
      <c r="AK45" s="101"/>
      <c r="AL45" s="101"/>
      <c r="AM45" s="101"/>
      <c r="AN45" s="103" t="s">
        <v>244</v>
      </c>
      <c r="AO45" s="100"/>
      <c r="AP45" s="101"/>
      <c r="AQ45" s="101"/>
      <c r="AR45" s="101"/>
      <c r="AS45" s="98"/>
      <c r="AT45" s="102"/>
      <c r="AU45" s="104"/>
      <c r="AV45" s="104"/>
      <c r="AW45" s="104"/>
      <c r="AX45" s="104"/>
      <c r="AY45" s="392"/>
      <c r="AZ45" s="102"/>
      <c r="BA45" s="101"/>
      <c r="BB45" s="101"/>
      <c r="BC45" s="101" t="s">
        <v>244</v>
      </c>
      <c r="BD45" s="103" t="s">
        <v>244</v>
      </c>
      <c r="BE45" s="100"/>
      <c r="BF45" s="101"/>
      <c r="BG45" s="101"/>
      <c r="BH45" s="101"/>
      <c r="BI45" s="98"/>
      <c r="BJ45" s="425"/>
      <c r="BK45" s="101"/>
      <c r="BL45" s="101"/>
      <c r="BM45" s="101"/>
      <c r="BN45" s="98"/>
      <c r="BO45" s="102"/>
      <c r="BP45" s="101"/>
      <c r="BQ45" s="101"/>
      <c r="BR45" s="101"/>
      <c r="BS45" s="98"/>
      <c r="BT45" s="376" t="s">
        <v>536</v>
      </c>
      <c r="BU45" s="101"/>
      <c r="BV45" s="101"/>
      <c r="BW45" s="101"/>
      <c r="BX45" s="98"/>
      <c r="BY45" s="100"/>
      <c r="BZ45" s="101"/>
      <c r="CA45" s="101"/>
      <c r="CB45" s="101"/>
      <c r="CC45" s="98"/>
      <c r="CD45" s="100"/>
      <c r="CE45" s="101"/>
      <c r="CF45" s="101"/>
      <c r="CG45" s="101"/>
      <c r="CH45" s="98"/>
      <c r="CI45" s="100"/>
      <c r="CJ45" s="101"/>
      <c r="CK45" s="101"/>
      <c r="CL45" s="101"/>
      <c r="CM45" s="98"/>
      <c r="CN45" s="102"/>
      <c r="CO45" s="101"/>
      <c r="CP45" s="101"/>
      <c r="CQ45" s="101"/>
      <c r="CR45" s="98"/>
      <c r="CS45" s="489"/>
      <c r="CT45" s="101"/>
      <c r="CU45" s="101"/>
      <c r="CV45" s="101"/>
      <c r="CW45" s="98"/>
      <c r="CX45" s="100"/>
      <c r="CY45" s="101"/>
      <c r="CZ45" s="101"/>
      <c r="DA45" s="101"/>
      <c r="DB45" s="98"/>
      <c r="DC45" s="100"/>
      <c r="DD45" s="101"/>
      <c r="DE45" s="101"/>
      <c r="DF45" s="101"/>
      <c r="DG45" s="103"/>
      <c r="DH45" s="116"/>
      <c r="DI45" s="117"/>
      <c r="DJ45" s="117"/>
      <c r="DK45" s="117"/>
      <c r="DL45" s="227"/>
      <c r="DM45" s="116"/>
      <c r="DN45" s="117"/>
      <c r="DO45" s="117"/>
      <c r="DP45" s="117"/>
      <c r="DQ45" s="227"/>
      <c r="DR45" s="489"/>
      <c r="DS45" s="117"/>
      <c r="DT45" s="117"/>
      <c r="DU45" s="117"/>
      <c r="DV45" s="118"/>
      <c r="DW45" s="119"/>
      <c r="DX45" s="117"/>
      <c r="DY45" s="117"/>
      <c r="DZ45" s="117"/>
      <c r="EA45" s="118"/>
      <c r="EB45" s="116"/>
      <c r="ED45" s="117"/>
      <c r="EE45" s="117"/>
      <c r="EF45" s="334" t="s">
        <v>788</v>
      </c>
      <c r="EG45" s="428"/>
      <c r="EI45" s="117"/>
      <c r="EJ45" s="117"/>
      <c r="EK45" s="117"/>
      <c r="EL45" s="117"/>
      <c r="EM45" s="117"/>
      <c r="EN45" s="117"/>
      <c r="EO45" s="117"/>
      <c r="EP45" s="117"/>
      <c r="EQ45" s="117"/>
      <c r="ER45" s="117"/>
      <c r="ES45" s="117"/>
      <c r="ET45" s="117"/>
      <c r="EU45" s="117"/>
      <c r="EV45" s="117"/>
      <c r="EW45" s="117"/>
      <c r="EX45" s="117"/>
      <c r="EY45" s="117"/>
      <c r="EZ45" s="101"/>
      <c r="FA45" s="117"/>
      <c r="FB45" s="117"/>
      <c r="FC45" s="117"/>
      <c r="FD45" s="117"/>
      <c r="FE45" s="117"/>
      <c r="FF45" s="491"/>
      <c r="FG45" s="491"/>
      <c r="FH45" s="491"/>
      <c r="FI45" s="117"/>
      <c r="FJ45" s="117"/>
      <c r="FK45" s="117"/>
      <c r="FL45" s="117"/>
      <c r="FM45" s="117"/>
      <c r="FN45" s="117"/>
      <c r="FO45" s="117"/>
      <c r="FP45" s="117"/>
      <c r="FQ45" s="117"/>
      <c r="FR45" s="117"/>
      <c r="FS45" s="117"/>
      <c r="FT45" s="491"/>
      <c r="FU45" s="491"/>
      <c r="FV45" s="117"/>
      <c r="FW45" s="117"/>
      <c r="FX45" s="117"/>
      <c r="FY45" s="117"/>
      <c r="FZ45" s="117"/>
      <c r="GA45" s="117"/>
      <c r="GB45" s="117"/>
      <c r="GC45" s="117"/>
      <c r="GD45" s="117"/>
      <c r="GE45" s="117"/>
      <c r="GF45" s="117"/>
      <c r="GG45" s="101"/>
      <c r="GH45" s="117"/>
      <c r="GI45" s="117"/>
      <c r="GJ45" s="117"/>
      <c r="GK45" s="117"/>
      <c r="GL45" s="117"/>
      <c r="GM45" s="117"/>
      <c r="GN45" s="117"/>
      <c r="GO45" s="117"/>
      <c r="GP45" s="117"/>
      <c r="GQ45" s="117"/>
      <c r="GR45" s="117"/>
      <c r="GS45" s="117"/>
      <c r="GT45" s="117"/>
      <c r="GU45" s="117"/>
      <c r="GV45" s="117"/>
      <c r="GW45" s="117"/>
      <c r="GX45" s="117"/>
      <c r="GY45" s="117"/>
      <c r="GZ45" s="117"/>
      <c r="HA45" s="117"/>
      <c r="HB45" s="117"/>
      <c r="HC45" s="117"/>
      <c r="HD45" s="117"/>
      <c r="HE45" s="117"/>
      <c r="HF45" s="117"/>
      <c r="HG45" s="117"/>
      <c r="HH45" s="117"/>
      <c r="HI45" s="117"/>
      <c r="HJ45" s="117"/>
      <c r="HK45" s="117"/>
      <c r="HL45" s="117"/>
      <c r="HM45" s="117"/>
      <c r="HN45" s="117"/>
      <c r="HO45" s="117"/>
      <c r="HP45" s="117"/>
      <c r="HQ45" s="117"/>
      <c r="HR45" s="117"/>
      <c r="HS45" s="227"/>
      <c r="HT45" s="117"/>
      <c r="HU45" s="117"/>
      <c r="HV45" s="117"/>
      <c r="HW45" s="117"/>
      <c r="HX45" s="117"/>
      <c r="HY45" s="117"/>
      <c r="HZ45" s="117"/>
      <c r="IA45" s="117"/>
      <c r="IB45" s="117"/>
      <c r="IC45" s="117"/>
      <c r="ID45" s="117"/>
      <c r="IE45" s="117"/>
      <c r="IF45" s="117"/>
      <c r="IG45" s="117"/>
      <c r="IH45" s="491"/>
      <c r="II45" s="491"/>
      <c r="IJ45" s="491"/>
      <c r="IK45" s="117"/>
      <c r="IL45" s="117"/>
      <c r="IM45" s="117"/>
      <c r="IN45" s="117"/>
      <c r="IO45" s="491"/>
      <c r="IP45" s="117"/>
      <c r="IQ45" s="117"/>
      <c r="IR45" s="117"/>
      <c r="IS45" s="117"/>
      <c r="IT45" s="117"/>
      <c r="IU45" s="491"/>
    </row>
    <row r="46" spans="1:259" ht="24.95" customHeight="1">
      <c r="A46" s="205"/>
      <c r="B46" s="203"/>
      <c r="C46" s="203"/>
      <c r="D46" s="226" t="e">
        <f>#REF!/B46</f>
        <v>#REF!</v>
      </c>
      <c r="E46" s="187"/>
      <c r="F46" s="100"/>
      <c r="G46" s="101"/>
      <c r="H46" s="101"/>
      <c r="I46" s="101"/>
      <c r="J46" s="103"/>
      <c r="K46" s="105" t="s">
        <v>437</v>
      </c>
      <c r="L46" s="106" t="s">
        <v>437</v>
      </c>
      <c r="M46" s="106" t="s">
        <v>437</v>
      </c>
      <c r="N46" s="106" t="s">
        <v>437</v>
      </c>
      <c r="O46" s="107" t="s">
        <v>437</v>
      </c>
      <c r="P46" s="102"/>
      <c r="Q46" s="101"/>
      <c r="R46" s="101"/>
      <c r="S46" s="101"/>
      <c r="T46" s="98"/>
      <c r="U46" s="281" t="s">
        <v>437</v>
      </c>
      <c r="V46" s="106" t="s">
        <v>437</v>
      </c>
      <c r="W46" s="106" t="s">
        <v>437</v>
      </c>
      <c r="X46" s="106" t="s">
        <v>437</v>
      </c>
      <c r="Y46" s="106" t="s">
        <v>437</v>
      </c>
      <c r="Z46" s="100"/>
      <c r="AA46" s="101"/>
      <c r="AB46" s="101"/>
      <c r="AC46" s="315"/>
      <c r="AD46" s="316"/>
      <c r="AE46" s="334" t="s">
        <v>535</v>
      </c>
      <c r="AG46" s="101"/>
      <c r="AH46" s="101"/>
      <c r="AI46" s="98"/>
      <c r="AJ46" s="100"/>
      <c r="AK46" s="101"/>
      <c r="AL46" s="101"/>
      <c r="AM46" s="101"/>
      <c r="AN46" s="103" t="s">
        <v>244</v>
      </c>
      <c r="AO46" s="100"/>
      <c r="AP46" s="101"/>
      <c r="AQ46" s="101"/>
      <c r="AR46" s="101"/>
      <c r="AS46" s="98"/>
      <c r="AT46" s="102"/>
      <c r="AU46" s="104"/>
      <c r="AV46" s="104"/>
      <c r="AW46" s="104"/>
      <c r="AX46" s="104"/>
      <c r="AY46" s="392"/>
      <c r="AZ46" s="102"/>
      <c r="BA46" s="101"/>
      <c r="BB46" s="101"/>
      <c r="BC46" s="101" t="s">
        <v>244</v>
      </c>
      <c r="BD46" s="103" t="s">
        <v>244</v>
      </c>
      <c r="BE46" s="100"/>
      <c r="BF46" s="101"/>
      <c r="BG46" s="101"/>
      <c r="BH46" s="101"/>
      <c r="BI46" s="98"/>
      <c r="BJ46" s="425"/>
      <c r="BK46" s="101"/>
      <c r="BL46" s="101"/>
      <c r="BM46" s="101"/>
      <c r="BN46" s="98"/>
      <c r="BO46" s="102"/>
      <c r="BP46" s="101"/>
      <c r="BQ46" s="101"/>
      <c r="BR46" s="101"/>
      <c r="BS46" s="98"/>
      <c r="BT46" s="376" t="s">
        <v>536</v>
      </c>
      <c r="BU46" s="101"/>
      <c r="BV46" s="101"/>
      <c r="BW46" s="101"/>
      <c r="BX46" s="98"/>
      <c r="BY46" s="100"/>
      <c r="BZ46" s="101"/>
      <c r="CA46" s="101"/>
      <c r="CB46" s="101"/>
      <c r="CC46" s="98"/>
      <c r="CD46" s="100"/>
      <c r="CE46" s="101"/>
      <c r="CF46" s="101"/>
      <c r="CG46" s="101"/>
      <c r="CH46" s="98"/>
      <c r="CI46" s="100"/>
      <c r="CJ46" s="101"/>
      <c r="CK46" s="101"/>
      <c r="CL46" s="101"/>
      <c r="CM46" s="98"/>
      <c r="CN46" s="102"/>
      <c r="CO46" s="101"/>
      <c r="CP46" s="101"/>
      <c r="CQ46" s="101"/>
      <c r="CR46" s="98"/>
      <c r="CS46" s="489"/>
      <c r="CT46" s="101"/>
      <c r="CU46" s="101"/>
      <c r="CV46" s="101"/>
      <c r="CW46" s="98"/>
      <c r="CX46" s="100"/>
      <c r="CY46" s="101"/>
      <c r="CZ46" s="101"/>
      <c r="DA46" s="101"/>
      <c r="DC46" s="100"/>
      <c r="DD46" s="101"/>
      <c r="DE46" s="101"/>
      <c r="DF46" s="98"/>
      <c r="DG46" s="103"/>
      <c r="DH46" s="534"/>
      <c r="DI46" s="117"/>
      <c r="DJ46" s="117"/>
      <c r="DK46" s="117"/>
      <c r="DL46" s="227"/>
      <c r="DM46" s="116"/>
      <c r="DN46" s="117"/>
      <c r="DO46" s="117"/>
      <c r="DP46" s="117"/>
      <c r="DQ46" s="227"/>
      <c r="DR46" s="489"/>
      <c r="DS46" s="117"/>
      <c r="DT46" s="117"/>
      <c r="DU46" s="117"/>
      <c r="DV46" s="118"/>
      <c r="DW46" s="119"/>
      <c r="DX46" s="117"/>
      <c r="DY46" s="117"/>
      <c r="DZ46" s="117"/>
      <c r="EB46" s="116"/>
      <c r="EC46" s="428"/>
      <c r="EE46" s="117"/>
      <c r="EF46" s="334" t="s">
        <v>788</v>
      </c>
      <c r="EG46" s="117"/>
      <c r="EH46" s="117"/>
      <c r="EI46" s="117"/>
      <c r="EJ46" s="117"/>
      <c r="EK46" s="117"/>
      <c r="EL46" s="117"/>
      <c r="EM46" s="117"/>
      <c r="EN46" s="117"/>
      <c r="EO46" s="117"/>
      <c r="EP46" s="117"/>
      <c r="EQ46" s="117"/>
      <c r="ER46" s="117"/>
      <c r="ES46" s="117"/>
      <c r="ET46" s="117"/>
      <c r="EU46" s="117"/>
      <c r="EV46" s="117"/>
      <c r="EW46" s="117"/>
      <c r="EX46" s="117"/>
      <c r="EY46" s="117"/>
      <c r="EZ46" s="101"/>
      <c r="FA46" s="117"/>
      <c r="FB46" s="117"/>
      <c r="FC46" s="117"/>
      <c r="FD46" s="117"/>
      <c r="FE46" s="117"/>
      <c r="FF46" s="491"/>
      <c r="FG46" s="491"/>
      <c r="FH46" s="491"/>
      <c r="FI46" s="117"/>
      <c r="FJ46" s="117"/>
      <c r="FK46" s="117"/>
      <c r="FL46" s="117"/>
      <c r="FM46" s="117"/>
      <c r="FN46" s="117"/>
      <c r="FO46" s="117"/>
      <c r="FP46" s="117"/>
      <c r="FQ46" s="117"/>
      <c r="FR46" s="117"/>
      <c r="FS46" s="117"/>
      <c r="FT46" s="491"/>
      <c r="FU46" s="491"/>
      <c r="FV46" s="117"/>
      <c r="FW46" s="117"/>
      <c r="FX46" s="117"/>
      <c r="FY46" s="117"/>
      <c r="FZ46" s="117"/>
      <c r="GA46" s="117"/>
      <c r="GB46" s="117"/>
      <c r="GC46" s="117"/>
      <c r="GD46" s="117"/>
      <c r="GE46" s="117"/>
      <c r="GF46" s="117"/>
      <c r="GG46" s="101"/>
      <c r="GH46" s="117"/>
      <c r="GI46" s="117"/>
      <c r="GJ46" s="117"/>
      <c r="GK46" s="117"/>
      <c r="GL46" s="117"/>
      <c r="GM46" s="117"/>
      <c r="GN46" s="117"/>
      <c r="GO46" s="117"/>
      <c r="GP46" s="117"/>
      <c r="GQ46" s="117"/>
      <c r="GR46" s="117"/>
      <c r="GS46" s="117"/>
      <c r="GT46" s="117"/>
      <c r="GU46" s="117"/>
      <c r="GV46" s="117"/>
      <c r="GW46" s="117"/>
      <c r="GX46" s="117"/>
      <c r="GY46" s="117"/>
      <c r="GZ46" s="117"/>
      <c r="HA46" s="117"/>
      <c r="HB46" s="117"/>
      <c r="HC46" s="117"/>
      <c r="HD46" s="117"/>
      <c r="HE46" s="117"/>
      <c r="HF46" s="117"/>
      <c r="HG46" s="117"/>
      <c r="HH46" s="117"/>
      <c r="HI46" s="117"/>
      <c r="HJ46" s="117"/>
      <c r="HK46" s="117"/>
      <c r="HL46" s="117"/>
      <c r="HM46" s="117"/>
      <c r="HN46" s="117"/>
      <c r="HO46" s="117"/>
      <c r="HP46" s="117"/>
      <c r="HQ46" s="117"/>
      <c r="HR46" s="117"/>
      <c r="HS46" s="227"/>
      <c r="HT46" s="117"/>
      <c r="HU46" s="117"/>
      <c r="HV46" s="117"/>
      <c r="HW46" s="117"/>
      <c r="HX46" s="117"/>
      <c r="HY46" s="117"/>
      <c r="HZ46" s="117"/>
      <c r="IA46" s="117"/>
      <c r="IB46" s="117"/>
      <c r="IC46" s="117"/>
      <c r="ID46" s="117"/>
      <c r="IE46" s="117"/>
      <c r="IF46" s="117"/>
      <c r="IG46" s="117"/>
      <c r="IH46" s="491"/>
      <c r="II46" s="491"/>
      <c r="IJ46" s="491"/>
      <c r="IK46" s="117"/>
      <c r="IL46" s="117"/>
      <c r="IM46" s="117"/>
      <c r="IN46" s="117"/>
      <c r="IO46" s="491"/>
      <c r="IP46" s="117"/>
      <c r="IQ46" s="117"/>
      <c r="IR46" s="117"/>
      <c r="IS46" s="117"/>
      <c r="IT46" s="117"/>
      <c r="IU46" s="491"/>
    </row>
    <row r="47" spans="1:259" ht="24.95" customHeight="1">
      <c r="A47" s="129"/>
      <c r="B47" s="203"/>
      <c r="C47" s="203"/>
      <c r="D47" s="226" t="e">
        <f>#REF!/B47</f>
        <v>#REF!</v>
      </c>
      <c r="E47" s="187"/>
      <c r="F47" s="100"/>
      <c r="G47" s="101"/>
      <c r="H47" s="101"/>
      <c r="I47" s="101"/>
      <c r="J47" s="103"/>
      <c r="K47" s="105" t="s">
        <v>437</v>
      </c>
      <c r="L47" s="106" t="s">
        <v>437</v>
      </c>
      <c r="M47" s="106" t="s">
        <v>437</v>
      </c>
      <c r="N47" s="106" t="s">
        <v>437</v>
      </c>
      <c r="O47" s="107" t="s">
        <v>437</v>
      </c>
      <c r="P47" s="102"/>
      <c r="Q47" s="101"/>
      <c r="R47" s="101"/>
      <c r="S47" s="101"/>
      <c r="T47" s="98"/>
      <c r="U47" s="281" t="s">
        <v>437</v>
      </c>
      <c r="V47" s="106" t="s">
        <v>437</v>
      </c>
      <c r="W47" s="106" t="s">
        <v>437</v>
      </c>
      <c r="X47" s="106" t="s">
        <v>437</v>
      </c>
      <c r="Y47" s="106" t="s">
        <v>437</v>
      </c>
      <c r="Z47" s="100"/>
      <c r="AA47" s="101"/>
      <c r="AB47" s="101"/>
      <c r="AC47" s="101"/>
      <c r="AD47" s="98"/>
      <c r="AE47" s="100"/>
      <c r="AF47" s="101"/>
      <c r="AG47" s="101"/>
      <c r="AH47" s="101"/>
      <c r="AI47" s="98"/>
      <c r="AJ47" s="100"/>
      <c r="AK47" s="101"/>
      <c r="AL47" s="101"/>
      <c r="AM47" s="101"/>
      <c r="AN47" s="103" t="s">
        <v>244</v>
      </c>
      <c r="AO47" s="100"/>
      <c r="AP47" s="101"/>
      <c r="AQ47" s="101"/>
      <c r="AR47" s="101"/>
      <c r="AS47" s="98"/>
      <c r="AT47" s="102"/>
      <c r="AU47" s="104"/>
      <c r="AV47" s="104"/>
      <c r="AW47" s="104"/>
      <c r="AX47" s="104"/>
      <c r="AY47" s="392"/>
      <c r="AZ47" s="102"/>
      <c r="BA47" s="101"/>
      <c r="BB47" s="101"/>
      <c r="BC47" s="101" t="s">
        <v>244</v>
      </c>
      <c r="BD47" s="103" t="s">
        <v>244</v>
      </c>
      <c r="BE47" s="100"/>
      <c r="BF47" s="101"/>
      <c r="BG47" s="101"/>
      <c r="BH47" s="101"/>
      <c r="BI47" s="98"/>
      <c r="BJ47" s="100"/>
      <c r="BK47" s="101"/>
      <c r="BL47" s="101"/>
      <c r="BM47" s="101"/>
      <c r="BN47" s="98"/>
      <c r="BO47" s="102"/>
      <c r="BP47" s="101"/>
      <c r="BQ47" s="101"/>
      <c r="BR47" s="101"/>
      <c r="BS47" s="98"/>
      <c r="BT47" s="102"/>
      <c r="BU47" s="101"/>
      <c r="BV47" s="101"/>
      <c r="BW47" s="101"/>
      <c r="BX47" s="98"/>
      <c r="BY47" s="100"/>
      <c r="BZ47" s="101"/>
      <c r="CA47" s="101"/>
      <c r="CB47" s="101"/>
      <c r="CC47" s="98"/>
      <c r="CD47" s="100"/>
      <c r="CE47" s="101"/>
      <c r="CF47" s="101"/>
      <c r="CG47" s="101"/>
      <c r="CH47" s="98"/>
      <c r="CI47" s="100"/>
      <c r="CJ47" s="101"/>
      <c r="CK47" s="101"/>
      <c r="CL47" s="101"/>
      <c r="CM47" s="98"/>
      <c r="CN47" s="102"/>
      <c r="CO47" s="101"/>
      <c r="CP47" s="101"/>
      <c r="CQ47" s="101"/>
      <c r="CR47" s="98"/>
      <c r="CS47" s="489"/>
      <c r="CT47" s="101"/>
      <c r="CU47" s="101"/>
      <c r="CV47" s="101"/>
      <c r="CW47" s="98"/>
      <c r="CX47" s="100"/>
      <c r="CY47" s="101"/>
      <c r="CZ47" s="101"/>
      <c r="DA47" s="101"/>
      <c r="DB47" s="98"/>
      <c r="DC47" s="100"/>
      <c r="DD47" s="101"/>
      <c r="DE47" s="101"/>
      <c r="DF47" s="101"/>
      <c r="DG47" s="103"/>
      <c r="DH47" s="116"/>
      <c r="DI47" s="117"/>
      <c r="DJ47" s="117"/>
      <c r="DK47" s="117"/>
      <c r="DL47" s="227"/>
      <c r="DM47" s="116"/>
      <c r="DN47" s="117"/>
      <c r="DO47" s="117"/>
      <c r="DP47" s="117"/>
      <c r="DQ47" s="227"/>
      <c r="DR47" s="489"/>
      <c r="DS47" s="117"/>
      <c r="DT47" s="117"/>
      <c r="DU47" s="117"/>
      <c r="DV47" s="118"/>
      <c r="DW47" s="119"/>
      <c r="DX47" s="117"/>
      <c r="DY47" s="117"/>
      <c r="DZ47" s="117"/>
      <c r="EA47" s="118"/>
      <c r="EB47" s="116"/>
      <c r="EC47" s="117"/>
      <c r="ED47" s="117"/>
      <c r="EE47" s="117"/>
      <c r="EF47" s="227"/>
      <c r="EG47" s="117"/>
      <c r="EH47" s="117"/>
      <c r="EI47" s="117"/>
      <c r="EJ47" s="117"/>
      <c r="EK47" s="117"/>
      <c r="EL47" s="117"/>
      <c r="EM47" s="117"/>
      <c r="EN47" s="117"/>
      <c r="EO47" s="117"/>
      <c r="EP47" s="117"/>
      <c r="EQ47" s="117"/>
      <c r="ER47" s="117"/>
      <c r="ES47" s="117"/>
      <c r="ET47" s="117"/>
      <c r="EU47" s="117"/>
      <c r="EV47" s="117"/>
      <c r="EW47" s="117"/>
      <c r="EX47" s="117"/>
      <c r="EY47" s="117"/>
      <c r="EZ47" s="101"/>
      <c r="FA47" s="117"/>
      <c r="FB47" s="117"/>
      <c r="FC47" s="117"/>
      <c r="FD47" s="117"/>
      <c r="FE47" s="117"/>
      <c r="FF47" s="491"/>
      <c r="FG47" s="491"/>
      <c r="FH47" s="491"/>
      <c r="FI47" s="117"/>
      <c r="FJ47" s="117"/>
      <c r="FK47" s="117"/>
      <c r="FL47" s="117"/>
      <c r="FM47" s="117"/>
      <c r="FN47" s="117"/>
      <c r="FO47" s="117"/>
      <c r="FP47" s="117"/>
      <c r="FQ47" s="117"/>
      <c r="FR47" s="117"/>
      <c r="FS47" s="117"/>
      <c r="FT47" s="491"/>
      <c r="FU47" s="491"/>
      <c r="FV47" s="117"/>
      <c r="FW47" s="117"/>
      <c r="FX47" s="117"/>
      <c r="FY47" s="117"/>
      <c r="FZ47" s="117"/>
      <c r="GA47" s="117"/>
      <c r="GB47" s="117"/>
      <c r="GC47" s="117"/>
      <c r="GD47" s="117"/>
      <c r="GE47" s="117"/>
      <c r="GF47" s="117"/>
      <c r="GG47" s="101"/>
      <c r="GH47" s="117"/>
      <c r="GI47" s="117"/>
      <c r="GJ47" s="117"/>
      <c r="GK47" s="117"/>
      <c r="GL47" s="117"/>
      <c r="GM47" s="117"/>
      <c r="GN47" s="117"/>
      <c r="GO47" s="117"/>
      <c r="GP47" s="117"/>
      <c r="GQ47" s="117"/>
      <c r="GR47" s="117"/>
      <c r="GS47" s="117"/>
      <c r="GT47" s="117"/>
      <c r="GU47" s="117"/>
      <c r="GV47" s="117"/>
      <c r="GW47" s="117"/>
      <c r="GX47" s="117"/>
      <c r="GY47" s="117"/>
      <c r="GZ47" s="117"/>
      <c r="HA47" s="117"/>
      <c r="HB47" s="117"/>
      <c r="HC47" s="117"/>
      <c r="HD47" s="117"/>
      <c r="HE47" s="117"/>
      <c r="HF47" s="117"/>
      <c r="HG47" s="117"/>
      <c r="HH47" s="117"/>
      <c r="HI47" s="117"/>
      <c r="HJ47" s="117"/>
      <c r="HK47" s="117"/>
      <c r="HL47" s="117"/>
      <c r="HM47" s="117"/>
      <c r="HN47" s="117"/>
      <c r="HO47" s="117"/>
      <c r="HP47" s="117"/>
      <c r="HQ47" s="117"/>
      <c r="HR47" s="117"/>
      <c r="HS47" s="227"/>
      <c r="HT47" s="117"/>
      <c r="HU47" s="117"/>
      <c r="HV47" s="117"/>
      <c r="HW47" s="117"/>
      <c r="HX47" s="117"/>
      <c r="HY47" s="117"/>
      <c r="HZ47" s="117"/>
      <c r="IA47" s="117"/>
      <c r="IB47" s="117"/>
      <c r="IC47" s="117"/>
      <c r="ID47" s="117"/>
      <c r="IE47" s="117"/>
      <c r="IF47" s="117"/>
      <c r="IG47" s="117"/>
      <c r="IH47" s="491"/>
      <c r="II47" s="491"/>
      <c r="IJ47" s="491"/>
      <c r="IK47" s="117"/>
      <c r="IL47" s="117"/>
      <c r="IM47" s="117"/>
      <c r="IN47" s="117"/>
      <c r="IO47" s="491"/>
      <c r="IP47" s="117"/>
      <c r="IQ47" s="117"/>
      <c r="IR47" s="117"/>
      <c r="IS47" s="117"/>
      <c r="IT47" s="117"/>
      <c r="IU47" s="491"/>
    </row>
    <row r="48" spans="1:259" ht="24.95" customHeight="1">
      <c r="A48" s="205"/>
      <c r="B48" s="203"/>
      <c r="C48" s="203"/>
      <c r="D48" s="226" t="e">
        <f>#REF!/B48</f>
        <v>#REF!</v>
      </c>
      <c r="E48" s="187"/>
      <c r="F48" s="100"/>
      <c r="G48" s="101"/>
      <c r="H48" s="101"/>
      <c r="I48" s="101"/>
      <c r="J48" s="103"/>
      <c r="K48" s="105" t="s">
        <v>437</v>
      </c>
      <c r="L48" s="106" t="s">
        <v>437</v>
      </c>
      <c r="M48" s="106" t="s">
        <v>437</v>
      </c>
      <c r="N48" s="106" t="s">
        <v>437</v>
      </c>
      <c r="O48" s="107" t="s">
        <v>437</v>
      </c>
      <c r="P48" s="102"/>
      <c r="Q48" s="101"/>
      <c r="R48" s="101"/>
      <c r="S48" s="101"/>
      <c r="T48" s="98"/>
      <c r="U48" s="281" t="s">
        <v>437</v>
      </c>
      <c r="V48" s="106" t="s">
        <v>437</v>
      </c>
      <c r="W48" s="106" t="s">
        <v>437</v>
      </c>
      <c r="X48" s="106" t="s">
        <v>437</v>
      </c>
      <c r="Y48" s="106" t="s">
        <v>437</v>
      </c>
      <c r="Z48" s="100"/>
      <c r="AA48" s="101"/>
      <c r="AB48" s="101"/>
      <c r="AC48" s="101"/>
      <c r="AD48" s="98"/>
      <c r="AE48" s="100"/>
      <c r="AF48" s="101"/>
      <c r="AG48" s="101"/>
      <c r="AH48" s="101"/>
      <c r="AI48" s="98"/>
      <c r="AJ48" s="100"/>
      <c r="AK48" s="101"/>
      <c r="AL48" s="101"/>
      <c r="AM48" s="101"/>
      <c r="AN48" s="103" t="s">
        <v>244</v>
      </c>
      <c r="AO48" s="100"/>
      <c r="AP48" s="101"/>
      <c r="AQ48" s="101"/>
      <c r="AR48" s="101"/>
      <c r="AS48" s="98"/>
      <c r="AT48" s="102"/>
      <c r="AU48" s="104"/>
      <c r="AV48" s="104"/>
      <c r="AW48" s="104"/>
      <c r="AX48" s="104"/>
      <c r="AY48" s="392"/>
      <c r="AZ48" s="102"/>
      <c r="BA48" s="101"/>
      <c r="BB48" s="101"/>
      <c r="BC48" s="101" t="s">
        <v>244</v>
      </c>
      <c r="BD48" s="103" t="s">
        <v>244</v>
      </c>
      <c r="BE48" s="100"/>
      <c r="BF48" s="101"/>
      <c r="BG48" s="101"/>
      <c r="BH48" s="101"/>
      <c r="BI48" s="98"/>
      <c r="BJ48" s="100"/>
      <c r="BK48" s="101"/>
      <c r="BL48" s="101"/>
      <c r="BM48" s="101"/>
      <c r="BN48" s="98"/>
      <c r="BO48" s="102"/>
      <c r="BP48" s="101"/>
      <c r="BQ48" s="101"/>
      <c r="BR48" s="101"/>
      <c r="BS48" s="98"/>
      <c r="BT48" s="102"/>
      <c r="BU48" s="101"/>
      <c r="BV48" s="101"/>
      <c r="BW48" s="101"/>
      <c r="BX48" s="98"/>
      <c r="BY48" s="100"/>
      <c r="BZ48" s="101"/>
      <c r="CA48" s="101"/>
      <c r="CB48" s="101"/>
      <c r="CC48" s="98"/>
      <c r="CD48" s="100"/>
      <c r="CE48" s="101"/>
      <c r="CF48" s="101"/>
      <c r="CG48" s="101"/>
      <c r="CH48" s="98"/>
      <c r="CI48" s="100"/>
      <c r="CJ48" s="101"/>
      <c r="CK48" s="101"/>
      <c r="CL48" s="101"/>
      <c r="CM48" s="98"/>
      <c r="CN48" s="102"/>
      <c r="CO48" s="101"/>
      <c r="CP48" s="101"/>
      <c r="CQ48" s="101"/>
      <c r="CR48" s="98"/>
      <c r="CS48" s="489"/>
      <c r="CT48" s="101"/>
      <c r="CU48" s="243"/>
      <c r="CV48" s="400"/>
      <c r="CX48" s="100"/>
      <c r="CY48" s="101"/>
      <c r="CZ48" s="101"/>
      <c r="DA48" s="101"/>
      <c r="DB48" s="98"/>
      <c r="DC48" s="100"/>
      <c r="DD48" s="101"/>
      <c r="DE48" s="101"/>
      <c r="DF48" s="101"/>
      <c r="DG48" s="103"/>
      <c r="DH48" s="116"/>
      <c r="DI48" s="117"/>
      <c r="DJ48" s="117"/>
      <c r="DK48" s="117"/>
      <c r="DL48" s="227"/>
      <c r="DM48" s="116"/>
      <c r="DN48" s="117"/>
      <c r="DO48" s="117"/>
      <c r="DP48" s="117"/>
      <c r="DQ48" s="227"/>
      <c r="DR48" s="489"/>
      <c r="DS48" s="117"/>
      <c r="DT48" s="117"/>
      <c r="DU48" s="117"/>
      <c r="DV48" s="118"/>
      <c r="DW48" s="119"/>
      <c r="DX48" s="117"/>
      <c r="DY48" s="117"/>
      <c r="DZ48" s="117"/>
      <c r="EA48" s="118"/>
      <c r="EB48" s="116"/>
      <c r="EC48" s="117"/>
      <c r="ED48" s="117"/>
      <c r="EE48" s="117"/>
      <c r="EF48" s="227"/>
      <c r="EG48" s="117"/>
      <c r="EH48" s="117"/>
      <c r="EI48" s="117"/>
      <c r="EJ48" s="117"/>
      <c r="EK48" s="117"/>
      <c r="EL48" s="117"/>
      <c r="EM48" s="117"/>
      <c r="EN48" s="117"/>
      <c r="EO48" s="117"/>
      <c r="EP48" s="117"/>
      <c r="EQ48" s="117"/>
      <c r="ER48" s="117"/>
      <c r="ES48" s="117"/>
      <c r="ET48" s="117"/>
      <c r="EU48" s="334" t="s">
        <v>788</v>
      </c>
      <c r="EV48" s="117"/>
      <c r="EW48" s="117"/>
      <c r="EX48" s="117"/>
      <c r="EY48" s="117"/>
      <c r="EZ48" s="101"/>
      <c r="FA48" s="117"/>
      <c r="FB48" s="117"/>
      <c r="FC48" s="117"/>
      <c r="FD48" s="117"/>
      <c r="FE48" s="117"/>
      <c r="FF48" s="491"/>
      <c r="FG48" s="491"/>
      <c r="FH48" s="491"/>
      <c r="FI48" s="117"/>
      <c r="FJ48" s="117"/>
      <c r="FK48" s="117"/>
      <c r="FN48" s="756"/>
      <c r="FO48" s="756"/>
      <c r="FP48" s="756"/>
      <c r="FQ48" s="756"/>
      <c r="FR48" s="756" t="s">
        <v>256</v>
      </c>
      <c r="FS48" s="117"/>
      <c r="FT48" s="491"/>
      <c r="FU48" s="491"/>
      <c r="FV48" s="117"/>
      <c r="FW48" s="117"/>
      <c r="FX48" s="117"/>
      <c r="FY48" s="117"/>
      <c r="FZ48" s="117"/>
      <c r="GA48" s="117"/>
      <c r="GB48" s="117"/>
      <c r="GC48" s="117"/>
      <c r="GD48" s="117"/>
      <c r="GE48" s="117"/>
      <c r="GF48" s="117"/>
      <c r="GG48" s="101"/>
      <c r="GH48" s="117"/>
      <c r="GI48" s="117"/>
      <c r="GJ48" s="117"/>
      <c r="GK48" s="117"/>
      <c r="GL48" s="117"/>
      <c r="GM48" s="117"/>
      <c r="GN48" s="117"/>
      <c r="GO48" s="117"/>
      <c r="GP48" s="117"/>
      <c r="GQ48" s="117"/>
      <c r="GR48" s="117"/>
      <c r="GS48" s="424"/>
      <c r="IH48" s="491"/>
      <c r="II48" s="491"/>
      <c r="IJ48" s="491"/>
      <c r="IO48" s="491"/>
      <c r="IU48" s="491"/>
    </row>
    <row r="49" spans="1:255" ht="24.95" customHeight="1">
      <c r="A49" s="205"/>
      <c r="B49" s="203"/>
      <c r="C49" s="203"/>
      <c r="D49" s="226" t="e">
        <f>#REF!/B49</f>
        <v>#REF!</v>
      </c>
      <c r="E49" s="187"/>
      <c r="F49" s="100"/>
      <c r="G49" s="101"/>
      <c r="H49" s="101"/>
      <c r="I49" s="101"/>
      <c r="J49" s="103"/>
      <c r="K49" s="105" t="s">
        <v>437</v>
      </c>
      <c r="L49" s="106" t="s">
        <v>437</v>
      </c>
      <c r="M49" s="106" t="s">
        <v>437</v>
      </c>
      <c r="N49" s="106" t="s">
        <v>437</v>
      </c>
      <c r="O49" s="107" t="s">
        <v>437</v>
      </c>
      <c r="P49" s="102"/>
      <c r="Q49" s="101"/>
      <c r="R49" s="101"/>
      <c r="S49" s="101"/>
      <c r="T49" s="98"/>
      <c r="U49" s="281" t="s">
        <v>437</v>
      </c>
      <c r="V49" s="106" t="s">
        <v>437</v>
      </c>
      <c r="W49" s="106" t="s">
        <v>437</v>
      </c>
      <c r="X49" s="106" t="s">
        <v>437</v>
      </c>
      <c r="Y49" s="106" t="s">
        <v>437</v>
      </c>
      <c r="Z49" s="100"/>
      <c r="AA49" s="101"/>
      <c r="AB49" s="101"/>
      <c r="AC49" s="101"/>
      <c r="AD49" s="98"/>
      <c r="AE49" s="100"/>
      <c r="AF49" s="101"/>
      <c r="AG49" s="101"/>
      <c r="AH49" s="101"/>
      <c r="AI49" s="98"/>
      <c r="AJ49" s="100"/>
      <c r="AK49" s="101"/>
      <c r="AL49" s="101"/>
      <c r="AM49" s="101"/>
      <c r="AN49" s="103" t="s">
        <v>244</v>
      </c>
      <c r="AO49" s="100"/>
      <c r="AP49" s="101"/>
      <c r="AQ49" s="101"/>
      <c r="AR49" s="101"/>
      <c r="AS49" s="98"/>
      <c r="AT49" s="102"/>
      <c r="AU49" s="104"/>
      <c r="AV49" s="104"/>
      <c r="AW49" s="104"/>
      <c r="AX49" s="104"/>
      <c r="AY49" s="392"/>
      <c r="AZ49" s="102"/>
      <c r="BA49" s="101"/>
      <c r="BB49" s="101"/>
      <c r="BC49" s="101" t="s">
        <v>244</v>
      </c>
      <c r="BD49" s="103" t="s">
        <v>244</v>
      </c>
      <c r="BE49" s="100"/>
      <c r="BF49" s="101"/>
      <c r="BG49" s="101"/>
      <c r="BH49" s="101"/>
      <c r="BI49" s="98"/>
      <c r="BJ49" s="100"/>
      <c r="BK49" s="101"/>
      <c r="BL49" s="101"/>
      <c r="BM49" s="101"/>
      <c r="BN49" s="98"/>
      <c r="BO49" s="102"/>
      <c r="BP49" s="101"/>
      <c r="BQ49" s="101"/>
      <c r="BR49" s="101"/>
      <c r="BS49" s="98"/>
      <c r="BT49" s="102"/>
      <c r="BU49" s="101"/>
      <c r="BV49" s="101"/>
      <c r="BW49" s="101"/>
      <c r="BX49" s="98"/>
      <c r="BY49" s="100"/>
      <c r="BZ49" s="101"/>
      <c r="CA49" s="101"/>
      <c r="CB49" s="101"/>
      <c r="CC49" s="98"/>
      <c r="CD49" s="100"/>
      <c r="CE49" s="101"/>
      <c r="CF49" s="101"/>
      <c r="CG49" s="101"/>
      <c r="CH49" s="98"/>
      <c r="CI49" s="100"/>
      <c r="CJ49" s="101"/>
      <c r="CK49" s="101"/>
      <c r="CL49" s="101"/>
      <c r="CM49" s="98"/>
      <c r="CN49" s="102"/>
      <c r="CO49" s="101"/>
      <c r="CP49" s="101"/>
      <c r="CQ49" s="101"/>
      <c r="CR49" s="98"/>
      <c r="CS49" s="489"/>
      <c r="CT49" s="101"/>
      <c r="CU49" s="101"/>
      <c r="CV49" s="101"/>
      <c r="CW49" s="98"/>
      <c r="CX49" s="100"/>
      <c r="CY49" s="101"/>
      <c r="CZ49" s="101"/>
      <c r="DA49" s="101"/>
      <c r="DB49" s="98"/>
      <c r="DC49" s="100"/>
      <c r="DD49" s="101"/>
      <c r="DE49" s="101"/>
      <c r="DF49" s="101"/>
      <c r="DG49" s="103"/>
      <c r="DH49" s="116"/>
      <c r="DI49" s="117"/>
      <c r="DJ49" s="117"/>
      <c r="DK49" s="117"/>
      <c r="DL49" s="227"/>
      <c r="DM49" s="116"/>
      <c r="DN49" s="117"/>
      <c r="DO49" s="117"/>
      <c r="DP49" s="117"/>
      <c r="DQ49" s="227"/>
      <c r="DR49" s="489"/>
      <c r="DS49" s="117"/>
      <c r="DT49" s="117"/>
      <c r="DU49" s="117"/>
      <c r="DV49" s="118"/>
      <c r="DW49" s="119"/>
      <c r="DX49" s="117"/>
      <c r="DY49" s="117"/>
      <c r="DZ49" s="117"/>
      <c r="EA49" s="118"/>
      <c r="EB49" s="116"/>
      <c r="EC49" s="117"/>
      <c r="ED49" s="117"/>
      <c r="EE49" s="117"/>
      <c r="EF49" s="227"/>
      <c r="EG49" s="117"/>
      <c r="EH49" s="117"/>
      <c r="EI49" s="117"/>
      <c r="EJ49" s="117"/>
      <c r="EK49" s="117"/>
      <c r="EL49" s="117"/>
      <c r="EM49" s="117"/>
      <c r="EN49" s="117"/>
      <c r="EO49" s="117"/>
      <c r="EP49" s="117"/>
      <c r="EQ49" s="117"/>
      <c r="ER49" s="117"/>
      <c r="ES49" s="117"/>
      <c r="ET49" s="117"/>
      <c r="EU49" s="117"/>
      <c r="EV49" s="117"/>
      <c r="EW49" s="117"/>
      <c r="EX49" s="117"/>
      <c r="EY49" s="117"/>
      <c r="EZ49" s="101"/>
      <c r="FA49" s="117"/>
      <c r="FB49" s="117"/>
      <c r="FC49" s="117"/>
      <c r="FD49" s="117"/>
      <c r="FE49" s="117"/>
      <c r="FF49" s="491"/>
      <c r="FG49" s="491"/>
      <c r="FH49" s="491"/>
      <c r="FI49" s="117"/>
      <c r="FJ49" s="117"/>
      <c r="FK49" s="117"/>
      <c r="FL49" s="117"/>
      <c r="FM49" s="117"/>
      <c r="FN49" s="117"/>
      <c r="FO49" s="117"/>
      <c r="FP49" s="117"/>
      <c r="FQ49" s="117"/>
      <c r="FR49" s="117"/>
      <c r="FS49" s="117"/>
      <c r="FT49" s="491"/>
      <c r="FU49" s="491"/>
      <c r="FV49" s="117"/>
      <c r="FW49" s="117"/>
      <c r="FX49" s="117"/>
      <c r="FY49" s="117"/>
      <c r="FZ49" s="117"/>
      <c r="GA49" s="117"/>
      <c r="GB49" s="117"/>
      <c r="GC49" s="117"/>
      <c r="GD49" s="117"/>
      <c r="GE49" s="117"/>
      <c r="GF49" s="117"/>
      <c r="GG49" s="101"/>
      <c r="GH49" s="117"/>
      <c r="GI49" s="117"/>
      <c r="GJ49" s="117"/>
      <c r="GK49" s="117"/>
      <c r="GL49" s="117"/>
      <c r="GM49" s="117"/>
      <c r="GN49" s="117"/>
      <c r="GO49" s="117"/>
      <c r="GP49" s="117"/>
      <c r="GQ49" s="117"/>
      <c r="GR49" s="117"/>
      <c r="GS49" s="424"/>
      <c r="IH49" s="491"/>
      <c r="II49" s="491"/>
      <c r="IJ49" s="491"/>
      <c r="IO49" s="491"/>
      <c r="IU49" s="491"/>
    </row>
    <row r="50" spans="1:255" ht="24.95" customHeight="1">
      <c r="A50" s="205"/>
      <c r="B50" s="203"/>
      <c r="C50" s="203"/>
      <c r="D50" s="226" t="e">
        <f>#REF!/B50</f>
        <v>#REF!</v>
      </c>
      <c r="E50" s="187"/>
      <c r="F50" s="100"/>
      <c r="G50" s="101"/>
      <c r="H50" s="101"/>
      <c r="I50" s="101"/>
      <c r="J50" s="103"/>
      <c r="K50" s="105" t="s">
        <v>437</v>
      </c>
      <c r="L50" s="106" t="s">
        <v>437</v>
      </c>
      <c r="M50" s="106" t="s">
        <v>437</v>
      </c>
      <c r="N50" s="106" t="s">
        <v>437</v>
      </c>
      <c r="O50" s="107" t="s">
        <v>437</v>
      </c>
      <c r="P50" s="102"/>
      <c r="Q50" s="101"/>
      <c r="R50" s="101"/>
      <c r="S50" s="101"/>
      <c r="T50" s="98"/>
      <c r="U50" s="281" t="s">
        <v>437</v>
      </c>
      <c r="V50" s="106" t="s">
        <v>437</v>
      </c>
      <c r="W50" s="106" t="s">
        <v>437</v>
      </c>
      <c r="X50" s="106" t="s">
        <v>437</v>
      </c>
      <c r="Y50" s="106" t="s">
        <v>437</v>
      </c>
      <c r="Z50" s="100"/>
      <c r="AA50" s="101"/>
      <c r="AB50" s="101"/>
      <c r="AC50" s="101"/>
      <c r="AD50" s="98"/>
      <c r="AE50" s="100"/>
      <c r="AF50" s="101"/>
      <c r="AG50" s="101"/>
      <c r="AH50" s="101"/>
      <c r="AI50" s="98"/>
      <c r="AJ50" s="100"/>
      <c r="AK50" s="101"/>
      <c r="AL50" s="101"/>
      <c r="AM50" s="101"/>
      <c r="AN50" s="103" t="s">
        <v>244</v>
      </c>
      <c r="AO50" s="100"/>
      <c r="AP50" s="101"/>
      <c r="AQ50" s="101"/>
      <c r="AR50" s="101"/>
      <c r="AS50" s="98"/>
      <c r="AT50" s="102"/>
      <c r="AU50" s="104"/>
      <c r="AV50" s="104"/>
      <c r="AW50" s="104"/>
      <c r="AX50" s="104"/>
      <c r="AY50" s="392"/>
      <c r="AZ50" s="102"/>
      <c r="BA50" s="101"/>
      <c r="BB50" s="101"/>
      <c r="BC50" s="101" t="s">
        <v>244</v>
      </c>
      <c r="BD50" s="103" t="s">
        <v>244</v>
      </c>
      <c r="BE50" s="100"/>
      <c r="BF50" s="101"/>
      <c r="BG50" s="101"/>
      <c r="BH50" s="101"/>
      <c r="BI50" s="98"/>
      <c r="BJ50" s="100"/>
      <c r="BK50" s="101"/>
      <c r="BL50" s="101"/>
      <c r="BM50" s="101"/>
      <c r="BN50" s="98"/>
      <c r="BO50" s="102"/>
      <c r="BP50" s="101"/>
      <c r="BQ50" s="101"/>
      <c r="BR50" s="101"/>
      <c r="BS50" s="98"/>
      <c r="BT50" s="102"/>
      <c r="BU50" s="101"/>
      <c r="BV50" s="101"/>
      <c r="BW50" s="101"/>
      <c r="BX50" s="98"/>
      <c r="BY50" s="100"/>
      <c r="BZ50" s="101"/>
      <c r="CA50" s="101"/>
      <c r="CB50" s="101"/>
      <c r="CC50" s="98"/>
      <c r="CD50" s="100"/>
      <c r="CE50" s="101"/>
      <c r="CF50" s="101"/>
      <c r="CG50" s="101"/>
      <c r="CH50" s="98"/>
      <c r="CI50" s="100"/>
      <c r="CJ50" s="101"/>
      <c r="CK50" s="101"/>
      <c r="CL50" s="101"/>
      <c r="CM50" s="98"/>
      <c r="CN50" s="102"/>
      <c r="CO50" s="101"/>
      <c r="CP50" s="101"/>
      <c r="CQ50" s="101"/>
      <c r="CR50" s="98"/>
      <c r="CS50" s="489"/>
      <c r="CT50" s="101"/>
      <c r="CU50" s="101"/>
      <c r="CV50" s="101"/>
      <c r="CW50" s="98"/>
      <c r="CX50" s="100"/>
      <c r="CY50" s="101"/>
      <c r="CZ50" s="101"/>
      <c r="DA50" s="101"/>
      <c r="DB50" s="98"/>
      <c r="DC50" s="100"/>
      <c r="DD50" s="101"/>
      <c r="DE50" s="101"/>
      <c r="DF50" s="101"/>
      <c r="DG50" s="103"/>
      <c r="DH50" s="116"/>
      <c r="DI50" s="117"/>
      <c r="DJ50" s="117"/>
      <c r="DK50" s="117"/>
      <c r="DL50" s="227"/>
      <c r="DM50" s="116"/>
      <c r="DN50" s="117"/>
      <c r="DO50" s="117"/>
      <c r="DP50" s="117"/>
      <c r="DQ50" s="227"/>
      <c r="DR50" s="489"/>
      <c r="DS50" s="117"/>
      <c r="DT50" s="117"/>
      <c r="DU50" s="117"/>
      <c r="DV50" s="118"/>
      <c r="DW50" s="119"/>
      <c r="DX50" s="117"/>
      <c r="DY50" s="117"/>
      <c r="DZ50" s="117"/>
      <c r="EA50" s="118"/>
      <c r="EB50" s="116"/>
      <c r="EC50" s="117"/>
      <c r="ED50" s="117"/>
      <c r="EE50" s="117"/>
      <c r="EF50" s="227"/>
      <c r="EG50" s="117"/>
      <c r="EH50" s="117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17"/>
      <c r="EY50" s="117"/>
      <c r="EZ50" s="101"/>
      <c r="FA50" s="117"/>
      <c r="FB50" s="117"/>
      <c r="FC50" s="117"/>
      <c r="FD50" s="117"/>
      <c r="FE50" s="117"/>
      <c r="FF50" s="491"/>
      <c r="FG50" s="491"/>
      <c r="FH50" s="491"/>
      <c r="FI50" s="117"/>
      <c r="FJ50" s="117"/>
      <c r="FK50" s="117"/>
      <c r="FL50" s="117"/>
      <c r="FM50" s="117"/>
      <c r="FN50" s="117"/>
      <c r="FO50" s="117"/>
      <c r="FP50" s="117"/>
      <c r="FQ50" s="117"/>
      <c r="FR50" s="117"/>
      <c r="FS50" s="117"/>
      <c r="FT50" s="491"/>
      <c r="FU50" s="491"/>
      <c r="FV50" s="117"/>
      <c r="FW50" s="117"/>
      <c r="FX50" s="117"/>
      <c r="FY50" s="117"/>
      <c r="FZ50" s="117"/>
      <c r="GA50" s="117"/>
      <c r="GB50" s="117"/>
      <c r="GC50" s="117"/>
      <c r="GD50" s="117"/>
      <c r="GE50" s="117"/>
      <c r="GF50" s="117"/>
      <c r="GG50" s="101"/>
      <c r="GH50" s="117"/>
      <c r="GI50" s="117"/>
      <c r="GJ50" s="117"/>
      <c r="GK50" s="117"/>
      <c r="GL50" s="117"/>
      <c r="GM50" s="117"/>
      <c r="GN50" s="117"/>
      <c r="GO50" s="117"/>
      <c r="GP50" s="117"/>
      <c r="GQ50" s="117"/>
      <c r="GR50" s="117"/>
      <c r="GS50" s="424"/>
      <c r="IH50" s="491"/>
      <c r="II50" s="491"/>
      <c r="IJ50" s="491"/>
      <c r="IO50" s="491"/>
      <c r="IU50" s="491"/>
    </row>
    <row r="51" spans="1:255" ht="24.95" customHeight="1">
      <c r="A51" s="757"/>
      <c r="B51" s="203"/>
      <c r="C51" s="203"/>
      <c r="D51" s="226" t="e">
        <f>#REF!/B51</f>
        <v>#REF!</v>
      </c>
      <c r="E51" s="187"/>
      <c r="F51" s="100"/>
      <c r="G51" s="101"/>
      <c r="H51" s="101"/>
      <c r="I51" s="101"/>
      <c r="J51" s="103"/>
      <c r="K51" s="105" t="s">
        <v>437</v>
      </c>
      <c r="L51" s="106" t="s">
        <v>437</v>
      </c>
      <c r="M51" s="106" t="s">
        <v>437</v>
      </c>
      <c r="N51" s="106" t="s">
        <v>437</v>
      </c>
      <c r="O51" s="107" t="s">
        <v>437</v>
      </c>
      <c r="P51" s="102"/>
      <c r="Q51" s="101"/>
      <c r="R51" s="101"/>
      <c r="S51" s="101"/>
      <c r="T51" s="98"/>
      <c r="U51" s="281" t="s">
        <v>437</v>
      </c>
      <c r="V51" s="106" t="s">
        <v>437</v>
      </c>
      <c r="W51" s="106" t="s">
        <v>437</v>
      </c>
      <c r="X51" s="106" t="s">
        <v>437</v>
      </c>
      <c r="Y51" s="106" t="s">
        <v>437</v>
      </c>
      <c r="Z51" s="100"/>
      <c r="AA51" s="101"/>
      <c r="AB51" s="101"/>
      <c r="AC51" s="101"/>
      <c r="AD51" s="98"/>
      <c r="AE51" s="100"/>
      <c r="AF51" s="101"/>
      <c r="AG51" s="101"/>
      <c r="AH51" s="101"/>
      <c r="AI51" s="98"/>
      <c r="AJ51" s="100"/>
      <c r="AK51" s="101"/>
      <c r="AL51" s="101"/>
      <c r="AM51" s="101"/>
      <c r="AN51" s="103" t="s">
        <v>244</v>
      </c>
      <c r="AO51" s="100"/>
      <c r="AP51" s="101"/>
      <c r="AQ51" s="101"/>
      <c r="AR51" s="101"/>
      <c r="AS51" s="98"/>
      <c r="AT51" s="102"/>
      <c r="AU51" s="388"/>
      <c r="AV51" s="388"/>
      <c r="AW51" s="104"/>
      <c r="AX51" s="104"/>
      <c r="AY51" s="392"/>
      <c r="AZ51" s="102"/>
      <c r="BA51" s="101"/>
      <c r="BB51" s="101"/>
      <c r="BC51" s="101" t="s">
        <v>244</v>
      </c>
      <c r="BD51" s="103" t="s">
        <v>244</v>
      </c>
      <c r="BE51" s="100"/>
      <c r="BF51" s="101"/>
      <c r="BG51" s="101"/>
      <c r="BH51" s="101"/>
      <c r="BI51" s="98"/>
      <c r="BJ51" s="100"/>
      <c r="BK51" s="101"/>
      <c r="BL51" s="101"/>
      <c r="BM51" s="101"/>
      <c r="BN51" s="98"/>
      <c r="BO51" s="102"/>
      <c r="BP51" s="101"/>
      <c r="BQ51" s="101"/>
      <c r="BR51" s="101"/>
      <c r="BS51" s="98"/>
      <c r="BT51" s="102"/>
      <c r="BU51" s="101"/>
      <c r="BV51" s="101"/>
      <c r="BW51" s="101"/>
      <c r="BX51" s="98"/>
      <c r="BY51" s="100"/>
      <c r="BZ51" s="101"/>
      <c r="CA51" s="101"/>
      <c r="CB51" s="101"/>
      <c r="CC51" s="98"/>
      <c r="CD51" s="100"/>
      <c r="CE51" s="101"/>
      <c r="CF51" s="101"/>
      <c r="CG51" s="101"/>
      <c r="CH51" s="98"/>
      <c r="CI51" s="100"/>
      <c r="CJ51" s="101"/>
      <c r="CK51" s="101"/>
      <c r="CL51" s="101"/>
      <c r="CM51" s="98"/>
      <c r="CN51" s="102"/>
      <c r="CO51" s="101"/>
      <c r="CP51" s="101"/>
      <c r="CQ51" s="101"/>
      <c r="CR51" s="98"/>
      <c r="CS51" s="489"/>
      <c r="CT51" s="101"/>
      <c r="CU51" s="101"/>
      <c r="CV51" s="101"/>
      <c r="CW51" s="98"/>
      <c r="CX51" s="100"/>
      <c r="CY51" s="101"/>
      <c r="CZ51" s="101"/>
      <c r="DA51" s="101"/>
      <c r="DB51" s="98"/>
      <c r="DC51" s="100"/>
      <c r="DD51" s="101"/>
      <c r="DE51" s="101"/>
      <c r="DF51" s="101"/>
      <c r="DG51" s="103"/>
      <c r="DH51" s="116"/>
      <c r="DI51" s="117"/>
      <c r="DJ51" s="117"/>
      <c r="DK51" s="117"/>
      <c r="DL51" s="227"/>
      <c r="DM51" s="116"/>
      <c r="DN51" s="117"/>
      <c r="DO51" s="117"/>
      <c r="DP51" s="117"/>
      <c r="DQ51" s="227"/>
      <c r="DR51" s="489"/>
      <c r="DS51" s="117"/>
      <c r="DT51" s="117"/>
      <c r="DU51" s="117"/>
      <c r="DV51" s="118"/>
      <c r="DW51" s="119"/>
      <c r="DX51" s="117"/>
      <c r="DY51" s="117"/>
      <c r="DZ51" s="117"/>
      <c r="EA51" s="118"/>
      <c r="EB51" s="116"/>
      <c r="EC51" s="117"/>
      <c r="ED51" s="117"/>
      <c r="EE51" s="117"/>
      <c r="EF51" s="227"/>
      <c r="EG51" s="117"/>
      <c r="EH51" s="117"/>
      <c r="EI51" s="117"/>
      <c r="EJ51" s="117"/>
      <c r="EK51" s="117"/>
      <c r="EL51" s="117"/>
      <c r="EM51" s="117"/>
      <c r="EN51" s="117"/>
      <c r="EO51" s="117"/>
      <c r="EP51" s="117"/>
      <c r="EQ51" s="117"/>
      <c r="ER51" s="117"/>
      <c r="ES51" s="117"/>
      <c r="ET51" s="117"/>
      <c r="EU51" s="117"/>
      <c r="EV51" s="117"/>
      <c r="EW51" s="117"/>
      <c r="EX51" s="117"/>
      <c r="EY51" s="117"/>
      <c r="EZ51" s="101"/>
      <c r="FA51" s="117"/>
      <c r="FB51" s="117"/>
      <c r="FC51" s="117"/>
      <c r="FD51" s="117"/>
      <c r="FE51" s="117"/>
      <c r="FF51" s="491"/>
      <c r="FG51" s="491"/>
      <c r="FH51" s="491"/>
      <c r="FI51" s="117"/>
      <c r="FJ51" s="117"/>
      <c r="FK51" s="117"/>
      <c r="FL51" s="117"/>
      <c r="FM51" s="117"/>
      <c r="FN51" s="117"/>
      <c r="FO51" s="117"/>
      <c r="FP51" s="117"/>
      <c r="FQ51" s="117"/>
      <c r="FR51" s="117"/>
      <c r="FS51" s="117"/>
      <c r="FT51" s="491"/>
      <c r="FU51" s="491"/>
      <c r="FV51" s="117"/>
      <c r="FW51" s="117"/>
      <c r="FX51" s="117"/>
      <c r="FY51" s="117"/>
      <c r="FZ51" s="117"/>
      <c r="GA51" s="117"/>
      <c r="GB51" s="117"/>
      <c r="GC51" s="117"/>
      <c r="GD51" s="117"/>
      <c r="GE51" s="117"/>
      <c r="GF51" s="117"/>
      <c r="GG51" s="101"/>
      <c r="GH51" s="117"/>
      <c r="GI51" s="117"/>
      <c r="GJ51" s="117"/>
      <c r="GK51" s="117"/>
      <c r="GL51" s="117"/>
      <c r="GM51" s="117"/>
      <c r="GN51" s="117"/>
      <c r="GO51" s="117"/>
      <c r="GP51" s="117"/>
      <c r="GQ51" s="117"/>
      <c r="GR51" s="117"/>
      <c r="GS51" s="424"/>
      <c r="IH51" s="491"/>
      <c r="II51" s="491"/>
      <c r="IJ51" s="491"/>
      <c r="IO51" s="491"/>
      <c r="IU51" s="491"/>
    </row>
    <row r="52" spans="1:255" ht="24.95" customHeight="1">
      <c r="A52" s="205"/>
      <c r="B52" s="203"/>
      <c r="C52" s="203"/>
      <c r="D52" s="226" t="e">
        <f>#REF!/B52</f>
        <v>#REF!</v>
      </c>
      <c r="E52" s="187"/>
      <c r="F52" s="100"/>
      <c r="G52" s="101"/>
      <c r="H52" s="101"/>
      <c r="I52" s="101"/>
      <c r="J52" s="103"/>
      <c r="K52" s="105" t="s">
        <v>437</v>
      </c>
      <c r="L52" s="106" t="s">
        <v>437</v>
      </c>
      <c r="M52" s="106" t="s">
        <v>437</v>
      </c>
      <c r="N52" s="106" t="s">
        <v>437</v>
      </c>
      <c r="O52" s="107" t="s">
        <v>437</v>
      </c>
      <c r="P52" s="102"/>
      <c r="Q52" s="101"/>
      <c r="R52" s="101"/>
      <c r="S52" s="244"/>
      <c r="T52" s="244"/>
      <c r="U52" s="281" t="s">
        <v>437</v>
      </c>
      <c r="V52" s="106" t="s">
        <v>437</v>
      </c>
      <c r="W52" s="106" t="s">
        <v>437</v>
      </c>
      <c r="X52" s="106" t="s">
        <v>437</v>
      </c>
      <c r="Y52" s="106" t="s">
        <v>437</v>
      </c>
      <c r="Z52" s="100"/>
      <c r="AA52" s="101"/>
      <c r="AB52" s="101"/>
      <c r="AC52" s="101"/>
      <c r="AD52" s="98"/>
      <c r="AE52" s="100"/>
      <c r="AF52" s="101"/>
      <c r="AG52" s="101"/>
      <c r="AH52" s="101"/>
      <c r="AI52" s="333"/>
      <c r="AL52" s="332"/>
      <c r="AM52" s="331"/>
      <c r="AN52" s="103" t="s">
        <v>244</v>
      </c>
      <c r="AO52" s="331"/>
      <c r="AP52" s="332"/>
      <c r="AQ52" s="101"/>
      <c r="AR52" s="334" t="s">
        <v>536</v>
      </c>
      <c r="AS52" s="98"/>
      <c r="AT52" s="102"/>
      <c r="AU52" s="104"/>
      <c r="AV52" s="104"/>
      <c r="AW52" s="104"/>
      <c r="AX52" s="104"/>
      <c r="AY52" s="392"/>
      <c r="AZ52" s="102"/>
      <c r="BA52" s="101"/>
      <c r="BB52" s="101"/>
      <c r="BC52" s="101" t="s">
        <v>244</v>
      </c>
      <c r="BD52" s="103" t="s">
        <v>244</v>
      </c>
      <c r="BE52" s="100"/>
      <c r="BF52" s="101"/>
      <c r="BG52" s="101"/>
      <c r="BH52" s="101"/>
      <c r="BI52" s="98"/>
      <c r="BJ52" s="100"/>
      <c r="BK52" s="430"/>
      <c r="BL52" s="430"/>
      <c r="BM52" s="430"/>
      <c r="BN52" s="409" t="s">
        <v>539</v>
      </c>
      <c r="BO52" s="102"/>
      <c r="BP52" s="101"/>
      <c r="BQ52" s="101"/>
      <c r="BR52" s="101"/>
      <c r="BS52" s="98"/>
      <c r="BT52" s="102"/>
      <c r="BU52" s="101"/>
      <c r="BV52" s="101"/>
      <c r="BW52" s="101"/>
      <c r="BX52" s="98"/>
      <c r="BY52" s="100"/>
      <c r="BZ52" s="101"/>
      <c r="CA52" s="101"/>
      <c r="CB52" s="101"/>
      <c r="CC52" s="98"/>
      <c r="CD52" s="100"/>
      <c r="CE52" s="101"/>
      <c r="CF52" s="101"/>
      <c r="CG52" s="101"/>
      <c r="CH52" s="98"/>
      <c r="CI52" s="100"/>
      <c r="CJ52" s="101"/>
      <c r="CK52" s="101"/>
      <c r="CL52" s="334" t="s">
        <v>540</v>
      </c>
      <c r="CM52" s="98"/>
      <c r="CN52" s="485"/>
      <c r="CO52" s="486"/>
      <c r="CP52" s="486"/>
      <c r="CQ52" s="486"/>
      <c r="CR52" s="426"/>
      <c r="CS52" s="489"/>
      <c r="CT52" s="101"/>
      <c r="CU52" s="101"/>
      <c r="CV52" s="101"/>
      <c r="CW52" s="98"/>
      <c r="CX52" s="100"/>
      <c r="CY52" s="101"/>
      <c r="CZ52" s="101"/>
      <c r="DA52" s="101"/>
      <c r="DB52" s="98"/>
      <c r="DC52" s="100"/>
      <c r="DD52" s="101"/>
      <c r="DE52" s="101"/>
      <c r="DF52" s="101"/>
      <c r="DG52" s="103"/>
      <c r="DH52" s="116"/>
      <c r="DI52" s="117"/>
      <c r="DJ52" s="117"/>
      <c r="DK52" s="117"/>
      <c r="DL52" s="227"/>
      <c r="DM52" s="533"/>
      <c r="DN52" s="494"/>
      <c r="DO52" s="494"/>
      <c r="DQ52" s="227"/>
      <c r="DR52" s="489"/>
      <c r="DS52" s="117"/>
      <c r="DT52" s="117"/>
      <c r="DU52" s="117"/>
      <c r="DV52" s="118"/>
      <c r="DW52" s="119"/>
      <c r="DX52" s="117"/>
      <c r="DY52" s="117"/>
      <c r="DZ52" s="117"/>
      <c r="EA52" s="118"/>
      <c r="EB52" s="116"/>
      <c r="EC52" s="117"/>
      <c r="ED52" s="117"/>
      <c r="EE52" s="117"/>
      <c r="EG52" s="242" t="s">
        <v>830</v>
      </c>
      <c r="EH52" s="242" t="s">
        <v>830</v>
      </c>
      <c r="EI52" s="242" t="s">
        <v>830</v>
      </c>
      <c r="EJ52" s="242" t="s">
        <v>831</v>
      </c>
      <c r="EK52" s="242" t="s">
        <v>831</v>
      </c>
      <c r="EL52" s="242" t="s">
        <v>831</v>
      </c>
      <c r="EM52" s="242" t="s">
        <v>831</v>
      </c>
      <c r="EN52" s="117"/>
      <c r="EO52" s="117"/>
      <c r="EP52" s="334" t="s">
        <v>830</v>
      </c>
      <c r="EQ52" s="117"/>
      <c r="ET52" s="117"/>
      <c r="EU52" s="117"/>
      <c r="EV52" s="117"/>
      <c r="EW52" s="117"/>
      <c r="EX52" s="117"/>
      <c r="EY52" s="117"/>
      <c r="EZ52" s="101"/>
      <c r="FA52" s="117"/>
      <c r="FB52" s="117"/>
      <c r="FC52" s="117"/>
      <c r="FD52" s="117"/>
      <c r="FE52" s="117"/>
      <c r="FF52" s="491"/>
      <c r="FG52" s="491"/>
      <c r="FH52" s="491"/>
      <c r="FI52" s="117"/>
      <c r="FJ52" s="117"/>
      <c r="FK52" s="336"/>
      <c r="FL52" s="336"/>
      <c r="FM52" s="762" t="s">
        <v>831</v>
      </c>
      <c r="FN52" s="117"/>
      <c r="FO52" s="117"/>
      <c r="FP52" s="117"/>
      <c r="FQ52" s="117"/>
      <c r="FR52" s="117"/>
      <c r="FS52" s="117"/>
      <c r="FT52" s="491"/>
      <c r="FU52" s="491"/>
      <c r="FV52" s="117"/>
      <c r="FW52" s="117"/>
      <c r="FX52" s="117"/>
      <c r="FY52" s="117"/>
      <c r="FZ52" s="117"/>
      <c r="GA52" s="117"/>
      <c r="GB52" s="117"/>
      <c r="GC52" s="117"/>
      <c r="GD52" s="117"/>
      <c r="GE52" s="117"/>
      <c r="GF52" s="117"/>
      <c r="GG52" s="101"/>
      <c r="GH52" s="117"/>
      <c r="GI52" s="117"/>
      <c r="GJ52" s="117"/>
      <c r="GK52" s="117"/>
      <c r="GL52" s="117"/>
      <c r="GM52" s="117"/>
      <c r="GN52" s="117"/>
      <c r="GO52" s="117"/>
      <c r="GP52" s="117"/>
      <c r="GQ52" s="117"/>
      <c r="GR52" s="117"/>
      <c r="GS52" s="424"/>
      <c r="IH52" s="491"/>
      <c r="II52" s="491"/>
      <c r="IJ52" s="491"/>
      <c r="IO52" s="491"/>
      <c r="IU52" s="491"/>
    </row>
    <row r="53" spans="1:255" ht="24.95" customHeight="1">
      <c r="A53" s="130"/>
      <c r="B53" s="203"/>
      <c r="C53" s="203"/>
      <c r="D53" s="226" t="e">
        <f>#REF!/B53</f>
        <v>#REF!</v>
      </c>
      <c r="E53" s="189"/>
      <c r="F53" s="111"/>
      <c r="G53" s="112"/>
      <c r="H53" s="112"/>
      <c r="I53" s="112"/>
      <c r="J53" s="115"/>
      <c r="K53" s="105" t="s">
        <v>437</v>
      </c>
      <c r="L53" s="106" t="s">
        <v>437</v>
      </c>
      <c r="M53" s="106" t="s">
        <v>437</v>
      </c>
      <c r="N53" s="106" t="s">
        <v>437</v>
      </c>
      <c r="O53" s="107" t="s">
        <v>437</v>
      </c>
      <c r="P53" s="114"/>
      <c r="Q53" s="112"/>
      <c r="R53" s="112"/>
      <c r="S53" s="112"/>
      <c r="T53" s="113"/>
      <c r="U53" s="281" t="s">
        <v>437</v>
      </c>
      <c r="V53" s="106" t="s">
        <v>437</v>
      </c>
      <c r="W53" s="106" t="s">
        <v>437</v>
      </c>
      <c r="X53" s="106" t="s">
        <v>437</v>
      </c>
      <c r="Y53" s="106" t="s">
        <v>437</v>
      </c>
      <c r="Z53" s="111"/>
      <c r="AA53" s="112"/>
      <c r="AB53" s="112"/>
      <c r="AC53" s="112"/>
      <c r="AD53" s="113"/>
      <c r="AE53" s="111"/>
      <c r="AF53" s="112"/>
      <c r="AG53" s="112"/>
      <c r="AH53" s="112"/>
      <c r="AI53" s="113"/>
      <c r="AJ53" s="111"/>
      <c r="AK53" s="112"/>
      <c r="AL53" s="112"/>
      <c r="AM53" s="112"/>
      <c r="AN53" s="103" t="s">
        <v>244</v>
      </c>
      <c r="AO53" s="100"/>
      <c r="AP53" s="101"/>
      <c r="AQ53" s="101"/>
      <c r="AR53" s="101"/>
      <c r="AS53" s="98"/>
      <c r="AT53" s="102"/>
      <c r="AU53" s="104"/>
      <c r="AV53" s="104"/>
      <c r="AW53" s="104"/>
      <c r="AX53" s="104"/>
      <c r="AY53" s="392"/>
      <c r="AZ53" s="114"/>
      <c r="BA53" s="112"/>
      <c r="BB53" s="112"/>
      <c r="BC53" s="101" t="s">
        <v>244</v>
      </c>
      <c r="BD53" s="103" t="s">
        <v>244</v>
      </c>
      <c r="BE53" s="111"/>
      <c r="BF53" s="112"/>
      <c r="BG53" s="112"/>
      <c r="BH53" s="112"/>
      <c r="BI53" s="113"/>
      <c r="BJ53" s="111"/>
      <c r="BK53" s="112"/>
      <c r="BL53" s="115"/>
      <c r="BM53" s="101"/>
      <c r="BN53" s="113"/>
      <c r="BO53" s="114"/>
      <c r="BP53" s="112"/>
      <c r="BQ53" s="112"/>
      <c r="BR53" s="112"/>
      <c r="BS53" s="113"/>
      <c r="BT53" s="114"/>
      <c r="BU53" s="112"/>
      <c r="BV53" s="112"/>
      <c r="BW53" s="112"/>
      <c r="BX53" s="113"/>
      <c r="BY53" s="111"/>
      <c r="BZ53" s="112"/>
      <c r="CA53" s="112"/>
      <c r="CB53" s="112"/>
      <c r="CC53" s="113"/>
      <c r="CD53" s="111"/>
      <c r="CE53" s="112"/>
      <c r="CF53" s="112"/>
      <c r="CG53" s="112"/>
      <c r="CH53" s="113"/>
      <c r="CI53" s="111"/>
      <c r="CJ53" s="112"/>
      <c r="CK53" s="112"/>
      <c r="CL53" s="112"/>
      <c r="CM53" s="113"/>
      <c r="CN53" s="114"/>
      <c r="CO53" s="112"/>
      <c r="CP53" s="112"/>
      <c r="CQ53" s="112"/>
      <c r="CR53" s="113"/>
      <c r="CS53" s="490"/>
      <c r="CT53" s="112"/>
      <c r="CU53" s="112"/>
      <c r="CV53" s="112"/>
      <c r="CW53" s="113"/>
      <c r="CX53" s="111"/>
      <c r="CY53" s="112"/>
      <c r="CZ53" s="112"/>
      <c r="DA53" s="112"/>
      <c r="DB53" s="113"/>
      <c r="DC53" s="111"/>
      <c r="DD53" s="112"/>
      <c r="DE53" s="112"/>
      <c r="DF53" s="112"/>
      <c r="DG53" s="115"/>
      <c r="DH53" s="116"/>
      <c r="DI53" s="117"/>
      <c r="DJ53" s="117"/>
      <c r="DK53" s="117"/>
      <c r="DL53" s="227"/>
      <c r="DM53" s="116"/>
      <c r="DN53" s="117"/>
      <c r="DO53" s="117"/>
      <c r="DP53" s="117"/>
      <c r="DQ53" s="227"/>
      <c r="DR53" s="490"/>
      <c r="DS53" s="117"/>
      <c r="DT53" s="117"/>
      <c r="DU53" s="117"/>
      <c r="DV53" s="118"/>
      <c r="DW53" s="119"/>
      <c r="DX53" s="117"/>
      <c r="DY53" s="117"/>
      <c r="DZ53" s="117"/>
      <c r="EA53" s="118"/>
      <c r="EB53" s="116"/>
      <c r="EC53" s="117"/>
      <c r="ED53" s="117"/>
      <c r="EE53" s="117"/>
      <c r="EF53" s="227"/>
      <c r="EG53" s="117"/>
      <c r="EH53" s="117"/>
      <c r="EI53" s="117"/>
      <c r="EJ53" s="117"/>
      <c r="EK53" s="117"/>
      <c r="EL53" s="117"/>
      <c r="EM53" s="117"/>
      <c r="EN53" s="117"/>
      <c r="EO53" s="117"/>
      <c r="EP53" s="117"/>
      <c r="EQ53" s="117"/>
      <c r="ER53" s="117"/>
      <c r="ES53" s="117"/>
      <c r="ET53" s="117"/>
      <c r="EU53" s="117"/>
      <c r="EV53" s="117"/>
      <c r="EW53" s="117"/>
      <c r="EX53" s="117"/>
      <c r="EY53" s="117"/>
      <c r="EZ53" s="101"/>
      <c r="FA53" s="117"/>
      <c r="FB53" s="117"/>
      <c r="FC53" s="117"/>
      <c r="FD53" s="117"/>
      <c r="FE53" s="117"/>
      <c r="FF53" s="491"/>
      <c r="FG53" s="491"/>
      <c r="FH53" s="491"/>
      <c r="FI53" s="117"/>
      <c r="FJ53" s="117"/>
      <c r="FK53" s="117"/>
      <c r="FL53" s="117"/>
      <c r="FM53" s="117"/>
      <c r="FN53" s="117"/>
      <c r="FO53" s="117"/>
      <c r="FP53" s="117"/>
      <c r="FQ53" s="117"/>
      <c r="FR53" s="117"/>
      <c r="FS53" s="117"/>
      <c r="FT53" s="491"/>
      <c r="FU53" s="491"/>
      <c r="FV53" s="117"/>
      <c r="FW53" s="117"/>
      <c r="FX53" s="117"/>
      <c r="FY53" s="117"/>
      <c r="FZ53" s="117"/>
      <c r="GA53" s="117"/>
      <c r="GB53" s="117"/>
      <c r="GC53" s="117"/>
      <c r="GD53" s="117"/>
      <c r="GE53" s="117"/>
      <c r="GF53" s="117"/>
      <c r="GG53" s="101"/>
      <c r="GH53" s="117"/>
      <c r="GI53" s="117"/>
      <c r="GJ53" s="117"/>
      <c r="GK53" s="117"/>
      <c r="GL53" s="117"/>
      <c r="GM53" s="117"/>
      <c r="GN53" s="117"/>
      <c r="GO53" s="117"/>
      <c r="GP53" s="117"/>
      <c r="GQ53" s="117"/>
      <c r="GR53" s="117"/>
      <c r="GS53" s="424"/>
      <c r="IH53" s="491"/>
      <c r="II53" s="491"/>
      <c r="IJ53" s="491"/>
      <c r="IO53" s="491"/>
      <c r="IU53" s="491"/>
    </row>
    <row r="54" spans="1:255" ht="24.95" customHeight="1">
      <c r="A54" s="130"/>
      <c r="B54" s="203"/>
      <c r="C54" s="203"/>
      <c r="D54" s="226" t="e">
        <f>#REF!/B54</f>
        <v>#REF!</v>
      </c>
      <c r="E54" s="187"/>
      <c r="F54" s="100"/>
      <c r="G54" s="101"/>
      <c r="H54" s="101"/>
      <c r="I54" s="101"/>
      <c r="J54" s="103"/>
      <c r="K54" s="105" t="s">
        <v>437</v>
      </c>
      <c r="L54" s="106" t="s">
        <v>437</v>
      </c>
      <c r="M54" s="106" t="s">
        <v>437</v>
      </c>
      <c r="N54" s="106" t="s">
        <v>437</v>
      </c>
      <c r="O54" s="107" t="s">
        <v>437</v>
      </c>
      <c r="P54" s="102"/>
      <c r="Q54" s="101"/>
      <c r="R54" s="101"/>
      <c r="S54" s="101"/>
      <c r="T54" s="98"/>
      <c r="U54" s="281" t="s">
        <v>437</v>
      </c>
      <c r="V54" s="106" t="s">
        <v>437</v>
      </c>
      <c r="W54" s="106" t="s">
        <v>437</v>
      </c>
      <c r="X54" s="106" t="s">
        <v>437</v>
      </c>
      <c r="Y54" s="106" t="s">
        <v>437</v>
      </c>
      <c r="Z54" s="100"/>
      <c r="AA54" s="101"/>
      <c r="AB54" s="101"/>
      <c r="AC54" s="101"/>
      <c r="AD54" s="98"/>
      <c r="AE54" s="100"/>
      <c r="AF54" s="101"/>
      <c r="AG54" s="101"/>
      <c r="AH54" s="101"/>
      <c r="AI54" s="98"/>
      <c r="AJ54" s="100"/>
      <c r="AK54" s="101"/>
      <c r="AL54" s="101"/>
      <c r="AM54" s="101"/>
      <c r="AN54" s="103" t="s">
        <v>244</v>
      </c>
      <c r="AO54" s="100"/>
      <c r="AP54" s="101"/>
      <c r="AQ54" s="101"/>
      <c r="AR54" s="101"/>
      <c r="AS54" s="98"/>
      <c r="AT54" s="102"/>
      <c r="AU54" s="104"/>
      <c r="AV54" s="104"/>
      <c r="AW54" s="104"/>
      <c r="AX54" s="104"/>
      <c r="AY54" s="392"/>
      <c r="BC54" s="101" t="s">
        <v>244</v>
      </c>
      <c r="BD54" s="103" t="s">
        <v>244</v>
      </c>
      <c r="BE54" s="116"/>
      <c r="BF54" s="117"/>
      <c r="BG54" s="117"/>
      <c r="BH54" s="101"/>
      <c r="BI54" s="400"/>
      <c r="BJ54" s="243"/>
      <c r="BK54" s="423"/>
      <c r="BL54" s="103"/>
      <c r="BP54" s="101"/>
      <c r="BQ54" s="101"/>
      <c r="BR54" s="101"/>
      <c r="BS54" s="98"/>
      <c r="BT54" s="102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  <c r="CS54" s="49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3"/>
      <c r="DH54" s="116"/>
      <c r="DI54" s="117"/>
      <c r="DJ54" s="117"/>
      <c r="DK54" s="117"/>
      <c r="DL54" s="227"/>
      <c r="DM54" s="116"/>
      <c r="DN54" s="117"/>
      <c r="DO54" s="552"/>
      <c r="DP54" s="552"/>
      <c r="DQ54" s="567"/>
      <c r="DR54" s="489"/>
      <c r="DS54" s="567"/>
      <c r="DT54" s="424"/>
      <c r="DU54" s="424"/>
      <c r="DV54" s="118"/>
      <c r="DW54" s="119"/>
      <c r="DX54" s="117"/>
      <c r="DY54" s="117"/>
      <c r="DZ54" s="117"/>
      <c r="EA54" s="118"/>
      <c r="EB54" s="116"/>
      <c r="EC54" s="117"/>
      <c r="ED54" s="117"/>
      <c r="EE54" s="117"/>
      <c r="EF54" s="227"/>
      <c r="EG54" s="117"/>
      <c r="EH54" s="117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17"/>
      <c r="EY54" s="117"/>
      <c r="EZ54" s="101"/>
      <c r="FA54" s="117"/>
      <c r="FB54" s="117"/>
      <c r="FC54" s="117"/>
      <c r="FD54" s="117"/>
      <c r="FE54" s="117"/>
      <c r="FF54" s="491"/>
      <c r="FG54" s="491"/>
      <c r="FH54" s="491"/>
      <c r="FI54" s="117"/>
      <c r="FJ54" s="117"/>
      <c r="FK54" s="117"/>
      <c r="FL54" s="117"/>
      <c r="FM54" s="117"/>
      <c r="FN54" s="117"/>
      <c r="FO54" s="117"/>
      <c r="FP54" s="117"/>
      <c r="FQ54" s="117"/>
      <c r="FR54" s="117"/>
      <c r="FS54" s="117"/>
      <c r="FT54" s="491"/>
      <c r="FU54" s="491"/>
      <c r="FV54" s="117"/>
      <c r="FW54" s="117"/>
      <c r="FX54" s="117"/>
      <c r="FY54" s="117"/>
      <c r="FZ54" s="117"/>
      <c r="GA54" s="117"/>
      <c r="GB54" s="117"/>
      <c r="GC54" s="117"/>
      <c r="GD54" s="117"/>
      <c r="GE54" s="117"/>
      <c r="GF54" s="117"/>
      <c r="GG54" s="101"/>
      <c r="GH54" s="117"/>
      <c r="GI54" s="117"/>
      <c r="GJ54" s="117"/>
      <c r="GK54" s="117"/>
      <c r="GL54" s="117"/>
      <c r="GM54" s="117"/>
      <c r="GN54" s="117"/>
      <c r="GO54" s="117"/>
      <c r="GP54" s="117"/>
      <c r="GQ54" s="117"/>
      <c r="GR54" s="117"/>
      <c r="GS54" s="424"/>
      <c r="IH54" s="491"/>
      <c r="II54" s="491"/>
      <c r="IJ54" s="491"/>
      <c r="IO54" s="491"/>
      <c r="IU54" s="491"/>
    </row>
    <row r="55" spans="1:255" ht="24.95" customHeight="1">
      <c r="A55" s="130"/>
      <c r="B55" s="203"/>
      <c r="C55" s="203"/>
      <c r="D55" s="226" t="e">
        <f>#REF!/B55</f>
        <v>#REF!</v>
      </c>
      <c r="E55" s="187"/>
      <c r="F55" s="100"/>
      <c r="G55" s="101"/>
      <c r="H55" s="101"/>
      <c r="I55" s="101"/>
      <c r="J55" s="103"/>
      <c r="K55" s="105" t="s">
        <v>437</v>
      </c>
      <c r="L55" s="106" t="s">
        <v>437</v>
      </c>
      <c r="M55" s="106" t="s">
        <v>437</v>
      </c>
      <c r="N55" s="106" t="s">
        <v>437</v>
      </c>
      <c r="O55" s="107" t="s">
        <v>437</v>
      </c>
      <c r="P55" s="102"/>
      <c r="Q55" s="101"/>
      <c r="R55" s="101"/>
      <c r="S55" s="101"/>
      <c r="T55" s="98"/>
      <c r="U55" s="281" t="s">
        <v>437</v>
      </c>
      <c r="V55" s="106" t="s">
        <v>437</v>
      </c>
      <c r="W55" s="106" t="s">
        <v>437</v>
      </c>
      <c r="X55" s="106" t="s">
        <v>437</v>
      </c>
      <c r="Y55" s="106" t="s">
        <v>437</v>
      </c>
      <c r="Z55" s="100"/>
      <c r="AA55" s="101"/>
      <c r="AB55" s="101"/>
      <c r="AC55" s="101"/>
      <c r="AD55" s="98"/>
      <c r="AE55" s="100"/>
      <c r="AF55" s="101"/>
      <c r="AG55" s="101"/>
      <c r="AH55" s="101"/>
      <c r="AI55" s="98"/>
      <c r="AJ55" s="100"/>
      <c r="AK55" s="101"/>
      <c r="AL55" s="101"/>
      <c r="AM55" s="101"/>
      <c r="AN55" s="103" t="s">
        <v>244</v>
      </c>
      <c r="AO55" s="100"/>
      <c r="AP55" s="101"/>
      <c r="AQ55" s="101"/>
      <c r="AR55" s="101"/>
      <c r="AS55" s="98"/>
      <c r="AT55" s="102"/>
      <c r="AU55" s="104"/>
      <c r="AV55" s="104"/>
      <c r="AW55" s="104"/>
      <c r="AX55" s="104"/>
      <c r="AY55" s="392"/>
      <c r="AZ55" s="102"/>
      <c r="BA55" s="101"/>
      <c r="BB55" s="101"/>
      <c r="BC55" s="101" t="s">
        <v>244</v>
      </c>
      <c r="BD55" s="103" t="s">
        <v>244</v>
      </c>
      <c r="BE55" s="116"/>
      <c r="BF55" s="117"/>
      <c r="BG55" s="117"/>
      <c r="BH55" s="101"/>
      <c r="BI55" s="98"/>
      <c r="BJ55" s="100"/>
      <c r="BK55" s="101"/>
      <c r="BL55" s="103"/>
      <c r="BM55" s="101"/>
      <c r="BN55" s="98"/>
      <c r="BO55" s="102"/>
      <c r="BP55" s="101"/>
      <c r="BQ55" s="101"/>
      <c r="BR55" s="101"/>
      <c r="BS55" s="98"/>
      <c r="BT55" s="102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49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3"/>
      <c r="DH55" s="116"/>
      <c r="DI55" s="117"/>
      <c r="DJ55" s="117"/>
      <c r="DK55" s="117"/>
      <c r="DL55" s="227"/>
      <c r="DM55" s="116"/>
      <c r="DN55" s="117"/>
      <c r="DO55" s="117"/>
      <c r="DP55" s="117"/>
      <c r="DQ55" s="227"/>
      <c r="DR55" s="489"/>
      <c r="DS55" s="117"/>
      <c r="DT55" s="117"/>
      <c r="DU55" s="117"/>
      <c r="DV55" s="118"/>
      <c r="DW55" s="119"/>
      <c r="DX55" s="117"/>
      <c r="DY55" s="117"/>
      <c r="DZ55" s="117"/>
      <c r="EA55" s="118"/>
      <c r="EB55" s="116"/>
      <c r="EC55" s="117"/>
      <c r="ED55" s="117"/>
      <c r="EE55" s="117"/>
      <c r="EF55" s="227"/>
      <c r="EG55" s="117"/>
      <c r="EH55" s="117"/>
      <c r="EI55" s="117"/>
      <c r="EJ55" s="117"/>
      <c r="EK55" s="117"/>
      <c r="EL55" s="117"/>
      <c r="EM55" s="117"/>
      <c r="EN55" s="117"/>
      <c r="EO55" s="117"/>
      <c r="EP55" s="117"/>
      <c r="EQ55" s="117"/>
      <c r="ER55" s="117"/>
      <c r="ES55" s="117"/>
      <c r="ET55" s="117"/>
      <c r="EU55" s="117"/>
      <c r="EV55" s="117"/>
      <c r="EW55" s="117"/>
      <c r="EX55" s="117"/>
      <c r="EY55" s="117"/>
      <c r="EZ55" s="101"/>
      <c r="FA55" s="117"/>
      <c r="FB55" s="117"/>
      <c r="FC55" s="117"/>
      <c r="FD55" s="117"/>
      <c r="FE55" s="117"/>
      <c r="FF55" s="491"/>
      <c r="FG55" s="491"/>
      <c r="FH55" s="491"/>
      <c r="FI55" s="117"/>
      <c r="FJ55" s="117"/>
      <c r="FK55" s="117"/>
      <c r="FL55" s="117"/>
      <c r="FM55" s="117"/>
      <c r="FN55" s="117"/>
      <c r="FO55" s="117"/>
      <c r="FP55" s="117"/>
      <c r="FQ55" s="117"/>
      <c r="FR55" s="117"/>
      <c r="FS55" s="117"/>
      <c r="FT55" s="491"/>
      <c r="FU55" s="491"/>
      <c r="FV55" s="117"/>
      <c r="FW55" s="117"/>
      <c r="FX55" s="117"/>
      <c r="FY55" s="117"/>
      <c r="FZ55" s="117"/>
      <c r="GA55" s="117"/>
      <c r="GB55" s="117"/>
      <c r="GC55" s="117"/>
      <c r="GD55" s="117"/>
      <c r="GE55" s="117"/>
      <c r="GF55" s="117"/>
      <c r="GG55" s="101"/>
      <c r="GH55" s="117"/>
      <c r="GI55" s="117"/>
      <c r="GJ55" s="117"/>
      <c r="GK55" s="117"/>
      <c r="GL55" s="117"/>
      <c r="GM55" s="117"/>
      <c r="GN55" s="117"/>
      <c r="GO55" s="117"/>
      <c r="GP55" s="117"/>
      <c r="GQ55" s="117"/>
      <c r="GR55" s="117"/>
      <c r="GS55" s="424"/>
      <c r="IH55" s="491"/>
      <c r="II55" s="491"/>
      <c r="IJ55" s="491"/>
      <c r="IO55" s="491"/>
      <c r="IU55" s="491"/>
    </row>
    <row r="56" spans="1:255" ht="24.95" customHeight="1">
      <c r="A56" s="130"/>
      <c r="B56" s="203"/>
      <c r="C56" s="203"/>
      <c r="D56" s="226" t="e">
        <f>#REF!/B56</f>
        <v>#REF!</v>
      </c>
      <c r="E56" s="187"/>
      <c r="F56" s="100"/>
      <c r="G56" s="101"/>
      <c r="H56" s="101"/>
      <c r="I56" s="101"/>
      <c r="J56" s="103"/>
      <c r="K56" s="105" t="s">
        <v>437</v>
      </c>
      <c r="L56" s="106" t="s">
        <v>437</v>
      </c>
      <c r="M56" s="106" t="s">
        <v>437</v>
      </c>
      <c r="N56" s="106" t="s">
        <v>437</v>
      </c>
      <c r="O56" s="107" t="s">
        <v>437</v>
      </c>
      <c r="P56" s="102"/>
      <c r="Q56" s="101"/>
      <c r="R56" s="101"/>
      <c r="S56" s="101"/>
      <c r="T56" s="98"/>
      <c r="U56" s="281" t="s">
        <v>437</v>
      </c>
      <c r="V56" s="106" t="s">
        <v>437</v>
      </c>
      <c r="W56" s="106" t="s">
        <v>437</v>
      </c>
      <c r="X56" s="106" t="s">
        <v>437</v>
      </c>
      <c r="Y56" s="106" t="s">
        <v>437</v>
      </c>
      <c r="Z56" s="100"/>
      <c r="AA56" s="101"/>
      <c r="AB56" s="101"/>
      <c r="AC56" s="101"/>
      <c r="AD56" s="98"/>
      <c r="AE56" s="100"/>
      <c r="AF56" s="101"/>
      <c r="AG56" s="101"/>
      <c r="AH56" s="101"/>
      <c r="AI56" s="98"/>
      <c r="AJ56" s="100"/>
      <c r="AK56" s="101"/>
      <c r="AL56" s="101"/>
      <c r="AM56" s="101"/>
      <c r="AN56" s="103" t="s">
        <v>244</v>
      </c>
      <c r="AO56" s="100"/>
      <c r="AP56" s="101"/>
      <c r="AQ56" s="101"/>
      <c r="AR56" s="101"/>
      <c r="AS56" s="98"/>
      <c r="AT56" s="102"/>
      <c r="AU56" s="104"/>
      <c r="AV56" s="104"/>
      <c r="AW56" s="104"/>
      <c r="AX56" s="104"/>
      <c r="AY56" s="392"/>
      <c r="AZ56" s="102"/>
      <c r="BA56" s="101"/>
      <c r="BB56" s="101"/>
      <c r="BC56" s="101" t="s">
        <v>244</v>
      </c>
      <c r="BD56" s="103" t="s">
        <v>244</v>
      </c>
      <c r="BE56" s="116"/>
      <c r="BF56" s="117"/>
      <c r="BG56" s="117"/>
      <c r="BH56" s="101"/>
      <c r="BI56" s="98"/>
      <c r="BJ56" s="100"/>
      <c r="BK56" s="101"/>
      <c r="BL56" s="103"/>
      <c r="BM56" s="101"/>
      <c r="BN56" s="98"/>
      <c r="BO56" s="102"/>
      <c r="BP56" s="101"/>
      <c r="BQ56" s="101"/>
      <c r="BR56" s="101"/>
      <c r="BS56" s="98"/>
      <c r="BT56" s="102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491"/>
      <c r="CT56" s="101"/>
      <c r="CU56" s="101"/>
      <c r="CV56" s="101"/>
      <c r="CW56" s="101"/>
      <c r="CX56" s="101"/>
      <c r="CY56" s="101"/>
      <c r="CZ56" s="101"/>
      <c r="DA56" s="101"/>
      <c r="DB56" s="101"/>
      <c r="DC56" s="101"/>
      <c r="DD56" s="101"/>
      <c r="DE56" s="101"/>
      <c r="DF56" s="101"/>
      <c r="DG56" s="103"/>
      <c r="DH56" s="116"/>
      <c r="DI56" s="117"/>
      <c r="DJ56" s="117"/>
      <c r="DK56" s="117"/>
      <c r="DL56" s="227"/>
      <c r="DM56" s="116"/>
      <c r="DN56" s="117"/>
      <c r="DO56" s="117"/>
      <c r="DP56" s="117"/>
      <c r="DQ56" s="227"/>
      <c r="DR56" s="489"/>
      <c r="DS56" s="117"/>
      <c r="DT56" s="117"/>
      <c r="DU56" s="117"/>
      <c r="DV56" s="118"/>
      <c r="DW56" s="119"/>
      <c r="DX56" s="117"/>
      <c r="DY56" s="117"/>
      <c r="DZ56" s="117"/>
      <c r="EA56" s="118"/>
      <c r="EB56" s="116"/>
      <c r="EC56" s="117"/>
      <c r="ED56" s="117"/>
      <c r="EE56" s="117"/>
      <c r="EF56" s="227"/>
      <c r="EG56" s="117"/>
      <c r="EH56" s="117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17"/>
      <c r="EY56" s="117"/>
      <c r="EZ56" s="101"/>
      <c r="FA56" s="117"/>
      <c r="FB56" s="117"/>
      <c r="FC56" s="117"/>
      <c r="FD56" s="117"/>
      <c r="FE56" s="117"/>
      <c r="FF56" s="491"/>
      <c r="FG56" s="491"/>
      <c r="FH56" s="491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491"/>
      <c r="FU56" s="491"/>
      <c r="FV56" s="117"/>
      <c r="FW56" s="117"/>
      <c r="FX56" s="117"/>
      <c r="FY56" s="117"/>
      <c r="FZ56" s="117"/>
      <c r="GA56" s="117"/>
      <c r="GB56" s="117"/>
      <c r="GC56" s="117"/>
      <c r="GD56" s="117"/>
      <c r="GE56" s="117"/>
      <c r="GF56" s="117"/>
      <c r="GG56" s="101"/>
      <c r="GH56" s="117"/>
      <c r="GI56" s="117"/>
      <c r="GJ56" s="117"/>
      <c r="GK56" s="117"/>
      <c r="GL56" s="117"/>
      <c r="GM56" s="117"/>
      <c r="GN56" s="117"/>
      <c r="GO56" s="117"/>
      <c r="GP56" s="117"/>
      <c r="GQ56" s="117"/>
      <c r="GR56" s="117"/>
      <c r="GS56" s="424"/>
      <c r="IH56" s="491"/>
      <c r="II56" s="491"/>
      <c r="IJ56" s="491"/>
      <c r="IO56" s="491"/>
      <c r="IU56" s="491"/>
    </row>
    <row r="57" spans="1:255" ht="24.95" customHeight="1">
      <c r="A57" s="130"/>
      <c r="B57" s="203"/>
      <c r="C57" s="203"/>
      <c r="D57" s="226" t="e">
        <f>#REF!/B57</f>
        <v>#REF!</v>
      </c>
      <c r="E57" s="187"/>
      <c r="F57" s="100"/>
      <c r="G57" s="101"/>
      <c r="H57" s="101"/>
      <c r="I57" s="101"/>
      <c r="J57" s="103"/>
      <c r="K57" s="105" t="s">
        <v>437</v>
      </c>
      <c r="L57" s="106" t="s">
        <v>437</v>
      </c>
      <c r="M57" s="106" t="s">
        <v>437</v>
      </c>
      <c r="N57" s="106" t="s">
        <v>437</v>
      </c>
      <c r="O57" s="107" t="s">
        <v>437</v>
      </c>
      <c r="P57" s="102"/>
      <c r="Q57" s="101"/>
      <c r="R57" s="101"/>
      <c r="S57" s="101"/>
      <c r="T57" s="98"/>
      <c r="U57" s="281" t="s">
        <v>437</v>
      </c>
      <c r="V57" s="106" t="s">
        <v>437</v>
      </c>
      <c r="W57" s="106" t="s">
        <v>437</v>
      </c>
      <c r="X57" s="106" t="s">
        <v>437</v>
      </c>
      <c r="Y57" s="106" t="s">
        <v>437</v>
      </c>
      <c r="Z57" s="100"/>
      <c r="AA57" s="101"/>
      <c r="AB57" s="101"/>
      <c r="AC57" s="101"/>
      <c r="AD57" s="98"/>
      <c r="AE57" s="100"/>
      <c r="AF57" s="101"/>
      <c r="AG57" s="101"/>
      <c r="AH57" s="101"/>
      <c r="AI57" s="98"/>
      <c r="AJ57" s="100"/>
      <c r="AK57" s="101"/>
      <c r="AL57" s="101"/>
      <c r="AM57" s="101"/>
      <c r="AN57" s="103" t="s">
        <v>244</v>
      </c>
      <c r="AO57" s="100"/>
      <c r="AP57" s="101"/>
      <c r="AQ57" s="101"/>
      <c r="AR57" s="101"/>
      <c r="AS57" s="98"/>
      <c r="AT57" s="102"/>
      <c r="AU57" s="104"/>
      <c r="AV57" s="104"/>
      <c r="AW57" s="104"/>
      <c r="AX57" s="104"/>
      <c r="AY57" s="392"/>
      <c r="BC57" s="101" t="s">
        <v>244</v>
      </c>
      <c r="BD57" s="103" t="s">
        <v>244</v>
      </c>
      <c r="BE57" s="116"/>
      <c r="BF57" s="117"/>
      <c r="BG57" s="117"/>
      <c r="BH57" s="101"/>
      <c r="BI57" s="98"/>
      <c r="BJ57" s="100"/>
      <c r="BK57" s="101"/>
      <c r="BL57" s="103"/>
      <c r="BM57" s="242"/>
      <c r="BN57" s="426"/>
      <c r="BO57" s="102"/>
      <c r="BP57" s="101"/>
      <c r="BQ57" s="101"/>
      <c r="BR57" s="101"/>
      <c r="BS57" s="98"/>
      <c r="BT57" s="102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49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3"/>
      <c r="DH57" s="116"/>
      <c r="DI57" s="117"/>
      <c r="DJ57" s="117"/>
      <c r="DK57" s="117"/>
      <c r="DL57" s="227"/>
      <c r="DM57" s="116"/>
      <c r="DN57" s="117"/>
      <c r="DO57" s="117"/>
      <c r="DP57" s="117"/>
      <c r="DQ57" s="227"/>
      <c r="DR57" s="489"/>
      <c r="DS57" s="117"/>
      <c r="DT57" s="117"/>
      <c r="DU57" s="117"/>
      <c r="DV57" s="118"/>
      <c r="DW57" s="119"/>
      <c r="DX57" s="117"/>
      <c r="DY57" s="117"/>
      <c r="DZ57" s="117"/>
      <c r="EA57" s="118"/>
      <c r="EB57" s="116"/>
      <c r="EC57" s="117"/>
      <c r="ED57" s="117"/>
      <c r="EE57" s="117"/>
      <c r="EF57" s="227"/>
      <c r="EG57" s="117"/>
      <c r="EH57" s="117"/>
      <c r="EI57" s="117"/>
      <c r="EJ57" s="117"/>
      <c r="EK57" s="117"/>
      <c r="EL57" s="117"/>
      <c r="EM57" s="117"/>
      <c r="EN57" s="117"/>
      <c r="EO57" s="117"/>
      <c r="EP57" s="117"/>
      <c r="EQ57" s="117"/>
      <c r="ER57" s="117"/>
      <c r="ES57" s="117"/>
      <c r="ET57" s="117"/>
      <c r="EU57" s="117"/>
      <c r="EV57" s="117"/>
      <c r="EW57" s="117"/>
      <c r="EX57" s="117"/>
      <c r="EY57" s="117"/>
      <c r="EZ57" s="101"/>
      <c r="FA57" s="117"/>
      <c r="FB57" s="117"/>
      <c r="FC57" s="117"/>
      <c r="FD57" s="117"/>
      <c r="FE57" s="117"/>
      <c r="FF57" s="491"/>
      <c r="FG57" s="491"/>
      <c r="FH57" s="491"/>
      <c r="FI57" s="117"/>
      <c r="FJ57" s="117"/>
      <c r="FK57" s="117"/>
      <c r="FL57" s="117"/>
      <c r="FM57" s="117"/>
      <c r="FN57" s="117"/>
      <c r="FO57" s="117"/>
      <c r="FP57" s="117"/>
      <c r="FQ57" s="117"/>
      <c r="FR57" s="117"/>
      <c r="FS57" s="117"/>
      <c r="FT57" s="491"/>
      <c r="FU57" s="491"/>
      <c r="FV57" s="117"/>
      <c r="FW57" s="117"/>
      <c r="FX57" s="117"/>
      <c r="FY57" s="117"/>
      <c r="FZ57" s="117"/>
      <c r="GA57" s="117"/>
      <c r="GB57" s="117"/>
      <c r="GC57" s="117"/>
      <c r="GD57" s="117"/>
      <c r="GE57" s="117"/>
      <c r="GF57" s="117"/>
      <c r="GG57" s="101"/>
      <c r="GH57" s="117"/>
      <c r="GI57" s="117"/>
      <c r="GJ57" s="117"/>
      <c r="GK57" s="117"/>
      <c r="GL57" s="117"/>
      <c r="GM57" s="117"/>
      <c r="GN57" s="117"/>
      <c r="GO57" s="117"/>
      <c r="GP57" s="117"/>
      <c r="GQ57" s="117"/>
      <c r="GR57" s="117"/>
      <c r="GS57" s="424"/>
      <c r="IH57" s="491"/>
      <c r="II57" s="491"/>
      <c r="IJ57" s="491"/>
      <c r="IO57" s="491"/>
      <c r="IU57" s="491"/>
    </row>
    <row r="58" spans="1:255" ht="24.95" customHeight="1">
      <c r="A58" s="130"/>
      <c r="B58" s="203"/>
      <c r="C58" s="203"/>
      <c r="D58" s="226" t="e">
        <f>#REF!/B58</f>
        <v>#REF!</v>
      </c>
      <c r="E58" s="190"/>
      <c r="F58" s="116"/>
      <c r="G58" s="117"/>
      <c r="H58" s="117"/>
      <c r="I58" s="117"/>
      <c r="J58" s="227"/>
      <c r="K58" s="105" t="s">
        <v>437</v>
      </c>
      <c r="L58" s="106" t="s">
        <v>437</v>
      </c>
      <c r="M58" s="106" t="s">
        <v>437</v>
      </c>
      <c r="N58" s="106" t="s">
        <v>437</v>
      </c>
      <c r="O58" s="107" t="s">
        <v>437</v>
      </c>
      <c r="P58" s="119"/>
      <c r="Q58" s="117"/>
      <c r="R58" s="117"/>
      <c r="S58" s="117"/>
      <c r="T58" s="118"/>
      <c r="U58" s="281" t="s">
        <v>437</v>
      </c>
      <c r="V58" s="106" t="s">
        <v>437</v>
      </c>
      <c r="W58" s="106" t="s">
        <v>437</v>
      </c>
      <c r="X58" s="106" t="s">
        <v>437</v>
      </c>
      <c r="Y58" s="106" t="s">
        <v>437</v>
      </c>
      <c r="Z58" s="116"/>
      <c r="AA58" s="117"/>
      <c r="AB58" s="117"/>
      <c r="AC58" s="117"/>
      <c r="AD58" s="118"/>
      <c r="AE58" s="116"/>
      <c r="AF58" s="117"/>
      <c r="AG58" s="117"/>
      <c r="AH58" s="117"/>
      <c r="AI58" s="118"/>
      <c r="AJ58" s="116"/>
      <c r="AK58" s="117"/>
      <c r="AL58" s="117"/>
      <c r="AM58" s="117"/>
      <c r="AN58" s="103" t="s">
        <v>244</v>
      </c>
      <c r="AO58" s="116"/>
      <c r="AP58" s="117"/>
      <c r="AQ58" s="117"/>
      <c r="AR58" s="117"/>
      <c r="AS58" s="118"/>
      <c r="AT58" s="119"/>
      <c r="AU58" s="120"/>
      <c r="AV58" s="120"/>
      <c r="AW58" s="120"/>
      <c r="AX58" s="120"/>
      <c r="AY58" s="395"/>
      <c r="AZ58" s="119"/>
      <c r="BA58" s="117"/>
      <c r="BB58" s="117"/>
      <c r="BC58" s="101" t="s">
        <v>244</v>
      </c>
      <c r="BD58" s="103" t="s">
        <v>244</v>
      </c>
      <c r="BE58" s="116"/>
      <c r="BF58" s="117"/>
      <c r="BG58" s="117"/>
      <c r="BH58" s="117"/>
      <c r="BI58" s="118"/>
      <c r="BJ58" s="116"/>
      <c r="BK58" s="117"/>
      <c r="BL58" s="227"/>
      <c r="BM58" s="117"/>
      <c r="BN58" s="118"/>
      <c r="BO58" s="119"/>
      <c r="BP58" s="117"/>
      <c r="BQ58" s="117"/>
      <c r="BR58" s="117"/>
      <c r="BS58" s="118"/>
      <c r="BT58" s="119"/>
      <c r="BU58" s="117"/>
      <c r="BV58" s="117"/>
      <c r="BW58" s="117"/>
      <c r="BX58" s="117"/>
      <c r="BY58" s="117"/>
      <c r="BZ58" s="117"/>
      <c r="CA58" s="117"/>
      <c r="CB58" s="117"/>
      <c r="CC58" s="117"/>
      <c r="CD58" s="117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/>
      <c r="CQ58" s="117"/>
      <c r="CR58" s="117"/>
      <c r="CS58" s="491"/>
      <c r="CT58" s="117"/>
      <c r="CU58" s="117"/>
      <c r="CV58" s="117"/>
      <c r="CW58" s="117"/>
      <c r="CX58" s="117"/>
      <c r="CY58" s="117"/>
      <c r="CZ58" s="117"/>
      <c r="DA58" s="117"/>
      <c r="DB58" s="117"/>
      <c r="DC58" s="117"/>
      <c r="DD58" s="117"/>
      <c r="DE58" s="117"/>
      <c r="DF58" s="117"/>
      <c r="DG58" s="227"/>
      <c r="DH58" s="116"/>
      <c r="DI58" s="117"/>
      <c r="DJ58" s="117"/>
      <c r="DK58" s="117"/>
      <c r="DL58" s="227"/>
      <c r="DM58" s="116"/>
      <c r="DN58" s="117"/>
      <c r="DO58" s="117"/>
      <c r="DP58" s="117"/>
      <c r="DQ58" s="227"/>
      <c r="DR58" s="489"/>
      <c r="DS58" s="117"/>
      <c r="DT58" s="117"/>
      <c r="DU58" s="117"/>
      <c r="DV58" s="118"/>
      <c r="DW58" s="119"/>
      <c r="DX58" s="117"/>
      <c r="DY58" s="117"/>
      <c r="DZ58" s="117"/>
      <c r="EA58" s="118"/>
      <c r="EB58" s="116"/>
      <c r="EC58" s="117"/>
      <c r="ED58" s="117"/>
      <c r="EE58" s="117"/>
      <c r="EF58" s="227"/>
      <c r="EG58" s="117"/>
      <c r="EH58" s="117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17"/>
      <c r="EY58" s="117"/>
      <c r="EZ58" s="101"/>
      <c r="FA58" s="117"/>
      <c r="FB58" s="117"/>
      <c r="FC58" s="117"/>
      <c r="FD58" s="117"/>
      <c r="FE58" s="117"/>
      <c r="FF58" s="491"/>
      <c r="FG58" s="491"/>
      <c r="FH58" s="491"/>
      <c r="FI58" s="117"/>
      <c r="FJ58" s="117"/>
      <c r="FK58" s="117"/>
      <c r="FL58" s="117"/>
      <c r="FM58" s="117"/>
      <c r="FN58" s="117"/>
      <c r="FO58" s="117"/>
      <c r="FP58" s="117"/>
      <c r="FQ58" s="117"/>
      <c r="FR58" s="117"/>
      <c r="FS58" s="117"/>
      <c r="FT58" s="491"/>
      <c r="FU58" s="491"/>
      <c r="FV58" s="117"/>
      <c r="FW58" s="117"/>
      <c r="FX58" s="117"/>
      <c r="FY58" s="117"/>
      <c r="FZ58" s="117"/>
      <c r="GA58" s="117"/>
      <c r="GB58" s="117"/>
      <c r="GC58" s="117"/>
      <c r="GD58" s="117"/>
      <c r="GE58" s="117"/>
      <c r="GF58" s="117"/>
      <c r="GG58" s="101"/>
      <c r="GH58" s="117"/>
      <c r="GI58" s="117"/>
      <c r="GJ58" s="117"/>
      <c r="GK58" s="117"/>
      <c r="GL58" s="117"/>
      <c r="GM58" s="117"/>
      <c r="GN58" s="117"/>
      <c r="GO58" s="117"/>
      <c r="GP58" s="117"/>
      <c r="GQ58" s="117"/>
      <c r="GR58" s="117"/>
      <c r="GS58" s="424"/>
      <c r="IH58" s="491"/>
      <c r="II58" s="491"/>
      <c r="IJ58" s="491"/>
      <c r="IO58" s="491"/>
      <c r="IU58" s="491"/>
    </row>
    <row r="59" spans="1:255" ht="24.95" customHeight="1">
      <c r="A59" s="307"/>
      <c r="B59" s="203"/>
      <c r="C59" s="203"/>
      <c r="D59" s="226" t="e">
        <f>#REF!/B59</f>
        <v>#REF!</v>
      </c>
      <c r="E59" s="190"/>
      <c r="F59" s="116"/>
      <c r="G59" s="117"/>
      <c r="H59" s="117"/>
      <c r="I59" s="117"/>
      <c r="J59" s="227"/>
      <c r="K59" s="105"/>
      <c r="L59" s="106"/>
      <c r="M59" s="106"/>
      <c r="N59" s="106"/>
      <c r="O59" s="107"/>
      <c r="P59" s="119"/>
      <c r="Q59" s="117"/>
      <c r="R59" s="117"/>
      <c r="S59" s="117"/>
      <c r="T59" s="118"/>
      <c r="U59" s="281"/>
      <c r="V59" s="106"/>
      <c r="W59" s="106"/>
      <c r="X59" s="106"/>
      <c r="Y59" s="106"/>
      <c r="Z59" s="116"/>
      <c r="AA59" s="117"/>
      <c r="AB59" s="117"/>
      <c r="AC59" s="119"/>
      <c r="AD59" s="227"/>
      <c r="AE59" s="424"/>
      <c r="AF59" s="424"/>
      <c r="AG59" s="117"/>
      <c r="AH59" s="117"/>
      <c r="AI59" s="118"/>
      <c r="AJ59" s="116"/>
      <c r="AK59" s="117"/>
      <c r="AL59" s="117"/>
      <c r="AM59" s="117"/>
      <c r="AN59" s="103"/>
      <c r="AO59" s="116"/>
      <c r="AP59" s="117"/>
      <c r="AQ59" s="117"/>
      <c r="AR59" s="117"/>
      <c r="AS59" s="118"/>
      <c r="AT59" s="119"/>
      <c r="AU59" s="120"/>
      <c r="AV59" s="120"/>
      <c r="AW59" s="120"/>
      <c r="AX59" s="120"/>
      <c r="AY59" s="395"/>
      <c r="AZ59" s="119"/>
      <c r="BA59" s="117"/>
      <c r="BB59" s="117"/>
      <c r="BC59" s="101"/>
      <c r="BD59" s="103"/>
      <c r="BE59" s="116"/>
      <c r="BF59" s="117"/>
      <c r="BG59" s="117"/>
      <c r="BH59" s="117"/>
      <c r="BI59" s="118"/>
      <c r="BJ59" s="116"/>
      <c r="BK59" s="119"/>
      <c r="BL59" s="190"/>
      <c r="BM59" s="119"/>
      <c r="BN59" s="118"/>
      <c r="BO59" s="119"/>
      <c r="BP59" s="117"/>
      <c r="BQ59" s="117"/>
      <c r="BR59" s="117"/>
      <c r="BS59" s="118"/>
      <c r="BT59" s="119"/>
      <c r="BU59" s="117"/>
      <c r="BV59" s="117"/>
      <c r="BW59" s="117"/>
      <c r="BX59" s="117"/>
      <c r="BY59" s="117"/>
      <c r="BZ59" s="117"/>
      <c r="CA59" s="117"/>
      <c r="CB59" s="117"/>
      <c r="CC59" s="117"/>
      <c r="CD59" s="117"/>
      <c r="CE59" s="117"/>
      <c r="CF59" s="117"/>
      <c r="CG59" s="117"/>
      <c r="CH59" s="117"/>
      <c r="CI59" s="117"/>
      <c r="CJ59" s="117"/>
      <c r="CK59" s="117"/>
      <c r="CL59" s="117"/>
      <c r="CM59" s="117"/>
      <c r="CN59" s="117"/>
      <c r="CO59" s="117"/>
      <c r="CP59" s="117"/>
      <c r="CQ59" s="117"/>
      <c r="CR59" s="117"/>
      <c r="CS59" s="491"/>
      <c r="CT59" s="117"/>
      <c r="CU59" s="117"/>
      <c r="CV59" s="117"/>
      <c r="CW59" s="117"/>
      <c r="CX59" s="117"/>
      <c r="CY59" s="117"/>
      <c r="CZ59" s="117"/>
      <c r="DA59" s="117"/>
      <c r="DB59" s="117"/>
      <c r="DC59" s="117"/>
      <c r="DD59" s="117"/>
      <c r="DE59" s="117"/>
      <c r="DF59" s="117"/>
      <c r="DG59" s="227"/>
      <c r="DH59" s="116"/>
      <c r="DI59" s="117"/>
      <c r="DJ59" s="117"/>
      <c r="DK59" s="117"/>
      <c r="DL59" s="227"/>
      <c r="DM59" s="116"/>
      <c r="DN59" s="117"/>
      <c r="DO59" s="117"/>
      <c r="DP59" s="117"/>
      <c r="DQ59" s="227"/>
      <c r="DR59" s="489"/>
      <c r="DS59" s="117"/>
      <c r="DT59" s="117"/>
      <c r="DU59" s="117"/>
      <c r="DV59" s="118"/>
      <c r="DW59" s="119"/>
      <c r="DX59" s="117"/>
      <c r="DY59" s="117"/>
      <c r="DZ59" s="117"/>
      <c r="EA59" s="118"/>
      <c r="EB59" s="116"/>
      <c r="EC59" s="117"/>
      <c r="ED59" s="117"/>
      <c r="EE59" s="117"/>
      <c r="EF59" s="227"/>
      <c r="EG59" s="424"/>
      <c r="EH59" s="117"/>
      <c r="EI59" s="117"/>
      <c r="EJ59" s="117"/>
      <c r="EK59" s="117"/>
      <c r="EL59" s="117"/>
      <c r="EM59" s="117"/>
      <c r="EN59" s="117"/>
      <c r="EO59" s="117"/>
      <c r="EP59" s="117"/>
      <c r="EQ59" s="117"/>
      <c r="ER59" s="117"/>
      <c r="ES59" s="117"/>
      <c r="ET59" s="117"/>
      <c r="EU59" s="117"/>
      <c r="EV59" s="117"/>
      <c r="EW59" s="117"/>
      <c r="EX59" s="117"/>
      <c r="EY59" s="117"/>
      <c r="EZ59" s="101"/>
      <c r="FA59" s="117"/>
      <c r="FB59" s="117"/>
      <c r="FC59" s="117"/>
      <c r="FD59" s="117"/>
      <c r="FE59" s="117"/>
      <c r="FF59" s="491"/>
      <c r="FG59" s="491"/>
      <c r="FH59" s="491"/>
      <c r="FI59" s="117"/>
      <c r="FJ59" s="117"/>
      <c r="FK59" s="117"/>
      <c r="FL59" s="117"/>
      <c r="FM59" s="117"/>
      <c r="FN59" s="117"/>
      <c r="FO59" s="117"/>
      <c r="FP59" s="117"/>
      <c r="FQ59" s="117"/>
      <c r="FR59" s="117"/>
      <c r="FS59" s="117"/>
      <c r="FT59" s="491"/>
      <c r="FU59" s="491"/>
      <c r="FV59" s="117"/>
      <c r="FW59" s="117"/>
      <c r="FX59" s="117"/>
      <c r="FY59" s="117"/>
      <c r="FZ59" s="117"/>
      <c r="GA59" s="117"/>
      <c r="GB59" s="117"/>
      <c r="GC59" s="117"/>
      <c r="GD59" s="117"/>
      <c r="GE59" s="117"/>
      <c r="GF59" s="117"/>
      <c r="GG59" s="101"/>
      <c r="GH59" s="117"/>
      <c r="GI59" s="117"/>
      <c r="GJ59" s="117"/>
      <c r="GK59" s="117"/>
      <c r="GL59" s="117"/>
      <c r="GM59" s="117"/>
      <c r="GN59" s="117"/>
      <c r="GO59" s="117"/>
      <c r="GP59" s="117"/>
      <c r="GQ59" s="117"/>
      <c r="GR59" s="117"/>
      <c r="GS59" s="424"/>
      <c r="IH59" s="491"/>
      <c r="II59" s="491"/>
      <c r="IJ59" s="491"/>
      <c r="IO59" s="491"/>
      <c r="IU59" s="491"/>
    </row>
    <row r="60" spans="1:255" ht="24.95" customHeight="1">
      <c r="A60" s="205"/>
      <c r="B60" s="203"/>
      <c r="C60" s="203"/>
      <c r="D60" s="226" t="e">
        <f>#REF!/B60</f>
        <v>#REF!</v>
      </c>
      <c r="E60" s="190"/>
      <c r="F60" s="116"/>
      <c r="G60" s="117"/>
      <c r="H60" s="117"/>
      <c r="I60" s="117"/>
      <c r="J60" s="227"/>
      <c r="K60" s="105" t="s">
        <v>437</v>
      </c>
      <c r="L60" s="106" t="s">
        <v>437</v>
      </c>
      <c r="M60" s="106" t="s">
        <v>437</v>
      </c>
      <c r="N60" s="106" t="s">
        <v>437</v>
      </c>
      <c r="O60" s="107" t="s">
        <v>437</v>
      </c>
      <c r="P60" s="119"/>
      <c r="Q60" s="117"/>
      <c r="R60" s="117"/>
      <c r="S60" s="117"/>
      <c r="T60" s="118"/>
      <c r="U60" s="281" t="s">
        <v>437</v>
      </c>
      <c r="V60" s="106" t="s">
        <v>437</v>
      </c>
      <c r="W60" s="106" t="s">
        <v>437</v>
      </c>
      <c r="X60" s="106" t="s">
        <v>437</v>
      </c>
      <c r="Y60" s="106" t="s">
        <v>437</v>
      </c>
      <c r="Z60" s="116"/>
      <c r="AA60" s="117"/>
      <c r="AB60" s="117"/>
      <c r="AC60" s="315"/>
      <c r="AD60" s="316"/>
      <c r="AG60" s="117"/>
      <c r="AH60" s="117"/>
      <c r="AI60" s="118"/>
      <c r="AJ60" s="116"/>
      <c r="AK60" s="117"/>
      <c r="AL60" s="117"/>
      <c r="AM60" s="117"/>
      <c r="AN60" s="103" t="s">
        <v>244</v>
      </c>
      <c r="AO60" s="116"/>
      <c r="AP60" s="117"/>
      <c r="AQ60" s="117"/>
      <c r="AR60" s="117"/>
      <c r="AS60" s="118"/>
      <c r="AT60" s="119"/>
      <c r="AU60" s="120"/>
      <c r="AV60" s="120"/>
      <c r="AW60" s="120"/>
      <c r="AX60" s="120"/>
      <c r="AY60" s="395"/>
      <c r="AZ60" s="119"/>
      <c r="BA60" s="117"/>
      <c r="BB60" s="117"/>
      <c r="BC60" s="101" t="s">
        <v>244</v>
      </c>
      <c r="BD60" s="103" t="s">
        <v>244</v>
      </c>
      <c r="BE60" s="116"/>
      <c r="BF60" s="117"/>
      <c r="BG60" s="117"/>
      <c r="BH60" s="117"/>
      <c r="BI60" s="118"/>
      <c r="BJ60" s="427"/>
      <c r="BK60" s="427"/>
      <c r="BL60" s="427"/>
      <c r="BM60" s="427"/>
      <c r="BN60" s="118"/>
      <c r="BO60" s="119"/>
      <c r="BP60" s="117"/>
      <c r="BQ60" s="117"/>
      <c r="BR60" s="117"/>
      <c r="BS60" s="118"/>
      <c r="BT60" s="119"/>
      <c r="BU60" s="117"/>
      <c r="BV60" s="117"/>
      <c r="BW60" s="117"/>
      <c r="BX60" s="117"/>
      <c r="BY60" s="117"/>
      <c r="BZ60" s="117"/>
      <c r="CA60" s="117"/>
      <c r="CB60" s="117"/>
      <c r="CC60" s="117"/>
      <c r="CD60" s="117"/>
      <c r="CE60" s="117"/>
      <c r="CF60" s="117"/>
      <c r="CG60" s="475"/>
      <c r="CH60" s="475"/>
      <c r="CI60" s="475"/>
      <c r="CJ60" s="475"/>
      <c r="CK60" s="117"/>
      <c r="CL60" s="117"/>
      <c r="CM60" s="117"/>
      <c r="CN60" s="117"/>
      <c r="CO60" s="117"/>
      <c r="CP60" s="117"/>
      <c r="CQ60" s="117"/>
      <c r="CR60" s="117"/>
      <c r="CS60" s="491"/>
      <c r="CT60" s="117"/>
      <c r="CU60" s="117"/>
      <c r="CV60" s="117"/>
      <c r="CW60" s="117"/>
      <c r="CX60" s="117"/>
      <c r="CY60" s="117"/>
      <c r="CZ60" s="117"/>
      <c r="DA60" s="117"/>
      <c r="DB60" s="117"/>
      <c r="DC60" s="117"/>
      <c r="DD60" s="117"/>
      <c r="DE60" s="117"/>
      <c r="DF60" s="117"/>
      <c r="DG60" s="227"/>
      <c r="DH60" s="116"/>
      <c r="DI60" s="117"/>
      <c r="DJ60" s="117"/>
      <c r="DK60" s="117"/>
      <c r="DL60" s="227"/>
      <c r="DM60" s="116"/>
      <c r="DN60" s="117"/>
      <c r="DO60" s="117"/>
      <c r="DP60" s="117"/>
      <c r="DQ60" s="227"/>
      <c r="DR60" s="489"/>
      <c r="DS60" s="117"/>
      <c r="DT60" s="117"/>
      <c r="DU60" s="117"/>
      <c r="DV60" s="118"/>
      <c r="DW60" s="119"/>
      <c r="DX60" s="117"/>
      <c r="DY60" s="117"/>
      <c r="DZ60" s="117"/>
      <c r="EA60" s="118"/>
      <c r="EB60" s="116"/>
      <c r="EC60" s="117"/>
      <c r="ED60" s="117"/>
      <c r="EE60" s="117"/>
      <c r="EF60" s="227"/>
      <c r="EH60" s="420"/>
      <c r="EI60" s="420"/>
      <c r="EJ60" s="420"/>
      <c r="EK60" s="420"/>
      <c r="EL60" s="420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17"/>
      <c r="EY60" s="117"/>
      <c r="EZ60" s="101"/>
      <c r="FA60" s="117"/>
      <c r="FB60" s="117"/>
      <c r="FC60" s="117"/>
      <c r="FD60" s="117"/>
      <c r="FE60" s="117"/>
      <c r="FF60" s="491"/>
      <c r="FG60" s="491"/>
      <c r="FH60" s="491"/>
      <c r="FI60" s="117"/>
      <c r="FJ60" s="117"/>
      <c r="FK60" s="117"/>
      <c r="FL60" s="117"/>
      <c r="FM60" s="117"/>
      <c r="FN60" s="117"/>
      <c r="FO60" s="117"/>
      <c r="FP60" s="117"/>
      <c r="FQ60" s="117"/>
      <c r="FR60" s="117"/>
      <c r="FS60" s="117"/>
      <c r="FT60" s="491"/>
      <c r="FU60" s="491"/>
      <c r="FV60" s="117"/>
      <c r="FW60" s="117"/>
      <c r="FX60" s="117"/>
      <c r="FY60" s="117"/>
      <c r="FZ60" s="117"/>
      <c r="GA60" s="117"/>
      <c r="GB60" s="117"/>
      <c r="GC60" s="117"/>
      <c r="GD60" s="117"/>
      <c r="GE60" s="117"/>
      <c r="GF60" s="117"/>
      <c r="GG60" s="101"/>
      <c r="GH60" s="117"/>
      <c r="GI60" s="117"/>
      <c r="GJ60" s="117"/>
      <c r="GK60" s="117"/>
      <c r="GL60" s="117"/>
      <c r="GM60" s="117"/>
      <c r="GN60" s="117"/>
      <c r="GO60" s="117"/>
      <c r="GP60" s="117"/>
      <c r="GQ60" s="117"/>
      <c r="GR60" s="117"/>
      <c r="GS60" s="424"/>
    </row>
    <row r="61" spans="1:255" ht="24.95" customHeight="1">
      <c r="A61" s="126"/>
      <c r="B61" s="200"/>
      <c r="C61" s="200"/>
      <c r="D61" s="226" t="e">
        <f>#REF!/B61</f>
        <v>#REF!</v>
      </c>
      <c r="E61" s="191"/>
      <c r="F61" s="124"/>
      <c r="G61" s="122"/>
      <c r="H61" s="122"/>
      <c r="I61" s="122"/>
      <c r="J61" s="228"/>
      <c r="K61" s="105" t="s">
        <v>437</v>
      </c>
      <c r="L61" s="106" t="s">
        <v>437</v>
      </c>
      <c r="M61" s="106" t="s">
        <v>437</v>
      </c>
      <c r="N61" s="106" t="s">
        <v>437</v>
      </c>
      <c r="O61" s="107" t="s">
        <v>437</v>
      </c>
      <c r="P61" s="125"/>
      <c r="Q61" s="122"/>
      <c r="R61" s="122"/>
      <c r="S61" s="122"/>
      <c r="T61" s="123"/>
      <c r="U61" s="281" t="s">
        <v>437</v>
      </c>
      <c r="V61" s="106" t="s">
        <v>437</v>
      </c>
      <c r="W61" s="106" t="s">
        <v>437</v>
      </c>
      <c r="X61" s="106" t="s">
        <v>437</v>
      </c>
      <c r="Y61" s="106" t="s">
        <v>437</v>
      </c>
      <c r="Z61" s="124"/>
      <c r="AA61" s="122"/>
      <c r="AB61" s="122"/>
      <c r="AC61" s="122"/>
      <c r="AD61" s="123"/>
      <c r="AE61" s="124"/>
      <c r="AF61" s="122"/>
      <c r="AG61" s="122"/>
      <c r="AH61" s="122"/>
      <c r="AI61" s="123"/>
      <c r="AJ61" s="124"/>
      <c r="AK61" s="122"/>
      <c r="AL61" s="122"/>
      <c r="AM61" s="122"/>
      <c r="AN61" s="103" t="s">
        <v>244</v>
      </c>
      <c r="AO61" s="116"/>
      <c r="AP61" s="117"/>
      <c r="AQ61" s="117"/>
      <c r="AR61" s="117"/>
      <c r="AS61" s="118"/>
      <c r="AT61" s="119"/>
      <c r="AU61" s="117"/>
      <c r="AV61" s="117"/>
      <c r="AW61" s="117"/>
      <c r="AX61" s="117"/>
      <c r="AY61" s="118"/>
      <c r="AZ61" s="125"/>
      <c r="BA61" s="122"/>
      <c r="BB61" s="122"/>
      <c r="BC61" s="101" t="s">
        <v>244</v>
      </c>
      <c r="BD61" s="103" t="s">
        <v>244</v>
      </c>
      <c r="BE61" s="124"/>
      <c r="BF61" s="122"/>
      <c r="BG61" s="122"/>
      <c r="BH61" s="122"/>
      <c r="BI61" s="123"/>
      <c r="BJ61" s="124"/>
      <c r="BK61" s="122"/>
      <c r="BL61" s="228"/>
      <c r="BM61" s="117"/>
      <c r="BN61" s="123"/>
      <c r="BO61" s="125"/>
      <c r="BP61" s="122"/>
      <c r="BQ61" s="122"/>
      <c r="BR61" s="122"/>
      <c r="BS61" s="123"/>
      <c r="BT61" s="125"/>
      <c r="BU61" s="122"/>
      <c r="BV61" s="122"/>
      <c r="BW61" s="122"/>
      <c r="BX61" s="122"/>
      <c r="BY61" s="122"/>
      <c r="BZ61" s="122"/>
      <c r="CA61" s="122"/>
      <c r="CB61" s="122"/>
      <c r="CC61" s="122"/>
      <c r="CD61" s="122"/>
      <c r="CE61" s="122"/>
      <c r="CF61" s="122"/>
      <c r="CG61" s="122"/>
      <c r="CH61" s="122"/>
      <c r="CI61" s="122"/>
      <c r="CJ61" s="122"/>
      <c r="CK61" s="122"/>
      <c r="CL61" s="122"/>
      <c r="CM61" s="122"/>
      <c r="CN61" s="122"/>
      <c r="CO61" s="122"/>
      <c r="CP61" s="122"/>
      <c r="CQ61" s="122"/>
      <c r="CR61" s="122"/>
      <c r="CS61" s="492"/>
      <c r="CT61" s="122"/>
      <c r="CU61" s="122"/>
      <c r="CV61" s="122"/>
      <c r="CW61" s="122"/>
      <c r="CX61" s="122"/>
      <c r="CY61" s="122"/>
      <c r="CZ61" s="122"/>
      <c r="DA61" s="122"/>
      <c r="DB61" s="122"/>
      <c r="DC61" s="122"/>
      <c r="DD61" s="122"/>
      <c r="DE61" s="122"/>
      <c r="DF61" s="122"/>
      <c r="DG61" s="228"/>
      <c r="DH61" s="116"/>
      <c r="DI61" s="117"/>
      <c r="DJ61" s="117"/>
      <c r="DK61" s="117"/>
      <c r="DL61" s="227"/>
      <c r="DM61" s="116"/>
      <c r="DN61" s="117"/>
      <c r="DO61" s="117"/>
      <c r="DP61" s="117"/>
      <c r="DQ61" s="227"/>
      <c r="DR61" s="490"/>
      <c r="DS61" s="117"/>
      <c r="DT61" s="117"/>
      <c r="DU61" s="117"/>
      <c r="DV61" s="118"/>
      <c r="DW61" s="119"/>
      <c r="DX61" s="117"/>
      <c r="DY61" s="117"/>
      <c r="DZ61" s="117"/>
      <c r="EA61" s="118"/>
      <c r="EB61" s="116"/>
      <c r="EC61" s="117"/>
      <c r="ED61" s="117"/>
      <c r="EE61" s="117"/>
      <c r="EF61" s="227"/>
      <c r="EG61" s="117"/>
      <c r="EH61" s="117"/>
      <c r="EI61" s="117"/>
      <c r="EJ61" s="117"/>
      <c r="EK61" s="117"/>
      <c r="EL61" s="117"/>
      <c r="EM61" s="117"/>
      <c r="EN61" s="117"/>
      <c r="EO61" s="117"/>
      <c r="EP61" s="117"/>
      <c r="EQ61" s="117"/>
      <c r="ER61" s="117"/>
      <c r="ES61" s="117"/>
      <c r="ET61" s="117"/>
      <c r="EU61" s="117"/>
      <c r="EV61" s="117"/>
      <c r="EW61" s="117"/>
      <c r="EX61" s="117"/>
      <c r="EY61" s="117"/>
      <c r="EZ61" s="101"/>
      <c r="FA61" s="117"/>
      <c r="FB61" s="117"/>
      <c r="FC61" s="117"/>
      <c r="FD61" s="117"/>
      <c r="FE61" s="117"/>
      <c r="FF61" s="491"/>
      <c r="FG61" s="491"/>
      <c r="FH61" s="491"/>
      <c r="FI61" s="117"/>
      <c r="FJ61" s="117"/>
      <c r="FK61" s="117"/>
      <c r="FL61" s="117"/>
      <c r="FM61" s="117"/>
      <c r="FN61" s="117"/>
      <c r="FO61" s="117"/>
      <c r="FP61" s="117"/>
      <c r="FQ61" s="117"/>
      <c r="FR61" s="117"/>
      <c r="FS61" s="117"/>
      <c r="FT61" s="491"/>
      <c r="FU61" s="491"/>
      <c r="FV61" s="117"/>
      <c r="FW61" s="117"/>
      <c r="FX61" s="117"/>
      <c r="FY61" s="117"/>
      <c r="FZ61" s="117"/>
      <c r="GA61" s="117"/>
      <c r="GB61" s="117"/>
      <c r="GC61" s="117"/>
      <c r="GD61" s="117"/>
      <c r="GE61" s="117"/>
      <c r="GF61" s="117"/>
      <c r="GG61" s="101"/>
      <c r="GH61" s="117"/>
      <c r="GI61" s="117"/>
      <c r="GJ61" s="117"/>
      <c r="GK61" s="117"/>
      <c r="GL61" s="117"/>
      <c r="GM61" s="117"/>
      <c r="GN61" s="117"/>
      <c r="GO61" s="117"/>
      <c r="GP61" s="117"/>
      <c r="GQ61" s="117"/>
      <c r="GR61" s="117"/>
      <c r="GS61" s="424"/>
    </row>
    <row r="62" spans="1:255" ht="24.95" customHeight="1">
      <c r="A62" s="121"/>
      <c r="B62" s="204"/>
      <c r="C62" s="204"/>
      <c r="D62" s="226" t="e">
        <f>#REF!/B62</f>
        <v>#REF!</v>
      </c>
      <c r="E62" s="190"/>
      <c r="F62" s="116"/>
      <c r="G62" s="117"/>
      <c r="H62" s="117"/>
      <c r="I62" s="117"/>
      <c r="J62" s="227"/>
      <c r="K62" s="105" t="s">
        <v>437</v>
      </c>
      <c r="L62" s="106" t="s">
        <v>437</v>
      </c>
      <c r="M62" s="106" t="s">
        <v>437</v>
      </c>
      <c r="N62" s="106" t="s">
        <v>437</v>
      </c>
      <c r="O62" s="107" t="s">
        <v>437</v>
      </c>
      <c r="P62" s="119"/>
      <c r="Q62" s="117"/>
      <c r="R62" s="117"/>
      <c r="S62" s="117"/>
      <c r="T62" s="118"/>
      <c r="U62" s="281" t="s">
        <v>437</v>
      </c>
      <c r="V62" s="106" t="s">
        <v>437</v>
      </c>
      <c r="W62" s="106" t="s">
        <v>437</v>
      </c>
      <c r="X62" s="106" t="s">
        <v>437</v>
      </c>
      <c r="Y62" s="106" t="s">
        <v>437</v>
      </c>
      <c r="Z62" s="116"/>
      <c r="AA62" s="117"/>
      <c r="AB62" s="117"/>
      <c r="AC62" s="117"/>
      <c r="AD62" s="118"/>
      <c r="AE62" s="116"/>
      <c r="AF62" s="117"/>
      <c r="AG62" s="117"/>
      <c r="AH62" s="117"/>
      <c r="AI62" s="118"/>
      <c r="AJ62" s="116"/>
      <c r="AK62" s="227"/>
      <c r="AL62" s="334" t="s">
        <v>535</v>
      </c>
      <c r="AM62" s="117"/>
      <c r="AN62" s="103" t="s">
        <v>244</v>
      </c>
      <c r="AO62" s="116"/>
      <c r="AP62" s="117"/>
      <c r="AQ62" s="117"/>
      <c r="AR62" s="117"/>
      <c r="AS62" s="118"/>
      <c r="AT62" s="119"/>
      <c r="AU62" s="117"/>
      <c r="AV62" s="117"/>
      <c r="AW62" s="117"/>
      <c r="AX62" s="117"/>
      <c r="AY62" s="118"/>
      <c r="AZ62" s="391" t="s">
        <v>536</v>
      </c>
      <c r="BA62" s="117"/>
      <c r="BB62" s="117"/>
      <c r="BC62" s="101" t="s">
        <v>244</v>
      </c>
      <c r="BD62" s="103" t="s">
        <v>244</v>
      </c>
      <c r="BE62" s="116"/>
      <c r="BF62" s="117"/>
      <c r="BG62" s="117"/>
      <c r="BH62" s="117"/>
      <c r="BI62" s="118"/>
      <c r="BJ62" s="116"/>
      <c r="BK62" s="117"/>
      <c r="BL62" s="117"/>
      <c r="BM62" s="117"/>
      <c r="BN62" s="409" t="s">
        <v>539</v>
      </c>
      <c r="BO62" s="119"/>
      <c r="BP62" s="117"/>
      <c r="BQ62" s="117"/>
      <c r="BR62" s="117"/>
      <c r="BS62" s="118"/>
      <c r="BT62" s="119"/>
      <c r="BU62" s="117"/>
      <c r="BV62" s="117"/>
      <c r="BW62" s="117"/>
      <c r="BX62" s="117"/>
      <c r="BY62" s="117"/>
      <c r="BZ62" s="117"/>
      <c r="CA62" s="117"/>
      <c r="CB62" s="117"/>
      <c r="CC62" s="117"/>
      <c r="CD62" s="117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/>
      <c r="CQ62" s="117"/>
      <c r="CR62" s="117"/>
      <c r="CS62" s="491"/>
      <c r="CT62" s="117"/>
      <c r="CU62" s="117"/>
      <c r="CV62" s="117"/>
      <c r="CW62" s="117"/>
      <c r="CX62" s="117"/>
      <c r="CY62" s="117"/>
      <c r="CZ62" s="117"/>
      <c r="DA62" s="117"/>
      <c r="DB62" s="117"/>
      <c r="DC62" s="117"/>
      <c r="DD62" s="117"/>
      <c r="DE62" s="117"/>
      <c r="DF62" s="117"/>
      <c r="DG62" s="227"/>
      <c r="DH62" s="116"/>
      <c r="DI62" s="117"/>
      <c r="DJ62" s="117"/>
      <c r="DK62" s="117"/>
      <c r="DL62" s="227"/>
      <c r="DM62" s="116"/>
      <c r="DN62" s="117"/>
      <c r="DO62" s="117"/>
      <c r="DP62" s="117"/>
      <c r="DQ62" s="227"/>
      <c r="DR62" s="489"/>
      <c r="DS62" s="117"/>
      <c r="DT62" s="117"/>
      <c r="DU62" s="117"/>
      <c r="DV62" s="118"/>
      <c r="DW62" s="119"/>
      <c r="DX62" s="117"/>
      <c r="DY62" s="117"/>
      <c r="DZ62" s="117"/>
      <c r="EA62" s="118"/>
      <c r="EB62" s="116"/>
      <c r="EC62" s="117"/>
      <c r="ED62" s="117"/>
      <c r="EE62" s="117"/>
      <c r="EF62" s="227"/>
      <c r="EG62" s="117"/>
      <c r="EH62" s="117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17"/>
      <c r="EY62" s="117"/>
      <c r="EZ62" s="101"/>
      <c r="FA62" s="117"/>
      <c r="FB62" s="117"/>
      <c r="FC62" s="117"/>
      <c r="FD62" s="117"/>
      <c r="FE62" s="117"/>
      <c r="FF62" s="491"/>
      <c r="FG62" s="491"/>
      <c r="FH62" s="491"/>
      <c r="FI62" s="117"/>
      <c r="FJ62" s="117"/>
      <c r="FK62" s="117"/>
      <c r="FL62" s="117"/>
      <c r="FM62" s="117"/>
      <c r="FN62" s="117"/>
      <c r="FO62" s="117"/>
      <c r="FP62" s="117"/>
      <c r="FQ62" s="117"/>
      <c r="FR62" s="117"/>
      <c r="FS62" s="117"/>
      <c r="FT62" s="491"/>
      <c r="FU62" s="491"/>
      <c r="FV62" s="117"/>
      <c r="FW62" s="117"/>
      <c r="FX62" s="117"/>
      <c r="FY62" s="117"/>
      <c r="FZ62" s="117"/>
      <c r="GA62" s="117"/>
      <c r="GB62" s="117"/>
      <c r="GC62" s="117"/>
      <c r="GD62" s="117"/>
      <c r="GE62" s="117"/>
      <c r="GF62" s="117"/>
      <c r="GG62" s="101"/>
      <c r="GH62" s="117"/>
      <c r="GI62" s="117"/>
      <c r="GJ62" s="117"/>
      <c r="GK62" s="117"/>
      <c r="GL62" s="117"/>
      <c r="GM62" s="117"/>
      <c r="GN62" s="117"/>
      <c r="GO62" s="117"/>
      <c r="GP62" s="117"/>
      <c r="GQ62" s="117"/>
      <c r="GR62" s="117"/>
      <c r="GS62" s="424"/>
    </row>
    <row r="63" spans="1:255" ht="24.95" customHeight="1">
      <c r="A63" s="121"/>
      <c r="B63" s="204"/>
      <c r="C63" s="204"/>
      <c r="D63" s="226" t="e">
        <f>#REF!/B63</f>
        <v>#REF!</v>
      </c>
      <c r="E63" s="190"/>
      <c r="F63" s="116"/>
      <c r="G63" s="117"/>
      <c r="H63" s="117"/>
      <c r="I63" s="117"/>
      <c r="J63" s="227"/>
      <c r="K63" s="105" t="s">
        <v>437</v>
      </c>
      <c r="L63" s="106" t="s">
        <v>437</v>
      </c>
      <c r="M63" s="106" t="s">
        <v>437</v>
      </c>
      <c r="N63" s="106" t="s">
        <v>437</v>
      </c>
      <c r="O63" s="107" t="s">
        <v>437</v>
      </c>
      <c r="P63" s="119"/>
      <c r="Q63" s="117"/>
      <c r="R63" s="117"/>
      <c r="S63" s="117"/>
      <c r="T63" s="118"/>
      <c r="U63" s="281" t="s">
        <v>437</v>
      </c>
      <c r="V63" s="106" t="s">
        <v>437</v>
      </c>
      <c r="W63" s="106" t="s">
        <v>437</v>
      </c>
      <c r="X63" s="106" t="s">
        <v>437</v>
      </c>
      <c r="Y63" s="106" t="s">
        <v>437</v>
      </c>
      <c r="Z63" s="116"/>
      <c r="AA63" s="117"/>
      <c r="AB63" s="117"/>
      <c r="AC63" s="117"/>
      <c r="AD63" s="98"/>
      <c r="AE63" s="116"/>
      <c r="AF63" s="117"/>
      <c r="AG63" s="316"/>
      <c r="AH63" s="316"/>
      <c r="AI63" s="118"/>
      <c r="AJ63" s="116"/>
      <c r="AK63" s="227"/>
      <c r="AL63" s="334" t="s">
        <v>535</v>
      </c>
      <c r="AM63" s="117"/>
      <c r="AN63" s="103" t="s">
        <v>244</v>
      </c>
      <c r="AO63" s="116"/>
      <c r="AP63" s="117"/>
      <c r="AQ63" s="117"/>
      <c r="AR63" s="117"/>
      <c r="AS63" s="118"/>
      <c r="AT63" s="119"/>
      <c r="AU63" s="117"/>
      <c r="AV63" s="117"/>
      <c r="AW63" s="117"/>
      <c r="AX63" s="117"/>
      <c r="AY63" s="118"/>
      <c r="AZ63" s="391" t="s">
        <v>536</v>
      </c>
      <c r="BA63" s="117"/>
      <c r="BB63" s="117"/>
      <c r="BC63" s="101" t="s">
        <v>244</v>
      </c>
      <c r="BD63" s="103" t="s">
        <v>244</v>
      </c>
      <c r="BE63" s="116"/>
      <c r="BF63" s="117"/>
      <c r="BG63" s="117"/>
      <c r="BH63" s="117"/>
      <c r="BI63" s="118"/>
      <c r="BJ63" s="116"/>
      <c r="BK63" s="117"/>
      <c r="BL63" s="117"/>
      <c r="BM63" s="117"/>
      <c r="BN63" s="409" t="s">
        <v>539</v>
      </c>
      <c r="BO63" s="119"/>
      <c r="BP63" s="117"/>
      <c r="BQ63" s="117"/>
      <c r="BR63" s="117"/>
      <c r="BS63" s="118"/>
      <c r="BT63" s="119"/>
      <c r="BU63" s="117"/>
      <c r="BV63" s="117"/>
      <c r="BW63" s="117"/>
      <c r="BX63" s="117"/>
      <c r="BY63" s="117"/>
      <c r="BZ63" s="117"/>
      <c r="CA63" s="117"/>
      <c r="CB63" s="117"/>
      <c r="CC63" s="117"/>
      <c r="CD63" s="117"/>
      <c r="CE63" s="117"/>
      <c r="CF63" s="117"/>
      <c r="CG63" s="117"/>
      <c r="CH63" s="117"/>
      <c r="CI63" s="117"/>
      <c r="CJ63" s="117"/>
      <c r="CK63" s="117"/>
      <c r="CL63" s="117"/>
      <c r="CM63" s="117"/>
      <c r="CN63" s="117"/>
      <c r="CO63" s="117"/>
      <c r="CP63" s="117"/>
      <c r="CQ63" s="117"/>
      <c r="CR63" s="117"/>
      <c r="CS63" s="491"/>
      <c r="CT63" s="117"/>
      <c r="CU63" s="117"/>
      <c r="CV63" s="117"/>
      <c r="CW63" s="117"/>
      <c r="CX63" s="117"/>
      <c r="CY63" s="117"/>
      <c r="CZ63" s="117"/>
      <c r="DA63" s="117"/>
      <c r="DB63" s="117"/>
      <c r="DC63" s="117"/>
      <c r="DD63" s="117"/>
      <c r="DE63" s="117"/>
      <c r="DF63" s="117"/>
      <c r="DG63" s="227"/>
      <c r="DH63" s="116"/>
      <c r="DI63" s="117"/>
      <c r="DJ63" s="117"/>
      <c r="DK63" s="117"/>
      <c r="DL63" s="227"/>
      <c r="DM63" s="116"/>
      <c r="DN63" s="117"/>
      <c r="DO63" s="117"/>
      <c r="DP63" s="117"/>
      <c r="DQ63" s="227"/>
      <c r="DR63" s="489"/>
      <c r="DS63" s="117"/>
      <c r="DT63" s="117"/>
      <c r="DU63" s="117"/>
      <c r="DV63" s="118"/>
      <c r="DW63" s="119"/>
      <c r="DX63" s="117"/>
      <c r="DY63" s="117"/>
      <c r="DZ63" s="117"/>
      <c r="EA63" s="118"/>
      <c r="EB63" s="116"/>
      <c r="EC63" s="117"/>
      <c r="ED63" s="117"/>
      <c r="EE63" s="117"/>
      <c r="EF63" s="227"/>
      <c r="EG63" s="117"/>
      <c r="EH63" s="117"/>
      <c r="EI63" s="117"/>
      <c r="EJ63" s="117"/>
      <c r="EK63" s="117"/>
      <c r="EL63" s="117"/>
      <c r="EM63" s="117"/>
      <c r="EN63" s="117"/>
      <c r="EO63" s="117"/>
      <c r="EP63" s="117"/>
      <c r="EQ63" s="117"/>
      <c r="ER63" s="117"/>
      <c r="ES63" s="117"/>
      <c r="ET63" s="117"/>
      <c r="EU63" s="117"/>
      <c r="EV63" s="117"/>
      <c r="EW63" s="117"/>
      <c r="EX63" s="117"/>
      <c r="EY63" s="117"/>
      <c r="EZ63" s="101"/>
      <c r="FA63" s="117"/>
      <c r="FB63" s="117"/>
      <c r="FC63" s="117"/>
      <c r="FD63" s="117"/>
      <c r="FE63" s="117"/>
      <c r="FF63" s="491"/>
      <c r="FG63" s="491"/>
      <c r="FH63" s="491"/>
      <c r="FI63" s="117"/>
      <c r="FJ63" s="117"/>
      <c r="FK63" s="117"/>
      <c r="FL63" s="117"/>
      <c r="FM63" s="117"/>
      <c r="FN63" s="117"/>
      <c r="FO63" s="117"/>
      <c r="FP63" s="117"/>
      <c r="FQ63" s="117"/>
      <c r="FR63" s="117"/>
      <c r="FS63" s="117"/>
      <c r="FT63" s="491"/>
      <c r="FU63" s="491"/>
      <c r="FV63" s="117"/>
      <c r="FW63" s="117"/>
      <c r="FX63" s="117"/>
      <c r="FY63" s="117"/>
      <c r="FZ63" s="117"/>
      <c r="GA63" s="117"/>
      <c r="GB63" s="117"/>
      <c r="GC63" s="117"/>
      <c r="GD63" s="117"/>
      <c r="GE63" s="117"/>
      <c r="GF63" s="117"/>
      <c r="GG63" s="101"/>
      <c r="GH63" s="117"/>
      <c r="GI63" s="117"/>
      <c r="GJ63" s="117"/>
      <c r="GK63" s="117"/>
      <c r="GL63" s="117"/>
      <c r="GM63" s="117"/>
      <c r="GN63" s="117"/>
      <c r="GO63" s="117"/>
      <c r="GP63" s="117"/>
      <c r="GQ63" s="117"/>
      <c r="GR63" s="117"/>
      <c r="GS63" s="424"/>
    </row>
    <row r="64" spans="1:255" ht="24.95" customHeight="1">
      <c r="A64" s="121"/>
      <c r="B64" s="204"/>
      <c r="C64" s="204"/>
      <c r="D64" s="226" t="e">
        <f>#REF!/B64</f>
        <v>#REF!</v>
      </c>
      <c r="E64" s="190"/>
      <c r="F64" s="116"/>
      <c r="G64" s="117"/>
      <c r="H64" s="117"/>
      <c r="I64" s="117"/>
      <c r="J64" s="227"/>
      <c r="K64" s="105" t="s">
        <v>437</v>
      </c>
      <c r="L64" s="106" t="s">
        <v>437</v>
      </c>
      <c r="M64" s="106" t="s">
        <v>437</v>
      </c>
      <c r="N64" s="106" t="s">
        <v>437</v>
      </c>
      <c r="O64" s="107" t="s">
        <v>437</v>
      </c>
      <c r="P64" s="119"/>
      <c r="Q64" s="117"/>
      <c r="R64" s="117"/>
      <c r="S64" s="117"/>
      <c r="T64" s="118"/>
      <c r="U64" s="281" t="s">
        <v>437</v>
      </c>
      <c r="V64" s="106" t="s">
        <v>437</v>
      </c>
      <c r="W64" s="106" t="s">
        <v>437</v>
      </c>
      <c r="X64" s="106" t="s">
        <v>437</v>
      </c>
      <c r="Y64" s="106" t="s">
        <v>437</v>
      </c>
      <c r="Z64" s="116"/>
      <c r="AA64" s="117"/>
      <c r="AB64" s="117"/>
      <c r="AC64" s="117"/>
      <c r="AD64" s="118"/>
      <c r="AE64" s="315"/>
      <c r="AF64" s="316"/>
      <c r="AG64" s="101"/>
      <c r="AH64" s="117"/>
      <c r="AI64" s="118"/>
      <c r="AJ64" s="116"/>
      <c r="AK64" s="227"/>
      <c r="AL64" s="334" t="s">
        <v>535</v>
      </c>
      <c r="AM64" s="117"/>
      <c r="AN64" s="103" t="s">
        <v>244</v>
      </c>
      <c r="AO64" s="116"/>
      <c r="AP64" s="117"/>
      <c r="AQ64" s="117"/>
      <c r="AR64" s="117"/>
      <c r="AS64" s="118"/>
      <c r="AT64" s="119"/>
      <c r="AU64" s="117"/>
      <c r="AV64" s="117"/>
      <c r="AW64" s="117"/>
      <c r="AX64" s="117"/>
      <c r="AY64" s="118"/>
      <c r="AZ64" s="391" t="s">
        <v>536</v>
      </c>
      <c r="BA64" s="117"/>
      <c r="BB64" s="117"/>
      <c r="BC64" s="101" t="s">
        <v>244</v>
      </c>
      <c r="BD64" s="103" t="s">
        <v>244</v>
      </c>
      <c r="BE64" s="116"/>
      <c r="BF64" s="117"/>
      <c r="BG64" s="117"/>
      <c r="BH64" s="117"/>
      <c r="BI64" s="118"/>
      <c r="BJ64" s="116"/>
      <c r="BK64" s="117"/>
      <c r="BL64" s="117"/>
      <c r="BM64" s="117"/>
      <c r="BN64" s="409" t="s">
        <v>539</v>
      </c>
      <c r="BO64" s="119"/>
      <c r="BP64" s="117"/>
      <c r="BQ64" s="117"/>
      <c r="BR64" s="117"/>
      <c r="BS64" s="118"/>
      <c r="BT64" s="119"/>
      <c r="BU64" s="117"/>
      <c r="BV64" s="117"/>
      <c r="BW64" s="117"/>
      <c r="BX64" s="117"/>
      <c r="BY64" s="117"/>
      <c r="BZ64" s="117"/>
      <c r="CA64" s="117"/>
      <c r="CB64" s="117"/>
      <c r="CC64" s="117"/>
      <c r="CD64" s="117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/>
      <c r="CQ64" s="117"/>
      <c r="CR64" s="117"/>
      <c r="CS64" s="491"/>
      <c r="CT64" s="117"/>
      <c r="CU64" s="117"/>
      <c r="CV64" s="117"/>
      <c r="CW64" s="117"/>
      <c r="CX64" s="117"/>
      <c r="CY64" s="117"/>
      <c r="CZ64" s="117"/>
      <c r="DA64" s="117"/>
      <c r="DB64" s="117"/>
      <c r="DC64" s="117"/>
      <c r="DD64" s="117"/>
      <c r="DE64" s="117"/>
      <c r="DF64" s="117"/>
      <c r="DG64" s="227"/>
      <c r="DH64" s="116"/>
      <c r="DI64" s="117"/>
      <c r="DJ64" s="117"/>
      <c r="DK64" s="117"/>
      <c r="DL64" s="227"/>
      <c r="DM64" s="116"/>
      <c r="DN64" s="117"/>
      <c r="DO64" s="117"/>
      <c r="DP64" s="117"/>
      <c r="DQ64" s="227"/>
      <c r="DR64" s="489"/>
      <c r="DS64" s="117"/>
      <c r="DT64" s="117"/>
      <c r="DU64" s="117"/>
      <c r="DV64" s="118"/>
      <c r="DW64" s="119"/>
      <c r="DX64" s="117"/>
      <c r="DY64" s="117"/>
      <c r="DZ64" s="117"/>
      <c r="EA64" s="118"/>
      <c r="EB64" s="116"/>
      <c r="EC64" s="117"/>
      <c r="ED64" s="117"/>
      <c r="EE64" s="117"/>
      <c r="EF64" s="227"/>
      <c r="EG64" s="117"/>
      <c r="EH64" s="117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17"/>
      <c r="EY64" s="117"/>
      <c r="EZ64" s="101"/>
      <c r="FA64" s="117"/>
      <c r="FB64" s="117"/>
      <c r="FC64" s="117"/>
      <c r="FD64" s="117"/>
      <c r="FE64" s="117"/>
      <c r="FF64" s="491"/>
      <c r="FG64" s="491"/>
      <c r="FH64" s="491"/>
      <c r="FI64" s="117"/>
      <c r="FJ64" s="117"/>
      <c r="FK64" s="117"/>
      <c r="FL64" s="117"/>
      <c r="FM64" s="117"/>
      <c r="FN64" s="117"/>
      <c r="FO64" s="117"/>
      <c r="FP64" s="117"/>
      <c r="FQ64" s="117"/>
      <c r="FR64" s="117"/>
      <c r="FS64" s="117"/>
      <c r="FT64" s="491"/>
      <c r="FU64" s="491"/>
      <c r="FV64" s="117"/>
      <c r="FW64" s="117"/>
      <c r="FX64" s="117"/>
      <c r="FY64" s="117"/>
      <c r="FZ64" s="117"/>
      <c r="GA64" s="117"/>
      <c r="GB64" s="117"/>
      <c r="GC64" s="117"/>
      <c r="GD64" s="117"/>
      <c r="GE64" s="117"/>
      <c r="GF64" s="117"/>
      <c r="GG64" s="101"/>
      <c r="GH64" s="117"/>
      <c r="GI64" s="117"/>
      <c r="GJ64" s="117"/>
      <c r="GK64" s="117"/>
      <c r="GL64" s="117"/>
      <c r="GM64" s="117"/>
      <c r="GN64" s="117"/>
      <c r="GO64" s="117"/>
      <c r="GP64" s="117"/>
      <c r="GQ64" s="117"/>
      <c r="GR64" s="117"/>
      <c r="GS64" s="424"/>
    </row>
    <row r="65" spans="1:201" ht="24.95" customHeight="1">
      <c r="A65" s="121"/>
      <c r="B65" s="204"/>
      <c r="C65" s="204"/>
      <c r="D65" s="226" t="e">
        <f>#REF!/B65</f>
        <v>#REF!</v>
      </c>
      <c r="E65" s="190"/>
      <c r="F65" s="116"/>
      <c r="G65" s="117"/>
      <c r="H65" s="117"/>
      <c r="I65" s="117"/>
      <c r="J65" s="227"/>
      <c r="K65" s="105" t="s">
        <v>437</v>
      </c>
      <c r="L65" s="106" t="s">
        <v>437</v>
      </c>
      <c r="M65" s="106" t="s">
        <v>437</v>
      </c>
      <c r="N65" s="106" t="s">
        <v>437</v>
      </c>
      <c r="O65" s="107" t="s">
        <v>437</v>
      </c>
      <c r="P65" s="119"/>
      <c r="Q65" s="117"/>
      <c r="R65" s="117"/>
      <c r="S65" s="117"/>
      <c r="T65" s="118"/>
      <c r="U65" s="281" t="s">
        <v>437</v>
      </c>
      <c r="V65" s="106" t="s">
        <v>437</v>
      </c>
      <c r="W65" s="106" t="s">
        <v>437</v>
      </c>
      <c r="X65" s="106" t="s">
        <v>437</v>
      </c>
      <c r="Y65" s="106" t="s">
        <v>437</v>
      </c>
      <c r="Z65" s="116"/>
      <c r="AA65" s="117"/>
      <c r="AB65" s="117"/>
      <c r="AC65" s="117"/>
      <c r="AD65" s="118"/>
      <c r="AE65" s="116"/>
      <c r="AF65" s="117"/>
      <c r="AG65" s="117"/>
      <c r="AH65" s="117"/>
      <c r="AI65" s="118"/>
      <c r="AJ65" s="116"/>
      <c r="AK65" s="227"/>
      <c r="AL65" s="334" t="s">
        <v>535</v>
      </c>
      <c r="AM65" s="117"/>
      <c r="AN65" s="103" t="s">
        <v>244</v>
      </c>
      <c r="AO65" s="116"/>
      <c r="AP65" s="117"/>
      <c r="AQ65" s="117"/>
      <c r="AR65" s="117"/>
      <c r="AS65" s="118"/>
      <c r="AT65" s="119"/>
      <c r="AU65" s="117"/>
      <c r="AV65" s="117"/>
      <c r="AW65" s="117"/>
      <c r="AX65" s="117"/>
      <c r="AY65" s="118"/>
      <c r="AZ65" s="391" t="s">
        <v>536</v>
      </c>
      <c r="BA65" s="117"/>
      <c r="BB65" s="117"/>
      <c r="BC65" s="101" t="s">
        <v>244</v>
      </c>
      <c r="BD65" s="103" t="s">
        <v>244</v>
      </c>
      <c r="BE65" s="116"/>
      <c r="BF65" s="117"/>
      <c r="BG65" s="117"/>
      <c r="BH65" s="117"/>
      <c r="BI65" s="118"/>
      <c r="BJ65" s="116"/>
      <c r="BK65" s="117"/>
      <c r="BL65" s="117"/>
      <c r="BM65" s="117"/>
      <c r="BN65" s="409" t="s">
        <v>539</v>
      </c>
      <c r="BO65" s="119"/>
      <c r="BP65" s="117"/>
      <c r="BQ65" s="117"/>
      <c r="BR65" s="117"/>
      <c r="BS65" s="118"/>
      <c r="BT65" s="119"/>
      <c r="BU65" s="117"/>
      <c r="BV65" s="117"/>
      <c r="BW65" s="117"/>
      <c r="BX65" s="117"/>
      <c r="BY65" s="117"/>
      <c r="BZ65" s="117"/>
      <c r="CA65" s="117"/>
      <c r="CB65" s="117"/>
      <c r="CC65" s="117"/>
      <c r="CD65" s="117"/>
      <c r="CE65" s="117"/>
      <c r="CF65" s="117"/>
      <c r="CG65" s="117"/>
      <c r="CH65" s="117"/>
      <c r="CI65" s="117"/>
      <c r="CJ65" s="117"/>
      <c r="CK65" s="117"/>
      <c r="CL65" s="117"/>
      <c r="CM65" s="117"/>
      <c r="CN65" s="117"/>
      <c r="CO65" s="117"/>
      <c r="CP65" s="117"/>
      <c r="CQ65" s="117"/>
      <c r="CR65" s="117"/>
      <c r="CS65" s="491"/>
      <c r="CT65" s="117"/>
      <c r="CU65" s="117"/>
      <c r="CV65" s="117"/>
      <c r="CW65" s="117"/>
      <c r="CX65" s="117"/>
      <c r="CY65" s="117"/>
      <c r="CZ65" s="117"/>
      <c r="DA65" s="117"/>
      <c r="DB65" s="117"/>
      <c r="DC65" s="117"/>
      <c r="DD65" s="117"/>
      <c r="DE65" s="117"/>
      <c r="DF65" s="117"/>
      <c r="DG65" s="227"/>
      <c r="DH65" s="116"/>
      <c r="DI65" s="117"/>
      <c r="DJ65" s="117"/>
      <c r="DK65" s="117"/>
      <c r="DL65" s="227"/>
      <c r="DM65" s="116"/>
      <c r="DN65" s="117"/>
      <c r="DO65" s="117"/>
      <c r="DP65" s="117"/>
      <c r="DQ65" s="227"/>
      <c r="DR65" s="489"/>
      <c r="DS65" s="117"/>
      <c r="DT65" s="117"/>
      <c r="DU65" s="117"/>
      <c r="DV65" s="118"/>
      <c r="DW65" s="119"/>
      <c r="DX65" s="117"/>
      <c r="DY65" s="117"/>
      <c r="DZ65" s="117"/>
      <c r="EA65" s="118"/>
      <c r="EB65" s="116"/>
      <c r="EC65" s="117"/>
      <c r="ED65" s="117"/>
      <c r="EE65" s="117"/>
      <c r="EF65" s="227"/>
      <c r="EG65" s="117"/>
      <c r="EH65" s="117"/>
      <c r="EI65" s="117"/>
      <c r="EJ65" s="117"/>
      <c r="EK65" s="117"/>
      <c r="EL65" s="117"/>
      <c r="EM65" s="117"/>
      <c r="EN65" s="117"/>
      <c r="EO65" s="117"/>
      <c r="EP65" s="117"/>
      <c r="EQ65" s="117"/>
      <c r="ER65" s="117"/>
      <c r="ES65" s="117"/>
      <c r="ET65" s="117"/>
      <c r="EU65" s="117"/>
      <c r="EV65" s="117"/>
      <c r="EW65" s="117"/>
      <c r="EX65" s="117"/>
      <c r="EY65" s="117"/>
      <c r="EZ65" s="101"/>
      <c r="FA65" s="117"/>
      <c r="FB65" s="117"/>
      <c r="FC65" s="117"/>
      <c r="FD65" s="117"/>
      <c r="FE65" s="117"/>
      <c r="FF65" s="491"/>
      <c r="FG65" s="491"/>
      <c r="FH65" s="491"/>
      <c r="FI65" s="117"/>
      <c r="FJ65" s="117"/>
      <c r="FK65" s="117"/>
      <c r="FL65" s="117"/>
      <c r="FM65" s="117"/>
      <c r="FN65" s="117"/>
      <c r="FO65" s="117"/>
      <c r="FP65" s="117"/>
      <c r="FQ65" s="117"/>
      <c r="FR65" s="117"/>
      <c r="FS65" s="117"/>
      <c r="FT65" s="491"/>
      <c r="FU65" s="491"/>
      <c r="FV65" s="117"/>
      <c r="FW65" s="117"/>
      <c r="FX65" s="117"/>
      <c r="FY65" s="117"/>
      <c r="FZ65" s="117"/>
      <c r="GA65" s="117"/>
      <c r="GB65" s="117"/>
      <c r="GC65" s="117"/>
      <c r="GD65" s="117"/>
      <c r="GE65" s="117"/>
      <c r="GF65" s="117"/>
      <c r="GG65" s="101"/>
      <c r="GH65" s="117"/>
      <c r="GI65" s="117"/>
      <c r="GJ65" s="117"/>
      <c r="GK65" s="117"/>
      <c r="GL65" s="117"/>
      <c r="GM65" s="117"/>
      <c r="GN65" s="117"/>
      <c r="GO65" s="117"/>
      <c r="GP65" s="117"/>
      <c r="GQ65" s="117"/>
      <c r="GR65" s="117"/>
      <c r="GS65" s="424"/>
    </row>
    <row r="66" spans="1:201" ht="24.95" customHeight="1">
      <c r="A66" s="4"/>
      <c r="B66" s="5"/>
      <c r="C66" s="5"/>
      <c r="D66" s="226" t="e">
        <f>#REF!/B66</f>
        <v>#REF!</v>
      </c>
      <c r="E66" s="190"/>
      <c r="F66" s="116"/>
      <c r="G66" s="117"/>
      <c r="H66" s="117"/>
      <c r="I66" s="117"/>
      <c r="J66" s="227"/>
      <c r="K66" s="105" t="s">
        <v>437</v>
      </c>
      <c r="L66" s="106" t="s">
        <v>437</v>
      </c>
      <c r="M66" s="106" t="s">
        <v>437</v>
      </c>
      <c r="N66" s="106" t="s">
        <v>437</v>
      </c>
      <c r="O66" s="107" t="s">
        <v>437</v>
      </c>
      <c r="P66" s="119"/>
      <c r="Q66" s="117"/>
      <c r="R66" s="117"/>
      <c r="S66" s="117"/>
      <c r="T66" s="118"/>
      <c r="U66" s="281" t="s">
        <v>437</v>
      </c>
      <c r="V66" s="106" t="s">
        <v>437</v>
      </c>
      <c r="W66" s="106" t="s">
        <v>437</v>
      </c>
      <c r="X66" s="106" t="s">
        <v>437</v>
      </c>
      <c r="Y66" s="106" t="s">
        <v>437</v>
      </c>
      <c r="Z66" s="116"/>
      <c r="AA66" s="117"/>
      <c r="AB66" s="117"/>
      <c r="AC66" s="117"/>
      <c r="AD66" s="118"/>
      <c r="AE66" s="116"/>
      <c r="AF66" s="117"/>
      <c r="AG66" s="117"/>
      <c r="AH66" s="117"/>
      <c r="AI66" s="118"/>
      <c r="AJ66" s="116"/>
      <c r="AK66" s="117"/>
      <c r="AL66" s="117"/>
      <c r="AM66" s="117"/>
      <c r="AN66" s="103" t="s">
        <v>244</v>
      </c>
      <c r="AO66" s="116"/>
      <c r="AP66" s="117"/>
      <c r="AQ66" s="117"/>
      <c r="AR66" s="117"/>
      <c r="AS66" s="118"/>
      <c r="AT66" s="119"/>
      <c r="AU66" s="117"/>
      <c r="AV66" s="117"/>
      <c r="AW66" s="117"/>
      <c r="AX66" s="117"/>
      <c r="AY66" s="118"/>
      <c r="AZ66" s="119"/>
      <c r="BA66" s="117"/>
      <c r="BB66" s="117"/>
      <c r="BC66" s="101" t="s">
        <v>244</v>
      </c>
      <c r="BD66" s="103" t="s">
        <v>244</v>
      </c>
      <c r="BE66" s="116"/>
      <c r="BF66" s="117"/>
      <c r="BG66" s="117"/>
      <c r="BH66" s="117"/>
      <c r="BI66" s="118"/>
      <c r="BJ66" s="116"/>
      <c r="BK66" s="117"/>
      <c r="BL66" s="117"/>
      <c r="BM66" s="117"/>
      <c r="BN66" s="118"/>
      <c r="BO66" s="119"/>
      <c r="BP66" s="117"/>
      <c r="BQ66" s="117"/>
      <c r="BR66" s="117"/>
      <c r="BS66" s="118"/>
      <c r="BT66" s="119"/>
      <c r="BU66" s="117"/>
      <c r="BV66" s="117"/>
      <c r="BW66" s="117"/>
      <c r="BX66" s="117"/>
      <c r="BY66" s="117"/>
      <c r="BZ66" s="117"/>
      <c r="CA66" s="117"/>
      <c r="CB66" s="117"/>
      <c r="CC66" s="117"/>
      <c r="CD66" s="117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/>
      <c r="CQ66" s="117"/>
      <c r="CR66" s="117"/>
      <c r="CS66" s="491"/>
      <c r="CT66" s="117"/>
      <c r="CU66" s="117"/>
      <c r="CV66" s="117"/>
      <c r="CW66" s="117"/>
      <c r="CX66" s="117"/>
      <c r="CY66" s="117"/>
      <c r="CZ66" s="117"/>
      <c r="DA66" s="117"/>
      <c r="DB66" s="117"/>
      <c r="DC66" s="117"/>
      <c r="DD66" s="117"/>
      <c r="DE66" s="117"/>
      <c r="DF66" s="117"/>
      <c r="DG66" s="227"/>
      <c r="DH66" s="116"/>
      <c r="DI66" s="117"/>
      <c r="DJ66" s="117"/>
      <c r="DK66" s="117"/>
      <c r="DL66" s="227"/>
      <c r="DM66" s="116"/>
      <c r="DN66" s="117"/>
      <c r="DO66" s="117"/>
      <c r="DP66" s="117"/>
      <c r="DQ66" s="227"/>
      <c r="DR66" s="489"/>
      <c r="DS66" s="117"/>
      <c r="DT66" s="117"/>
      <c r="DU66" s="117"/>
      <c r="DV66" s="118"/>
      <c r="DW66" s="119"/>
      <c r="DX66" s="117"/>
      <c r="DY66" s="117"/>
      <c r="DZ66" s="117"/>
      <c r="EA66" s="118"/>
      <c r="EB66" s="116"/>
      <c r="EC66" s="117"/>
      <c r="ED66" s="117"/>
      <c r="EE66" s="117"/>
      <c r="EF66" s="227"/>
      <c r="EG66" s="117"/>
      <c r="EH66" s="661"/>
      <c r="EI66" s="661"/>
      <c r="EJ66" s="661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17"/>
      <c r="EY66" s="117"/>
      <c r="EZ66" s="101"/>
      <c r="FA66" s="117"/>
      <c r="FB66" s="117"/>
      <c r="FC66" s="117"/>
      <c r="FD66" s="117"/>
      <c r="FE66" s="117"/>
      <c r="FF66" s="491"/>
      <c r="FG66" s="491"/>
      <c r="FH66" s="491"/>
      <c r="FI66" s="117"/>
      <c r="FJ66" s="117"/>
      <c r="FK66" s="117"/>
      <c r="FL66" s="117"/>
      <c r="FM66" s="117"/>
      <c r="FN66" s="117"/>
      <c r="FO66" s="117"/>
      <c r="FP66" s="117"/>
      <c r="FQ66" s="117"/>
      <c r="FR66" s="117"/>
      <c r="FS66" s="117"/>
      <c r="FT66" s="491"/>
      <c r="FU66" s="491"/>
      <c r="FV66" s="117"/>
      <c r="FW66" s="117"/>
      <c r="FX66" s="117"/>
      <c r="FY66" s="117"/>
      <c r="FZ66" s="117"/>
      <c r="GA66" s="117"/>
      <c r="GB66" s="117"/>
      <c r="GC66" s="117"/>
      <c r="GD66" s="117"/>
      <c r="GE66" s="117"/>
      <c r="GF66" s="117"/>
      <c r="GG66" s="101"/>
      <c r="GH66" s="117"/>
      <c r="GI66" s="117"/>
      <c r="GJ66" s="117"/>
      <c r="GK66" s="117"/>
      <c r="GL66" s="117"/>
      <c r="GM66" s="117"/>
      <c r="GN66" s="117"/>
      <c r="GO66" s="117"/>
      <c r="GP66" s="117"/>
      <c r="GQ66" s="117"/>
      <c r="GR66" s="117"/>
      <c r="GS66" s="424"/>
    </row>
    <row r="67" spans="1:201" ht="24.95" customHeight="1">
      <c r="A67" s="284"/>
      <c r="B67" s="290"/>
      <c r="C67" s="290"/>
      <c r="D67" s="554" t="e">
        <f>#REF!/B67</f>
        <v>#REF!</v>
      </c>
      <c r="E67" s="191"/>
      <c r="F67" s="124"/>
      <c r="G67" s="122"/>
      <c r="H67" s="122"/>
      <c r="I67" s="122"/>
      <c r="J67" s="228"/>
      <c r="K67" s="556" t="s">
        <v>437</v>
      </c>
      <c r="L67" s="555" t="s">
        <v>437</v>
      </c>
      <c r="M67" s="555" t="s">
        <v>437</v>
      </c>
      <c r="N67" s="555" t="s">
        <v>437</v>
      </c>
      <c r="O67" s="557" t="s">
        <v>437</v>
      </c>
      <c r="P67" s="125"/>
      <c r="Q67" s="122"/>
      <c r="R67" s="122"/>
      <c r="S67" s="122"/>
      <c r="T67" s="123"/>
      <c r="U67" s="558" t="s">
        <v>437</v>
      </c>
      <c r="V67" s="555" t="s">
        <v>437</v>
      </c>
      <c r="W67" s="555" t="s">
        <v>437</v>
      </c>
      <c r="X67" s="555" t="s">
        <v>437</v>
      </c>
      <c r="Y67" s="555" t="s">
        <v>437</v>
      </c>
      <c r="Z67" s="124"/>
      <c r="AA67" s="122"/>
      <c r="AB67" s="122"/>
      <c r="AC67" s="122"/>
      <c r="AD67" s="123"/>
      <c r="AE67" s="124"/>
      <c r="AF67" s="122"/>
      <c r="AG67" s="122"/>
      <c r="AH67" s="122"/>
      <c r="AI67" s="123"/>
      <c r="AJ67" s="559"/>
      <c r="AK67" s="560"/>
      <c r="AL67" s="559"/>
      <c r="AM67" s="560"/>
      <c r="AN67" s="115" t="s">
        <v>244</v>
      </c>
      <c r="AO67" s="561"/>
      <c r="AP67" s="559"/>
      <c r="AQ67" s="559"/>
      <c r="AR67" s="559"/>
      <c r="AS67" s="123"/>
      <c r="AT67" s="125"/>
      <c r="AU67" s="122"/>
      <c r="AV67" s="122"/>
      <c r="AW67" s="122"/>
      <c r="AX67" s="122"/>
      <c r="AY67" s="123"/>
      <c r="AZ67" s="125"/>
      <c r="BA67" s="122"/>
      <c r="BB67" s="122"/>
      <c r="BC67" s="112" t="s">
        <v>244</v>
      </c>
      <c r="BD67" s="115" t="s">
        <v>244</v>
      </c>
      <c r="BE67" s="124"/>
      <c r="BF67" s="122"/>
      <c r="BG67" s="122"/>
      <c r="BH67" s="122"/>
      <c r="BI67" s="123"/>
      <c r="BJ67" s="124"/>
      <c r="BK67" s="122"/>
      <c r="BL67" s="122"/>
      <c r="BM67" s="122"/>
      <c r="BN67" s="123"/>
      <c r="BO67" s="125"/>
      <c r="BP67" s="122"/>
      <c r="BQ67" s="122"/>
      <c r="BR67" s="122"/>
      <c r="BS67" s="123"/>
      <c r="BT67" s="125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122"/>
      <c r="CJ67" s="122"/>
      <c r="CK67" s="122"/>
      <c r="CL67" s="122"/>
      <c r="CM67" s="122"/>
      <c r="CN67" s="122"/>
      <c r="CO67" s="122"/>
      <c r="CP67" s="122"/>
      <c r="CQ67" s="122"/>
      <c r="CR67" s="122"/>
      <c r="CS67" s="492"/>
      <c r="CT67" s="122"/>
      <c r="CU67" s="122"/>
      <c r="CV67" s="122"/>
      <c r="CW67" s="122"/>
      <c r="CX67" s="122"/>
      <c r="CY67" s="122"/>
      <c r="CZ67" s="122"/>
      <c r="DA67" s="122"/>
      <c r="DB67" s="122"/>
      <c r="DC67" s="122"/>
      <c r="DD67" s="122"/>
      <c r="DE67" s="122"/>
      <c r="DF67" s="122"/>
      <c r="DG67" s="228"/>
      <c r="DH67" s="124"/>
      <c r="DI67" s="122"/>
      <c r="DJ67" s="122"/>
      <c r="DK67" s="122"/>
      <c r="DL67" s="228"/>
      <c r="DM67" s="124"/>
      <c r="DN67" s="122"/>
      <c r="DO67" s="122"/>
      <c r="DP67" s="122"/>
      <c r="DQ67" s="228"/>
      <c r="DR67" s="490"/>
      <c r="DS67" s="122"/>
      <c r="DT67" s="122"/>
      <c r="DU67" s="122"/>
      <c r="DV67" s="123"/>
      <c r="DW67" s="125"/>
      <c r="DX67" s="122"/>
      <c r="DY67" s="122"/>
      <c r="DZ67" s="122"/>
      <c r="EA67" s="123"/>
      <c r="EB67" s="124"/>
      <c r="EC67" s="122"/>
      <c r="ED67" s="122"/>
      <c r="EE67" s="122"/>
      <c r="EF67" s="228"/>
      <c r="EG67" s="117"/>
      <c r="EH67" s="117"/>
      <c r="EI67" s="117"/>
      <c r="EJ67" s="117"/>
      <c r="EK67" s="117"/>
      <c r="EL67" s="117"/>
      <c r="EM67" s="117"/>
      <c r="EN67" s="117"/>
      <c r="EO67" s="117"/>
      <c r="EP67" s="117"/>
      <c r="EQ67" s="117"/>
      <c r="ER67" s="117"/>
      <c r="ES67" s="117"/>
      <c r="ET67" s="117"/>
      <c r="EU67" s="117"/>
      <c r="EV67" s="117"/>
      <c r="EW67" s="117"/>
      <c r="EX67" s="117"/>
      <c r="EY67" s="117"/>
      <c r="EZ67" s="101"/>
      <c r="FA67" s="117"/>
      <c r="FB67" s="117"/>
      <c r="FC67" s="117"/>
      <c r="FD67" s="117"/>
      <c r="FE67" s="117"/>
      <c r="FF67" s="491"/>
      <c r="FG67" s="491"/>
      <c r="FH67" s="491"/>
      <c r="FI67" s="117"/>
      <c r="FJ67" s="117"/>
      <c r="FK67" s="117"/>
      <c r="FL67" s="117"/>
      <c r="FM67" s="117"/>
      <c r="FN67" s="117"/>
      <c r="FO67" s="117"/>
      <c r="FP67" s="117"/>
      <c r="FQ67" s="117"/>
      <c r="FR67" s="117"/>
      <c r="FS67" s="117"/>
      <c r="FT67" s="491"/>
      <c r="FU67" s="491"/>
      <c r="FV67" s="117"/>
      <c r="FW67" s="117"/>
      <c r="FX67" s="117"/>
      <c r="FY67" s="117"/>
      <c r="FZ67" s="117"/>
      <c r="GA67" s="117"/>
      <c r="GB67" s="117"/>
      <c r="GC67" s="117"/>
      <c r="GD67" s="117"/>
      <c r="GE67" s="117"/>
      <c r="GF67" s="117"/>
      <c r="GG67" s="101"/>
      <c r="GH67" s="117"/>
      <c r="GI67" s="117"/>
      <c r="GJ67" s="117"/>
      <c r="GK67" s="117"/>
      <c r="GL67" s="117"/>
      <c r="GM67" s="117"/>
      <c r="GN67" s="117"/>
      <c r="GO67" s="117"/>
      <c r="GP67" s="117"/>
      <c r="GQ67" s="117"/>
      <c r="GR67" s="117"/>
      <c r="GS67" s="424"/>
    </row>
    <row r="68" spans="1:201" ht="17.25" customHeight="1" thickBot="1">
      <c r="A68" s="562"/>
      <c r="B68" s="820"/>
      <c r="C68" s="820"/>
      <c r="D68" s="563" t="e">
        <f>#REF!/B68</f>
        <v>#REF!</v>
      </c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117"/>
      <c r="BT68" s="117"/>
      <c r="BU68" s="117"/>
      <c r="BV68" s="117"/>
      <c r="BW68" s="117"/>
      <c r="BX68" s="117"/>
      <c r="BY68" s="117"/>
      <c r="BZ68" s="117"/>
      <c r="CA68" s="117"/>
      <c r="CB68" s="117"/>
      <c r="CC68" s="117"/>
      <c r="CD68" s="117"/>
      <c r="CE68" s="117"/>
      <c r="CF68" s="117"/>
      <c r="CG68" s="117"/>
      <c r="CH68" s="117"/>
      <c r="CI68" s="117"/>
      <c r="CJ68" s="117"/>
      <c r="CK68" s="117"/>
      <c r="CL68" s="117"/>
      <c r="CM68" s="117"/>
      <c r="CN68" s="336"/>
      <c r="CO68" s="336"/>
      <c r="CP68" s="336"/>
      <c r="CQ68" s="336"/>
      <c r="CR68" s="117"/>
      <c r="CS68" s="491"/>
      <c r="CT68" s="117"/>
      <c r="CU68" s="117"/>
      <c r="CV68" s="117"/>
      <c r="CW68" s="117"/>
      <c r="CX68" s="117"/>
      <c r="CY68" s="117"/>
      <c r="CZ68" s="117"/>
      <c r="DA68" s="117"/>
      <c r="DB68" s="117"/>
      <c r="DC68" s="117"/>
      <c r="DD68" s="117"/>
      <c r="DE68" s="117"/>
      <c r="DF68" s="117"/>
      <c r="DG68" s="117"/>
      <c r="DH68" s="564"/>
      <c r="DI68" s="564"/>
      <c r="DJ68" s="117"/>
      <c r="DK68" s="117"/>
      <c r="DL68" s="117"/>
      <c r="DM68" s="117"/>
      <c r="DN68" s="101"/>
      <c r="DO68" s="343"/>
      <c r="DP68" s="343"/>
      <c r="DQ68" s="568"/>
      <c r="DR68" s="571"/>
      <c r="DS68" s="568"/>
      <c r="DT68" s="568"/>
      <c r="DU68" s="192"/>
      <c r="DV68" s="193"/>
      <c r="DW68" s="119"/>
      <c r="DX68" s="117"/>
      <c r="DY68" s="117"/>
      <c r="DZ68" s="117"/>
      <c r="EB68" s="343"/>
      <c r="EC68" s="343"/>
      <c r="ED68" s="568"/>
      <c r="EE68" s="343"/>
      <c r="EF68" s="343"/>
      <c r="EG68" s="117"/>
      <c r="EH68" s="117"/>
      <c r="EI68" s="117"/>
      <c r="EJ68" s="117"/>
      <c r="EK68" s="117"/>
      <c r="EL68" s="117"/>
      <c r="EM68" s="117"/>
      <c r="EN68" s="117"/>
      <c r="EO68" s="117"/>
      <c r="EP68" s="117"/>
      <c r="EQ68" s="343"/>
      <c r="ER68" s="343"/>
      <c r="ES68" s="568"/>
      <c r="ET68" s="343"/>
      <c r="EU68" s="343"/>
      <c r="EV68" s="117"/>
      <c r="EW68" s="117"/>
      <c r="EX68" s="343">
        <v>1</v>
      </c>
      <c r="EY68" s="343">
        <v>2</v>
      </c>
      <c r="EZ68" s="343">
        <v>3</v>
      </c>
      <c r="FA68" s="343">
        <v>4</v>
      </c>
      <c r="FB68" s="117"/>
      <c r="FC68" s="117"/>
      <c r="FD68" s="117"/>
      <c r="FE68" s="343">
        <v>1</v>
      </c>
      <c r="FF68" s="491"/>
      <c r="FG68" s="491"/>
      <c r="FH68" s="491"/>
      <c r="FI68" s="343">
        <v>2</v>
      </c>
      <c r="FM68" s="343">
        <v>3</v>
      </c>
      <c r="FN68" s="343">
        <v>4</v>
      </c>
      <c r="FO68" s="343">
        <v>5</v>
      </c>
      <c r="FP68" s="343">
        <v>6</v>
      </c>
      <c r="FQ68" s="343">
        <v>7</v>
      </c>
      <c r="FR68" s="343">
        <v>8</v>
      </c>
      <c r="FT68" s="491"/>
      <c r="FU68" s="491"/>
      <c r="FV68" s="117"/>
      <c r="FW68" s="101"/>
      <c r="FX68" s="101"/>
      <c r="FY68" s="101"/>
      <c r="FZ68" s="101"/>
      <c r="GA68" s="101"/>
      <c r="GB68" s="101"/>
      <c r="GC68" s="101"/>
      <c r="GD68" s="101"/>
      <c r="GE68" s="101"/>
      <c r="GF68" s="101"/>
      <c r="GG68" s="101"/>
      <c r="GH68" s="101"/>
      <c r="GI68" s="101"/>
      <c r="GJ68" s="117"/>
      <c r="GK68" s="117"/>
      <c r="GL68" s="117"/>
      <c r="GM68" s="117"/>
      <c r="GN68" s="117"/>
      <c r="GO68" s="117"/>
      <c r="GP68" s="117"/>
      <c r="GQ68" s="117"/>
      <c r="GR68" s="117"/>
      <c r="GS68" s="424"/>
    </row>
  </sheetData>
  <mergeCells count="132">
    <mergeCell ref="IC4:IC5"/>
    <mergeCell ref="GV4:GV5"/>
    <mergeCell ref="GS4:GS5"/>
    <mergeCell ref="HN4:HN5"/>
    <mergeCell ref="GY4:GY5"/>
    <mergeCell ref="HE4:HE5"/>
    <mergeCell ref="HK4:HK5"/>
    <mergeCell ref="GW4:GW5"/>
    <mergeCell ref="GX4:GX5"/>
    <mergeCell ref="HW4:HW5"/>
    <mergeCell ref="GE4:GE5"/>
    <mergeCell ref="GF4:GF5"/>
    <mergeCell ref="GH4:GH5"/>
    <mergeCell ref="GI4:GI5"/>
    <mergeCell ref="GJ4:GJ5"/>
    <mergeCell ref="GK4:GK5"/>
    <mergeCell ref="GL4:GL5"/>
    <mergeCell ref="GN4:GN5"/>
    <mergeCell ref="GO4:GO5"/>
    <mergeCell ref="E1:DG1"/>
    <mergeCell ref="DM1:DQ1"/>
    <mergeCell ref="DR1:DV1"/>
    <mergeCell ref="DW1:EA1"/>
    <mergeCell ref="EB1:EF1"/>
    <mergeCell ref="FL1:FP1"/>
    <mergeCell ref="FQ1:FU1"/>
    <mergeCell ref="EG1:EK1"/>
    <mergeCell ref="EL1:EP1"/>
    <mergeCell ref="EQ1:EU1"/>
    <mergeCell ref="EV1:FA1"/>
    <mergeCell ref="FB1:FF1"/>
    <mergeCell ref="FG1:FK1"/>
    <mergeCell ref="A4:A5"/>
    <mergeCell ref="C4:C5"/>
    <mergeCell ref="D4:D5"/>
    <mergeCell ref="FC2:FU2"/>
    <mergeCell ref="FV2:GR2"/>
    <mergeCell ref="E2:Y2"/>
    <mergeCell ref="Z2:AU2"/>
    <mergeCell ref="AV2:BS2"/>
    <mergeCell ref="BT2:CN2"/>
    <mergeCell ref="CO2:DJ2"/>
    <mergeCell ref="DK2:EF2"/>
    <mergeCell ref="EG2:FB2"/>
    <mergeCell ref="A1:C2"/>
    <mergeCell ref="GG4:GG5"/>
    <mergeCell ref="CX4:DB5"/>
    <mergeCell ref="P4:T5"/>
    <mergeCell ref="AM4:AN5"/>
    <mergeCell ref="AT4:AU5"/>
    <mergeCell ref="AY4:AY5"/>
    <mergeCell ref="BO4:BS5"/>
    <mergeCell ref="BT4:BX5"/>
    <mergeCell ref="BY4:CC5"/>
    <mergeCell ref="CD4:CH5"/>
    <mergeCell ref="CI4:CM5"/>
    <mergeCell ref="CN4:CR5"/>
    <mergeCell ref="CS4:CW5"/>
    <mergeCell ref="EL4:EL5"/>
    <mergeCell ref="DC4:DG5"/>
    <mergeCell ref="DH4:DL5"/>
    <mergeCell ref="DM4:DQ5"/>
    <mergeCell ref="DR4:DV5"/>
    <mergeCell ref="DW4:EA5"/>
    <mergeCell ref="EB4:EF5"/>
    <mergeCell ref="EG4:EG5"/>
    <mergeCell ref="EH4:EH5"/>
    <mergeCell ref="EI4:EI5"/>
    <mergeCell ref="EJ4:EJ5"/>
    <mergeCell ref="EK4:EK5"/>
    <mergeCell ref="FH4:FH5"/>
    <mergeCell ref="FI4:FI5"/>
    <mergeCell ref="EX4:EX5"/>
    <mergeCell ref="EM4:EM5"/>
    <mergeCell ref="EN4:EN5"/>
    <mergeCell ref="EO4:EO5"/>
    <mergeCell ref="EP4:EP5"/>
    <mergeCell ref="EQ4:EQ5"/>
    <mergeCell ref="ER4:ER5"/>
    <mergeCell ref="ES4:ES5"/>
    <mergeCell ref="ET4:ET5"/>
    <mergeCell ref="EU4:EU5"/>
    <mergeCell ref="EV4:EV5"/>
    <mergeCell ref="EW4:EW5"/>
    <mergeCell ref="B4:B5"/>
    <mergeCell ref="A6:D6"/>
    <mergeCell ref="Z6:DL6"/>
    <mergeCell ref="FQ4:FQ5"/>
    <mergeCell ref="FR4:FR5"/>
    <mergeCell ref="FS4:FS5"/>
    <mergeCell ref="FT4:FT5"/>
    <mergeCell ref="FU4:FU5"/>
    <mergeCell ref="FK4:FK5"/>
    <mergeCell ref="FL4:FL5"/>
    <mergeCell ref="FM4:FM5"/>
    <mergeCell ref="FN4:FN5"/>
    <mergeCell ref="FO4:FO5"/>
    <mergeCell ref="FP4:FP5"/>
    <mergeCell ref="FJ4:FJ5"/>
    <mergeCell ref="EY4:EY5"/>
    <mergeCell ref="EZ4:EZ5"/>
    <mergeCell ref="FA4:FA5"/>
    <mergeCell ref="FB4:FB5"/>
    <mergeCell ref="FC4:FC5"/>
    <mergeCell ref="FD4:FD5"/>
    <mergeCell ref="FE4:FE5"/>
    <mergeCell ref="FF4:FF5"/>
    <mergeCell ref="FG4:FG5"/>
    <mergeCell ref="II4:II5"/>
    <mergeCell ref="IJ4:IJ5"/>
    <mergeCell ref="IO4:IO5"/>
    <mergeCell ref="IU4:IU5"/>
    <mergeCell ref="HT2:IS2"/>
    <mergeCell ref="GT2:HS2"/>
    <mergeCell ref="GM4:GM5"/>
    <mergeCell ref="GZ4:GZ5"/>
    <mergeCell ref="HA4:HA5"/>
    <mergeCell ref="HB4:HB5"/>
    <mergeCell ref="HC4:HC5"/>
    <mergeCell ref="HD4:HD5"/>
    <mergeCell ref="HF4:HF5"/>
    <mergeCell ref="HG4:HG5"/>
    <mergeCell ref="HH4:HH5"/>
    <mergeCell ref="HI4:HI5"/>
    <mergeCell ref="HJ4:HJ5"/>
    <mergeCell ref="HQ4:HQ5"/>
    <mergeCell ref="GP4:GP5"/>
    <mergeCell ref="GQ4:GQ5"/>
    <mergeCell ref="GR4:GR5"/>
    <mergeCell ref="GT4:GT5"/>
    <mergeCell ref="IH4:IH5"/>
    <mergeCell ref="GU4:GU5"/>
  </mergeCells>
  <conditionalFormatting sqref="E9">
    <cfRule type="cellIs" dxfId="0" priority="1" operator="greaterThan">
      <formula>0</formula>
    </cfRule>
  </conditionalFormatting>
  <pageMargins left="0.18" right="0.2" top="0.31" bottom="0.53" header="0" footer="0"/>
  <pageSetup scale="50" orientation="landscape" horizontalDpi="120" verticalDpi="144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13"/>
  <sheetViews>
    <sheetView workbookViewId="0">
      <pane ySplit="5" topLeftCell="A453" activePane="bottomLeft" state="frozen"/>
      <selection pane="bottomLeft" activeCell="D514" sqref="D514"/>
    </sheetView>
  </sheetViews>
  <sheetFormatPr baseColWidth="10" defaultRowHeight="12.75"/>
  <cols>
    <col min="1" max="1" width="11.42578125" style="131"/>
    <col min="2" max="2" width="30" style="131" customWidth="1"/>
    <col min="3" max="3" width="12.85546875" style="184" customWidth="1"/>
    <col min="4" max="6" width="10.7109375" style="184" customWidth="1"/>
    <col min="7" max="7" width="4.7109375" style="184" customWidth="1"/>
    <col min="8" max="13" width="8.7109375" style="184" customWidth="1"/>
    <col min="14" max="14" width="10.28515625" style="184" customWidth="1"/>
    <col min="15" max="15" width="11.28515625" style="185" customWidth="1"/>
    <col min="16" max="253" width="11.42578125" style="131"/>
    <col min="254" max="254" width="30" style="131" customWidth="1"/>
    <col min="255" max="255" width="12.85546875" style="131" customWidth="1"/>
    <col min="256" max="262" width="10.7109375" style="131" customWidth="1"/>
    <col min="263" max="263" width="4.7109375" style="131" customWidth="1"/>
    <col min="264" max="269" width="8.7109375" style="131" customWidth="1"/>
    <col min="270" max="270" width="10.28515625" style="131" customWidth="1"/>
    <col min="271" max="271" width="11.28515625" style="131" customWidth="1"/>
    <col min="272" max="509" width="11.42578125" style="131"/>
    <col min="510" max="510" width="30" style="131" customWidth="1"/>
    <col min="511" max="511" width="12.85546875" style="131" customWidth="1"/>
    <col min="512" max="518" width="10.7109375" style="131" customWidth="1"/>
    <col min="519" max="519" width="4.7109375" style="131" customWidth="1"/>
    <col min="520" max="525" width="8.7109375" style="131" customWidth="1"/>
    <col min="526" max="526" width="10.28515625" style="131" customWidth="1"/>
    <col min="527" max="527" width="11.28515625" style="131" customWidth="1"/>
    <col min="528" max="765" width="11.42578125" style="131"/>
    <col min="766" max="766" width="30" style="131" customWidth="1"/>
    <col min="767" max="767" width="12.85546875" style="131" customWidth="1"/>
    <col min="768" max="774" width="10.7109375" style="131" customWidth="1"/>
    <col min="775" max="775" width="4.7109375" style="131" customWidth="1"/>
    <col min="776" max="781" width="8.7109375" style="131" customWidth="1"/>
    <col min="782" max="782" width="10.28515625" style="131" customWidth="1"/>
    <col min="783" max="783" width="11.28515625" style="131" customWidth="1"/>
    <col min="784" max="1021" width="11.42578125" style="131"/>
    <col min="1022" max="1022" width="30" style="131" customWidth="1"/>
    <col min="1023" max="1023" width="12.85546875" style="131" customWidth="1"/>
    <col min="1024" max="1030" width="10.7109375" style="131" customWidth="1"/>
    <col min="1031" max="1031" width="4.7109375" style="131" customWidth="1"/>
    <col min="1032" max="1037" width="8.7109375" style="131" customWidth="1"/>
    <col min="1038" max="1038" width="10.28515625" style="131" customWidth="1"/>
    <col min="1039" max="1039" width="11.28515625" style="131" customWidth="1"/>
    <col min="1040" max="1277" width="11.42578125" style="131"/>
    <col min="1278" max="1278" width="30" style="131" customWidth="1"/>
    <col min="1279" max="1279" width="12.85546875" style="131" customWidth="1"/>
    <col min="1280" max="1286" width="10.7109375" style="131" customWidth="1"/>
    <col min="1287" max="1287" width="4.7109375" style="131" customWidth="1"/>
    <col min="1288" max="1293" width="8.7109375" style="131" customWidth="1"/>
    <col min="1294" max="1294" width="10.28515625" style="131" customWidth="1"/>
    <col min="1295" max="1295" width="11.28515625" style="131" customWidth="1"/>
    <col min="1296" max="1533" width="11.42578125" style="131"/>
    <col min="1534" max="1534" width="30" style="131" customWidth="1"/>
    <col min="1535" max="1535" width="12.85546875" style="131" customWidth="1"/>
    <col min="1536" max="1542" width="10.7109375" style="131" customWidth="1"/>
    <col min="1543" max="1543" width="4.7109375" style="131" customWidth="1"/>
    <col min="1544" max="1549" width="8.7109375" style="131" customWidth="1"/>
    <col min="1550" max="1550" width="10.28515625" style="131" customWidth="1"/>
    <col min="1551" max="1551" width="11.28515625" style="131" customWidth="1"/>
    <col min="1552" max="1789" width="11.42578125" style="131"/>
    <col min="1790" max="1790" width="30" style="131" customWidth="1"/>
    <col min="1791" max="1791" width="12.85546875" style="131" customWidth="1"/>
    <col min="1792" max="1798" width="10.7109375" style="131" customWidth="1"/>
    <col min="1799" max="1799" width="4.7109375" style="131" customWidth="1"/>
    <col min="1800" max="1805" width="8.7109375" style="131" customWidth="1"/>
    <col min="1806" max="1806" width="10.28515625" style="131" customWidth="1"/>
    <col min="1807" max="1807" width="11.28515625" style="131" customWidth="1"/>
    <col min="1808" max="2045" width="11.42578125" style="131"/>
    <col min="2046" max="2046" width="30" style="131" customWidth="1"/>
    <col min="2047" max="2047" width="12.85546875" style="131" customWidth="1"/>
    <col min="2048" max="2054" width="10.7109375" style="131" customWidth="1"/>
    <col min="2055" max="2055" width="4.7109375" style="131" customWidth="1"/>
    <col min="2056" max="2061" width="8.7109375" style="131" customWidth="1"/>
    <col min="2062" max="2062" width="10.28515625" style="131" customWidth="1"/>
    <col min="2063" max="2063" width="11.28515625" style="131" customWidth="1"/>
    <col min="2064" max="2301" width="11.42578125" style="131"/>
    <col min="2302" max="2302" width="30" style="131" customWidth="1"/>
    <col min="2303" max="2303" width="12.85546875" style="131" customWidth="1"/>
    <col min="2304" max="2310" width="10.7109375" style="131" customWidth="1"/>
    <col min="2311" max="2311" width="4.7109375" style="131" customWidth="1"/>
    <col min="2312" max="2317" width="8.7109375" style="131" customWidth="1"/>
    <col min="2318" max="2318" width="10.28515625" style="131" customWidth="1"/>
    <col min="2319" max="2319" width="11.28515625" style="131" customWidth="1"/>
    <col min="2320" max="2557" width="11.42578125" style="131"/>
    <col min="2558" max="2558" width="30" style="131" customWidth="1"/>
    <col min="2559" max="2559" width="12.85546875" style="131" customWidth="1"/>
    <col min="2560" max="2566" width="10.7109375" style="131" customWidth="1"/>
    <col min="2567" max="2567" width="4.7109375" style="131" customWidth="1"/>
    <col min="2568" max="2573" width="8.7109375" style="131" customWidth="1"/>
    <col min="2574" max="2574" width="10.28515625" style="131" customWidth="1"/>
    <col min="2575" max="2575" width="11.28515625" style="131" customWidth="1"/>
    <col min="2576" max="2813" width="11.42578125" style="131"/>
    <col min="2814" max="2814" width="30" style="131" customWidth="1"/>
    <col min="2815" max="2815" width="12.85546875" style="131" customWidth="1"/>
    <col min="2816" max="2822" width="10.7109375" style="131" customWidth="1"/>
    <col min="2823" max="2823" width="4.7109375" style="131" customWidth="1"/>
    <col min="2824" max="2829" width="8.7109375" style="131" customWidth="1"/>
    <col min="2830" max="2830" width="10.28515625" style="131" customWidth="1"/>
    <col min="2831" max="2831" width="11.28515625" style="131" customWidth="1"/>
    <col min="2832" max="3069" width="11.42578125" style="131"/>
    <col min="3070" max="3070" width="30" style="131" customWidth="1"/>
    <col min="3071" max="3071" width="12.85546875" style="131" customWidth="1"/>
    <col min="3072" max="3078" width="10.7109375" style="131" customWidth="1"/>
    <col min="3079" max="3079" width="4.7109375" style="131" customWidth="1"/>
    <col min="3080" max="3085" width="8.7109375" style="131" customWidth="1"/>
    <col min="3086" max="3086" width="10.28515625" style="131" customWidth="1"/>
    <col min="3087" max="3087" width="11.28515625" style="131" customWidth="1"/>
    <col min="3088" max="3325" width="11.42578125" style="131"/>
    <col min="3326" max="3326" width="30" style="131" customWidth="1"/>
    <col min="3327" max="3327" width="12.85546875" style="131" customWidth="1"/>
    <col min="3328" max="3334" width="10.7109375" style="131" customWidth="1"/>
    <col min="3335" max="3335" width="4.7109375" style="131" customWidth="1"/>
    <col min="3336" max="3341" width="8.7109375" style="131" customWidth="1"/>
    <col min="3342" max="3342" width="10.28515625" style="131" customWidth="1"/>
    <col min="3343" max="3343" width="11.28515625" style="131" customWidth="1"/>
    <col min="3344" max="3581" width="11.42578125" style="131"/>
    <col min="3582" max="3582" width="30" style="131" customWidth="1"/>
    <col min="3583" max="3583" width="12.85546875" style="131" customWidth="1"/>
    <col min="3584" max="3590" width="10.7109375" style="131" customWidth="1"/>
    <col min="3591" max="3591" width="4.7109375" style="131" customWidth="1"/>
    <col min="3592" max="3597" width="8.7109375" style="131" customWidth="1"/>
    <col min="3598" max="3598" width="10.28515625" style="131" customWidth="1"/>
    <col min="3599" max="3599" width="11.28515625" style="131" customWidth="1"/>
    <col min="3600" max="3837" width="11.42578125" style="131"/>
    <col min="3838" max="3838" width="30" style="131" customWidth="1"/>
    <col min="3839" max="3839" width="12.85546875" style="131" customWidth="1"/>
    <col min="3840" max="3846" width="10.7109375" style="131" customWidth="1"/>
    <col min="3847" max="3847" width="4.7109375" style="131" customWidth="1"/>
    <col min="3848" max="3853" width="8.7109375" style="131" customWidth="1"/>
    <col min="3854" max="3854" width="10.28515625" style="131" customWidth="1"/>
    <col min="3855" max="3855" width="11.28515625" style="131" customWidth="1"/>
    <col min="3856" max="4093" width="11.42578125" style="131"/>
    <col min="4094" max="4094" width="30" style="131" customWidth="1"/>
    <col min="4095" max="4095" width="12.85546875" style="131" customWidth="1"/>
    <col min="4096" max="4102" width="10.7109375" style="131" customWidth="1"/>
    <col min="4103" max="4103" width="4.7109375" style="131" customWidth="1"/>
    <col min="4104" max="4109" width="8.7109375" style="131" customWidth="1"/>
    <col min="4110" max="4110" width="10.28515625" style="131" customWidth="1"/>
    <col min="4111" max="4111" width="11.28515625" style="131" customWidth="1"/>
    <col min="4112" max="4349" width="11.42578125" style="131"/>
    <col min="4350" max="4350" width="30" style="131" customWidth="1"/>
    <col min="4351" max="4351" width="12.85546875" style="131" customWidth="1"/>
    <col min="4352" max="4358" width="10.7109375" style="131" customWidth="1"/>
    <col min="4359" max="4359" width="4.7109375" style="131" customWidth="1"/>
    <col min="4360" max="4365" width="8.7109375" style="131" customWidth="1"/>
    <col min="4366" max="4366" width="10.28515625" style="131" customWidth="1"/>
    <col min="4367" max="4367" width="11.28515625" style="131" customWidth="1"/>
    <col min="4368" max="4605" width="11.42578125" style="131"/>
    <col min="4606" max="4606" width="30" style="131" customWidth="1"/>
    <col min="4607" max="4607" width="12.85546875" style="131" customWidth="1"/>
    <col min="4608" max="4614" width="10.7109375" style="131" customWidth="1"/>
    <col min="4615" max="4615" width="4.7109375" style="131" customWidth="1"/>
    <col min="4616" max="4621" width="8.7109375" style="131" customWidth="1"/>
    <col min="4622" max="4622" width="10.28515625" style="131" customWidth="1"/>
    <col min="4623" max="4623" width="11.28515625" style="131" customWidth="1"/>
    <col min="4624" max="4861" width="11.42578125" style="131"/>
    <col min="4862" max="4862" width="30" style="131" customWidth="1"/>
    <col min="4863" max="4863" width="12.85546875" style="131" customWidth="1"/>
    <col min="4864" max="4870" width="10.7109375" style="131" customWidth="1"/>
    <col min="4871" max="4871" width="4.7109375" style="131" customWidth="1"/>
    <col min="4872" max="4877" width="8.7109375" style="131" customWidth="1"/>
    <col min="4878" max="4878" width="10.28515625" style="131" customWidth="1"/>
    <col min="4879" max="4879" width="11.28515625" style="131" customWidth="1"/>
    <col min="4880" max="5117" width="11.42578125" style="131"/>
    <col min="5118" max="5118" width="30" style="131" customWidth="1"/>
    <col min="5119" max="5119" width="12.85546875" style="131" customWidth="1"/>
    <col min="5120" max="5126" width="10.7109375" style="131" customWidth="1"/>
    <col min="5127" max="5127" width="4.7109375" style="131" customWidth="1"/>
    <col min="5128" max="5133" width="8.7109375" style="131" customWidth="1"/>
    <col min="5134" max="5134" width="10.28515625" style="131" customWidth="1"/>
    <col min="5135" max="5135" width="11.28515625" style="131" customWidth="1"/>
    <col min="5136" max="5373" width="11.42578125" style="131"/>
    <col min="5374" max="5374" width="30" style="131" customWidth="1"/>
    <col min="5375" max="5375" width="12.85546875" style="131" customWidth="1"/>
    <col min="5376" max="5382" width="10.7109375" style="131" customWidth="1"/>
    <col min="5383" max="5383" width="4.7109375" style="131" customWidth="1"/>
    <col min="5384" max="5389" width="8.7109375" style="131" customWidth="1"/>
    <col min="5390" max="5390" width="10.28515625" style="131" customWidth="1"/>
    <col min="5391" max="5391" width="11.28515625" style="131" customWidth="1"/>
    <col min="5392" max="5629" width="11.42578125" style="131"/>
    <col min="5630" max="5630" width="30" style="131" customWidth="1"/>
    <col min="5631" max="5631" width="12.85546875" style="131" customWidth="1"/>
    <col min="5632" max="5638" width="10.7109375" style="131" customWidth="1"/>
    <col min="5639" max="5639" width="4.7109375" style="131" customWidth="1"/>
    <col min="5640" max="5645" width="8.7109375" style="131" customWidth="1"/>
    <col min="5646" max="5646" width="10.28515625" style="131" customWidth="1"/>
    <col min="5647" max="5647" width="11.28515625" style="131" customWidth="1"/>
    <col min="5648" max="5885" width="11.42578125" style="131"/>
    <col min="5886" max="5886" width="30" style="131" customWidth="1"/>
    <col min="5887" max="5887" width="12.85546875" style="131" customWidth="1"/>
    <col min="5888" max="5894" width="10.7109375" style="131" customWidth="1"/>
    <col min="5895" max="5895" width="4.7109375" style="131" customWidth="1"/>
    <col min="5896" max="5901" width="8.7109375" style="131" customWidth="1"/>
    <col min="5902" max="5902" width="10.28515625" style="131" customWidth="1"/>
    <col min="5903" max="5903" width="11.28515625" style="131" customWidth="1"/>
    <col min="5904" max="6141" width="11.42578125" style="131"/>
    <col min="6142" max="6142" width="30" style="131" customWidth="1"/>
    <col min="6143" max="6143" width="12.85546875" style="131" customWidth="1"/>
    <col min="6144" max="6150" width="10.7109375" style="131" customWidth="1"/>
    <col min="6151" max="6151" width="4.7109375" style="131" customWidth="1"/>
    <col min="6152" max="6157" width="8.7109375" style="131" customWidth="1"/>
    <col min="6158" max="6158" width="10.28515625" style="131" customWidth="1"/>
    <col min="6159" max="6159" width="11.28515625" style="131" customWidth="1"/>
    <col min="6160" max="6397" width="11.42578125" style="131"/>
    <col min="6398" max="6398" width="30" style="131" customWidth="1"/>
    <col min="6399" max="6399" width="12.85546875" style="131" customWidth="1"/>
    <col min="6400" max="6406" width="10.7109375" style="131" customWidth="1"/>
    <col min="6407" max="6407" width="4.7109375" style="131" customWidth="1"/>
    <col min="6408" max="6413" width="8.7109375" style="131" customWidth="1"/>
    <col min="6414" max="6414" width="10.28515625" style="131" customWidth="1"/>
    <col min="6415" max="6415" width="11.28515625" style="131" customWidth="1"/>
    <col min="6416" max="6653" width="11.42578125" style="131"/>
    <col min="6654" max="6654" width="30" style="131" customWidth="1"/>
    <col min="6655" max="6655" width="12.85546875" style="131" customWidth="1"/>
    <col min="6656" max="6662" width="10.7109375" style="131" customWidth="1"/>
    <col min="6663" max="6663" width="4.7109375" style="131" customWidth="1"/>
    <col min="6664" max="6669" width="8.7109375" style="131" customWidth="1"/>
    <col min="6670" max="6670" width="10.28515625" style="131" customWidth="1"/>
    <col min="6671" max="6671" width="11.28515625" style="131" customWidth="1"/>
    <col min="6672" max="6909" width="11.42578125" style="131"/>
    <col min="6910" max="6910" width="30" style="131" customWidth="1"/>
    <col min="6911" max="6911" width="12.85546875" style="131" customWidth="1"/>
    <col min="6912" max="6918" width="10.7109375" style="131" customWidth="1"/>
    <col min="6919" max="6919" width="4.7109375" style="131" customWidth="1"/>
    <col min="6920" max="6925" width="8.7109375" style="131" customWidth="1"/>
    <col min="6926" max="6926" width="10.28515625" style="131" customWidth="1"/>
    <col min="6927" max="6927" width="11.28515625" style="131" customWidth="1"/>
    <col min="6928" max="7165" width="11.42578125" style="131"/>
    <col min="7166" max="7166" width="30" style="131" customWidth="1"/>
    <col min="7167" max="7167" width="12.85546875" style="131" customWidth="1"/>
    <col min="7168" max="7174" width="10.7109375" style="131" customWidth="1"/>
    <col min="7175" max="7175" width="4.7109375" style="131" customWidth="1"/>
    <col min="7176" max="7181" width="8.7109375" style="131" customWidth="1"/>
    <col min="7182" max="7182" width="10.28515625" style="131" customWidth="1"/>
    <col min="7183" max="7183" width="11.28515625" style="131" customWidth="1"/>
    <col min="7184" max="7421" width="11.42578125" style="131"/>
    <col min="7422" max="7422" width="30" style="131" customWidth="1"/>
    <col min="7423" max="7423" width="12.85546875" style="131" customWidth="1"/>
    <col min="7424" max="7430" width="10.7109375" style="131" customWidth="1"/>
    <col min="7431" max="7431" width="4.7109375" style="131" customWidth="1"/>
    <col min="7432" max="7437" width="8.7109375" style="131" customWidth="1"/>
    <col min="7438" max="7438" width="10.28515625" style="131" customWidth="1"/>
    <col min="7439" max="7439" width="11.28515625" style="131" customWidth="1"/>
    <col min="7440" max="7677" width="11.42578125" style="131"/>
    <col min="7678" max="7678" width="30" style="131" customWidth="1"/>
    <col min="7679" max="7679" width="12.85546875" style="131" customWidth="1"/>
    <col min="7680" max="7686" width="10.7109375" style="131" customWidth="1"/>
    <col min="7687" max="7687" width="4.7109375" style="131" customWidth="1"/>
    <col min="7688" max="7693" width="8.7109375" style="131" customWidth="1"/>
    <col min="7694" max="7694" width="10.28515625" style="131" customWidth="1"/>
    <col min="7695" max="7695" width="11.28515625" style="131" customWidth="1"/>
    <col min="7696" max="7933" width="11.42578125" style="131"/>
    <col min="7934" max="7934" width="30" style="131" customWidth="1"/>
    <col min="7935" max="7935" width="12.85546875" style="131" customWidth="1"/>
    <col min="7936" max="7942" width="10.7109375" style="131" customWidth="1"/>
    <col min="7943" max="7943" width="4.7109375" style="131" customWidth="1"/>
    <col min="7944" max="7949" width="8.7109375" style="131" customWidth="1"/>
    <col min="7950" max="7950" width="10.28515625" style="131" customWidth="1"/>
    <col min="7951" max="7951" width="11.28515625" style="131" customWidth="1"/>
    <col min="7952" max="8189" width="11.42578125" style="131"/>
    <col min="8190" max="8190" width="30" style="131" customWidth="1"/>
    <col min="8191" max="8191" width="12.85546875" style="131" customWidth="1"/>
    <col min="8192" max="8198" width="10.7109375" style="131" customWidth="1"/>
    <col min="8199" max="8199" width="4.7109375" style="131" customWidth="1"/>
    <col min="8200" max="8205" width="8.7109375" style="131" customWidth="1"/>
    <col min="8206" max="8206" width="10.28515625" style="131" customWidth="1"/>
    <col min="8207" max="8207" width="11.28515625" style="131" customWidth="1"/>
    <col min="8208" max="8445" width="11.42578125" style="131"/>
    <col min="8446" max="8446" width="30" style="131" customWidth="1"/>
    <col min="8447" max="8447" width="12.85546875" style="131" customWidth="1"/>
    <col min="8448" max="8454" width="10.7109375" style="131" customWidth="1"/>
    <col min="8455" max="8455" width="4.7109375" style="131" customWidth="1"/>
    <col min="8456" max="8461" width="8.7109375" style="131" customWidth="1"/>
    <col min="8462" max="8462" width="10.28515625" style="131" customWidth="1"/>
    <col min="8463" max="8463" width="11.28515625" style="131" customWidth="1"/>
    <col min="8464" max="8701" width="11.42578125" style="131"/>
    <col min="8702" max="8702" width="30" style="131" customWidth="1"/>
    <col min="8703" max="8703" width="12.85546875" style="131" customWidth="1"/>
    <col min="8704" max="8710" width="10.7109375" style="131" customWidth="1"/>
    <col min="8711" max="8711" width="4.7109375" style="131" customWidth="1"/>
    <col min="8712" max="8717" width="8.7109375" style="131" customWidth="1"/>
    <col min="8718" max="8718" width="10.28515625" style="131" customWidth="1"/>
    <col min="8719" max="8719" width="11.28515625" style="131" customWidth="1"/>
    <col min="8720" max="8957" width="11.42578125" style="131"/>
    <col min="8958" max="8958" width="30" style="131" customWidth="1"/>
    <col min="8959" max="8959" width="12.85546875" style="131" customWidth="1"/>
    <col min="8960" max="8966" width="10.7109375" style="131" customWidth="1"/>
    <col min="8967" max="8967" width="4.7109375" style="131" customWidth="1"/>
    <col min="8968" max="8973" width="8.7109375" style="131" customWidth="1"/>
    <col min="8974" max="8974" width="10.28515625" style="131" customWidth="1"/>
    <col min="8975" max="8975" width="11.28515625" style="131" customWidth="1"/>
    <col min="8976" max="9213" width="11.42578125" style="131"/>
    <col min="9214" max="9214" width="30" style="131" customWidth="1"/>
    <col min="9215" max="9215" width="12.85546875" style="131" customWidth="1"/>
    <col min="9216" max="9222" width="10.7109375" style="131" customWidth="1"/>
    <col min="9223" max="9223" width="4.7109375" style="131" customWidth="1"/>
    <col min="9224" max="9229" width="8.7109375" style="131" customWidth="1"/>
    <col min="9230" max="9230" width="10.28515625" style="131" customWidth="1"/>
    <col min="9231" max="9231" width="11.28515625" style="131" customWidth="1"/>
    <col min="9232" max="9469" width="11.42578125" style="131"/>
    <col min="9470" max="9470" width="30" style="131" customWidth="1"/>
    <col min="9471" max="9471" width="12.85546875" style="131" customWidth="1"/>
    <col min="9472" max="9478" width="10.7109375" style="131" customWidth="1"/>
    <col min="9479" max="9479" width="4.7109375" style="131" customWidth="1"/>
    <col min="9480" max="9485" width="8.7109375" style="131" customWidth="1"/>
    <col min="9486" max="9486" width="10.28515625" style="131" customWidth="1"/>
    <col min="9487" max="9487" width="11.28515625" style="131" customWidth="1"/>
    <col min="9488" max="9725" width="11.42578125" style="131"/>
    <col min="9726" max="9726" width="30" style="131" customWidth="1"/>
    <col min="9727" max="9727" width="12.85546875" style="131" customWidth="1"/>
    <col min="9728" max="9734" width="10.7109375" style="131" customWidth="1"/>
    <col min="9735" max="9735" width="4.7109375" style="131" customWidth="1"/>
    <col min="9736" max="9741" width="8.7109375" style="131" customWidth="1"/>
    <col min="9742" max="9742" width="10.28515625" style="131" customWidth="1"/>
    <col min="9743" max="9743" width="11.28515625" style="131" customWidth="1"/>
    <col min="9744" max="9981" width="11.42578125" style="131"/>
    <col min="9982" max="9982" width="30" style="131" customWidth="1"/>
    <col min="9983" max="9983" width="12.85546875" style="131" customWidth="1"/>
    <col min="9984" max="9990" width="10.7109375" style="131" customWidth="1"/>
    <col min="9991" max="9991" width="4.7109375" style="131" customWidth="1"/>
    <col min="9992" max="9997" width="8.7109375" style="131" customWidth="1"/>
    <col min="9998" max="9998" width="10.28515625" style="131" customWidth="1"/>
    <col min="9999" max="9999" width="11.28515625" style="131" customWidth="1"/>
    <col min="10000" max="10237" width="11.42578125" style="131"/>
    <col min="10238" max="10238" width="30" style="131" customWidth="1"/>
    <col min="10239" max="10239" width="12.85546875" style="131" customWidth="1"/>
    <col min="10240" max="10246" width="10.7109375" style="131" customWidth="1"/>
    <col min="10247" max="10247" width="4.7109375" style="131" customWidth="1"/>
    <col min="10248" max="10253" width="8.7109375" style="131" customWidth="1"/>
    <col min="10254" max="10254" width="10.28515625" style="131" customWidth="1"/>
    <col min="10255" max="10255" width="11.28515625" style="131" customWidth="1"/>
    <col min="10256" max="10493" width="11.42578125" style="131"/>
    <col min="10494" max="10494" width="30" style="131" customWidth="1"/>
    <col min="10495" max="10495" width="12.85546875" style="131" customWidth="1"/>
    <col min="10496" max="10502" width="10.7109375" style="131" customWidth="1"/>
    <col min="10503" max="10503" width="4.7109375" style="131" customWidth="1"/>
    <col min="10504" max="10509" width="8.7109375" style="131" customWidth="1"/>
    <col min="10510" max="10510" width="10.28515625" style="131" customWidth="1"/>
    <col min="10511" max="10511" width="11.28515625" style="131" customWidth="1"/>
    <col min="10512" max="10749" width="11.42578125" style="131"/>
    <col min="10750" max="10750" width="30" style="131" customWidth="1"/>
    <col min="10751" max="10751" width="12.85546875" style="131" customWidth="1"/>
    <col min="10752" max="10758" width="10.7109375" style="131" customWidth="1"/>
    <col min="10759" max="10759" width="4.7109375" style="131" customWidth="1"/>
    <col min="10760" max="10765" width="8.7109375" style="131" customWidth="1"/>
    <col min="10766" max="10766" width="10.28515625" style="131" customWidth="1"/>
    <col min="10767" max="10767" width="11.28515625" style="131" customWidth="1"/>
    <col min="10768" max="11005" width="11.42578125" style="131"/>
    <col min="11006" max="11006" width="30" style="131" customWidth="1"/>
    <col min="11007" max="11007" width="12.85546875" style="131" customWidth="1"/>
    <col min="11008" max="11014" width="10.7109375" style="131" customWidth="1"/>
    <col min="11015" max="11015" width="4.7109375" style="131" customWidth="1"/>
    <col min="11016" max="11021" width="8.7109375" style="131" customWidth="1"/>
    <col min="11022" max="11022" width="10.28515625" style="131" customWidth="1"/>
    <col min="11023" max="11023" width="11.28515625" style="131" customWidth="1"/>
    <col min="11024" max="11261" width="11.42578125" style="131"/>
    <col min="11262" max="11262" width="30" style="131" customWidth="1"/>
    <col min="11263" max="11263" width="12.85546875" style="131" customWidth="1"/>
    <col min="11264" max="11270" width="10.7109375" style="131" customWidth="1"/>
    <col min="11271" max="11271" width="4.7109375" style="131" customWidth="1"/>
    <col min="11272" max="11277" width="8.7109375" style="131" customWidth="1"/>
    <col min="11278" max="11278" width="10.28515625" style="131" customWidth="1"/>
    <col min="11279" max="11279" width="11.28515625" style="131" customWidth="1"/>
    <col min="11280" max="11517" width="11.42578125" style="131"/>
    <col min="11518" max="11518" width="30" style="131" customWidth="1"/>
    <col min="11519" max="11519" width="12.85546875" style="131" customWidth="1"/>
    <col min="11520" max="11526" width="10.7109375" style="131" customWidth="1"/>
    <col min="11527" max="11527" width="4.7109375" style="131" customWidth="1"/>
    <col min="11528" max="11533" width="8.7109375" style="131" customWidth="1"/>
    <col min="11534" max="11534" width="10.28515625" style="131" customWidth="1"/>
    <col min="11535" max="11535" width="11.28515625" style="131" customWidth="1"/>
    <col min="11536" max="11773" width="11.42578125" style="131"/>
    <col min="11774" max="11774" width="30" style="131" customWidth="1"/>
    <col min="11775" max="11775" width="12.85546875" style="131" customWidth="1"/>
    <col min="11776" max="11782" width="10.7109375" style="131" customWidth="1"/>
    <col min="11783" max="11783" width="4.7109375" style="131" customWidth="1"/>
    <col min="11784" max="11789" width="8.7109375" style="131" customWidth="1"/>
    <col min="11790" max="11790" width="10.28515625" style="131" customWidth="1"/>
    <col min="11791" max="11791" width="11.28515625" style="131" customWidth="1"/>
    <col min="11792" max="12029" width="11.42578125" style="131"/>
    <col min="12030" max="12030" width="30" style="131" customWidth="1"/>
    <col min="12031" max="12031" width="12.85546875" style="131" customWidth="1"/>
    <col min="12032" max="12038" width="10.7109375" style="131" customWidth="1"/>
    <col min="12039" max="12039" width="4.7109375" style="131" customWidth="1"/>
    <col min="12040" max="12045" width="8.7109375" style="131" customWidth="1"/>
    <col min="12046" max="12046" width="10.28515625" style="131" customWidth="1"/>
    <col min="12047" max="12047" width="11.28515625" style="131" customWidth="1"/>
    <col min="12048" max="12285" width="11.42578125" style="131"/>
    <col min="12286" max="12286" width="30" style="131" customWidth="1"/>
    <col min="12287" max="12287" width="12.85546875" style="131" customWidth="1"/>
    <col min="12288" max="12294" width="10.7109375" style="131" customWidth="1"/>
    <col min="12295" max="12295" width="4.7109375" style="131" customWidth="1"/>
    <col min="12296" max="12301" width="8.7109375" style="131" customWidth="1"/>
    <col min="12302" max="12302" width="10.28515625" style="131" customWidth="1"/>
    <col min="12303" max="12303" width="11.28515625" style="131" customWidth="1"/>
    <col min="12304" max="12541" width="11.42578125" style="131"/>
    <col min="12542" max="12542" width="30" style="131" customWidth="1"/>
    <col min="12543" max="12543" width="12.85546875" style="131" customWidth="1"/>
    <col min="12544" max="12550" width="10.7109375" style="131" customWidth="1"/>
    <col min="12551" max="12551" width="4.7109375" style="131" customWidth="1"/>
    <col min="12552" max="12557" width="8.7109375" style="131" customWidth="1"/>
    <col min="12558" max="12558" width="10.28515625" style="131" customWidth="1"/>
    <col min="12559" max="12559" width="11.28515625" style="131" customWidth="1"/>
    <col min="12560" max="12797" width="11.42578125" style="131"/>
    <col min="12798" max="12798" width="30" style="131" customWidth="1"/>
    <col min="12799" max="12799" width="12.85546875" style="131" customWidth="1"/>
    <col min="12800" max="12806" width="10.7109375" style="131" customWidth="1"/>
    <col min="12807" max="12807" width="4.7109375" style="131" customWidth="1"/>
    <col min="12808" max="12813" width="8.7109375" style="131" customWidth="1"/>
    <col min="12814" max="12814" width="10.28515625" style="131" customWidth="1"/>
    <col min="12815" max="12815" width="11.28515625" style="131" customWidth="1"/>
    <col min="12816" max="13053" width="11.42578125" style="131"/>
    <col min="13054" max="13054" width="30" style="131" customWidth="1"/>
    <col min="13055" max="13055" width="12.85546875" style="131" customWidth="1"/>
    <col min="13056" max="13062" width="10.7109375" style="131" customWidth="1"/>
    <col min="13063" max="13063" width="4.7109375" style="131" customWidth="1"/>
    <col min="13064" max="13069" width="8.7109375" style="131" customWidth="1"/>
    <col min="13070" max="13070" width="10.28515625" style="131" customWidth="1"/>
    <col min="13071" max="13071" width="11.28515625" style="131" customWidth="1"/>
    <col min="13072" max="13309" width="11.42578125" style="131"/>
    <col min="13310" max="13310" width="30" style="131" customWidth="1"/>
    <col min="13311" max="13311" width="12.85546875" style="131" customWidth="1"/>
    <col min="13312" max="13318" width="10.7109375" style="131" customWidth="1"/>
    <col min="13319" max="13319" width="4.7109375" style="131" customWidth="1"/>
    <col min="13320" max="13325" width="8.7109375" style="131" customWidth="1"/>
    <col min="13326" max="13326" width="10.28515625" style="131" customWidth="1"/>
    <col min="13327" max="13327" width="11.28515625" style="131" customWidth="1"/>
    <col min="13328" max="13565" width="11.42578125" style="131"/>
    <col min="13566" max="13566" width="30" style="131" customWidth="1"/>
    <col min="13567" max="13567" width="12.85546875" style="131" customWidth="1"/>
    <col min="13568" max="13574" width="10.7109375" style="131" customWidth="1"/>
    <col min="13575" max="13575" width="4.7109375" style="131" customWidth="1"/>
    <col min="13576" max="13581" width="8.7109375" style="131" customWidth="1"/>
    <col min="13582" max="13582" width="10.28515625" style="131" customWidth="1"/>
    <col min="13583" max="13583" width="11.28515625" style="131" customWidth="1"/>
    <col min="13584" max="13821" width="11.42578125" style="131"/>
    <col min="13822" max="13822" width="30" style="131" customWidth="1"/>
    <col min="13823" max="13823" width="12.85546875" style="131" customWidth="1"/>
    <col min="13824" max="13830" width="10.7109375" style="131" customWidth="1"/>
    <col min="13831" max="13831" width="4.7109375" style="131" customWidth="1"/>
    <col min="13832" max="13837" width="8.7109375" style="131" customWidth="1"/>
    <col min="13838" max="13838" width="10.28515625" style="131" customWidth="1"/>
    <col min="13839" max="13839" width="11.28515625" style="131" customWidth="1"/>
    <col min="13840" max="14077" width="11.42578125" style="131"/>
    <col min="14078" max="14078" width="30" style="131" customWidth="1"/>
    <col min="14079" max="14079" width="12.85546875" style="131" customWidth="1"/>
    <col min="14080" max="14086" width="10.7109375" style="131" customWidth="1"/>
    <col min="14087" max="14087" width="4.7109375" style="131" customWidth="1"/>
    <col min="14088" max="14093" width="8.7109375" style="131" customWidth="1"/>
    <col min="14094" max="14094" width="10.28515625" style="131" customWidth="1"/>
    <col min="14095" max="14095" width="11.28515625" style="131" customWidth="1"/>
    <col min="14096" max="14333" width="11.42578125" style="131"/>
    <col min="14334" max="14334" width="30" style="131" customWidth="1"/>
    <col min="14335" max="14335" width="12.85546875" style="131" customWidth="1"/>
    <col min="14336" max="14342" width="10.7109375" style="131" customWidth="1"/>
    <col min="14343" max="14343" width="4.7109375" style="131" customWidth="1"/>
    <col min="14344" max="14349" width="8.7109375" style="131" customWidth="1"/>
    <col min="14350" max="14350" width="10.28515625" style="131" customWidth="1"/>
    <col min="14351" max="14351" width="11.28515625" style="131" customWidth="1"/>
    <col min="14352" max="14589" width="11.42578125" style="131"/>
    <col min="14590" max="14590" width="30" style="131" customWidth="1"/>
    <col min="14591" max="14591" width="12.85546875" style="131" customWidth="1"/>
    <col min="14592" max="14598" width="10.7109375" style="131" customWidth="1"/>
    <col min="14599" max="14599" width="4.7109375" style="131" customWidth="1"/>
    <col min="14600" max="14605" width="8.7109375" style="131" customWidth="1"/>
    <col min="14606" max="14606" width="10.28515625" style="131" customWidth="1"/>
    <col min="14607" max="14607" width="11.28515625" style="131" customWidth="1"/>
    <col min="14608" max="14845" width="11.42578125" style="131"/>
    <col min="14846" max="14846" width="30" style="131" customWidth="1"/>
    <col min="14847" max="14847" width="12.85546875" style="131" customWidth="1"/>
    <col min="14848" max="14854" width="10.7109375" style="131" customWidth="1"/>
    <col min="14855" max="14855" width="4.7109375" style="131" customWidth="1"/>
    <col min="14856" max="14861" width="8.7109375" style="131" customWidth="1"/>
    <col min="14862" max="14862" width="10.28515625" style="131" customWidth="1"/>
    <col min="14863" max="14863" width="11.28515625" style="131" customWidth="1"/>
    <col min="14864" max="15101" width="11.42578125" style="131"/>
    <col min="15102" max="15102" width="30" style="131" customWidth="1"/>
    <col min="15103" max="15103" width="12.85546875" style="131" customWidth="1"/>
    <col min="15104" max="15110" width="10.7109375" style="131" customWidth="1"/>
    <col min="15111" max="15111" width="4.7109375" style="131" customWidth="1"/>
    <col min="15112" max="15117" width="8.7109375" style="131" customWidth="1"/>
    <col min="15118" max="15118" width="10.28515625" style="131" customWidth="1"/>
    <col min="15119" max="15119" width="11.28515625" style="131" customWidth="1"/>
    <col min="15120" max="15357" width="11.42578125" style="131"/>
    <col min="15358" max="15358" width="30" style="131" customWidth="1"/>
    <col min="15359" max="15359" width="12.85546875" style="131" customWidth="1"/>
    <col min="15360" max="15366" width="10.7109375" style="131" customWidth="1"/>
    <col min="15367" max="15367" width="4.7109375" style="131" customWidth="1"/>
    <col min="15368" max="15373" width="8.7109375" style="131" customWidth="1"/>
    <col min="15374" max="15374" width="10.28515625" style="131" customWidth="1"/>
    <col min="15375" max="15375" width="11.28515625" style="131" customWidth="1"/>
    <col min="15376" max="15613" width="11.42578125" style="131"/>
    <col min="15614" max="15614" width="30" style="131" customWidth="1"/>
    <col min="15615" max="15615" width="12.85546875" style="131" customWidth="1"/>
    <col min="15616" max="15622" width="10.7109375" style="131" customWidth="1"/>
    <col min="15623" max="15623" width="4.7109375" style="131" customWidth="1"/>
    <col min="15624" max="15629" width="8.7109375" style="131" customWidth="1"/>
    <col min="15630" max="15630" width="10.28515625" style="131" customWidth="1"/>
    <col min="15631" max="15631" width="11.28515625" style="131" customWidth="1"/>
    <col min="15632" max="15869" width="11.42578125" style="131"/>
    <col min="15870" max="15870" width="30" style="131" customWidth="1"/>
    <col min="15871" max="15871" width="12.85546875" style="131" customWidth="1"/>
    <col min="15872" max="15878" width="10.7109375" style="131" customWidth="1"/>
    <col min="15879" max="15879" width="4.7109375" style="131" customWidth="1"/>
    <col min="15880" max="15885" width="8.7109375" style="131" customWidth="1"/>
    <col min="15886" max="15886" width="10.28515625" style="131" customWidth="1"/>
    <col min="15887" max="15887" width="11.28515625" style="131" customWidth="1"/>
    <col min="15888" max="16125" width="11.42578125" style="131"/>
    <col min="16126" max="16126" width="30" style="131" customWidth="1"/>
    <col min="16127" max="16127" width="12.85546875" style="131" customWidth="1"/>
    <col min="16128" max="16134" width="10.7109375" style="131" customWidth="1"/>
    <col min="16135" max="16135" width="4.7109375" style="131" customWidth="1"/>
    <col min="16136" max="16141" width="8.7109375" style="131" customWidth="1"/>
    <col min="16142" max="16142" width="10.28515625" style="131" customWidth="1"/>
    <col min="16143" max="16143" width="11.28515625" style="131" customWidth="1"/>
    <col min="16144" max="16384" width="11.42578125" style="131"/>
  </cols>
  <sheetData>
    <row r="1" spans="1:15">
      <c r="B1" s="1095" t="s">
        <v>198</v>
      </c>
      <c r="C1" s="1096"/>
      <c r="D1" s="1096"/>
      <c r="E1" s="1096"/>
      <c r="F1" s="1096"/>
      <c r="G1" s="1096"/>
      <c r="H1" s="1096"/>
      <c r="I1" s="1096"/>
      <c r="J1" s="1096"/>
      <c r="K1" s="1096"/>
      <c r="L1" s="1096"/>
      <c r="M1" s="1096"/>
      <c r="N1" s="1096"/>
      <c r="O1" s="1097"/>
    </row>
    <row r="2" spans="1:15" ht="13.5" thickBot="1">
      <c r="B2" s="1098"/>
      <c r="C2" s="1099"/>
      <c r="D2" s="1099"/>
      <c r="E2" s="1099"/>
      <c r="F2" s="1099"/>
      <c r="G2" s="1099"/>
      <c r="H2" s="1099"/>
      <c r="I2" s="1099"/>
      <c r="J2" s="1099"/>
      <c r="K2" s="1099"/>
      <c r="L2" s="1099"/>
      <c r="M2" s="1099"/>
      <c r="N2" s="1099"/>
      <c r="O2" s="1100"/>
    </row>
    <row r="3" spans="1:15" ht="13.5" thickBot="1">
      <c r="A3" s="1123" t="s">
        <v>724</v>
      </c>
      <c r="B3" s="1101" t="s">
        <v>199</v>
      </c>
      <c r="C3" s="1104"/>
      <c r="D3" s="1104"/>
      <c r="E3" s="1104"/>
      <c r="F3" s="1105"/>
      <c r="G3" s="1106"/>
      <c r="H3" s="1109" t="s">
        <v>200</v>
      </c>
      <c r="I3" s="1110"/>
      <c r="J3" s="1111"/>
      <c r="K3" s="1111"/>
      <c r="L3" s="1111"/>
      <c r="M3" s="1111"/>
      <c r="N3" s="1112"/>
      <c r="O3" s="1117" t="s">
        <v>201</v>
      </c>
    </row>
    <row r="4" spans="1:15" ht="13.5" thickBot="1">
      <c r="A4" s="1123"/>
      <c r="B4" s="1102"/>
      <c r="C4" s="1120" t="s">
        <v>53</v>
      </c>
      <c r="D4" s="1121"/>
      <c r="E4" s="1120" t="s">
        <v>62</v>
      </c>
      <c r="F4" s="1122"/>
      <c r="G4" s="1107"/>
      <c r="H4" s="1113"/>
      <c r="I4" s="1114"/>
      <c r="J4" s="1115"/>
      <c r="K4" s="1115"/>
      <c r="L4" s="1115"/>
      <c r="M4" s="1115"/>
      <c r="N4" s="1116"/>
      <c r="O4" s="1118"/>
    </row>
    <row r="5" spans="1:15" ht="13.5" thickBot="1">
      <c r="A5" s="1123"/>
      <c r="B5" s="1103"/>
      <c r="C5" s="133" t="s">
        <v>106</v>
      </c>
      <c r="D5" s="132" t="s">
        <v>92</v>
      </c>
      <c r="E5" s="133" t="s">
        <v>203</v>
      </c>
      <c r="F5" s="132" t="s">
        <v>92</v>
      </c>
      <c r="G5" s="1107"/>
      <c r="H5" s="134" t="s">
        <v>204</v>
      </c>
      <c r="I5" s="135" t="s">
        <v>205</v>
      </c>
      <c r="J5" s="135" t="s">
        <v>206</v>
      </c>
      <c r="K5" s="135" t="s">
        <v>205</v>
      </c>
      <c r="L5" s="135" t="s">
        <v>207</v>
      </c>
      <c r="M5" s="135" t="s">
        <v>205</v>
      </c>
      <c r="N5" s="136" t="s">
        <v>208</v>
      </c>
      <c r="O5" s="1119"/>
    </row>
    <row r="6" spans="1:15" s="143" customFormat="1">
      <c r="B6" s="137" t="s">
        <v>209</v>
      </c>
      <c r="C6" s="139"/>
      <c r="D6" s="139"/>
      <c r="E6" s="138">
        <v>40802</v>
      </c>
      <c r="F6" s="140">
        <v>200</v>
      </c>
      <c r="G6" s="1107"/>
      <c r="H6" s="141">
        <v>40808</v>
      </c>
      <c r="I6" s="139">
        <v>200</v>
      </c>
      <c r="J6" s="139"/>
      <c r="K6" s="139"/>
      <c r="L6" s="139"/>
      <c r="M6" s="139"/>
      <c r="N6" s="139" t="s">
        <v>210</v>
      </c>
      <c r="O6" s="142">
        <f>F6-I6</f>
        <v>0</v>
      </c>
    </row>
    <row r="7" spans="1:15" s="150" customFormat="1">
      <c r="B7" s="144" t="s">
        <v>211</v>
      </c>
      <c r="C7" s="146">
        <v>40808</v>
      </c>
      <c r="D7" s="145">
        <v>166</v>
      </c>
      <c r="E7" s="145"/>
      <c r="F7" s="147"/>
      <c r="G7" s="1107"/>
      <c r="H7" s="148">
        <v>40844</v>
      </c>
      <c r="I7" s="145">
        <v>80</v>
      </c>
      <c r="J7" s="146">
        <v>40851</v>
      </c>
      <c r="K7" s="145">
        <v>84</v>
      </c>
      <c r="L7" s="145"/>
      <c r="M7" s="145"/>
      <c r="N7" s="145"/>
      <c r="O7" s="149">
        <f>D7-(I7+K7)</f>
        <v>2</v>
      </c>
    </row>
    <row r="8" spans="1:15" s="143" customFormat="1">
      <c r="B8" s="151" t="s">
        <v>212</v>
      </c>
      <c r="C8" s="153">
        <v>40808</v>
      </c>
      <c r="D8" s="152">
        <v>11</v>
      </c>
      <c r="E8" s="152"/>
      <c r="F8" s="154"/>
      <c r="G8" s="1107"/>
      <c r="H8" s="155">
        <v>40851</v>
      </c>
      <c r="I8" s="152">
        <v>11</v>
      </c>
      <c r="J8" s="152"/>
      <c r="K8" s="152"/>
      <c r="L8" s="152"/>
      <c r="M8" s="152"/>
      <c r="N8" s="152"/>
      <c r="O8" s="156">
        <f>D8-I8</f>
        <v>0</v>
      </c>
    </row>
    <row r="9" spans="1:15">
      <c r="B9" s="157" t="s">
        <v>213</v>
      </c>
      <c r="C9" s="159">
        <v>40808</v>
      </c>
      <c r="D9" s="158">
        <v>2</v>
      </c>
      <c r="E9" s="158"/>
      <c r="F9" s="160"/>
      <c r="G9" s="1107"/>
      <c r="H9" s="161"/>
      <c r="I9" s="158"/>
      <c r="J9" s="158"/>
      <c r="K9" s="158"/>
      <c r="L9" s="158"/>
      <c r="M9" s="158"/>
      <c r="N9" s="158"/>
      <c r="O9" s="162"/>
    </row>
    <row r="10" spans="1:15" s="143" customFormat="1">
      <c r="B10" s="151" t="s">
        <v>214</v>
      </c>
      <c r="C10" s="152"/>
      <c r="D10" s="152"/>
      <c r="E10" s="152"/>
      <c r="F10" s="154"/>
      <c r="G10" s="1107"/>
      <c r="H10" s="155">
        <v>40816</v>
      </c>
      <c r="I10" s="152">
        <v>155</v>
      </c>
      <c r="J10" s="152"/>
      <c r="K10" s="152"/>
      <c r="L10" s="152"/>
      <c r="M10" s="152"/>
      <c r="N10" s="152" t="s">
        <v>215</v>
      </c>
      <c r="O10" s="156" t="e">
        <f>#REF!-I10</f>
        <v>#REF!</v>
      </c>
    </row>
    <row r="11" spans="1:15" s="143" customFormat="1">
      <c r="B11" s="151" t="s">
        <v>216</v>
      </c>
      <c r="C11" s="152"/>
      <c r="D11" s="152"/>
      <c r="E11" s="153">
        <v>40816</v>
      </c>
      <c r="F11" s="154">
        <v>159</v>
      </c>
      <c r="G11" s="1107"/>
      <c r="H11" s="155">
        <v>40821</v>
      </c>
      <c r="I11" s="152">
        <v>158</v>
      </c>
      <c r="J11" s="152"/>
      <c r="K11" s="152"/>
      <c r="L11" s="152"/>
      <c r="M11" s="152"/>
      <c r="N11" s="152" t="s">
        <v>217</v>
      </c>
      <c r="O11" s="156" t="e">
        <f>#REF!-I11</f>
        <v>#REF!</v>
      </c>
    </row>
    <row r="12" spans="1:15" s="143" customFormat="1">
      <c r="B12" s="151" t="s">
        <v>218</v>
      </c>
      <c r="C12" s="153">
        <v>40816</v>
      </c>
      <c r="D12" s="152">
        <v>48</v>
      </c>
      <c r="E12" s="152"/>
      <c r="F12" s="154"/>
      <c r="G12" s="1107"/>
      <c r="H12" s="155">
        <v>40827</v>
      </c>
      <c r="I12" s="152">
        <v>47</v>
      </c>
      <c r="J12" s="152"/>
      <c r="K12" s="152"/>
      <c r="L12" s="152"/>
      <c r="M12" s="152"/>
      <c r="N12" s="152"/>
      <c r="O12" s="156" t="e">
        <f>#REF!-I12</f>
        <v>#REF!</v>
      </c>
    </row>
    <row r="13" spans="1:15" s="143" customFormat="1">
      <c r="B13" s="151" t="s">
        <v>219</v>
      </c>
      <c r="C13" s="153">
        <v>40813</v>
      </c>
      <c r="D13" s="152">
        <v>345</v>
      </c>
      <c r="E13" s="152"/>
      <c r="F13" s="154"/>
      <c r="G13" s="1107"/>
      <c r="H13" s="155">
        <v>40816</v>
      </c>
      <c r="I13" s="152">
        <v>342</v>
      </c>
      <c r="J13" s="153">
        <v>40827</v>
      </c>
      <c r="K13" s="152">
        <v>3</v>
      </c>
      <c r="L13" s="152"/>
      <c r="M13" s="152"/>
      <c r="N13" s="152" t="s">
        <v>220</v>
      </c>
      <c r="O13" s="156">
        <f>D13-(I13+K13)</f>
        <v>0</v>
      </c>
    </row>
    <row r="14" spans="1:15" s="143" customFormat="1">
      <c r="B14" s="151" t="s">
        <v>221</v>
      </c>
      <c r="C14" s="152"/>
      <c r="D14" s="152"/>
      <c r="E14" s="153">
        <v>40813</v>
      </c>
      <c r="F14" s="154">
        <v>160</v>
      </c>
      <c r="G14" s="1107"/>
      <c r="H14" s="155">
        <v>40816</v>
      </c>
      <c r="I14" s="152">
        <v>160</v>
      </c>
      <c r="J14" s="152"/>
      <c r="K14" s="152"/>
      <c r="L14" s="152"/>
      <c r="M14" s="152"/>
      <c r="N14" s="152" t="s">
        <v>210</v>
      </c>
      <c r="O14" s="156">
        <f>F14-I14</f>
        <v>0</v>
      </c>
    </row>
    <row r="15" spans="1:15" s="143" customFormat="1">
      <c r="B15" s="151" t="s">
        <v>222</v>
      </c>
      <c r="C15" s="153">
        <v>40816</v>
      </c>
      <c r="D15" s="152">
        <v>305</v>
      </c>
      <c r="E15" s="152"/>
      <c r="F15" s="154"/>
      <c r="G15" s="1107"/>
      <c r="H15" s="155">
        <v>40821</v>
      </c>
      <c r="I15" s="152">
        <v>5</v>
      </c>
      <c r="J15" s="153">
        <v>40822</v>
      </c>
      <c r="K15" s="152">
        <v>145</v>
      </c>
      <c r="L15" s="153">
        <v>40827</v>
      </c>
      <c r="M15" s="152">
        <v>153</v>
      </c>
      <c r="N15" s="152" t="s">
        <v>215</v>
      </c>
      <c r="O15" s="156" t="e">
        <f>#REF!-(I15+K15+M15)</f>
        <v>#REF!</v>
      </c>
    </row>
    <row r="16" spans="1:15" s="143" customFormat="1">
      <c r="B16" s="151" t="s">
        <v>223</v>
      </c>
      <c r="C16" s="152"/>
      <c r="D16" s="152"/>
      <c r="E16" s="152"/>
      <c r="F16" s="154"/>
      <c r="G16" s="1107"/>
      <c r="H16" s="155">
        <v>40816</v>
      </c>
      <c r="I16" s="152">
        <v>56</v>
      </c>
      <c r="J16" s="153">
        <v>40827</v>
      </c>
      <c r="K16" s="152">
        <v>1</v>
      </c>
      <c r="L16" s="152"/>
      <c r="M16" s="152"/>
      <c r="N16" s="152" t="s">
        <v>215</v>
      </c>
      <c r="O16" s="156" t="e">
        <f>#REF!-(I16+K16)</f>
        <v>#REF!</v>
      </c>
    </row>
    <row r="17" spans="2:15" s="143" customFormat="1">
      <c r="B17" s="151" t="s">
        <v>224</v>
      </c>
      <c r="C17" s="153">
        <v>40819</v>
      </c>
      <c r="D17" s="152">
        <v>183</v>
      </c>
      <c r="E17" s="152"/>
      <c r="F17" s="154"/>
      <c r="G17" s="1107"/>
      <c r="H17" s="155">
        <v>40827</v>
      </c>
      <c r="I17" s="152">
        <v>183</v>
      </c>
      <c r="J17" s="152"/>
      <c r="K17" s="152"/>
      <c r="L17" s="152"/>
      <c r="M17" s="152"/>
      <c r="N17" s="152" t="s">
        <v>215</v>
      </c>
      <c r="O17" s="156">
        <f>D17-I17</f>
        <v>0</v>
      </c>
    </row>
    <row r="18" spans="2:15" s="143" customFormat="1">
      <c r="B18" s="151" t="s">
        <v>225</v>
      </c>
      <c r="C18" s="153">
        <v>40819</v>
      </c>
      <c r="D18" s="152">
        <v>170</v>
      </c>
      <c r="E18" s="152"/>
      <c r="F18" s="154"/>
      <c r="G18" s="1107"/>
      <c r="H18" s="155">
        <v>40821</v>
      </c>
      <c r="I18" s="152">
        <v>170</v>
      </c>
      <c r="J18" s="152"/>
      <c r="K18" s="152"/>
      <c r="L18" s="152"/>
      <c r="M18" s="152"/>
      <c r="N18" s="152" t="s">
        <v>215</v>
      </c>
      <c r="O18" s="156">
        <f>D18-I18</f>
        <v>0</v>
      </c>
    </row>
    <row r="19" spans="2:15" s="143" customFormat="1">
      <c r="B19" s="151" t="s">
        <v>225</v>
      </c>
      <c r="C19" s="153">
        <v>40821</v>
      </c>
      <c r="D19" s="152">
        <v>139</v>
      </c>
      <c r="E19" s="152"/>
      <c r="F19" s="154"/>
      <c r="G19" s="1107"/>
      <c r="H19" s="155">
        <v>40822</v>
      </c>
      <c r="I19" s="152">
        <v>81</v>
      </c>
      <c r="J19" s="153">
        <v>40827</v>
      </c>
      <c r="K19" s="152">
        <v>61</v>
      </c>
      <c r="L19" s="152"/>
      <c r="M19" s="152"/>
      <c r="N19" s="152" t="s">
        <v>215</v>
      </c>
      <c r="O19" s="156">
        <f>D19-(I19+K19)</f>
        <v>-3</v>
      </c>
    </row>
    <row r="20" spans="2:15" s="143" customFormat="1">
      <c r="B20" s="151" t="s">
        <v>226</v>
      </c>
      <c r="C20" s="153">
        <v>40836</v>
      </c>
      <c r="D20" s="152">
        <v>111</v>
      </c>
      <c r="E20" s="152"/>
      <c r="F20" s="154"/>
      <c r="G20" s="1107"/>
      <c r="H20" s="155">
        <v>40840</v>
      </c>
      <c r="I20" s="152">
        <v>108</v>
      </c>
      <c r="J20" s="152"/>
      <c r="K20" s="152"/>
      <c r="L20" s="152"/>
      <c r="M20" s="152"/>
      <c r="N20" s="152"/>
      <c r="O20" s="156">
        <f>D20-I20</f>
        <v>3</v>
      </c>
    </row>
    <row r="21" spans="2:15" s="143" customFormat="1">
      <c r="B21" s="151" t="s">
        <v>227</v>
      </c>
      <c r="C21" s="152"/>
      <c r="D21" s="152"/>
      <c r="E21" s="152"/>
      <c r="F21" s="154"/>
      <c r="G21" s="1107"/>
      <c r="H21" s="155">
        <v>40844</v>
      </c>
      <c r="I21" s="152">
        <v>160</v>
      </c>
      <c r="J21" s="152"/>
      <c r="K21" s="152"/>
      <c r="L21" s="152"/>
      <c r="M21" s="152"/>
      <c r="N21" s="152" t="s">
        <v>202</v>
      </c>
      <c r="O21" s="156" t="e">
        <f>#REF!-I21</f>
        <v>#REF!</v>
      </c>
    </row>
    <row r="22" spans="2:15" s="143" customFormat="1">
      <c r="B22" s="151" t="s">
        <v>228</v>
      </c>
      <c r="C22" s="152"/>
      <c r="D22" s="152"/>
      <c r="E22" s="152"/>
      <c r="F22" s="154"/>
      <c r="G22" s="1107"/>
      <c r="H22" s="155">
        <v>40844</v>
      </c>
      <c r="I22" s="152">
        <v>160</v>
      </c>
      <c r="J22" s="152"/>
      <c r="K22" s="152"/>
      <c r="L22" s="152"/>
      <c r="M22" s="152"/>
      <c r="N22" s="152" t="s">
        <v>202</v>
      </c>
      <c r="O22" s="156" t="e">
        <f>#REF!-I22</f>
        <v>#REF!</v>
      </c>
    </row>
    <row r="23" spans="2:15" s="143" customFormat="1">
      <c r="B23" s="163" t="s">
        <v>229</v>
      </c>
      <c r="C23" s="153">
        <v>40844</v>
      </c>
      <c r="D23" s="152">
        <v>225</v>
      </c>
      <c r="E23" s="152"/>
      <c r="F23" s="154"/>
      <c r="G23" s="1107"/>
      <c r="H23" s="155">
        <v>40849</v>
      </c>
      <c r="I23" s="152">
        <v>213</v>
      </c>
      <c r="J23" s="153">
        <v>40851</v>
      </c>
      <c r="K23" s="152">
        <v>12</v>
      </c>
      <c r="L23" s="152"/>
      <c r="M23" s="152"/>
      <c r="N23" s="152" t="s">
        <v>215</v>
      </c>
      <c r="O23" s="156">
        <f>D23-(I23+K23)</f>
        <v>0</v>
      </c>
    </row>
    <row r="24" spans="2:15" s="143" customFormat="1">
      <c r="B24" s="151" t="s">
        <v>230</v>
      </c>
      <c r="C24" s="152"/>
      <c r="D24" s="152"/>
      <c r="E24" s="153">
        <v>40844</v>
      </c>
      <c r="F24" s="154">
        <v>200</v>
      </c>
      <c r="G24" s="1107"/>
      <c r="H24" s="155">
        <v>40854</v>
      </c>
      <c r="I24" s="152">
        <v>199</v>
      </c>
      <c r="J24" s="152"/>
      <c r="K24" s="152"/>
      <c r="L24" s="152"/>
      <c r="M24" s="152"/>
      <c r="N24" s="152"/>
      <c r="O24" s="156">
        <f>F24-I24</f>
        <v>1</v>
      </c>
    </row>
    <row r="25" spans="2:15" s="143" customFormat="1">
      <c r="B25" s="151" t="s">
        <v>231</v>
      </c>
      <c r="C25" s="152"/>
      <c r="D25" s="152"/>
      <c r="E25" s="153">
        <v>40844</v>
      </c>
      <c r="F25" s="154">
        <v>120</v>
      </c>
      <c r="G25" s="1107"/>
      <c r="H25" s="155">
        <v>40854</v>
      </c>
      <c r="I25" s="152">
        <v>120</v>
      </c>
      <c r="J25" s="152"/>
      <c r="K25" s="152"/>
      <c r="L25" s="152"/>
      <c r="M25" s="152"/>
      <c r="N25" s="152"/>
      <c r="O25" s="156">
        <f>F25-I25</f>
        <v>0</v>
      </c>
    </row>
    <row r="26" spans="2:15" s="143" customFormat="1">
      <c r="B26" s="151" t="s">
        <v>232</v>
      </c>
      <c r="C26" s="152"/>
      <c r="D26" s="152"/>
      <c r="E26" s="153">
        <v>40844</v>
      </c>
      <c r="F26" s="154">
        <v>160</v>
      </c>
      <c r="G26" s="1107"/>
      <c r="H26" s="155">
        <v>40854</v>
      </c>
      <c r="I26" s="152">
        <v>160</v>
      </c>
      <c r="J26" s="152"/>
      <c r="K26" s="152"/>
      <c r="L26" s="152"/>
      <c r="M26" s="152"/>
      <c r="N26" s="152"/>
      <c r="O26" s="156">
        <f>F26-I26</f>
        <v>0</v>
      </c>
    </row>
    <row r="27" spans="2:15" s="143" customFormat="1">
      <c r="B27" s="151" t="s">
        <v>233</v>
      </c>
      <c r="C27" s="152"/>
      <c r="D27" s="152"/>
      <c r="E27" s="153">
        <v>40844</v>
      </c>
      <c r="F27" s="154">
        <v>160</v>
      </c>
      <c r="G27" s="1107"/>
      <c r="H27" s="155">
        <v>40854</v>
      </c>
      <c r="I27" s="152">
        <v>160</v>
      </c>
      <c r="J27" s="152"/>
      <c r="K27" s="152"/>
      <c r="L27" s="152"/>
      <c r="M27" s="152"/>
      <c r="N27" s="152"/>
      <c r="O27" s="156">
        <f>F27-I27</f>
        <v>0</v>
      </c>
    </row>
    <row r="28" spans="2:15" s="143" customFormat="1">
      <c r="B28" s="151" t="s">
        <v>234</v>
      </c>
      <c r="C28" s="152"/>
      <c r="D28" s="152"/>
      <c r="E28" s="153">
        <v>40849</v>
      </c>
      <c r="F28" s="154">
        <v>130</v>
      </c>
      <c r="G28" s="1107"/>
      <c r="H28" s="155">
        <v>40855</v>
      </c>
      <c r="I28" s="152">
        <v>130</v>
      </c>
      <c r="J28" s="152"/>
      <c r="K28" s="152"/>
      <c r="L28" s="152"/>
      <c r="M28" s="152"/>
      <c r="N28" s="152"/>
      <c r="O28" s="156">
        <f>F28-I28</f>
        <v>0</v>
      </c>
    </row>
    <row r="29" spans="2:15" s="143" customFormat="1">
      <c r="B29" s="151" t="s">
        <v>229</v>
      </c>
      <c r="C29" s="153">
        <v>40847</v>
      </c>
      <c r="D29" s="152">
        <v>297</v>
      </c>
      <c r="E29" s="152"/>
      <c r="F29" s="154"/>
      <c r="G29" s="1107"/>
      <c r="H29" s="155">
        <v>40848</v>
      </c>
      <c r="I29" s="152">
        <v>291</v>
      </c>
      <c r="J29" s="153">
        <v>40851</v>
      </c>
      <c r="K29" s="152">
        <v>3</v>
      </c>
      <c r="L29" s="152"/>
      <c r="M29" s="152"/>
      <c r="N29" s="152" t="s">
        <v>215</v>
      </c>
      <c r="O29" s="156">
        <f>D29-(I29+K29)</f>
        <v>3</v>
      </c>
    </row>
    <row r="30" spans="2:15" s="143" customFormat="1">
      <c r="B30" s="151" t="s">
        <v>235</v>
      </c>
      <c r="C30" s="153">
        <v>40849</v>
      </c>
      <c r="D30" s="152">
        <v>41</v>
      </c>
      <c r="E30" s="152"/>
      <c r="F30" s="154"/>
      <c r="G30" s="1107"/>
      <c r="H30" s="155">
        <v>40851</v>
      </c>
      <c r="I30" s="152">
        <v>41</v>
      </c>
      <c r="J30" s="152"/>
      <c r="K30" s="152"/>
      <c r="L30" s="152"/>
      <c r="M30" s="152"/>
      <c r="N30" s="152"/>
      <c r="O30" s="156">
        <f>D30-I30</f>
        <v>0</v>
      </c>
    </row>
    <row r="31" spans="2:15" s="143" customFormat="1">
      <c r="B31" s="151" t="s">
        <v>236</v>
      </c>
      <c r="C31" s="152"/>
      <c r="D31" s="152"/>
      <c r="E31" s="152"/>
      <c r="F31" s="154"/>
      <c r="G31" s="1107"/>
      <c r="H31" s="155">
        <v>40865</v>
      </c>
      <c r="I31" s="152">
        <v>115</v>
      </c>
      <c r="J31" s="152"/>
      <c r="K31" s="152"/>
      <c r="L31" s="152"/>
      <c r="M31" s="152"/>
      <c r="N31" s="152"/>
      <c r="O31" s="156" t="e">
        <f>#REF!-I31</f>
        <v>#REF!</v>
      </c>
    </row>
    <row r="32" spans="2:15" s="143" customFormat="1">
      <c r="B32" s="151" t="s">
        <v>237</v>
      </c>
      <c r="C32" s="153">
        <v>40851</v>
      </c>
      <c r="D32" s="152">
        <v>300</v>
      </c>
      <c r="E32" s="152"/>
      <c r="F32" s="154"/>
      <c r="G32" s="1107"/>
      <c r="H32" s="155">
        <v>40855</v>
      </c>
      <c r="I32" s="152">
        <v>150</v>
      </c>
      <c r="J32" s="153">
        <v>40857</v>
      </c>
      <c r="K32" s="152">
        <v>150</v>
      </c>
      <c r="L32" s="152"/>
      <c r="M32" s="152"/>
      <c r="N32" s="152"/>
      <c r="O32" s="156">
        <f>D32-(I32+K32)</f>
        <v>0</v>
      </c>
    </row>
    <row r="33" spans="2:15" s="143" customFormat="1">
      <c r="B33" s="151" t="s">
        <v>238</v>
      </c>
      <c r="C33" s="153">
        <v>40857</v>
      </c>
      <c r="D33" s="152">
        <v>183</v>
      </c>
      <c r="E33" s="152"/>
      <c r="F33" s="154"/>
      <c r="G33" s="1107"/>
      <c r="H33" s="155">
        <v>40862</v>
      </c>
      <c r="I33" s="152">
        <v>88</v>
      </c>
      <c r="J33" s="153">
        <v>40865</v>
      </c>
      <c r="K33" s="152">
        <v>98</v>
      </c>
      <c r="L33" s="152"/>
      <c r="M33" s="152"/>
      <c r="N33" s="152"/>
      <c r="O33" s="156" t="e">
        <f>#REF!-(I33+K33)</f>
        <v>#REF!</v>
      </c>
    </row>
    <row r="34" spans="2:15" s="143" customFormat="1">
      <c r="B34" s="151" t="s">
        <v>237</v>
      </c>
      <c r="C34" s="153">
        <v>40857</v>
      </c>
      <c r="D34" s="152">
        <v>163</v>
      </c>
      <c r="E34" s="152"/>
      <c r="F34" s="154"/>
      <c r="G34" s="1107"/>
      <c r="H34" s="155">
        <v>40865</v>
      </c>
      <c r="I34" s="152">
        <v>168</v>
      </c>
      <c r="J34" s="152"/>
      <c r="K34" s="152"/>
      <c r="L34" s="152"/>
      <c r="M34" s="152"/>
      <c r="N34" s="152"/>
      <c r="O34" s="156">
        <f>D34-I34</f>
        <v>-5</v>
      </c>
    </row>
    <row r="35" spans="2:15" s="143" customFormat="1">
      <c r="B35" s="151" t="s">
        <v>239</v>
      </c>
      <c r="C35" s="153">
        <v>40857</v>
      </c>
      <c r="D35" s="152">
        <v>106</v>
      </c>
      <c r="E35" s="153"/>
      <c r="F35" s="154"/>
      <c r="G35" s="1107"/>
      <c r="H35" s="155">
        <v>40862</v>
      </c>
      <c r="I35" s="152">
        <v>105</v>
      </c>
      <c r="J35" s="152"/>
      <c r="K35" s="152"/>
      <c r="L35" s="152"/>
      <c r="M35" s="152"/>
      <c r="N35" s="152"/>
      <c r="O35" s="156">
        <f>D35-I35</f>
        <v>1</v>
      </c>
    </row>
    <row r="36" spans="2:15" s="143" customFormat="1">
      <c r="B36" s="151" t="s">
        <v>240</v>
      </c>
      <c r="C36" s="152"/>
      <c r="D36" s="152"/>
      <c r="E36" s="153">
        <v>40861</v>
      </c>
      <c r="F36" s="154">
        <v>76</v>
      </c>
      <c r="G36" s="1107"/>
      <c r="H36" s="155">
        <v>40865</v>
      </c>
      <c r="I36" s="152">
        <v>77</v>
      </c>
      <c r="J36" s="152"/>
      <c r="K36" s="152"/>
      <c r="L36" s="152"/>
      <c r="M36" s="152"/>
      <c r="N36" s="152"/>
      <c r="O36" s="156" t="e">
        <f>#REF!-I36</f>
        <v>#REF!</v>
      </c>
    </row>
    <row r="37" spans="2:15" s="143" customFormat="1">
      <c r="B37" s="151" t="s">
        <v>241</v>
      </c>
      <c r="C37" s="152"/>
      <c r="D37" s="152"/>
      <c r="E37" s="153">
        <v>40864</v>
      </c>
      <c r="F37" s="154">
        <v>165</v>
      </c>
      <c r="G37" s="1107"/>
      <c r="H37" s="155">
        <v>40871</v>
      </c>
      <c r="I37" s="152">
        <v>165</v>
      </c>
      <c r="J37" s="152"/>
      <c r="K37" s="152"/>
      <c r="L37" s="152"/>
      <c r="M37" s="152"/>
      <c r="N37" s="152"/>
      <c r="O37" s="156" t="e">
        <f>#REF!-I37</f>
        <v>#REF!</v>
      </c>
    </row>
    <row r="38" spans="2:15" s="143" customFormat="1">
      <c r="B38" s="151" t="s">
        <v>242</v>
      </c>
      <c r="C38" s="152"/>
      <c r="D38" s="152"/>
      <c r="E38" s="153">
        <v>40864</v>
      </c>
      <c r="F38" s="154">
        <v>165</v>
      </c>
      <c r="G38" s="1107"/>
      <c r="H38" s="155">
        <v>40871</v>
      </c>
      <c r="I38" s="152">
        <v>165</v>
      </c>
      <c r="J38" s="152"/>
      <c r="K38" s="152"/>
      <c r="L38" s="152"/>
      <c r="M38" s="152"/>
      <c r="N38" s="152"/>
      <c r="O38" s="156" t="e">
        <f>#REF!-I38</f>
        <v>#REF!</v>
      </c>
    </row>
    <row r="39" spans="2:15" s="143" customFormat="1">
      <c r="B39" s="151" t="s">
        <v>209</v>
      </c>
      <c r="C39" s="152"/>
      <c r="D39" s="152"/>
      <c r="E39" s="153">
        <v>40871</v>
      </c>
      <c r="F39" s="154">
        <v>200</v>
      </c>
      <c r="G39" s="1107"/>
      <c r="H39" s="155">
        <v>40871</v>
      </c>
      <c r="I39" s="152">
        <v>200</v>
      </c>
      <c r="J39" s="152"/>
      <c r="K39" s="152"/>
      <c r="L39" s="152"/>
      <c r="M39" s="152"/>
      <c r="N39" s="152"/>
      <c r="O39" s="156">
        <f>F39-I39</f>
        <v>0</v>
      </c>
    </row>
    <row r="40" spans="2:15" s="143" customFormat="1">
      <c r="B40" s="151" t="s">
        <v>243</v>
      </c>
      <c r="C40" s="152"/>
      <c r="D40" s="152"/>
      <c r="E40" s="152" t="s">
        <v>244</v>
      </c>
      <c r="F40" s="154">
        <v>158</v>
      </c>
      <c r="G40" s="1107"/>
      <c r="H40" s="155">
        <v>40899</v>
      </c>
      <c r="I40" s="152">
        <v>158</v>
      </c>
      <c r="J40" s="152"/>
      <c r="K40" s="152"/>
      <c r="L40" s="152"/>
      <c r="M40" s="152"/>
      <c r="N40" s="152"/>
      <c r="O40" s="156" t="e">
        <f>#REF!-I40</f>
        <v>#REF!</v>
      </c>
    </row>
    <row r="41" spans="2:15" s="143" customFormat="1">
      <c r="B41" s="151" t="s">
        <v>245</v>
      </c>
      <c r="C41" s="153">
        <v>40877</v>
      </c>
      <c r="D41" s="152">
        <v>157</v>
      </c>
      <c r="E41" s="152"/>
      <c r="F41" s="154"/>
      <c r="G41" s="1107"/>
      <c r="H41" s="155">
        <v>40883</v>
      </c>
      <c r="I41" s="152">
        <v>157</v>
      </c>
      <c r="J41" s="152"/>
      <c r="K41" s="152"/>
      <c r="L41" s="152"/>
      <c r="M41" s="152"/>
      <c r="N41" s="152"/>
      <c r="O41" s="156" t="e">
        <f>#REF!-I41</f>
        <v>#REF!</v>
      </c>
    </row>
    <row r="42" spans="2:15" s="143" customFormat="1">
      <c r="B42" s="151" t="s">
        <v>246</v>
      </c>
      <c r="C42" s="153">
        <v>40891</v>
      </c>
      <c r="D42" s="152">
        <v>154</v>
      </c>
      <c r="E42" s="152"/>
      <c r="F42" s="154"/>
      <c r="G42" s="1107"/>
      <c r="H42" s="155">
        <v>40897</v>
      </c>
      <c r="I42" s="152">
        <v>154</v>
      </c>
      <c r="J42" s="152"/>
      <c r="K42" s="152"/>
      <c r="L42" s="152"/>
      <c r="M42" s="152"/>
      <c r="N42" s="152"/>
      <c r="O42" s="156">
        <f>D42-I42</f>
        <v>0</v>
      </c>
    </row>
    <row r="43" spans="2:15" s="143" customFormat="1">
      <c r="B43" s="151" t="s">
        <v>247</v>
      </c>
      <c r="C43" s="153">
        <v>40917</v>
      </c>
      <c r="D43" s="152">
        <v>112</v>
      </c>
      <c r="E43" s="152"/>
      <c r="F43" s="154"/>
      <c r="G43" s="1107"/>
      <c r="H43" s="155">
        <v>40926</v>
      </c>
      <c r="I43" s="152">
        <v>111</v>
      </c>
      <c r="J43" s="152"/>
      <c r="K43" s="152"/>
      <c r="L43" s="152"/>
      <c r="M43" s="152"/>
      <c r="N43" s="152"/>
      <c r="O43" s="156"/>
    </row>
    <row r="44" spans="2:15" s="143" customFormat="1">
      <c r="B44" s="151" t="s">
        <v>248</v>
      </c>
      <c r="C44" s="153">
        <v>40903</v>
      </c>
      <c r="D44" s="152">
        <v>20</v>
      </c>
      <c r="E44" s="152"/>
      <c r="F44" s="154"/>
      <c r="G44" s="1107"/>
      <c r="H44" s="155">
        <v>41270</v>
      </c>
      <c r="I44" s="152">
        <v>20</v>
      </c>
      <c r="J44" s="152"/>
      <c r="K44" s="152"/>
      <c r="L44" s="152"/>
      <c r="M44" s="152"/>
      <c r="N44" s="152"/>
      <c r="O44" s="156">
        <f>D44-I44</f>
        <v>0</v>
      </c>
    </row>
    <row r="45" spans="2:15" s="143" customFormat="1">
      <c r="B45" s="151" t="s">
        <v>247</v>
      </c>
      <c r="C45" s="153">
        <v>41252</v>
      </c>
      <c r="D45" s="152">
        <v>66</v>
      </c>
      <c r="E45" s="152"/>
      <c r="F45" s="154"/>
      <c r="G45" s="1107"/>
      <c r="H45" s="155">
        <v>40926</v>
      </c>
      <c r="I45" s="152">
        <v>66</v>
      </c>
      <c r="J45" s="152"/>
      <c r="K45" s="152"/>
      <c r="L45" s="152"/>
      <c r="M45" s="152"/>
      <c r="N45" s="152"/>
      <c r="O45" s="156"/>
    </row>
    <row r="46" spans="2:15" s="143" customFormat="1">
      <c r="B46" s="151" t="s">
        <v>248</v>
      </c>
      <c r="C46" s="153">
        <v>40913</v>
      </c>
      <c r="D46" s="152">
        <v>250</v>
      </c>
      <c r="E46" s="152"/>
      <c r="F46" s="154"/>
      <c r="G46" s="1107"/>
      <c r="H46" s="155">
        <v>40913</v>
      </c>
      <c r="I46" s="152">
        <v>254</v>
      </c>
      <c r="J46" s="152"/>
      <c r="K46" s="152"/>
      <c r="L46" s="152"/>
      <c r="M46" s="152"/>
      <c r="N46" s="152"/>
      <c r="O46" s="156">
        <f>D46-I46</f>
        <v>-4</v>
      </c>
    </row>
    <row r="47" spans="2:15" s="143" customFormat="1">
      <c r="B47" s="151" t="s">
        <v>248</v>
      </c>
      <c r="C47" s="153">
        <v>40913</v>
      </c>
      <c r="D47" s="152">
        <v>300</v>
      </c>
      <c r="E47" s="152"/>
      <c r="F47" s="154"/>
      <c r="G47" s="1107"/>
      <c r="H47" s="155">
        <v>40914</v>
      </c>
      <c r="I47" s="152">
        <v>301</v>
      </c>
      <c r="J47" s="153"/>
      <c r="K47" s="152"/>
      <c r="L47" s="152"/>
      <c r="M47" s="152"/>
      <c r="N47" s="152"/>
      <c r="O47" s="156">
        <f>D47-I47</f>
        <v>-1</v>
      </c>
    </row>
    <row r="48" spans="2:15" s="143" customFormat="1">
      <c r="B48" s="151" t="s">
        <v>249</v>
      </c>
      <c r="C48" s="153">
        <v>40913</v>
      </c>
      <c r="D48" s="152">
        <v>64</v>
      </c>
      <c r="E48" s="152"/>
      <c r="F48" s="154"/>
      <c r="G48" s="1107"/>
      <c r="H48" s="155">
        <v>40991</v>
      </c>
      <c r="I48" s="152">
        <v>64</v>
      </c>
      <c r="J48" s="152"/>
      <c r="K48" s="152"/>
      <c r="L48" s="152"/>
      <c r="M48" s="152"/>
      <c r="N48" s="152"/>
      <c r="O48" s="156">
        <f>D48-I48</f>
        <v>0</v>
      </c>
    </row>
    <row r="49" spans="2:16" s="143" customFormat="1">
      <c r="B49" s="151" t="s">
        <v>248</v>
      </c>
      <c r="C49" s="153">
        <v>40914</v>
      </c>
      <c r="D49" s="152">
        <v>120</v>
      </c>
      <c r="E49" s="152"/>
      <c r="F49" s="154"/>
      <c r="G49" s="1107"/>
      <c r="H49" s="155">
        <v>40921</v>
      </c>
      <c r="I49" s="152">
        <v>120</v>
      </c>
      <c r="J49" s="152"/>
      <c r="K49" s="152"/>
      <c r="L49" s="152"/>
      <c r="M49" s="152"/>
      <c r="N49" s="152"/>
      <c r="O49" s="156">
        <f>D49-I49</f>
        <v>0</v>
      </c>
    </row>
    <row r="50" spans="2:16" s="143" customFormat="1">
      <c r="B50" s="151" t="s">
        <v>248</v>
      </c>
      <c r="C50" s="153">
        <v>40917</v>
      </c>
      <c r="D50" s="152">
        <v>236</v>
      </c>
      <c r="E50" s="152"/>
      <c r="F50" s="154"/>
      <c r="G50" s="1107"/>
      <c r="H50" s="155">
        <v>40921</v>
      </c>
      <c r="I50" s="152">
        <v>230</v>
      </c>
      <c r="J50" s="152"/>
      <c r="K50" s="152"/>
      <c r="L50" s="152"/>
      <c r="M50" s="152"/>
      <c r="N50" s="152"/>
      <c r="O50" s="156">
        <f>D50-I50</f>
        <v>6</v>
      </c>
    </row>
    <row r="51" spans="2:16" s="143" customFormat="1">
      <c r="B51" s="151" t="s">
        <v>250</v>
      </c>
      <c r="C51" s="153">
        <v>40917</v>
      </c>
      <c r="D51" s="152">
        <v>250</v>
      </c>
      <c r="E51" s="152"/>
      <c r="F51" s="154"/>
      <c r="G51" s="1107"/>
      <c r="H51" s="155">
        <v>40921</v>
      </c>
      <c r="I51" s="152">
        <v>99</v>
      </c>
      <c r="J51" s="153">
        <v>40926</v>
      </c>
      <c r="K51" s="152">
        <v>150</v>
      </c>
      <c r="L51" s="152"/>
      <c r="M51" s="152"/>
      <c r="N51" s="152"/>
      <c r="O51" s="156">
        <f>D51-(I51+K51)</f>
        <v>1</v>
      </c>
    </row>
    <row r="52" spans="2:16" s="150" customFormat="1">
      <c r="B52" s="144" t="s">
        <v>251</v>
      </c>
      <c r="C52" s="146">
        <v>40917</v>
      </c>
      <c r="D52" s="145">
        <v>178</v>
      </c>
      <c r="E52" s="145"/>
      <c r="F52" s="147"/>
      <c r="G52" s="1107"/>
      <c r="H52" s="148"/>
      <c r="I52" s="145"/>
      <c r="J52" s="145"/>
      <c r="K52" s="145"/>
      <c r="L52" s="145"/>
      <c r="M52" s="145"/>
      <c r="N52" s="145"/>
      <c r="O52" s="149">
        <f>D52-I52</f>
        <v>178</v>
      </c>
    </row>
    <row r="53" spans="2:16" s="143" customFormat="1">
      <c r="B53" s="151" t="s">
        <v>252</v>
      </c>
      <c r="C53" s="153">
        <v>40927</v>
      </c>
      <c r="D53" s="152">
        <v>140</v>
      </c>
      <c r="E53" s="152"/>
      <c r="F53" s="154"/>
      <c r="G53" s="1107"/>
      <c r="H53" s="155">
        <v>40932</v>
      </c>
      <c r="I53" s="152">
        <v>137</v>
      </c>
      <c r="J53" s="152"/>
      <c r="K53" s="152"/>
      <c r="L53" s="152"/>
      <c r="M53" s="152"/>
      <c r="N53" s="152"/>
      <c r="O53" s="156">
        <f>D53-I53</f>
        <v>3</v>
      </c>
    </row>
    <row r="54" spans="2:16" s="143" customFormat="1">
      <c r="B54" s="151" t="s">
        <v>248</v>
      </c>
      <c r="C54" s="153">
        <v>40926</v>
      </c>
      <c r="D54" s="152">
        <v>300</v>
      </c>
      <c r="E54" s="152"/>
      <c r="F54" s="154"/>
      <c r="G54" s="1107"/>
      <c r="H54" s="155">
        <v>40928</v>
      </c>
      <c r="I54" s="152">
        <v>317</v>
      </c>
      <c r="J54" s="152"/>
      <c r="K54" s="152"/>
      <c r="L54" s="152"/>
      <c r="M54" s="152"/>
      <c r="N54" s="152"/>
      <c r="O54" s="156">
        <f>D54-I54</f>
        <v>-17</v>
      </c>
      <c r="P54" s="143">
        <f>(D44+D46+D47+D49+D50+D54)-(I44+I46+I47+I49+I50+I54)</f>
        <v>-16</v>
      </c>
    </row>
    <row r="55" spans="2:16" s="143" customFormat="1">
      <c r="B55" s="151" t="s">
        <v>253</v>
      </c>
      <c r="C55" s="153">
        <v>40946</v>
      </c>
      <c r="D55" s="152">
        <v>133</v>
      </c>
      <c r="E55" s="152"/>
      <c r="F55" s="154"/>
      <c r="G55" s="1107"/>
      <c r="H55" s="155">
        <v>40954</v>
      </c>
      <c r="I55" s="152">
        <v>134</v>
      </c>
      <c r="J55" s="152"/>
      <c r="K55" s="152"/>
      <c r="L55" s="152"/>
      <c r="M55" s="152"/>
      <c r="N55" s="152"/>
      <c r="O55" s="156" t="e">
        <f>#REF!-I55</f>
        <v>#REF!</v>
      </c>
    </row>
    <row r="56" spans="2:16" s="143" customFormat="1">
      <c r="B56" s="151" t="s">
        <v>254</v>
      </c>
      <c r="C56" s="152"/>
      <c r="D56" s="152"/>
      <c r="E56" s="153">
        <v>40941</v>
      </c>
      <c r="F56" s="154">
        <v>205</v>
      </c>
      <c r="G56" s="1107"/>
      <c r="H56" s="155">
        <v>40947</v>
      </c>
      <c r="I56" s="152">
        <v>205</v>
      </c>
      <c r="J56" s="152"/>
      <c r="K56" s="152"/>
      <c r="L56" s="152"/>
      <c r="M56" s="152"/>
      <c r="N56" s="152"/>
      <c r="O56" s="156">
        <f>F56-I56</f>
        <v>0</v>
      </c>
    </row>
    <row r="57" spans="2:16" s="143" customFormat="1">
      <c r="B57" s="151" t="s">
        <v>248</v>
      </c>
      <c r="C57" s="153">
        <v>40938</v>
      </c>
      <c r="D57" s="152">
        <v>270</v>
      </c>
      <c r="E57" s="152"/>
      <c r="F57" s="154"/>
      <c r="G57" s="1107"/>
      <c r="H57" s="155">
        <v>40939</v>
      </c>
      <c r="I57" s="152">
        <v>334</v>
      </c>
      <c r="J57" s="152"/>
      <c r="K57" s="152"/>
      <c r="L57" s="152"/>
      <c r="M57" s="152"/>
      <c r="N57" s="152"/>
      <c r="O57" s="156">
        <f>D57-I57</f>
        <v>-64</v>
      </c>
    </row>
    <row r="58" spans="2:16">
      <c r="B58" s="157" t="s">
        <v>255</v>
      </c>
      <c r="C58" s="158"/>
      <c r="D58" s="158"/>
      <c r="E58" s="158" t="s">
        <v>256</v>
      </c>
      <c r="F58" s="160" t="s">
        <v>256</v>
      </c>
      <c r="G58" s="1107"/>
      <c r="H58" s="164" t="s">
        <v>256</v>
      </c>
      <c r="I58" s="158" t="s">
        <v>256</v>
      </c>
      <c r="J58" s="158"/>
      <c r="K58" s="158"/>
      <c r="L58" s="158"/>
      <c r="M58" s="158"/>
      <c r="N58" s="158"/>
      <c r="O58" s="162"/>
    </row>
    <row r="59" spans="2:16" s="143" customFormat="1">
      <c r="B59" s="151" t="s">
        <v>257</v>
      </c>
      <c r="C59" s="153">
        <v>40946</v>
      </c>
      <c r="D59" s="152">
        <v>107</v>
      </c>
      <c r="E59" s="152"/>
      <c r="F59" s="154"/>
      <c r="G59" s="1107"/>
      <c r="H59" s="155">
        <v>40954</v>
      </c>
      <c r="I59" s="152">
        <v>105</v>
      </c>
      <c r="J59" s="152"/>
      <c r="K59" s="152"/>
      <c r="L59" s="152"/>
      <c r="M59" s="152"/>
      <c r="N59" s="152"/>
      <c r="O59" s="156">
        <f>D59-I59</f>
        <v>2</v>
      </c>
    </row>
    <row r="60" spans="2:16" s="143" customFormat="1">
      <c r="B60" s="151" t="s">
        <v>221</v>
      </c>
      <c r="C60" s="153"/>
      <c r="D60" s="152"/>
      <c r="E60" s="153">
        <v>40946</v>
      </c>
      <c r="F60" s="154">
        <v>110</v>
      </c>
      <c r="G60" s="1107"/>
      <c r="H60" s="165"/>
      <c r="I60" s="152">
        <v>110</v>
      </c>
      <c r="J60" s="152"/>
      <c r="K60" s="152"/>
      <c r="L60" s="152"/>
      <c r="M60" s="152"/>
      <c r="N60" s="152"/>
      <c r="O60" s="156"/>
    </row>
    <row r="61" spans="2:16" s="143" customFormat="1">
      <c r="B61" s="151" t="s">
        <v>250</v>
      </c>
      <c r="C61" s="153">
        <v>40952</v>
      </c>
      <c r="D61" s="152">
        <v>169</v>
      </c>
      <c r="E61" s="152"/>
      <c r="F61" s="154"/>
      <c r="G61" s="1107"/>
      <c r="H61" s="155">
        <v>40962</v>
      </c>
      <c r="I61" s="152">
        <v>92</v>
      </c>
      <c r="J61" s="153">
        <v>40967</v>
      </c>
      <c r="K61" s="152">
        <v>72</v>
      </c>
      <c r="L61" s="153">
        <v>40991</v>
      </c>
      <c r="M61" s="152">
        <v>5</v>
      </c>
      <c r="N61" s="152"/>
      <c r="O61" s="156">
        <f>D61-(I61+K61+M61)</f>
        <v>0</v>
      </c>
    </row>
    <row r="62" spans="2:16" s="143" customFormat="1">
      <c r="B62" s="151" t="s">
        <v>258</v>
      </c>
      <c r="C62" s="153">
        <v>40952</v>
      </c>
      <c r="D62" s="152">
        <v>180</v>
      </c>
      <c r="E62" s="152"/>
      <c r="F62" s="154"/>
      <c r="G62" s="1107"/>
      <c r="H62" s="155">
        <v>40962</v>
      </c>
      <c r="I62" s="152">
        <v>184</v>
      </c>
      <c r="J62" s="152"/>
      <c r="K62" s="152"/>
      <c r="L62" s="152"/>
      <c r="M62" s="152"/>
      <c r="N62" s="152"/>
      <c r="O62" s="156">
        <f>D62-I62</f>
        <v>-4</v>
      </c>
    </row>
    <row r="63" spans="2:16" s="143" customFormat="1">
      <c r="B63" s="151" t="s">
        <v>253</v>
      </c>
      <c r="C63" s="152"/>
      <c r="D63" s="152"/>
      <c r="E63" s="152"/>
      <c r="F63" s="154"/>
      <c r="G63" s="1107"/>
      <c r="H63" s="155">
        <v>40983</v>
      </c>
      <c r="I63" s="152">
        <v>157</v>
      </c>
      <c r="J63" s="152"/>
      <c r="K63" s="152"/>
      <c r="L63" s="152"/>
      <c r="M63" s="152"/>
      <c r="N63" s="152"/>
      <c r="O63" s="156"/>
    </row>
    <row r="64" spans="2:16" s="143" customFormat="1">
      <c r="B64" s="151" t="s">
        <v>259</v>
      </c>
      <c r="C64" s="152"/>
      <c r="D64" s="152"/>
      <c r="E64" s="152"/>
      <c r="F64" s="154"/>
      <c r="G64" s="1107"/>
      <c r="H64" s="155">
        <v>40997</v>
      </c>
      <c r="I64" s="152">
        <v>400</v>
      </c>
      <c r="J64" s="152"/>
      <c r="K64" s="152"/>
      <c r="L64" s="152"/>
      <c r="M64" s="152"/>
      <c r="N64" s="152"/>
      <c r="O64" s="156" t="e">
        <f>#REF!-I64</f>
        <v>#REF!</v>
      </c>
    </row>
    <row r="65" spans="2:15" s="143" customFormat="1">
      <c r="B65" s="151" t="s">
        <v>260</v>
      </c>
      <c r="C65" s="153">
        <v>40984</v>
      </c>
      <c r="D65" s="152">
        <v>170</v>
      </c>
      <c r="E65" s="152"/>
      <c r="F65" s="154"/>
      <c r="G65" s="1107"/>
      <c r="H65" s="155">
        <v>40991</v>
      </c>
      <c r="I65" s="152">
        <v>170</v>
      </c>
      <c r="J65" s="152"/>
      <c r="K65" s="152"/>
      <c r="L65" s="152"/>
      <c r="M65" s="152"/>
      <c r="N65" s="152"/>
      <c r="O65" s="156">
        <f>D65-I65</f>
        <v>0</v>
      </c>
    </row>
    <row r="66" spans="2:15" s="143" customFormat="1">
      <c r="B66" s="151" t="s">
        <v>261</v>
      </c>
      <c r="C66" s="152"/>
      <c r="D66" s="152"/>
      <c r="E66" s="152"/>
      <c r="F66" s="154"/>
      <c r="G66" s="1107"/>
      <c r="H66" s="155">
        <v>40984</v>
      </c>
      <c r="I66" s="152">
        <v>299</v>
      </c>
      <c r="J66" s="153">
        <v>40997</v>
      </c>
      <c r="K66" s="152">
        <v>192</v>
      </c>
      <c r="L66" s="152"/>
      <c r="M66" s="152"/>
      <c r="N66" s="152"/>
      <c r="O66" s="156">
        <v>1</v>
      </c>
    </row>
    <row r="67" spans="2:15" s="143" customFormat="1">
      <c r="B67" s="151" t="s">
        <v>259</v>
      </c>
      <c r="C67" s="152"/>
      <c r="D67" s="152"/>
      <c r="E67" s="152"/>
      <c r="F67" s="154"/>
      <c r="G67" s="1107"/>
      <c r="H67" s="155">
        <v>40997</v>
      </c>
      <c r="I67" s="152">
        <v>103</v>
      </c>
      <c r="J67" s="152"/>
      <c r="K67" s="152"/>
      <c r="L67" s="152"/>
      <c r="M67" s="152"/>
      <c r="N67" s="152"/>
      <c r="O67" s="156" t="e">
        <f>#REF!-I67</f>
        <v>#REF!</v>
      </c>
    </row>
    <row r="68" spans="2:15" s="143" customFormat="1">
      <c r="B68" s="151" t="s">
        <v>262</v>
      </c>
      <c r="C68" s="152"/>
      <c r="D68" s="152">
        <v>150</v>
      </c>
      <c r="E68" s="152"/>
      <c r="F68" s="154"/>
      <c r="G68" s="1107"/>
      <c r="H68" s="155">
        <v>40997</v>
      </c>
      <c r="I68" s="152">
        <v>175</v>
      </c>
      <c r="J68" s="152"/>
      <c r="K68" s="152"/>
      <c r="L68" s="152"/>
      <c r="M68" s="152"/>
      <c r="N68" s="152"/>
      <c r="O68" s="156" t="e">
        <f>#REF!-I68</f>
        <v>#REF!</v>
      </c>
    </row>
    <row r="69" spans="2:15" s="143" customFormat="1">
      <c r="B69" s="151" t="s">
        <v>263</v>
      </c>
      <c r="C69" s="153">
        <v>40991</v>
      </c>
      <c r="D69" s="152">
        <v>150</v>
      </c>
      <c r="E69" s="152"/>
      <c r="F69" s="154"/>
      <c r="G69" s="1107"/>
      <c r="H69" s="155">
        <v>40997</v>
      </c>
      <c r="I69" s="152">
        <v>150</v>
      </c>
      <c r="J69" s="152"/>
      <c r="K69" s="152"/>
      <c r="L69" s="152"/>
      <c r="M69" s="152"/>
      <c r="N69" s="152"/>
      <c r="O69" s="156">
        <f>D69-I69</f>
        <v>0</v>
      </c>
    </row>
    <row r="70" spans="2:15" s="143" customFormat="1">
      <c r="B70" s="151" t="s">
        <v>264</v>
      </c>
      <c r="C70" s="153">
        <v>40997</v>
      </c>
      <c r="D70" s="152">
        <v>332</v>
      </c>
      <c r="E70" s="152"/>
      <c r="F70" s="154"/>
      <c r="G70" s="1107"/>
      <c r="H70" s="155">
        <v>41004</v>
      </c>
      <c r="I70" s="152">
        <v>329</v>
      </c>
      <c r="J70" s="152"/>
      <c r="K70" s="152"/>
      <c r="L70" s="152"/>
      <c r="M70" s="152"/>
      <c r="N70" s="152"/>
      <c r="O70" s="156">
        <f>D70-I70</f>
        <v>3</v>
      </c>
    </row>
    <row r="71" spans="2:15" s="143" customFormat="1">
      <c r="B71" s="151" t="s">
        <v>265</v>
      </c>
      <c r="C71" s="152"/>
      <c r="D71" s="152"/>
      <c r="E71" s="152"/>
      <c r="F71" s="154"/>
      <c r="G71" s="1107"/>
      <c r="H71" s="155">
        <v>41019</v>
      </c>
      <c r="I71" s="152">
        <v>211</v>
      </c>
      <c r="J71" s="152"/>
      <c r="K71" s="152"/>
      <c r="L71" s="152"/>
      <c r="M71" s="152"/>
      <c r="N71" s="152"/>
      <c r="O71" s="156" t="e">
        <f>#REF!-I71</f>
        <v>#REF!</v>
      </c>
    </row>
    <row r="72" spans="2:15">
      <c r="B72" s="157" t="s">
        <v>252</v>
      </c>
      <c r="C72" s="158"/>
      <c r="D72" s="158"/>
      <c r="E72" s="158"/>
      <c r="F72" s="160"/>
      <c r="G72" s="1107"/>
      <c r="H72" s="164">
        <v>41017</v>
      </c>
      <c r="I72" s="158">
        <v>108</v>
      </c>
      <c r="J72" s="159">
        <v>41019</v>
      </c>
      <c r="K72" s="158">
        <v>124</v>
      </c>
      <c r="L72" s="158"/>
      <c r="M72" s="158"/>
      <c r="N72" s="158"/>
      <c r="O72" s="162" t="e">
        <f>#REF!-(I72+K72)</f>
        <v>#REF!</v>
      </c>
    </row>
    <row r="73" spans="2:15" s="143" customFormat="1">
      <c r="B73" s="163" t="s">
        <v>216</v>
      </c>
      <c r="C73" s="152"/>
      <c r="D73" s="152"/>
      <c r="E73" s="152" t="s">
        <v>256</v>
      </c>
      <c r="F73" s="154" t="s">
        <v>256</v>
      </c>
      <c r="G73" s="1107"/>
      <c r="H73" s="155">
        <v>41017</v>
      </c>
      <c r="I73" s="152">
        <v>150</v>
      </c>
      <c r="J73" s="152"/>
      <c r="K73" s="152"/>
      <c r="L73" s="152"/>
      <c r="M73" s="152"/>
      <c r="N73" s="152"/>
      <c r="O73" s="156"/>
    </row>
    <row r="74" spans="2:15" s="171" customFormat="1">
      <c r="B74" s="166" t="s">
        <v>266</v>
      </c>
      <c r="C74" s="168"/>
      <c r="D74" s="168"/>
      <c r="E74" s="1124" t="s">
        <v>256</v>
      </c>
      <c r="F74" s="1127" t="s">
        <v>256</v>
      </c>
      <c r="G74" s="1107"/>
      <c r="H74" s="169"/>
      <c r="I74" s="168">
        <v>100</v>
      </c>
      <c r="J74" s="168"/>
      <c r="K74" s="168"/>
      <c r="L74" s="168"/>
      <c r="M74" s="168"/>
      <c r="N74" s="168"/>
      <c r="O74" s="170"/>
    </row>
    <row r="75" spans="2:15" s="171" customFormat="1">
      <c r="B75" s="166" t="s">
        <v>267</v>
      </c>
      <c r="C75" s="168"/>
      <c r="D75" s="168"/>
      <c r="E75" s="1125"/>
      <c r="F75" s="1128"/>
      <c r="G75" s="1107"/>
      <c r="H75" s="169"/>
      <c r="I75" s="168"/>
      <c r="J75" s="168"/>
      <c r="K75" s="168"/>
      <c r="L75" s="168"/>
      <c r="M75" s="168"/>
      <c r="N75" s="168"/>
      <c r="O75" s="170"/>
    </row>
    <row r="76" spans="2:15" s="171" customFormat="1">
      <c r="B76" s="166" t="s">
        <v>268</v>
      </c>
      <c r="C76" s="168"/>
      <c r="D76" s="168"/>
      <c r="E76" s="1126"/>
      <c r="F76" s="1129"/>
      <c r="G76" s="1107"/>
      <c r="H76" s="169"/>
      <c r="I76" s="168"/>
      <c r="J76" s="168"/>
      <c r="K76" s="168"/>
      <c r="L76" s="168"/>
      <c r="M76" s="168"/>
      <c r="N76" s="168"/>
      <c r="O76" s="170"/>
    </row>
    <row r="77" spans="2:15" s="143" customFormat="1">
      <c r="B77" s="151" t="s">
        <v>258</v>
      </c>
      <c r="C77" s="153">
        <v>41009</v>
      </c>
      <c r="D77" s="152">
        <f>159+150</f>
        <v>309</v>
      </c>
      <c r="E77" s="152"/>
      <c r="F77" s="154"/>
      <c r="G77" s="1107"/>
      <c r="H77" s="155">
        <v>41016</v>
      </c>
      <c r="I77" s="152">
        <v>307</v>
      </c>
      <c r="J77" s="152"/>
      <c r="K77" s="152"/>
      <c r="L77" s="152"/>
      <c r="M77" s="152"/>
      <c r="N77" s="152"/>
      <c r="O77" s="156">
        <f>D77-I77</f>
        <v>2</v>
      </c>
    </row>
    <row r="78" spans="2:15" s="143" customFormat="1">
      <c r="B78" s="151" t="s">
        <v>269</v>
      </c>
      <c r="C78" s="152"/>
      <c r="D78" s="152"/>
      <c r="E78" s="152" t="s">
        <v>256</v>
      </c>
      <c r="F78" s="154" t="s">
        <v>256</v>
      </c>
      <c r="G78" s="1107"/>
      <c r="H78" s="155">
        <v>41033</v>
      </c>
      <c r="I78" s="152">
        <v>151</v>
      </c>
      <c r="J78" s="152"/>
      <c r="K78" s="152"/>
      <c r="L78" s="152"/>
      <c r="M78" s="152"/>
      <c r="N78" s="152"/>
      <c r="O78" s="156"/>
    </row>
    <row r="79" spans="2:15" s="143" customFormat="1">
      <c r="B79" s="151" t="s">
        <v>263</v>
      </c>
      <c r="C79" s="153">
        <v>41036</v>
      </c>
      <c r="D79" s="152">
        <v>150</v>
      </c>
      <c r="E79" s="152"/>
      <c r="F79" s="154"/>
      <c r="G79" s="1107"/>
      <c r="H79" s="155">
        <v>41038</v>
      </c>
      <c r="I79" s="152">
        <v>150</v>
      </c>
      <c r="J79" s="152"/>
      <c r="K79" s="152"/>
      <c r="L79" s="152"/>
      <c r="M79" s="152"/>
      <c r="N79" s="152"/>
      <c r="O79" s="156"/>
    </row>
    <row r="80" spans="2:15" s="171" customFormat="1">
      <c r="B80" s="166" t="s">
        <v>248</v>
      </c>
      <c r="C80" s="168"/>
      <c r="D80" s="168">
        <v>360</v>
      </c>
      <c r="E80" s="168"/>
      <c r="F80" s="172"/>
      <c r="G80" s="1107"/>
      <c r="H80" s="169"/>
      <c r="I80" s="168"/>
      <c r="J80" s="168"/>
      <c r="K80" s="168"/>
      <c r="L80" s="168"/>
      <c r="M80" s="168"/>
      <c r="N80" s="168"/>
      <c r="O80" s="170"/>
    </row>
    <row r="81" spans="2:15" s="171" customFormat="1">
      <c r="B81" s="166" t="s">
        <v>248</v>
      </c>
      <c r="C81" s="167">
        <v>41067</v>
      </c>
      <c r="D81" s="168">
        <v>410</v>
      </c>
      <c r="E81" s="168"/>
      <c r="F81" s="172"/>
      <c r="G81" s="1107"/>
      <c r="H81" s="173">
        <v>41072</v>
      </c>
      <c r="I81" s="168">
        <v>770</v>
      </c>
      <c r="J81" s="168"/>
      <c r="K81" s="168"/>
      <c r="L81" s="168"/>
      <c r="M81" s="168"/>
      <c r="N81" s="168"/>
      <c r="O81" s="170">
        <f>I81-(D80+D81)</f>
        <v>0</v>
      </c>
    </row>
    <row r="82" spans="2:15" s="171" customFormat="1">
      <c r="B82" s="166" t="s">
        <v>270</v>
      </c>
      <c r="C82" s="168"/>
      <c r="D82" s="168"/>
      <c r="E82" s="167">
        <v>41067</v>
      </c>
      <c r="F82" s="172">
        <v>78</v>
      </c>
      <c r="G82" s="1107"/>
      <c r="H82" s="173">
        <v>41067</v>
      </c>
      <c r="I82" s="168">
        <v>78</v>
      </c>
      <c r="J82" s="168"/>
      <c r="K82" s="168"/>
      <c r="L82" s="168"/>
      <c r="M82" s="168"/>
      <c r="N82" s="168"/>
      <c r="O82" s="170">
        <f>F82-I82</f>
        <v>0</v>
      </c>
    </row>
    <row r="83" spans="2:15" s="171" customFormat="1">
      <c r="B83" s="166" t="s">
        <v>209</v>
      </c>
      <c r="C83" s="168"/>
      <c r="D83" s="168"/>
      <c r="E83" s="167">
        <v>41067</v>
      </c>
      <c r="F83" s="172">
        <v>230</v>
      </c>
      <c r="G83" s="1107"/>
      <c r="H83" s="173">
        <v>41067</v>
      </c>
      <c r="I83" s="168">
        <v>230</v>
      </c>
      <c r="J83" s="168"/>
      <c r="K83" s="168"/>
      <c r="L83" s="168"/>
      <c r="M83" s="168"/>
      <c r="N83" s="168"/>
      <c r="O83" s="170">
        <f>F83-I83</f>
        <v>0</v>
      </c>
    </row>
    <row r="84" spans="2:15" s="171" customFormat="1">
      <c r="B84" s="166" t="s">
        <v>271</v>
      </c>
      <c r="C84" s="168"/>
      <c r="D84" s="168"/>
      <c r="E84" s="167">
        <v>41067</v>
      </c>
      <c r="F84" s="172">
        <v>160</v>
      </c>
      <c r="G84" s="1107"/>
      <c r="H84" s="173">
        <v>41067</v>
      </c>
      <c r="I84" s="168">
        <v>160</v>
      </c>
      <c r="J84" s="168"/>
      <c r="K84" s="168"/>
      <c r="L84" s="168"/>
      <c r="M84" s="168"/>
      <c r="N84" s="168"/>
      <c r="O84" s="170">
        <f>F84-I84</f>
        <v>0</v>
      </c>
    </row>
    <row r="85" spans="2:15" s="171" customFormat="1">
      <c r="B85" s="166" t="s">
        <v>248</v>
      </c>
      <c r="C85" s="167">
        <v>41072</v>
      </c>
      <c r="D85" s="168">
        <v>229</v>
      </c>
      <c r="E85" s="168"/>
      <c r="F85" s="172"/>
      <c r="G85" s="1107"/>
      <c r="H85" s="173">
        <v>41075</v>
      </c>
      <c r="I85" s="168">
        <v>229</v>
      </c>
      <c r="J85" s="168"/>
      <c r="K85" s="168"/>
      <c r="L85" s="168"/>
      <c r="M85" s="168"/>
      <c r="N85" s="168"/>
      <c r="O85" s="170">
        <f>I85-D85</f>
        <v>0</v>
      </c>
    </row>
    <row r="86" spans="2:15">
      <c r="B86" s="157" t="s">
        <v>36</v>
      </c>
      <c r="C86" s="159">
        <v>41085</v>
      </c>
      <c r="D86" s="158">
        <v>157</v>
      </c>
      <c r="E86" s="158"/>
      <c r="F86" s="160"/>
      <c r="G86" s="1107"/>
      <c r="H86" s="164">
        <v>41109</v>
      </c>
      <c r="I86" s="158">
        <v>108</v>
      </c>
      <c r="J86" s="158"/>
      <c r="K86" s="158"/>
      <c r="L86" s="158"/>
      <c r="M86" s="158"/>
      <c r="N86" s="158"/>
      <c r="O86" s="162"/>
    </row>
    <row r="87" spans="2:15">
      <c r="B87" s="157" t="s">
        <v>272</v>
      </c>
      <c r="C87" s="174">
        <v>41086</v>
      </c>
      <c r="D87" s="175">
        <v>55</v>
      </c>
      <c r="E87" s="176" t="s">
        <v>273</v>
      </c>
      <c r="F87" s="160"/>
      <c r="G87" s="1107"/>
      <c r="H87" s="161"/>
      <c r="I87" s="158"/>
      <c r="J87" s="158"/>
      <c r="K87" s="158"/>
      <c r="L87" s="158"/>
      <c r="M87" s="158"/>
      <c r="N87" s="158"/>
      <c r="O87" s="162"/>
    </row>
    <row r="88" spans="2:15" s="171" customFormat="1">
      <c r="B88" s="166" t="s">
        <v>274</v>
      </c>
      <c r="C88" s="167"/>
      <c r="D88" s="168"/>
      <c r="E88" s="167">
        <v>41092</v>
      </c>
      <c r="F88" s="172">
        <v>147</v>
      </c>
      <c r="G88" s="1107"/>
      <c r="H88" s="173">
        <v>41093</v>
      </c>
      <c r="I88" s="168">
        <v>147</v>
      </c>
      <c r="J88" s="168"/>
      <c r="K88" s="168"/>
      <c r="L88" s="168"/>
      <c r="M88" s="168"/>
      <c r="N88" s="168"/>
      <c r="O88" s="170"/>
    </row>
    <row r="89" spans="2:15" s="171" customFormat="1">
      <c r="B89" s="166" t="s">
        <v>275</v>
      </c>
      <c r="C89" s="168"/>
      <c r="D89" s="168"/>
      <c r="E89" s="167">
        <v>41093</v>
      </c>
      <c r="F89" s="172">
        <v>134</v>
      </c>
      <c r="G89" s="1107"/>
      <c r="H89" s="173">
        <v>41093</v>
      </c>
      <c r="I89" s="168">
        <v>134</v>
      </c>
      <c r="J89" s="168"/>
      <c r="K89" s="168"/>
      <c r="L89" s="168"/>
      <c r="M89" s="168"/>
      <c r="N89" s="168"/>
      <c r="O89" s="170"/>
    </row>
    <row r="90" spans="2:15">
      <c r="B90" s="157" t="s">
        <v>276</v>
      </c>
      <c r="C90" s="159">
        <v>41095</v>
      </c>
      <c r="D90" s="158">
        <v>352</v>
      </c>
      <c r="E90" s="159"/>
      <c r="F90" s="160"/>
      <c r="G90" s="1107"/>
      <c r="H90" s="161"/>
      <c r="I90" s="158"/>
      <c r="J90" s="158"/>
      <c r="K90" s="158"/>
      <c r="L90" s="158"/>
      <c r="M90" s="158"/>
      <c r="N90" s="158"/>
      <c r="O90" s="162"/>
    </row>
    <row r="91" spans="2:15" s="171" customFormat="1">
      <c r="B91" s="166" t="s">
        <v>277</v>
      </c>
      <c r="C91" s="168"/>
      <c r="D91" s="168"/>
      <c r="E91" s="168"/>
      <c r="F91" s="172"/>
      <c r="G91" s="1107"/>
      <c r="H91" s="173">
        <v>41108</v>
      </c>
      <c r="I91" s="168">
        <v>60</v>
      </c>
      <c r="J91" s="168"/>
      <c r="K91" s="168"/>
      <c r="L91" s="168"/>
      <c r="M91" s="168"/>
      <c r="N91" s="168" t="s">
        <v>53</v>
      </c>
      <c r="O91" s="170"/>
    </row>
    <row r="92" spans="2:15" s="171" customFormat="1">
      <c r="B92" s="166" t="s">
        <v>278</v>
      </c>
      <c r="C92" s="168"/>
      <c r="D92" s="168"/>
      <c r="E92" s="168"/>
      <c r="F92" s="172"/>
      <c r="G92" s="1107"/>
      <c r="H92" s="173">
        <v>41108</v>
      </c>
      <c r="I92" s="168">
        <v>100</v>
      </c>
      <c r="J92" s="168"/>
      <c r="K92" s="168"/>
      <c r="L92" s="168"/>
      <c r="M92" s="168"/>
      <c r="N92" s="168" t="s">
        <v>53</v>
      </c>
      <c r="O92" s="170"/>
    </row>
    <row r="93" spans="2:15" s="171" customFormat="1">
      <c r="B93" s="166" t="s">
        <v>279</v>
      </c>
      <c r="C93" s="168"/>
      <c r="D93" s="168"/>
      <c r="E93" s="168"/>
      <c r="F93" s="172"/>
      <c r="G93" s="1107"/>
      <c r="H93" s="173">
        <v>41115</v>
      </c>
      <c r="I93" s="168">
        <v>236</v>
      </c>
      <c r="J93" s="167">
        <v>41123</v>
      </c>
      <c r="K93" s="168">
        <v>240</v>
      </c>
      <c r="L93" s="168"/>
      <c r="M93" s="168"/>
      <c r="N93" s="168"/>
      <c r="O93" s="170"/>
    </row>
    <row r="94" spans="2:15" s="171" customFormat="1">
      <c r="B94" s="166" t="s">
        <v>280</v>
      </c>
      <c r="C94" s="168"/>
      <c r="D94" s="168"/>
      <c r="E94" s="168"/>
      <c r="F94" s="172"/>
      <c r="G94" s="1107"/>
      <c r="H94" s="173">
        <v>41114</v>
      </c>
      <c r="I94" s="168">
        <v>115</v>
      </c>
      <c r="J94" s="168"/>
      <c r="K94" s="168"/>
      <c r="L94" s="168"/>
      <c r="M94" s="168"/>
      <c r="N94" s="168"/>
      <c r="O94" s="170"/>
    </row>
    <row r="95" spans="2:15" s="171" customFormat="1">
      <c r="B95" s="166" t="s">
        <v>222</v>
      </c>
      <c r="C95" s="168"/>
      <c r="D95" s="168"/>
      <c r="E95" s="168"/>
      <c r="F95" s="172"/>
      <c r="G95" s="1107"/>
      <c r="H95" s="173">
        <v>41109</v>
      </c>
      <c r="I95" s="168">
        <v>207</v>
      </c>
      <c r="J95" s="168"/>
      <c r="K95" s="168"/>
      <c r="L95" s="168"/>
      <c r="M95" s="168"/>
      <c r="N95" s="168"/>
      <c r="O95" s="170"/>
    </row>
    <row r="96" spans="2:15" s="171" customFormat="1">
      <c r="B96" s="166" t="s">
        <v>281</v>
      </c>
      <c r="C96" s="167">
        <v>41117</v>
      </c>
      <c r="D96" s="168">
        <v>99</v>
      </c>
      <c r="E96" s="168"/>
      <c r="F96" s="172"/>
      <c r="G96" s="1107"/>
      <c r="H96" s="169"/>
      <c r="I96" s="168"/>
      <c r="J96" s="167">
        <v>41123</v>
      </c>
      <c r="K96" s="168">
        <v>100</v>
      </c>
      <c r="L96" s="168"/>
      <c r="M96" s="168"/>
      <c r="N96" s="168"/>
      <c r="O96" s="170"/>
    </row>
    <row r="97" spans="2:15" s="171" customFormat="1">
      <c r="B97" s="166" t="s">
        <v>282</v>
      </c>
      <c r="C97" s="167"/>
      <c r="D97" s="168"/>
      <c r="E97" s="167">
        <v>41087</v>
      </c>
      <c r="F97" s="168">
        <v>152</v>
      </c>
      <c r="G97" s="1107"/>
      <c r="H97" s="173">
        <v>41121</v>
      </c>
      <c r="I97" s="168">
        <v>150</v>
      </c>
      <c r="J97" s="168"/>
      <c r="K97" s="168"/>
      <c r="L97" s="168"/>
      <c r="M97" s="168"/>
      <c r="N97" s="168"/>
      <c r="O97" s="170"/>
    </row>
    <row r="98" spans="2:15" s="171" customFormat="1">
      <c r="B98" s="166" t="s">
        <v>283</v>
      </c>
      <c r="C98" s="168"/>
      <c r="D98" s="168"/>
      <c r="E98" s="168"/>
      <c r="F98" s="172"/>
      <c r="G98" s="1107"/>
      <c r="H98" s="173">
        <v>41119</v>
      </c>
      <c r="I98" s="168">
        <v>176</v>
      </c>
      <c r="J98" s="168"/>
      <c r="K98" s="168"/>
      <c r="L98" s="168"/>
      <c r="M98" s="168"/>
      <c r="N98" s="168"/>
      <c r="O98" s="170"/>
    </row>
    <row r="99" spans="2:15" s="171" customFormat="1">
      <c r="B99" s="166" t="s">
        <v>284</v>
      </c>
      <c r="C99" s="168"/>
      <c r="D99" s="168"/>
      <c r="E99" s="168"/>
      <c r="F99" s="172"/>
      <c r="G99" s="1107"/>
      <c r="H99" s="173">
        <v>41119</v>
      </c>
      <c r="I99" s="168">
        <v>120</v>
      </c>
      <c r="J99" s="168"/>
      <c r="K99" s="168"/>
      <c r="L99" s="168"/>
      <c r="M99" s="168"/>
      <c r="N99" s="168"/>
      <c r="O99" s="170"/>
    </row>
    <row r="100" spans="2:15" s="171" customFormat="1">
      <c r="B100" s="166" t="s">
        <v>248</v>
      </c>
      <c r="C100" s="167">
        <v>41121</v>
      </c>
      <c r="D100" s="168">
        <v>500</v>
      </c>
      <c r="E100" s="168"/>
      <c r="F100" s="172"/>
      <c r="G100" s="1107"/>
      <c r="H100" s="169"/>
      <c r="I100" s="168"/>
      <c r="J100" s="167">
        <v>41123</v>
      </c>
      <c r="K100" s="168">
        <v>500</v>
      </c>
      <c r="L100" s="168"/>
      <c r="M100" s="168"/>
      <c r="N100" s="168"/>
      <c r="O100" s="170"/>
    </row>
    <row r="101" spans="2:15" s="171" customFormat="1">
      <c r="B101" s="166" t="s">
        <v>264</v>
      </c>
      <c r="C101" s="167">
        <v>41121</v>
      </c>
      <c r="D101" s="168">
        <v>100</v>
      </c>
      <c r="E101" s="168"/>
      <c r="F101" s="172"/>
      <c r="G101" s="1107"/>
      <c r="H101" s="169"/>
      <c r="I101" s="168"/>
      <c r="J101" s="167">
        <v>41123</v>
      </c>
      <c r="K101" s="168">
        <v>100</v>
      </c>
      <c r="L101" s="168"/>
      <c r="M101" s="168"/>
      <c r="N101" s="168"/>
      <c r="O101" s="170"/>
    </row>
    <row r="102" spans="2:15" s="171" customFormat="1">
      <c r="B102" s="166" t="s">
        <v>248</v>
      </c>
      <c r="C102" s="167">
        <v>41127</v>
      </c>
      <c r="D102" s="168">
        <v>500</v>
      </c>
      <c r="E102" s="168"/>
      <c r="F102" s="172"/>
      <c r="G102" s="1107"/>
      <c r="H102" s="169"/>
      <c r="I102" s="168"/>
      <c r="J102" s="167">
        <v>41130</v>
      </c>
      <c r="K102" s="168">
        <v>500</v>
      </c>
      <c r="L102" s="168"/>
      <c r="M102" s="168"/>
      <c r="N102" s="168"/>
      <c r="O102" s="170"/>
    </row>
    <row r="103" spans="2:15">
      <c r="B103" s="157" t="s">
        <v>285</v>
      </c>
      <c r="C103" s="158"/>
      <c r="D103" s="158"/>
      <c r="E103" s="158"/>
      <c r="F103" s="160"/>
      <c r="G103" s="1107"/>
      <c r="H103" s="1130">
        <v>41157</v>
      </c>
      <c r="I103" s="168">
        <v>96</v>
      </c>
      <c r="J103" s="159"/>
      <c r="K103" s="158"/>
      <c r="L103" s="158"/>
      <c r="M103" s="158"/>
      <c r="N103" s="158"/>
      <c r="O103" s="162"/>
    </row>
    <row r="104" spans="2:15">
      <c r="B104" s="157" t="s">
        <v>286</v>
      </c>
      <c r="C104" s="158"/>
      <c r="D104" s="158"/>
      <c r="E104" s="158"/>
      <c r="F104" s="160"/>
      <c r="G104" s="1107"/>
      <c r="H104" s="1131"/>
      <c r="I104" s="168">
        <v>53</v>
      </c>
      <c r="J104" s="158"/>
      <c r="K104" s="158"/>
      <c r="L104" s="158"/>
      <c r="M104" s="158"/>
      <c r="N104" s="158"/>
      <c r="O104" s="162"/>
    </row>
    <row r="105" spans="2:15">
      <c r="B105" s="157" t="s">
        <v>238</v>
      </c>
      <c r="C105" s="158"/>
      <c r="D105" s="158"/>
      <c r="E105" s="158"/>
      <c r="F105" s="160"/>
      <c r="G105" s="1107"/>
      <c r="H105" s="1132"/>
      <c r="I105" s="168">
        <v>150</v>
      </c>
      <c r="J105" s="158"/>
      <c r="K105" s="158"/>
      <c r="L105" s="158"/>
      <c r="M105" s="158"/>
      <c r="N105" s="158"/>
      <c r="O105" s="162"/>
    </row>
    <row r="106" spans="2:15" s="171" customFormat="1">
      <c r="B106" s="166" t="s">
        <v>287</v>
      </c>
      <c r="C106" s="167">
        <v>41132</v>
      </c>
      <c r="D106" s="168">
        <v>150</v>
      </c>
      <c r="E106" s="168"/>
      <c r="F106" s="172"/>
      <c r="G106" s="1107"/>
      <c r="H106" s="173">
        <v>41135</v>
      </c>
      <c r="I106" s="168">
        <v>150</v>
      </c>
      <c r="J106" s="168"/>
      <c r="K106" s="168"/>
      <c r="L106" s="168"/>
      <c r="M106" s="168"/>
      <c r="N106" s="168"/>
      <c r="O106" s="170"/>
    </row>
    <row r="107" spans="2:15">
      <c r="B107" s="157" t="s">
        <v>288</v>
      </c>
      <c r="C107" s="159">
        <v>41138</v>
      </c>
      <c r="D107" s="158">
        <v>144</v>
      </c>
      <c r="E107" s="158"/>
      <c r="F107" s="160"/>
      <c r="G107" s="1107"/>
      <c r="H107" s="161"/>
      <c r="I107" s="158"/>
      <c r="J107" s="158"/>
      <c r="K107" s="158"/>
      <c r="L107" s="158"/>
      <c r="M107" s="158"/>
      <c r="N107" s="158"/>
      <c r="O107" s="162"/>
    </row>
    <row r="108" spans="2:15">
      <c r="B108" s="157" t="s">
        <v>289</v>
      </c>
      <c r="C108" s="158"/>
      <c r="D108" s="158">
        <v>21</v>
      </c>
      <c r="E108" s="158"/>
      <c r="F108" s="160"/>
      <c r="G108" s="1107"/>
      <c r="H108" s="161"/>
      <c r="I108" s="158"/>
      <c r="J108" s="158"/>
      <c r="K108" s="158"/>
      <c r="L108" s="158"/>
      <c r="M108" s="158"/>
      <c r="N108" s="158"/>
      <c r="O108" s="162"/>
    </row>
    <row r="109" spans="2:15" s="171" customFormat="1">
      <c r="B109" s="166" t="s">
        <v>290</v>
      </c>
      <c r="C109" s="168"/>
      <c r="D109" s="168"/>
      <c r="E109" s="168"/>
      <c r="F109" s="172"/>
      <c r="G109" s="1107"/>
      <c r="H109" s="173">
        <v>41163</v>
      </c>
      <c r="I109" s="168">
        <v>35</v>
      </c>
      <c r="J109" s="168"/>
      <c r="K109" s="168"/>
      <c r="L109" s="168"/>
      <c r="M109" s="168"/>
      <c r="N109" s="168"/>
      <c r="O109" s="170"/>
    </row>
    <row r="110" spans="2:15" s="171" customFormat="1">
      <c r="B110" s="166" t="s">
        <v>291</v>
      </c>
      <c r="C110" s="168"/>
      <c r="D110" s="168"/>
      <c r="E110" s="168"/>
      <c r="F110" s="172"/>
      <c r="G110" s="1107"/>
      <c r="H110" s="173">
        <v>41163</v>
      </c>
      <c r="I110" s="168">
        <v>300</v>
      </c>
      <c r="J110" s="168"/>
      <c r="K110" s="168"/>
      <c r="L110" s="168"/>
      <c r="M110" s="168"/>
      <c r="N110" s="168"/>
      <c r="O110" s="170"/>
    </row>
    <row r="111" spans="2:15">
      <c r="B111" s="157" t="s">
        <v>292</v>
      </c>
      <c r="C111" s="158"/>
      <c r="D111" s="158"/>
      <c r="E111" s="158"/>
      <c r="F111" s="160"/>
      <c r="G111" s="1107"/>
      <c r="H111" s="164">
        <v>41157</v>
      </c>
      <c r="I111" s="158">
        <v>25</v>
      </c>
      <c r="J111" s="158"/>
      <c r="K111" s="158"/>
      <c r="L111" s="158"/>
      <c r="M111" s="158"/>
      <c r="N111" s="158"/>
      <c r="O111" s="162"/>
    </row>
    <row r="112" spans="2:15" s="171" customFormat="1">
      <c r="B112" s="166" t="s">
        <v>293</v>
      </c>
      <c r="C112" s="167">
        <v>41150</v>
      </c>
      <c r="D112" s="168">
        <v>502</v>
      </c>
      <c r="E112" s="168"/>
      <c r="F112" s="172"/>
      <c r="G112" s="1107"/>
      <c r="H112" s="173">
        <v>41156</v>
      </c>
      <c r="I112" s="168">
        <v>500</v>
      </c>
      <c r="J112" s="168"/>
      <c r="K112" s="168"/>
      <c r="L112" s="168"/>
      <c r="M112" s="168"/>
      <c r="N112" s="168"/>
      <c r="O112" s="170"/>
    </row>
    <row r="113" spans="2:15" s="171" customFormat="1">
      <c r="B113" s="166" t="s">
        <v>291</v>
      </c>
      <c r="C113" s="168"/>
      <c r="D113" s="168"/>
      <c r="E113" s="168"/>
      <c r="F113" s="172"/>
      <c r="G113" s="1107"/>
      <c r="H113" s="173">
        <v>41163</v>
      </c>
      <c r="I113" s="168">
        <v>132</v>
      </c>
      <c r="J113" s="167">
        <v>41163</v>
      </c>
      <c r="K113" s="168">
        <v>9</v>
      </c>
      <c r="L113" s="168"/>
      <c r="M113" s="168"/>
      <c r="N113" s="168"/>
      <c r="O113" s="170"/>
    </row>
    <row r="114" spans="2:15" s="171" customFormat="1">
      <c r="B114" s="166" t="s">
        <v>285</v>
      </c>
      <c r="C114" s="168"/>
      <c r="D114" s="168"/>
      <c r="E114" s="168"/>
      <c r="F114" s="172"/>
      <c r="G114" s="1107"/>
      <c r="H114" s="173">
        <v>41164</v>
      </c>
      <c r="I114" s="168">
        <v>160</v>
      </c>
      <c r="J114" s="168"/>
      <c r="K114" s="168"/>
      <c r="L114" s="168"/>
      <c r="M114" s="168"/>
      <c r="N114" s="168"/>
      <c r="O114" s="170"/>
    </row>
    <row r="115" spans="2:15">
      <c r="B115" s="166" t="s">
        <v>294</v>
      </c>
      <c r="C115" s="167">
        <v>41164</v>
      </c>
      <c r="D115" s="168">
        <v>432</v>
      </c>
      <c r="E115" s="168"/>
      <c r="F115" s="172"/>
      <c r="G115" s="1107"/>
      <c r="H115" s="173">
        <v>41171</v>
      </c>
      <c r="I115" s="168">
        <v>432</v>
      </c>
      <c r="J115" s="158"/>
      <c r="K115" s="158"/>
      <c r="L115" s="158"/>
      <c r="M115" s="158"/>
      <c r="N115" s="158"/>
      <c r="O115" s="162"/>
    </row>
    <row r="116" spans="2:15">
      <c r="B116" s="166" t="s">
        <v>295</v>
      </c>
      <c r="C116" s="167">
        <v>41164</v>
      </c>
      <c r="D116" s="168">
        <v>35</v>
      </c>
      <c r="E116" s="168"/>
      <c r="F116" s="172"/>
      <c r="G116" s="1107"/>
      <c r="H116" s="173">
        <v>41171</v>
      </c>
      <c r="I116" s="168">
        <v>35</v>
      </c>
      <c r="J116" s="158"/>
      <c r="K116" s="158"/>
      <c r="L116" s="158"/>
      <c r="M116" s="158"/>
      <c r="N116" s="158"/>
      <c r="O116" s="162"/>
    </row>
    <row r="117" spans="2:15">
      <c r="B117" s="166" t="s">
        <v>296</v>
      </c>
      <c r="C117" s="168"/>
      <c r="D117" s="168"/>
      <c r="E117" s="168"/>
      <c r="F117" s="172"/>
      <c r="G117" s="1107"/>
      <c r="H117" s="173">
        <v>41171</v>
      </c>
      <c r="I117" s="168">
        <v>160</v>
      </c>
      <c r="J117" s="158"/>
      <c r="K117" s="158"/>
      <c r="L117" s="158"/>
      <c r="M117" s="158"/>
      <c r="N117" s="158"/>
      <c r="O117" s="162"/>
    </row>
    <row r="118" spans="2:15">
      <c r="B118" s="157" t="s">
        <v>297</v>
      </c>
      <c r="C118" s="177"/>
      <c r="D118" s="177"/>
      <c r="E118" s="177"/>
      <c r="F118" s="178"/>
      <c r="G118" s="1107"/>
      <c r="H118" s="179">
        <v>41169</v>
      </c>
      <c r="I118" s="177">
        <v>149</v>
      </c>
      <c r="J118" s="158"/>
      <c r="K118" s="158"/>
      <c r="L118" s="158"/>
      <c r="M118" s="158"/>
      <c r="N118" s="158"/>
      <c r="O118" s="162"/>
    </row>
    <row r="119" spans="2:15">
      <c r="B119" s="157" t="s">
        <v>298</v>
      </c>
      <c r="C119" s="158"/>
      <c r="D119" s="158"/>
      <c r="E119" s="159">
        <v>41166</v>
      </c>
      <c r="F119" s="160">
        <v>227</v>
      </c>
      <c r="G119" s="1107"/>
      <c r="H119" s="161"/>
      <c r="I119" s="158"/>
      <c r="J119" s="158"/>
      <c r="K119" s="158"/>
      <c r="L119" s="158"/>
      <c r="M119" s="158"/>
      <c r="N119" s="158"/>
      <c r="O119" s="162"/>
    </row>
    <row r="120" spans="2:15">
      <c r="B120" s="166" t="s">
        <v>299</v>
      </c>
      <c r="C120" s="168"/>
      <c r="D120" s="168"/>
      <c r="E120" s="167">
        <v>41170</v>
      </c>
      <c r="F120" s="172">
        <v>164</v>
      </c>
      <c r="G120" s="1107"/>
      <c r="H120" s="173">
        <v>41173</v>
      </c>
      <c r="I120" s="168">
        <v>164</v>
      </c>
      <c r="J120" s="168"/>
      <c r="K120" s="168"/>
      <c r="L120" s="158"/>
      <c r="M120" s="158"/>
      <c r="N120" s="158"/>
      <c r="O120" s="162"/>
    </row>
    <row r="121" spans="2:15">
      <c r="B121" s="166" t="s">
        <v>297</v>
      </c>
      <c r="C121" s="168"/>
      <c r="D121" s="168"/>
      <c r="E121" s="168"/>
      <c r="F121" s="172"/>
      <c r="G121" s="1107"/>
      <c r="H121" s="173">
        <v>41173</v>
      </c>
      <c r="I121" s="168">
        <v>200</v>
      </c>
      <c r="J121" s="158"/>
      <c r="K121" s="158"/>
      <c r="L121" s="158"/>
      <c r="M121" s="158"/>
      <c r="N121" s="158"/>
      <c r="O121" s="162"/>
    </row>
    <row r="122" spans="2:15">
      <c r="B122" s="166" t="s">
        <v>300</v>
      </c>
      <c r="C122" s="168"/>
      <c r="D122" s="168"/>
      <c r="E122" s="168"/>
      <c r="F122" s="172"/>
      <c r="G122" s="1107"/>
      <c r="H122" s="173">
        <v>41173</v>
      </c>
      <c r="I122" s="168">
        <v>150</v>
      </c>
      <c r="J122" s="158"/>
      <c r="K122" s="158"/>
      <c r="L122" s="158"/>
      <c r="M122" s="158"/>
      <c r="N122" s="158"/>
      <c r="O122" s="162"/>
    </row>
    <row r="123" spans="2:15">
      <c r="B123" s="166" t="s">
        <v>296</v>
      </c>
      <c r="C123" s="167">
        <v>41172</v>
      </c>
      <c r="D123" s="168">
        <v>149</v>
      </c>
      <c r="E123" s="168"/>
      <c r="F123" s="172"/>
      <c r="G123" s="1107"/>
      <c r="H123" s="173">
        <v>41178</v>
      </c>
      <c r="I123" s="168">
        <v>149</v>
      </c>
      <c r="J123" s="158"/>
      <c r="K123" s="158"/>
      <c r="L123" s="158"/>
      <c r="M123" s="158"/>
      <c r="N123" s="158"/>
      <c r="O123" s="162"/>
    </row>
    <row r="124" spans="2:15">
      <c r="B124" s="166" t="s">
        <v>296</v>
      </c>
      <c r="C124" s="167">
        <v>41173</v>
      </c>
      <c r="D124" s="168">
        <v>350</v>
      </c>
      <c r="E124" s="168"/>
      <c r="F124" s="172"/>
      <c r="G124" s="1107"/>
      <c r="H124" s="173">
        <v>41178</v>
      </c>
      <c r="I124" s="168">
        <v>350</v>
      </c>
      <c r="J124" s="158"/>
      <c r="K124" s="158"/>
      <c r="L124" s="158"/>
      <c r="M124" s="158"/>
      <c r="N124" s="158"/>
      <c r="O124" s="162"/>
    </row>
    <row r="125" spans="2:15">
      <c r="B125" s="166" t="s">
        <v>301</v>
      </c>
      <c r="C125" s="167">
        <v>41179</v>
      </c>
      <c r="D125" s="168">
        <v>440</v>
      </c>
      <c r="E125" s="168"/>
      <c r="F125" s="172"/>
      <c r="G125" s="1107"/>
      <c r="H125" s="173">
        <v>41183</v>
      </c>
      <c r="I125" s="168">
        <v>440</v>
      </c>
      <c r="J125" s="158"/>
      <c r="K125" s="158"/>
      <c r="L125" s="158"/>
      <c r="M125" s="158"/>
      <c r="N125" s="158"/>
      <c r="O125" s="162"/>
    </row>
    <row r="126" spans="2:15">
      <c r="B126" s="166" t="s">
        <v>302</v>
      </c>
      <c r="C126" s="168"/>
      <c r="D126" s="168"/>
      <c r="E126" s="167">
        <v>41178</v>
      </c>
      <c r="F126" s="172">
        <v>154</v>
      </c>
      <c r="G126" s="1107"/>
      <c r="H126" s="173">
        <v>41186</v>
      </c>
      <c r="I126" s="168">
        <v>154</v>
      </c>
      <c r="J126" s="168"/>
      <c r="K126" s="168"/>
      <c r="L126" s="158"/>
      <c r="M126" s="158"/>
      <c r="N126" s="158"/>
      <c r="O126" s="162"/>
    </row>
    <row r="127" spans="2:15">
      <c r="B127" s="166" t="s">
        <v>303</v>
      </c>
      <c r="C127" s="168"/>
      <c r="D127" s="168"/>
      <c r="E127" s="168"/>
      <c r="F127" s="172"/>
      <c r="G127" s="1107"/>
      <c r="H127" s="173">
        <v>41200</v>
      </c>
      <c r="I127" s="168">
        <v>50</v>
      </c>
      <c r="J127" s="158"/>
      <c r="K127" s="158"/>
      <c r="L127" s="158"/>
      <c r="M127" s="158"/>
      <c r="N127" s="158"/>
      <c r="O127" s="162"/>
    </row>
    <row r="128" spans="2:15">
      <c r="B128" s="166" t="s">
        <v>209</v>
      </c>
      <c r="C128" s="168"/>
      <c r="D128" s="168"/>
      <c r="E128" s="167">
        <v>41186</v>
      </c>
      <c r="F128" s="172">
        <v>200</v>
      </c>
      <c r="G128" s="1107"/>
      <c r="H128" s="173">
        <v>41200</v>
      </c>
      <c r="I128" s="168">
        <v>200</v>
      </c>
      <c r="J128" s="158"/>
      <c r="K128" s="158"/>
      <c r="L128" s="158"/>
      <c r="M128" s="158"/>
      <c r="N128" s="158"/>
      <c r="O128" s="162"/>
    </row>
    <row r="129" spans="2:15">
      <c r="B129" s="157" t="s">
        <v>304</v>
      </c>
      <c r="C129" s="158"/>
      <c r="D129" s="158"/>
      <c r="E129" s="159">
        <v>41199</v>
      </c>
      <c r="F129" s="160">
        <v>152</v>
      </c>
      <c r="G129" s="1107"/>
      <c r="H129" s="164">
        <v>41210</v>
      </c>
      <c r="I129" s="158">
        <v>150</v>
      </c>
      <c r="J129" s="158"/>
      <c r="K129" s="158"/>
      <c r="L129" s="158"/>
      <c r="M129" s="158"/>
      <c r="N129" s="158"/>
      <c r="O129" s="162"/>
    </row>
    <row r="130" spans="2:15">
      <c r="B130" s="166" t="s">
        <v>305</v>
      </c>
      <c r="C130" s="168"/>
      <c r="D130" s="168"/>
      <c r="E130" s="168"/>
      <c r="F130" s="172"/>
      <c r="G130" s="1107"/>
      <c r="H130" s="173">
        <v>41207</v>
      </c>
      <c r="I130" s="168">
        <v>85</v>
      </c>
      <c r="J130" s="158"/>
      <c r="K130" s="158"/>
      <c r="L130" s="158"/>
      <c r="M130" s="158"/>
      <c r="N130" s="158"/>
      <c r="O130" s="162"/>
    </row>
    <row r="131" spans="2:15">
      <c r="B131" s="166" t="s">
        <v>306</v>
      </c>
      <c r="C131" s="168"/>
      <c r="D131" s="168"/>
      <c r="E131" s="168"/>
      <c r="F131" s="172"/>
      <c r="G131" s="1107"/>
      <c r="H131" s="173">
        <v>41207</v>
      </c>
      <c r="I131" s="168">
        <v>64</v>
      </c>
      <c r="J131" s="158"/>
      <c r="K131" s="158"/>
      <c r="L131" s="158"/>
      <c r="M131" s="158"/>
      <c r="N131" s="158"/>
      <c r="O131" s="162"/>
    </row>
    <row r="132" spans="2:15">
      <c r="B132" s="166" t="s">
        <v>307</v>
      </c>
      <c r="C132" s="167">
        <v>41204</v>
      </c>
      <c r="D132" s="168">
        <v>250</v>
      </c>
      <c r="E132" s="168"/>
      <c r="F132" s="172"/>
      <c r="G132" s="1107"/>
      <c r="H132" s="173">
        <v>41207</v>
      </c>
      <c r="I132" s="168">
        <v>250</v>
      </c>
      <c r="J132" s="158"/>
      <c r="K132" s="158"/>
      <c r="L132" s="158"/>
      <c r="M132" s="158"/>
      <c r="N132" s="158"/>
      <c r="O132" s="162"/>
    </row>
    <row r="133" spans="2:15">
      <c r="B133" s="166" t="s">
        <v>307</v>
      </c>
      <c r="C133" s="167">
        <v>41204</v>
      </c>
      <c r="D133" s="168">
        <v>550</v>
      </c>
      <c r="E133" s="168"/>
      <c r="F133" s="172"/>
      <c r="G133" s="1107"/>
      <c r="H133" s="173">
        <v>41207</v>
      </c>
      <c r="I133" s="168">
        <v>550</v>
      </c>
      <c r="J133" s="158"/>
      <c r="K133" s="158"/>
      <c r="L133" s="158"/>
      <c r="M133" s="158"/>
      <c r="N133" s="158"/>
      <c r="O133" s="162"/>
    </row>
    <row r="134" spans="2:15">
      <c r="B134" s="166" t="s">
        <v>219</v>
      </c>
      <c r="C134" s="167">
        <v>41204</v>
      </c>
      <c r="D134" s="168">
        <v>169</v>
      </c>
      <c r="E134" s="168"/>
      <c r="F134" s="172"/>
      <c r="G134" s="1107"/>
      <c r="H134" s="173">
        <v>41207</v>
      </c>
      <c r="I134" s="168">
        <v>169</v>
      </c>
      <c r="J134" s="158"/>
      <c r="K134" s="158"/>
      <c r="L134" s="158"/>
      <c r="M134" s="158"/>
      <c r="N134" s="158"/>
      <c r="O134" s="162"/>
    </row>
    <row r="135" spans="2:15">
      <c r="B135" s="166" t="s">
        <v>308</v>
      </c>
      <c r="C135" s="167">
        <v>41204</v>
      </c>
      <c r="D135" s="168">
        <v>162</v>
      </c>
      <c r="E135" s="168"/>
      <c r="F135" s="172"/>
      <c r="G135" s="1107"/>
      <c r="H135" s="173">
        <v>41207</v>
      </c>
      <c r="I135" s="168">
        <v>162</v>
      </c>
      <c r="J135" s="158"/>
      <c r="K135" s="158"/>
      <c r="L135" s="158"/>
      <c r="M135" s="158"/>
      <c r="N135" s="158"/>
      <c r="O135" s="162"/>
    </row>
    <row r="136" spans="2:15">
      <c r="B136" s="166" t="s">
        <v>224</v>
      </c>
      <c r="C136" s="167">
        <v>41204</v>
      </c>
      <c r="D136" s="168">
        <v>44</v>
      </c>
      <c r="E136" s="168"/>
      <c r="F136" s="172"/>
      <c r="G136" s="1107"/>
      <c r="H136" s="173">
        <v>41207</v>
      </c>
      <c r="I136" s="168">
        <v>44</v>
      </c>
      <c r="J136" s="158"/>
      <c r="K136" s="158"/>
      <c r="L136" s="158"/>
      <c r="M136" s="158"/>
      <c r="N136" s="158"/>
      <c r="O136" s="162"/>
    </row>
    <row r="137" spans="2:15">
      <c r="B137" s="166" t="s">
        <v>281</v>
      </c>
      <c r="C137" s="167">
        <v>41204</v>
      </c>
      <c r="D137" s="168">
        <v>50</v>
      </c>
      <c r="E137" s="168"/>
      <c r="F137" s="172"/>
      <c r="G137" s="1107"/>
      <c r="H137" s="173">
        <v>41207</v>
      </c>
      <c r="I137" s="168">
        <v>50</v>
      </c>
      <c r="J137" s="158"/>
      <c r="K137" s="158"/>
      <c r="L137" s="158"/>
      <c r="M137" s="158"/>
      <c r="N137" s="158"/>
      <c r="O137" s="162"/>
    </row>
    <row r="138" spans="2:15" s="171" customFormat="1">
      <c r="B138" s="166" t="s">
        <v>281</v>
      </c>
      <c r="C138" s="167">
        <v>41212</v>
      </c>
      <c r="D138" s="168">
        <v>85</v>
      </c>
      <c r="E138" s="168"/>
      <c r="F138" s="172"/>
      <c r="G138" s="1107"/>
      <c r="H138" s="173">
        <v>41218</v>
      </c>
      <c r="I138" s="168">
        <v>85</v>
      </c>
      <c r="J138" s="168"/>
      <c r="K138" s="168"/>
      <c r="L138" s="168"/>
      <c r="M138" s="168"/>
      <c r="N138" s="168"/>
      <c r="O138" s="170"/>
    </row>
    <row r="139" spans="2:15" s="171" customFormat="1">
      <c r="B139" s="166" t="s">
        <v>309</v>
      </c>
      <c r="C139" s="167">
        <v>41212</v>
      </c>
      <c r="D139" s="168">
        <v>64</v>
      </c>
      <c r="E139" s="168"/>
      <c r="F139" s="172"/>
      <c r="G139" s="1107"/>
      <c r="H139" s="173">
        <v>41218</v>
      </c>
      <c r="I139" s="168">
        <v>64</v>
      </c>
      <c r="J139" s="168"/>
      <c r="K139" s="168"/>
      <c r="L139" s="168"/>
      <c r="M139" s="168"/>
      <c r="N139" s="168"/>
      <c r="O139" s="170"/>
    </row>
    <row r="140" spans="2:15">
      <c r="B140" s="166" t="s">
        <v>310</v>
      </c>
      <c r="C140" s="167"/>
      <c r="D140" s="168"/>
      <c r="E140" s="167">
        <v>41215</v>
      </c>
      <c r="F140" s="172">
        <v>160</v>
      </c>
      <c r="G140" s="1107"/>
      <c r="H140" s="173">
        <v>41216</v>
      </c>
      <c r="I140" s="168">
        <v>160</v>
      </c>
      <c r="J140" s="158"/>
      <c r="K140" s="158"/>
      <c r="L140" s="158"/>
      <c r="M140" s="158"/>
      <c r="N140" s="158"/>
      <c r="O140" s="162"/>
    </row>
    <row r="141" spans="2:15">
      <c r="B141" s="166" t="s">
        <v>311</v>
      </c>
      <c r="C141" s="167">
        <v>41218</v>
      </c>
      <c r="D141" s="168">
        <v>200</v>
      </c>
      <c r="E141" s="168"/>
      <c r="F141" s="172"/>
      <c r="G141" s="1107"/>
      <c r="H141" s="173">
        <v>41226</v>
      </c>
      <c r="I141" s="168">
        <v>200</v>
      </c>
      <c r="J141" s="158"/>
      <c r="K141" s="158"/>
      <c r="L141" s="158"/>
      <c r="M141" s="158"/>
      <c r="N141" s="158"/>
      <c r="O141" s="162"/>
    </row>
    <row r="142" spans="2:15">
      <c r="B142" s="166" t="s">
        <v>290</v>
      </c>
      <c r="C142" s="167">
        <v>41218</v>
      </c>
      <c r="D142" s="168">
        <v>14</v>
      </c>
      <c r="E142" s="168"/>
      <c r="F142" s="172"/>
      <c r="G142" s="1107"/>
      <c r="H142" s="173">
        <v>41226</v>
      </c>
      <c r="I142" s="168">
        <v>14</v>
      </c>
      <c r="J142" s="158"/>
      <c r="K142" s="158"/>
      <c r="L142" s="158"/>
      <c r="M142" s="158"/>
      <c r="N142" s="158"/>
      <c r="O142" s="162"/>
    </row>
    <row r="143" spans="2:15">
      <c r="B143" s="166" t="s">
        <v>311</v>
      </c>
      <c r="C143" s="167">
        <v>41222</v>
      </c>
      <c r="D143" s="168">
        <v>189</v>
      </c>
      <c r="E143" s="168"/>
      <c r="F143" s="172"/>
      <c r="G143" s="1107"/>
      <c r="H143" s="173">
        <v>41226</v>
      </c>
      <c r="I143" s="168">
        <v>189</v>
      </c>
      <c r="J143" s="158"/>
      <c r="K143" s="158"/>
      <c r="L143" s="158"/>
      <c r="M143" s="158"/>
      <c r="N143" s="158"/>
      <c r="O143" s="162"/>
    </row>
    <row r="144" spans="2:15">
      <c r="B144" s="166" t="s">
        <v>287</v>
      </c>
      <c r="C144" s="167">
        <v>41222</v>
      </c>
      <c r="D144" s="168">
        <v>127</v>
      </c>
      <c r="E144" s="168"/>
      <c r="F144" s="172"/>
      <c r="G144" s="1107"/>
      <c r="H144" s="173">
        <v>41226</v>
      </c>
      <c r="I144" s="168">
        <v>127</v>
      </c>
      <c r="J144" s="158"/>
      <c r="K144" s="158"/>
      <c r="L144" s="158"/>
      <c r="M144" s="158"/>
      <c r="N144" s="158"/>
      <c r="O144" s="162"/>
    </row>
    <row r="145" spans="2:15">
      <c r="B145" s="166" t="s">
        <v>238</v>
      </c>
      <c r="C145" s="167">
        <v>41222</v>
      </c>
      <c r="D145" s="168">
        <v>79</v>
      </c>
      <c r="E145" s="168"/>
      <c r="F145" s="172"/>
      <c r="G145" s="1107"/>
      <c r="H145" s="173">
        <v>41226</v>
      </c>
      <c r="I145" s="168">
        <v>79</v>
      </c>
      <c r="J145" s="158"/>
      <c r="K145" s="158"/>
      <c r="L145" s="158"/>
      <c r="M145" s="158"/>
      <c r="N145" s="158"/>
      <c r="O145" s="162"/>
    </row>
    <row r="146" spans="2:15">
      <c r="B146" s="166" t="s">
        <v>312</v>
      </c>
      <c r="C146" s="167">
        <v>41225</v>
      </c>
      <c r="D146" s="168">
        <v>158</v>
      </c>
      <c r="E146" s="168"/>
      <c r="F146" s="172"/>
      <c r="G146" s="1107"/>
      <c r="H146" s="173">
        <v>41226</v>
      </c>
      <c r="I146" s="168">
        <v>158</v>
      </c>
      <c r="J146" s="158"/>
      <c r="K146" s="158"/>
      <c r="L146" s="158"/>
      <c r="M146" s="158"/>
      <c r="N146" s="158"/>
      <c r="O146" s="162"/>
    </row>
    <row r="147" spans="2:15">
      <c r="B147" s="166" t="s">
        <v>313</v>
      </c>
      <c r="C147" s="167">
        <v>41225</v>
      </c>
      <c r="D147" s="168">
        <v>111</v>
      </c>
      <c r="E147" s="168"/>
      <c r="F147" s="172"/>
      <c r="G147" s="1107"/>
      <c r="H147" s="173">
        <v>41226</v>
      </c>
      <c r="I147" s="168">
        <v>111</v>
      </c>
      <c r="J147" s="158"/>
      <c r="K147" s="158"/>
      <c r="L147" s="158"/>
      <c r="M147" s="158"/>
      <c r="N147" s="158"/>
      <c r="O147" s="162"/>
    </row>
    <row r="148" spans="2:15">
      <c r="B148" s="180" t="s">
        <v>314</v>
      </c>
      <c r="C148" s="168"/>
      <c r="D148" s="168"/>
      <c r="E148" s="167">
        <v>41228</v>
      </c>
      <c r="F148" s="172">
        <v>103</v>
      </c>
      <c r="G148" s="1107"/>
      <c r="H148" s="173">
        <v>41235</v>
      </c>
      <c r="I148" s="168">
        <v>103</v>
      </c>
      <c r="J148" s="158"/>
      <c r="K148" s="158"/>
      <c r="L148" s="158"/>
      <c r="M148" s="158"/>
      <c r="N148" s="158"/>
      <c r="O148" s="162"/>
    </row>
    <row r="149" spans="2:15">
      <c r="B149" s="166" t="s">
        <v>315</v>
      </c>
      <c r="C149" s="167">
        <v>41232</v>
      </c>
      <c r="D149" s="168">
        <v>99</v>
      </c>
      <c r="E149" s="168"/>
      <c r="F149" s="172"/>
      <c r="G149" s="1107"/>
      <c r="H149" s="173">
        <v>41234</v>
      </c>
      <c r="I149" s="168">
        <v>99</v>
      </c>
      <c r="J149" s="158"/>
      <c r="K149" s="158"/>
      <c r="L149" s="158"/>
      <c r="M149" s="158"/>
      <c r="N149" s="158"/>
      <c r="O149" s="162"/>
    </row>
    <row r="150" spans="2:15">
      <c r="B150" s="166" t="s">
        <v>290</v>
      </c>
      <c r="C150" s="167">
        <v>41232</v>
      </c>
      <c r="D150" s="168">
        <v>127</v>
      </c>
      <c r="E150" s="168"/>
      <c r="F150" s="172"/>
      <c r="G150" s="1107"/>
      <c r="H150" s="173">
        <v>41234</v>
      </c>
      <c r="I150" s="168">
        <v>127</v>
      </c>
      <c r="J150" s="158"/>
      <c r="K150" s="158"/>
      <c r="L150" s="158"/>
      <c r="M150" s="158"/>
      <c r="N150" s="158"/>
      <c r="O150" s="162"/>
    </row>
    <row r="151" spans="2:15">
      <c r="B151" s="166" t="s">
        <v>316</v>
      </c>
      <c r="C151" s="167">
        <v>41232</v>
      </c>
      <c r="D151" s="168">
        <v>236</v>
      </c>
      <c r="E151" s="168"/>
      <c r="F151" s="172"/>
      <c r="G151" s="1107"/>
      <c r="H151" s="173">
        <v>41234</v>
      </c>
      <c r="I151" s="168">
        <v>236</v>
      </c>
      <c r="J151" s="158"/>
      <c r="K151" s="158"/>
      <c r="L151" s="158"/>
      <c r="M151" s="158"/>
      <c r="N151" s="158"/>
      <c r="O151" s="162"/>
    </row>
    <row r="152" spans="2:15">
      <c r="B152" s="166" t="s">
        <v>235</v>
      </c>
      <c r="C152" s="167">
        <v>41232</v>
      </c>
      <c r="D152" s="168">
        <v>130</v>
      </c>
      <c r="E152" s="168"/>
      <c r="F152" s="172"/>
      <c r="G152" s="1107"/>
      <c r="H152" s="173">
        <v>41234</v>
      </c>
      <c r="I152" s="168">
        <v>130</v>
      </c>
      <c r="J152" s="158"/>
      <c r="K152" s="158"/>
      <c r="L152" s="158"/>
      <c r="M152" s="158"/>
      <c r="N152" s="158"/>
      <c r="O152" s="162"/>
    </row>
    <row r="153" spans="2:15">
      <c r="B153" s="166" t="s">
        <v>317</v>
      </c>
      <c r="C153" s="167">
        <v>41234</v>
      </c>
      <c r="D153" s="168">
        <v>113</v>
      </c>
      <c r="E153" s="168"/>
      <c r="F153" s="172"/>
      <c r="G153" s="1107"/>
      <c r="H153" s="173">
        <v>41253</v>
      </c>
      <c r="I153" s="168">
        <v>113</v>
      </c>
      <c r="J153" s="158"/>
      <c r="K153" s="158"/>
      <c r="L153" s="158"/>
      <c r="M153" s="158"/>
      <c r="N153" s="158"/>
      <c r="O153" s="162"/>
    </row>
    <row r="154" spans="2:15">
      <c r="B154" s="166" t="s">
        <v>318</v>
      </c>
      <c r="C154" s="168"/>
      <c r="D154" s="168"/>
      <c r="E154" s="167">
        <v>41247</v>
      </c>
      <c r="F154" s="172">
        <v>105</v>
      </c>
      <c r="G154" s="1107"/>
      <c r="H154" s="173">
        <v>41257</v>
      </c>
      <c r="I154" s="168">
        <v>105</v>
      </c>
      <c r="J154" s="158"/>
      <c r="K154" s="158"/>
      <c r="L154" s="158"/>
      <c r="M154" s="158"/>
      <c r="N154" s="158"/>
      <c r="O154" s="162"/>
    </row>
    <row r="155" spans="2:15">
      <c r="B155" s="166" t="s">
        <v>319</v>
      </c>
      <c r="C155" s="168"/>
      <c r="D155" s="168"/>
      <c r="E155" s="167">
        <v>41247</v>
      </c>
      <c r="F155" s="172">
        <v>103</v>
      </c>
      <c r="G155" s="1107"/>
      <c r="H155" s="173">
        <v>41257</v>
      </c>
      <c r="I155" s="168">
        <v>103</v>
      </c>
      <c r="J155" s="158"/>
      <c r="K155" s="158"/>
      <c r="L155" s="158"/>
      <c r="M155" s="158"/>
      <c r="N155" s="158"/>
      <c r="O155" s="162"/>
    </row>
    <row r="156" spans="2:15">
      <c r="B156" s="166" t="s">
        <v>320</v>
      </c>
      <c r="C156" s="167">
        <v>41254</v>
      </c>
      <c r="D156" s="168">
        <v>706</v>
      </c>
      <c r="E156" s="168"/>
      <c r="F156" s="172"/>
      <c r="G156" s="1107"/>
      <c r="H156" s="173">
        <v>41260</v>
      </c>
      <c r="I156" s="168">
        <v>706</v>
      </c>
      <c r="J156" s="158"/>
      <c r="K156" s="158"/>
      <c r="L156" s="158"/>
      <c r="M156" s="158"/>
      <c r="N156" s="158"/>
      <c r="O156" s="162"/>
    </row>
    <row r="157" spans="2:15">
      <c r="B157" s="166" t="s">
        <v>321</v>
      </c>
      <c r="C157" s="167">
        <v>41254</v>
      </c>
      <c r="D157" s="168">
        <v>54</v>
      </c>
      <c r="E157" s="168"/>
      <c r="F157" s="172"/>
      <c r="G157" s="1107"/>
      <c r="H157" s="173">
        <v>41260</v>
      </c>
      <c r="I157" s="168">
        <v>54</v>
      </c>
      <c r="J157" s="158"/>
      <c r="K157" s="158"/>
      <c r="L157" s="158"/>
      <c r="M157" s="158"/>
      <c r="N157" s="158"/>
      <c r="O157" s="162"/>
    </row>
    <row r="158" spans="2:15">
      <c r="B158" s="166" t="s">
        <v>322</v>
      </c>
      <c r="C158" s="167"/>
      <c r="D158" s="168"/>
      <c r="E158" s="167">
        <v>41257</v>
      </c>
      <c r="F158" s="172">
        <v>210</v>
      </c>
      <c r="G158" s="1107"/>
      <c r="H158" s="173">
        <v>41625</v>
      </c>
      <c r="I158" s="168">
        <v>210</v>
      </c>
      <c r="J158" s="158"/>
      <c r="K158" s="158"/>
      <c r="L158" s="158"/>
      <c r="M158" s="158"/>
      <c r="N158" s="158"/>
      <c r="O158" s="162"/>
    </row>
    <row r="159" spans="2:15">
      <c r="B159" s="157" t="s">
        <v>323</v>
      </c>
      <c r="C159" s="159">
        <v>41260</v>
      </c>
      <c r="D159" s="158">
        <v>220</v>
      </c>
      <c r="E159" s="158"/>
      <c r="F159" s="160"/>
      <c r="G159" s="1107"/>
      <c r="H159" s="164"/>
      <c r="I159" s="158"/>
      <c r="J159" s="158"/>
      <c r="K159" s="158"/>
      <c r="L159" s="158"/>
      <c r="M159" s="158"/>
      <c r="N159" s="158"/>
      <c r="O159" s="162"/>
    </row>
    <row r="160" spans="2:15">
      <c r="B160" s="157" t="s">
        <v>324</v>
      </c>
      <c r="C160" s="159">
        <v>41261</v>
      </c>
      <c r="D160" s="158">
        <v>230</v>
      </c>
      <c r="E160" s="158"/>
      <c r="F160" s="160"/>
      <c r="G160" s="1107"/>
      <c r="H160" s="161"/>
      <c r="I160" s="158"/>
      <c r="J160" s="158"/>
      <c r="K160" s="158"/>
      <c r="L160" s="158"/>
      <c r="M160" s="158"/>
      <c r="N160" s="158"/>
      <c r="O160" s="162"/>
    </row>
    <row r="161" spans="2:15">
      <c r="B161" s="166" t="s">
        <v>325</v>
      </c>
      <c r="C161" s="158"/>
      <c r="D161" s="158"/>
      <c r="E161" s="158"/>
      <c r="F161" s="160"/>
      <c r="G161" s="1107"/>
      <c r="H161" s="161"/>
      <c r="I161" s="158"/>
      <c r="J161" s="158"/>
      <c r="K161" s="158"/>
      <c r="L161" s="158"/>
      <c r="M161" s="158"/>
      <c r="N161" s="158"/>
      <c r="O161" s="162"/>
    </row>
    <row r="162" spans="2:15">
      <c r="B162" s="166" t="s">
        <v>325</v>
      </c>
      <c r="C162" s="158"/>
      <c r="D162" s="158"/>
      <c r="E162" s="158"/>
      <c r="F162" s="160"/>
      <c r="G162" s="1107"/>
      <c r="H162" s="161"/>
      <c r="I162" s="158"/>
      <c r="J162" s="158"/>
      <c r="K162" s="158"/>
      <c r="L162" s="158"/>
      <c r="M162" s="158"/>
      <c r="N162" s="158"/>
      <c r="O162" s="162"/>
    </row>
    <row r="163" spans="2:15">
      <c r="B163" s="166" t="s">
        <v>325</v>
      </c>
      <c r="C163" s="158"/>
      <c r="D163" s="158"/>
      <c r="E163" s="158"/>
      <c r="F163" s="160"/>
      <c r="G163" s="1107"/>
      <c r="H163" s="161"/>
      <c r="I163" s="158"/>
      <c r="J163" s="158"/>
      <c r="K163" s="158"/>
      <c r="L163" s="158"/>
      <c r="M163" s="158"/>
      <c r="N163" s="158"/>
      <c r="O163" s="162"/>
    </row>
    <row r="164" spans="2:15">
      <c r="B164" s="166" t="s">
        <v>325</v>
      </c>
      <c r="C164" s="158"/>
      <c r="D164" s="158"/>
      <c r="E164" s="158"/>
      <c r="F164" s="160"/>
      <c r="G164" s="1107"/>
      <c r="H164" s="161"/>
      <c r="I164" s="158"/>
      <c r="J164" s="158"/>
      <c r="K164" s="158"/>
      <c r="L164" s="158"/>
      <c r="M164" s="158"/>
      <c r="N164" s="158"/>
      <c r="O164" s="162"/>
    </row>
    <row r="165" spans="2:15">
      <c r="B165" s="166" t="s">
        <v>324</v>
      </c>
      <c r="C165" s="167">
        <v>41264</v>
      </c>
      <c r="D165" s="168">
        <v>165</v>
      </c>
      <c r="E165" s="168"/>
      <c r="F165" s="172"/>
      <c r="G165" s="1107"/>
      <c r="H165" s="173">
        <v>41288</v>
      </c>
      <c r="I165" s="168">
        <v>165</v>
      </c>
      <c r="J165" s="158"/>
      <c r="K165" s="158"/>
      <c r="L165" s="158"/>
      <c r="M165" s="158"/>
      <c r="N165" s="158"/>
      <c r="O165" s="162"/>
    </row>
    <row r="166" spans="2:15">
      <c r="B166" s="166" t="s">
        <v>326</v>
      </c>
      <c r="C166" s="158"/>
      <c r="D166" s="158"/>
      <c r="E166" s="158"/>
      <c r="F166" s="160"/>
      <c r="G166" s="1107"/>
      <c r="H166" s="173">
        <v>41636</v>
      </c>
      <c r="I166" s="168">
        <v>700</v>
      </c>
      <c r="J166" s="158"/>
      <c r="K166" s="158"/>
      <c r="L166" s="158"/>
      <c r="M166" s="158"/>
      <c r="N166" s="158"/>
      <c r="O166" s="162"/>
    </row>
    <row r="167" spans="2:15">
      <c r="B167" s="157" t="s">
        <v>326</v>
      </c>
      <c r="C167" s="158"/>
      <c r="D167" s="158"/>
      <c r="E167" s="158"/>
      <c r="F167" s="160"/>
      <c r="G167" s="1107"/>
      <c r="H167" s="161"/>
      <c r="I167" s="158"/>
      <c r="J167" s="158"/>
      <c r="K167" s="158"/>
      <c r="L167" s="158"/>
      <c r="M167" s="158"/>
      <c r="N167" s="158"/>
      <c r="O167" s="162"/>
    </row>
    <row r="168" spans="2:15">
      <c r="B168" s="166" t="s">
        <v>327</v>
      </c>
      <c r="C168" s="167">
        <v>41292</v>
      </c>
      <c r="D168" s="168">
        <v>145</v>
      </c>
      <c r="E168" s="168"/>
      <c r="F168" s="172"/>
      <c r="G168" s="1107"/>
      <c r="H168" s="173">
        <v>41309</v>
      </c>
      <c r="I168" s="168">
        <v>145</v>
      </c>
      <c r="J168" s="158"/>
      <c r="K168" s="158"/>
      <c r="L168" s="158"/>
      <c r="M168" s="158"/>
      <c r="N168" s="158"/>
      <c r="O168" s="162"/>
    </row>
    <row r="169" spans="2:15">
      <c r="B169" s="166" t="s">
        <v>309</v>
      </c>
      <c r="C169" s="167">
        <v>41292</v>
      </c>
      <c r="D169" s="168">
        <v>20</v>
      </c>
      <c r="E169" s="168"/>
      <c r="F169" s="172"/>
      <c r="G169" s="1107"/>
      <c r="H169" s="173">
        <v>41309</v>
      </c>
      <c r="I169" s="168">
        <v>20</v>
      </c>
      <c r="J169" s="158"/>
      <c r="K169" s="158"/>
      <c r="L169" s="158"/>
      <c r="M169" s="158"/>
      <c r="N169" s="158"/>
      <c r="O169" s="162"/>
    </row>
    <row r="170" spans="2:15">
      <c r="B170" s="166" t="s">
        <v>225</v>
      </c>
      <c r="C170" s="167">
        <v>41304</v>
      </c>
      <c r="D170" s="168">
        <v>250</v>
      </c>
      <c r="E170" s="168"/>
      <c r="F170" s="172"/>
      <c r="G170" s="1107"/>
      <c r="H170" s="173">
        <v>41310</v>
      </c>
      <c r="I170" s="168">
        <v>250</v>
      </c>
      <c r="J170" s="158"/>
      <c r="K170" s="158"/>
      <c r="L170" s="158"/>
      <c r="M170" s="158"/>
      <c r="N170" s="158"/>
      <c r="O170" s="162"/>
    </row>
    <row r="171" spans="2:15">
      <c r="B171" s="166" t="s">
        <v>309</v>
      </c>
      <c r="C171" s="167">
        <v>41304</v>
      </c>
      <c r="D171" s="168">
        <v>91</v>
      </c>
      <c r="E171" s="168"/>
      <c r="F171" s="172"/>
      <c r="G171" s="1107"/>
      <c r="H171" s="173">
        <v>41310</v>
      </c>
      <c r="I171" s="168">
        <v>91</v>
      </c>
      <c r="J171" s="158"/>
      <c r="K171" s="158"/>
      <c r="L171" s="158"/>
      <c r="M171" s="158"/>
      <c r="N171" s="158"/>
      <c r="O171" s="162"/>
    </row>
    <row r="172" spans="2:15">
      <c r="B172" s="166" t="s">
        <v>281</v>
      </c>
      <c r="C172" s="167">
        <v>41304</v>
      </c>
      <c r="D172" s="168">
        <v>80</v>
      </c>
      <c r="E172" s="168"/>
      <c r="F172" s="172"/>
      <c r="G172" s="1107"/>
      <c r="H172" s="173">
        <v>41310</v>
      </c>
      <c r="I172" s="168">
        <v>80</v>
      </c>
      <c r="J172" s="158"/>
      <c r="K172" s="158"/>
      <c r="L172" s="158"/>
      <c r="M172" s="158"/>
      <c r="N172" s="158"/>
      <c r="O172" s="162"/>
    </row>
    <row r="173" spans="2:15">
      <c r="B173" s="166" t="s">
        <v>290</v>
      </c>
      <c r="C173" s="167">
        <v>41319</v>
      </c>
      <c r="D173" s="168">
        <v>326</v>
      </c>
      <c r="E173" s="168"/>
      <c r="F173" s="172"/>
      <c r="G173" s="1107"/>
      <c r="H173" s="173">
        <v>41323</v>
      </c>
      <c r="I173" s="168">
        <v>326</v>
      </c>
      <c r="J173" s="158"/>
      <c r="K173" s="158"/>
      <c r="L173" s="158"/>
      <c r="M173" s="158"/>
      <c r="N173" s="158"/>
      <c r="O173" s="162"/>
    </row>
    <row r="174" spans="2:15">
      <c r="B174" s="166" t="s">
        <v>237</v>
      </c>
      <c r="C174" s="167">
        <v>41327</v>
      </c>
      <c r="D174" s="168">
        <v>250</v>
      </c>
      <c r="E174" s="168"/>
      <c r="F174" s="172"/>
      <c r="G174" s="1107"/>
      <c r="H174" s="173">
        <v>41332</v>
      </c>
      <c r="I174" s="168">
        <v>250</v>
      </c>
      <c r="J174" s="158"/>
      <c r="K174" s="158"/>
      <c r="L174" s="158"/>
      <c r="M174" s="158"/>
      <c r="N174" s="158"/>
      <c r="O174" s="162"/>
    </row>
    <row r="175" spans="2:15">
      <c r="B175" s="166" t="s">
        <v>328</v>
      </c>
      <c r="C175" s="167">
        <v>41332</v>
      </c>
      <c r="D175" s="168">
        <v>135</v>
      </c>
      <c r="E175" s="168"/>
      <c r="F175" s="172"/>
      <c r="G175" s="1107"/>
      <c r="H175" s="173">
        <v>41332</v>
      </c>
      <c r="I175" s="168">
        <v>135</v>
      </c>
      <c r="J175" s="158"/>
      <c r="K175" s="158"/>
      <c r="L175" s="158"/>
      <c r="M175" s="158"/>
      <c r="N175" s="158"/>
      <c r="O175" s="162"/>
    </row>
    <row r="176" spans="2:15">
      <c r="B176" s="166" t="s">
        <v>329</v>
      </c>
      <c r="C176" s="167">
        <v>41333</v>
      </c>
      <c r="D176" s="168">
        <v>150</v>
      </c>
      <c r="E176" s="168"/>
      <c r="F176" s="172"/>
      <c r="G176" s="1107"/>
      <c r="H176" s="173">
        <v>41340</v>
      </c>
      <c r="I176" s="168">
        <v>150</v>
      </c>
      <c r="J176" s="158"/>
      <c r="K176" s="158"/>
      <c r="L176" s="158"/>
      <c r="M176" s="158"/>
      <c r="N176" s="158"/>
      <c r="O176" s="162"/>
    </row>
    <row r="177" spans="2:15">
      <c r="B177" s="166" t="s">
        <v>328</v>
      </c>
      <c r="C177" s="167">
        <v>41333</v>
      </c>
      <c r="D177" s="168">
        <v>67</v>
      </c>
      <c r="E177" s="168"/>
      <c r="F177" s="172"/>
      <c r="G177" s="1107"/>
      <c r="H177" s="173">
        <v>41340</v>
      </c>
      <c r="I177" s="168">
        <v>67</v>
      </c>
      <c r="J177" s="158"/>
      <c r="K177" s="158"/>
      <c r="L177" s="158"/>
      <c r="M177" s="158"/>
      <c r="N177" s="158"/>
      <c r="O177" s="162"/>
    </row>
    <row r="178" spans="2:15">
      <c r="B178" s="157" t="s">
        <v>302</v>
      </c>
      <c r="C178" s="158"/>
      <c r="D178" s="158"/>
      <c r="E178" s="159">
        <v>41338</v>
      </c>
      <c r="F178" s="158">
        <v>155</v>
      </c>
      <c r="G178" s="1107"/>
      <c r="H178" s="164">
        <v>41354</v>
      </c>
      <c r="I178" s="158">
        <v>155</v>
      </c>
      <c r="J178" s="158"/>
      <c r="K178" s="158"/>
      <c r="L178" s="158"/>
      <c r="M178" s="158"/>
      <c r="N178" s="158"/>
      <c r="O178" s="162"/>
    </row>
    <row r="179" spans="2:15">
      <c r="B179" s="157" t="s">
        <v>330</v>
      </c>
      <c r="C179" s="158"/>
      <c r="D179" s="158"/>
      <c r="E179" s="159">
        <v>41338</v>
      </c>
      <c r="F179" s="158">
        <v>150</v>
      </c>
      <c r="G179" s="1107"/>
      <c r="H179" s="164">
        <v>41354</v>
      </c>
      <c r="I179" s="158">
        <v>150</v>
      </c>
      <c r="J179" s="158"/>
      <c r="K179" s="158"/>
      <c r="L179" s="158"/>
      <c r="M179" s="158"/>
      <c r="N179" s="158"/>
      <c r="O179" s="162"/>
    </row>
    <row r="180" spans="2:15">
      <c r="B180" s="157" t="s">
        <v>331</v>
      </c>
      <c r="C180" s="158"/>
      <c r="D180" s="158"/>
      <c r="E180" s="159">
        <v>41338</v>
      </c>
      <c r="F180" s="158">
        <v>105</v>
      </c>
      <c r="G180" s="1107"/>
      <c r="H180" s="164">
        <v>41354</v>
      </c>
      <c r="I180" s="158">
        <v>105</v>
      </c>
      <c r="J180" s="158"/>
      <c r="K180" s="158"/>
      <c r="L180" s="158"/>
      <c r="M180" s="158"/>
      <c r="N180" s="158"/>
      <c r="O180" s="162"/>
    </row>
    <row r="181" spans="2:15">
      <c r="B181" s="166" t="s">
        <v>238</v>
      </c>
      <c r="C181" s="167">
        <v>41340</v>
      </c>
      <c r="D181" s="168">
        <v>190</v>
      </c>
      <c r="E181" s="158"/>
      <c r="F181" s="160"/>
      <c r="G181" s="1107"/>
      <c r="H181" s="173">
        <v>41345</v>
      </c>
      <c r="I181" s="168">
        <v>190</v>
      </c>
      <c r="J181" s="158"/>
      <c r="K181" s="158"/>
      <c r="L181" s="158"/>
      <c r="M181" s="158"/>
      <c r="N181" s="158"/>
      <c r="O181" s="162"/>
    </row>
    <row r="182" spans="2:15">
      <c r="B182" s="166" t="s">
        <v>237</v>
      </c>
      <c r="C182" s="167">
        <v>41340</v>
      </c>
      <c r="D182" s="168">
        <v>102</v>
      </c>
      <c r="E182" s="158"/>
      <c r="F182" s="160"/>
      <c r="G182" s="1107"/>
      <c r="H182" s="173">
        <v>41345</v>
      </c>
      <c r="I182" s="168">
        <v>103</v>
      </c>
      <c r="J182" s="177" t="s">
        <v>332</v>
      </c>
      <c r="K182" s="158"/>
      <c r="L182" s="158"/>
      <c r="M182" s="158"/>
      <c r="N182" s="158"/>
      <c r="O182" s="162"/>
    </row>
    <row r="183" spans="2:15">
      <c r="B183" s="166" t="s">
        <v>311</v>
      </c>
      <c r="C183" s="167">
        <v>41344</v>
      </c>
      <c r="D183" s="168">
        <v>300</v>
      </c>
      <c r="E183" s="158"/>
      <c r="F183" s="160"/>
      <c r="G183" s="1107"/>
      <c r="H183" s="173">
        <v>41345</v>
      </c>
      <c r="I183" s="168">
        <v>300</v>
      </c>
      <c r="J183" s="158"/>
      <c r="K183" s="158"/>
      <c r="L183" s="158"/>
      <c r="M183" s="158"/>
      <c r="N183" s="158"/>
      <c r="O183" s="162"/>
    </row>
    <row r="184" spans="2:15">
      <c r="B184" s="166" t="s">
        <v>311</v>
      </c>
      <c r="C184" s="167">
        <v>41346</v>
      </c>
      <c r="D184" s="168">
        <v>220</v>
      </c>
      <c r="E184" s="158"/>
      <c r="F184" s="160"/>
      <c r="G184" s="1107"/>
      <c r="H184" s="173">
        <v>41348</v>
      </c>
      <c r="I184" s="168">
        <v>220</v>
      </c>
      <c r="J184" s="158"/>
      <c r="K184" s="158"/>
      <c r="L184" s="158"/>
      <c r="M184" s="158"/>
      <c r="N184" s="158"/>
      <c r="O184" s="162"/>
    </row>
    <row r="185" spans="2:15">
      <c r="B185" s="166" t="s">
        <v>237</v>
      </c>
      <c r="C185" s="167">
        <v>41348</v>
      </c>
      <c r="D185" s="168">
        <v>45</v>
      </c>
      <c r="E185" s="168"/>
      <c r="F185" s="172"/>
      <c r="G185" s="1107"/>
      <c r="H185" s="173">
        <v>41352</v>
      </c>
      <c r="I185" s="168">
        <v>45</v>
      </c>
      <c r="J185" s="158"/>
      <c r="K185" s="158"/>
      <c r="L185" s="158"/>
      <c r="M185" s="158"/>
      <c r="N185" s="158"/>
      <c r="O185" s="162"/>
    </row>
    <row r="186" spans="2:15">
      <c r="B186" s="166" t="s">
        <v>329</v>
      </c>
      <c r="C186" s="167">
        <v>41348</v>
      </c>
      <c r="D186" s="168">
        <v>35</v>
      </c>
      <c r="E186" s="168"/>
      <c r="F186" s="172"/>
      <c r="G186" s="1107"/>
      <c r="H186" s="173">
        <v>41352</v>
      </c>
      <c r="I186" s="168">
        <v>35</v>
      </c>
      <c r="J186" s="158"/>
      <c r="K186" s="158"/>
      <c r="L186" s="158"/>
      <c r="M186" s="158"/>
      <c r="N186" s="158"/>
      <c r="O186" s="162"/>
    </row>
    <row r="187" spans="2:15">
      <c r="B187" s="166" t="s">
        <v>290</v>
      </c>
      <c r="C187" s="167">
        <v>41353</v>
      </c>
      <c r="D187" s="168">
        <v>90</v>
      </c>
      <c r="E187" s="168"/>
      <c r="F187" s="172"/>
      <c r="G187" s="1107"/>
      <c r="H187" s="173">
        <v>41360</v>
      </c>
      <c r="I187" s="168">
        <v>90</v>
      </c>
      <c r="J187" s="158"/>
      <c r="K187" s="158"/>
      <c r="L187" s="158"/>
      <c r="M187" s="158"/>
      <c r="N187" s="158"/>
      <c r="O187" s="162"/>
    </row>
    <row r="188" spans="2:15">
      <c r="B188" s="166" t="s">
        <v>290</v>
      </c>
      <c r="C188" s="168"/>
      <c r="D188" s="168"/>
      <c r="E188" s="167">
        <v>41354</v>
      </c>
      <c r="F188" s="172">
        <v>155</v>
      </c>
      <c r="G188" s="1107"/>
      <c r="H188" s="173">
        <v>41354</v>
      </c>
      <c r="I188" s="168">
        <v>155</v>
      </c>
      <c r="J188" s="158"/>
      <c r="K188" s="158"/>
      <c r="L188" s="158"/>
      <c r="M188" s="158"/>
      <c r="N188" s="158"/>
      <c r="O188" s="162"/>
    </row>
    <row r="189" spans="2:15">
      <c r="B189" s="166" t="s">
        <v>209</v>
      </c>
      <c r="C189" s="168"/>
      <c r="D189" s="168"/>
      <c r="E189" s="167">
        <v>41358</v>
      </c>
      <c r="F189" s="172">
        <v>205</v>
      </c>
      <c r="G189" s="1107"/>
      <c r="H189" s="173">
        <v>41373</v>
      </c>
      <c r="I189" s="168">
        <v>205</v>
      </c>
      <c r="J189" s="158"/>
      <c r="K189" s="158"/>
      <c r="L189" s="158"/>
      <c r="M189" s="158"/>
      <c r="N189" s="158"/>
      <c r="O189" s="162"/>
    </row>
    <row r="190" spans="2:15">
      <c r="B190" s="166" t="s">
        <v>333</v>
      </c>
      <c r="C190" s="167">
        <v>41359</v>
      </c>
      <c r="D190" s="168">
        <v>205</v>
      </c>
      <c r="E190" s="168"/>
      <c r="F190" s="172"/>
      <c r="G190" s="1107"/>
      <c r="H190" s="173">
        <v>41360</v>
      </c>
      <c r="I190" s="168">
        <v>205</v>
      </c>
      <c r="J190" s="158"/>
      <c r="K190" s="158"/>
      <c r="L190" s="158"/>
      <c r="M190" s="158"/>
      <c r="N190" s="158"/>
      <c r="O190" s="162"/>
    </row>
    <row r="191" spans="2:15">
      <c r="B191" s="166" t="s">
        <v>334</v>
      </c>
      <c r="C191" s="167">
        <v>41359</v>
      </c>
      <c r="D191" s="168">
        <v>56</v>
      </c>
      <c r="E191" s="168"/>
      <c r="F191" s="172"/>
      <c r="G191" s="1107"/>
      <c r="H191" s="173">
        <v>41360</v>
      </c>
      <c r="I191" s="168">
        <v>56</v>
      </c>
      <c r="J191" s="158"/>
      <c r="K191" s="158"/>
      <c r="L191" s="158"/>
      <c r="M191" s="158"/>
      <c r="N191" s="158"/>
      <c r="O191" s="162"/>
    </row>
    <row r="192" spans="2:15">
      <c r="B192" s="166" t="s">
        <v>263</v>
      </c>
      <c r="C192" s="167">
        <v>41359</v>
      </c>
      <c r="D192" s="168">
        <v>18</v>
      </c>
      <c r="E192" s="168"/>
      <c r="F192" s="172"/>
      <c r="G192" s="1107"/>
      <c r="H192" s="173">
        <v>41360</v>
      </c>
      <c r="I192" s="168">
        <v>18</v>
      </c>
      <c r="J192" s="158"/>
      <c r="K192" s="158"/>
      <c r="L192" s="158"/>
      <c r="M192" s="158"/>
      <c r="N192" s="158"/>
      <c r="O192" s="162"/>
    </row>
    <row r="193" spans="2:15">
      <c r="B193" s="166" t="s">
        <v>101</v>
      </c>
      <c r="C193" s="167">
        <v>41359</v>
      </c>
      <c r="D193" s="168">
        <v>6</v>
      </c>
      <c r="E193" s="168"/>
      <c r="F193" s="172"/>
      <c r="G193" s="1107"/>
      <c r="H193" s="173">
        <v>41360</v>
      </c>
      <c r="I193" s="168">
        <v>6</v>
      </c>
      <c r="J193" s="158"/>
      <c r="K193" s="158"/>
      <c r="L193" s="158"/>
      <c r="M193" s="158"/>
      <c r="N193" s="158"/>
      <c r="O193" s="162"/>
    </row>
    <row r="194" spans="2:15">
      <c r="B194" s="166" t="s">
        <v>335</v>
      </c>
      <c r="C194" s="167">
        <v>41360</v>
      </c>
      <c r="D194" s="172">
        <v>150</v>
      </c>
      <c r="E194" s="167"/>
      <c r="F194" s="172"/>
      <c r="G194" s="1107"/>
      <c r="H194" s="173">
        <v>41361</v>
      </c>
      <c r="I194" s="168">
        <v>150</v>
      </c>
      <c r="J194" s="158"/>
      <c r="K194" s="158"/>
      <c r="L194" s="158"/>
      <c r="M194" s="158"/>
      <c r="N194" s="158"/>
      <c r="O194" s="162"/>
    </row>
    <row r="195" spans="2:15">
      <c r="B195" s="166" t="s">
        <v>336</v>
      </c>
      <c r="C195" s="168"/>
      <c r="D195" s="168"/>
      <c r="E195" s="167">
        <v>41361</v>
      </c>
      <c r="F195" s="172">
        <v>155</v>
      </c>
      <c r="G195" s="1107"/>
      <c r="H195" s="173">
        <v>41373</v>
      </c>
      <c r="I195" s="168">
        <v>155</v>
      </c>
      <c r="J195" s="158"/>
      <c r="K195" s="158"/>
      <c r="L195" s="158"/>
      <c r="M195" s="158"/>
      <c r="N195" s="158"/>
      <c r="O195" s="162"/>
    </row>
    <row r="196" spans="2:15">
      <c r="B196" s="166" t="s">
        <v>335</v>
      </c>
      <c r="C196" s="167">
        <v>41361</v>
      </c>
      <c r="D196" s="168">
        <v>127</v>
      </c>
      <c r="E196" s="168"/>
      <c r="F196" s="172"/>
      <c r="G196" s="1107"/>
      <c r="H196" s="173">
        <v>41361</v>
      </c>
      <c r="I196" s="168">
        <v>127</v>
      </c>
      <c r="J196" s="158"/>
      <c r="K196" s="158"/>
      <c r="L196" s="158"/>
      <c r="M196" s="158"/>
      <c r="N196" s="158"/>
      <c r="O196" s="162"/>
    </row>
    <row r="197" spans="2:15">
      <c r="B197" s="166" t="s">
        <v>308</v>
      </c>
      <c r="C197" s="167">
        <v>41373</v>
      </c>
      <c r="D197" s="168">
        <v>80</v>
      </c>
      <c r="E197" s="168"/>
      <c r="F197" s="172"/>
      <c r="G197" s="1107"/>
      <c r="H197" s="173">
        <v>41382</v>
      </c>
      <c r="I197" s="168">
        <v>80</v>
      </c>
      <c r="J197" s="158"/>
      <c r="K197" s="158"/>
      <c r="L197" s="158"/>
      <c r="M197" s="158"/>
      <c r="N197" s="158"/>
      <c r="O197" s="162"/>
    </row>
    <row r="198" spans="2:15">
      <c r="B198" s="166" t="s">
        <v>337</v>
      </c>
      <c r="C198" s="167">
        <v>41373</v>
      </c>
      <c r="D198" s="168">
        <v>34</v>
      </c>
      <c r="E198" s="168"/>
      <c r="F198" s="172"/>
      <c r="G198" s="1107"/>
      <c r="H198" s="173">
        <v>41382</v>
      </c>
      <c r="I198" s="168">
        <v>34</v>
      </c>
      <c r="J198" s="158"/>
      <c r="K198" s="158"/>
      <c r="L198" s="158"/>
      <c r="M198" s="158"/>
      <c r="N198" s="158"/>
      <c r="O198" s="162"/>
    </row>
    <row r="199" spans="2:15">
      <c r="B199" s="166" t="s">
        <v>338</v>
      </c>
      <c r="C199" s="168"/>
      <c r="D199" s="168"/>
      <c r="E199" s="167">
        <v>41382</v>
      </c>
      <c r="F199" s="172">
        <v>155</v>
      </c>
      <c r="G199" s="1107"/>
      <c r="H199" s="173">
        <v>41382</v>
      </c>
      <c r="I199" s="168">
        <v>155</v>
      </c>
      <c r="J199" s="158"/>
      <c r="K199" s="158"/>
      <c r="L199" s="158"/>
      <c r="M199" s="158"/>
      <c r="N199" s="158"/>
      <c r="O199" s="162"/>
    </row>
    <row r="200" spans="2:15">
      <c r="B200" s="166" t="s">
        <v>263</v>
      </c>
      <c r="C200" s="167">
        <v>41386</v>
      </c>
      <c r="D200" s="168">
        <v>220</v>
      </c>
      <c r="E200" s="168"/>
      <c r="F200" s="172"/>
      <c r="G200" s="1107"/>
      <c r="H200" s="173">
        <v>41389</v>
      </c>
      <c r="I200" s="168">
        <v>220</v>
      </c>
      <c r="J200" s="158"/>
      <c r="K200" s="158"/>
      <c r="L200" s="158"/>
      <c r="M200" s="158"/>
      <c r="N200" s="158"/>
      <c r="O200" s="162"/>
    </row>
    <row r="201" spans="2:15">
      <c r="B201" s="166" t="s">
        <v>339</v>
      </c>
      <c r="C201" s="167">
        <v>41386</v>
      </c>
      <c r="D201" s="168">
        <v>81</v>
      </c>
      <c r="E201" s="168"/>
      <c r="F201" s="172"/>
      <c r="G201" s="1107"/>
      <c r="H201" s="173">
        <v>41389</v>
      </c>
      <c r="I201" s="168">
        <v>81</v>
      </c>
      <c r="J201" s="158"/>
      <c r="K201" s="158"/>
      <c r="L201" s="158"/>
      <c r="M201" s="158"/>
      <c r="N201" s="158"/>
      <c r="O201" s="162"/>
    </row>
    <row r="202" spans="2:15">
      <c r="B202" s="157" t="s">
        <v>313</v>
      </c>
      <c r="C202" s="159">
        <v>41400</v>
      </c>
      <c r="D202" s="158">
        <v>57</v>
      </c>
      <c r="E202" s="158"/>
      <c r="F202" s="160"/>
      <c r="G202" s="1107"/>
      <c r="H202" s="164">
        <v>41410</v>
      </c>
      <c r="I202" s="158">
        <v>57</v>
      </c>
      <c r="J202" s="158"/>
      <c r="K202" s="158"/>
      <c r="L202" s="158"/>
      <c r="M202" s="158"/>
      <c r="N202" s="158"/>
      <c r="O202" s="162"/>
    </row>
    <row r="203" spans="2:15">
      <c r="B203" s="544" t="s">
        <v>340</v>
      </c>
      <c r="C203" s="545"/>
      <c r="D203" s="545"/>
      <c r="E203" s="546">
        <v>41407</v>
      </c>
      <c r="F203" s="547">
        <v>160</v>
      </c>
      <c r="G203" s="1108"/>
      <c r="H203" s="548">
        <v>41408</v>
      </c>
      <c r="I203" s="545">
        <v>160</v>
      </c>
      <c r="J203" s="543"/>
      <c r="K203" s="543"/>
      <c r="L203" s="543"/>
      <c r="M203" s="543"/>
      <c r="N203" s="543"/>
      <c r="O203" s="549"/>
    </row>
    <row r="204" spans="2:15">
      <c r="B204" s="166" t="s">
        <v>341</v>
      </c>
      <c r="C204" s="168"/>
      <c r="D204" s="168"/>
      <c r="E204" s="167">
        <v>41407</v>
      </c>
      <c r="F204" s="168">
        <v>60</v>
      </c>
      <c r="G204" s="778"/>
      <c r="H204" s="167">
        <v>41408</v>
      </c>
      <c r="I204" s="168">
        <v>60</v>
      </c>
      <c r="J204" s="158"/>
      <c r="K204" s="158"/>
      <c r="L204" s="158"/>
      <c r="M204" s="158"/>
      <c r="N204" s="158"/>
      <c r="O204" s="162"/>
    </row>
    <row r="205" spans="2:15">
      <c r="B205" s="166" t="s">
        <v>342</v>
      </c>
      <c r="C205" s="167">
        <v>41410</v>
      </c>
      <c r="D205" s="168">
        <v>54</v>
      </c>
      <c r="E205" s="167"/>
      <c r="F205" s="168"/>
      <c r="G205" s="779"/>
      <c r="H205" s="167">
        <v>41421</v>
      </c>
      <c r="I205" s="168">
        <v>54</v>
      </c>
      <c r="J205" s="158"/>
      <c r="K205" s="158"/>
      <c r="L205" s="158"/>
      <c r="M205" s="158"/>
      <c r="N205" s="158"/>
      <c r="O205" s="162"/>
    </row>
    <row r="206" spans="2:15">
      <c r="B206" s="166" t="s">
        <v>342</v>
      </c>
      <c r="C206" s="167">
        <v>41415</v>
      </c>
      <c r="D206" s="168">
        <v>106</v>
      </c>
      <c r="E206" s="168"/>
      <c r="F206" s="168"/>
      <c r="G206" s="779"/>
      <c r="H206" s="167">
        <v>41418</v>
      </c>
      <c r="I206" s="168">
        <v>106</v>
      </c>
      <c r="J206" s="158"/>
      <c r="K206" s="158"/>
      <c r="L206" s="158"/>
      <c r="M206" s="158"/>
      <c r="N206" s="158"/>
      <c r="O206" s="162"/>
    </row>
    <row r="207" spans="2:15">
      <c r="B207" s="166" t="s">
        <v>338</v>
      </c>
      <c r="C207" s="167">
        <v>41418</v>
      </c>
      <c r="D207" s="168">
        <v>50</v>
      </c>
      <c r="E207" s="168"/>
      <c r="F207" s="168"/>
      <c r="G207" s="779"/>
      <c r="H207" s="167">
        <v>41421</v>
      </c>
      <c r="I207" s="168">
        <v>50</v>
      </c>
      <c r="J207" s="158"/>
      <c r="K207" s="158"/>
      <c r="L207" s="158"/>
      <c r="M207" s="158"/>
      <c r="N207" s="158"/>
      <c r="O207" s="162"/>
    </row>
    <row r="208" spans="2:15">
      <c r="B208" s="166" t="s">
        <v>289</v>
      </c>
      <c r="C208" s="167">
        <v>41418</v>
      </c>
      <c r="D208" s="168">
        <v>110</v>
      </c>
      <c r="E208" s="168"/>
      <c r="F208" s="168"/>
      <c r="G208" s="779"/>
      <c r="H208" s="167">
        <v>41421</v>
      </c>
      <c r="I208" s="168">
        <v>110</v>
      </c>
      <c r="J208" s="158"/>
      <c r="K208" s="158"/>
      <c r="L208" s="158"/>
      <c r="M208" s="158"/>
      <c r="N208" s="158"/>
      <c r="O208" s="162"/>
    </row>
    <row r="209" spans="2:15">
      <c r="B209" s="166" t="s">
        <v>343</v>
      </c>
      <c r="C209" s="167">
        <v>41418</v>
      </c>
      <c r="D209" s="168">
        <v>142</v>
      </c>
      <c r="E209" s="167"/>
      <c r="F209" s="168"/>
      <c r="G209" s="779"/>
      <c r="H209" s="167">
        <v>41421</v>
      </c>
      <c r="I209" s="168">
        <v>142</v>
      </c>
      <c r="J209" s="158"/>
      <c r="K209" s="158"/>
      <c r="L209" s="158"/>
      <c r="M209" s="158"/>
      <c r="N209" s="158"/>
      <c r="O209" s="162"/>
    </row>
    <row r="210" spans="2:15">
      <c r="B210" s="166" t="s">
        <v>333</v>
      </c>
      <c r="C210" s="167">
        <v>41423</v>
      </c>
      <c r="D210" s="168">
        <v>152</v>
      </c>
      <c r="E210" s="168"/>
      <c r="F210" s="168"/>
      <c r="G210" s="779"/>
      <c r="H210" s="167">
        <v>41428</v>
      </c>
      <c r="I210" s="168">
        <v>152</v>
      </c>
      <c r="J210" s="158"/>
      <c r="K210" s="158"/>
      <c r="L210" s="158"/>
      <c r="M210" s="158"/>
      <c r="N210" s="158"/>
      <c r="O210" s="162"/>
    </row>
    <row r="211" spans="2:15">
      <c r="B211" s="166" t="s">
        <v>344</v>
      </c>
      <c r="C211" s="167">
        <v>41438</v>
      </c>
      <c r="D211" s="168">
        <v>200</v>
      </c>
      <c r="E211" s="168"/>
      <c r="F211" s="168"/>
      <c r="G211" s="779"/>
      <c r="H211" s="167">
        <v>41451</v>
      </c>
      <c r="I211" s="168">
        <v>200</v>
      </c>
      <c r="J211" s="158"/>
      <c r="K211" s="158"/>
      <c r="L211" s="158"/>
      <c r="M211" s="158"/>
      <c r="N211" s="158"/>
      <c r="O211" s="162"/>
    </row>
    <row r="212" spans="2:15">
      <c r="B212" s="166" t="s">
        <v>101</v>
      </c>
      <c r="C212" s="167">
        <v>41442</v>
      </c>
      <c r="D212" s="168">
        <v>100</v>
      </c>
      <c r="E212" s="168"/>
      <c r="F212" s="168"/>
      <c r="G212" s="779"/>
      <c r="H212" s="167">
        <v>41451</v>
      </c>
      <c r="I212" s="168">
        <v>100</v>
      </c>
      <c r="J212" s="158"/>
      <c r="K212" s="158"/>
      <c r="L212" s="158"/>
      <c r="M212" s="158"/>
      <c r="N212" s="158"/>
      <c r="O212" s="162"/>
    </row>
    <row r="213" spans="2:15">
      <c r="B213" s="166" t="s">
        <v>333</v>
      </c>
      <c r="C213" s="167">
        <v>41451</v>
      </c>
      <c r="D213" s="168">
        <v>174</v>
      </c>
      <c r="E213" s="168"/>
      <c r="F213" s="168"/>
      <c r="G213" s="779"/>
      <c r="H213" s="167">
        <v>41458</v>
      </c>
      <c r="I213" s="168">
        <v>174</v>
      </c>
      <c r="J213" s="158"/>
      <c r="K213" s="158"/>
      <c r="L213" s="158"/>
      <c r="M213" s="158"/>
      <c r="N213" s="158"/>
      <c r="O213" s="162"/>
    </row>
    <row r="214" spans="2:15">
      <c r="B214" s="166" t="s">
        <v>342</v>
      </c>
      <c r="C214" s="167">
        <v>41451</v>
      </c>
      <c r="D214" s="168">
        <v>70</v>
      </c>
      <c r="E214" s="168"/>
      <c r="F214" s="168"/>
      <c r="G214" s="779"/>
      <c r="H214" s="167">
        <v>41458</v>
      </c>
      <c r="I214" s="168">
        <v>70</v>
      </c>
      <c r="J214" s="158"/>
      <c r="K214" s="158"/>
      <c r="L214" s="158"/>
      <c r="M214" s="158"/>
      <c r="N214" s="158"/>
      <c r="O214" s="162"/>
    </row>
    <row r="215" spans="2:15">
      <c r="B215" s="166" t="s">
        <v>342</v>
      </c>
      <c r="C215" s="167">
        <v>41452</v>
      </c>
      <c r="D215" s="168">
        <v>111</v>
      </c>
      <c r="E215" s="168"/>
      <c r="F215" s="168"/>
      <c r="G215" s="779"/>
      <c r="H215" s="167">
        <v>41458</v>
      </c>
      <c r="I215" s="168">
        <v>11</v>
      </c>
      <c r="J215" s="158"/>
      <c r="K215" s="158"/>
      <c r="L215" s="158"/>
      <c r="M215" s="158"/>
      <c r="N215" s="158"/>
      <c r="O215" s="162"/>
    </row>
    <row r="216" spans="2:15">
      <c r="B216" s="166" t="s">
        <v>339</v>
      </c>
      <c r="C216" s="167">
        <v>41452</v>
      </c>
      <c r="D216" s="168">
        <v>80</v>
      </c>
      <c r="E216" s="168"/>
      <c r="F216" s="168"/>
      <c r="G216" s="779"/>
      <c r="H216" s="167">
        <v>41458</v>
      </c>
      <c r="I216" s="168">
        <v>80</v>
      </c>
      <c r="J216" s="158"/>
      <c r="K216" s="158"/>
      <c r="L216" s="158"/>
      <c r="M216" s="158"/>
      <c r="N216" s="158"/>
      <c r="O216" s="162"/>
    </row>
    <row r="217" spans="2:15">
      <c r="B217" s="166" t="s">
        <v>101</v>
      </c>
      <c r="C217" s="167">
        <v>41452</v>
      </c>
      <c r="D217" s="168">
        <v>65</v>
      </c>
      <c r="E217" s="168"/>
      <c r="F217" s="168"/>
      <c r="G217" s="779"/>
      <c r="H217" s="167">
        <v>41458</v>
      </c>
      <c r="I217" s="168">
        <v>65</v>
      </c>
      <c r="J217" s="158"/>
      <c r="K217" s="158"/>
      <c r="L217" s="158"/>
      <c r="M217" s="158"/>
      <c r="N217" s="158"/>
      <c r="O217" s="162"/>
    </row>
    <row r="218" spans="2:15">
      <c r="B218" s="166" t="s">
        <v>319</v>
      </c>
      <c r="C218" s="167"/>
      <c r="D218" s="168"/>
      <c r="E218" s="167">
        <v>41458</v>
      </c>
      <c r="F218" s="168">
        <v>157</v>
      </c>
      <c r="G218" s="779"/>
      <c r="H218" s="167">
        <v>41470</v>
      </c>
      <c r="I218" s="168">
        <v>157</v>
      </c>
      <c r="J218" s="158"/>
      <c r="K218" s="158"/>
      <c r="L218" s="158"/>
      <c r="M218" s="158"/>
      <c r="N218" s="158"/>
      <c r="O218" s="162"/>
    </row>
    <row r="219" spans="2:15">
      <c r="B219" s="166" t="s">
        <v>344</v>
      </c>
      <c r="C219" s="167">
        <v>41466</v>
      </c>
      <c r="D219" s="168">
        <v>160</v>
      </c>
      <c r="E219" s="168"/>
      <c r="F219" s="168"/>
      <c r="G219" s="779"/>
      <c r="H219" s="167">
        <v>41477</v>
      </c>
      <c r="I219" s="168">
        <v>160</v>
      </c>
      <c r="J219" s="158"/>
      <c r="K219" s="158"/>
      <c r="L219" s="158"/>
      <c r="M219" s="158"/>
      <c r="N219" s="158"/>
      <c r="O219" s="162"/>
    </row>
    <row r="220" spans="2:15">
      <c r="B220" s="166" t="s">
        <v>339</v>
      </c>
      <c r="C220" s="167">
        <v>41466</v>
      </c>
      <c r="D220" s="168">
        <v>130</v>
      </c>
      <c r="E220" s="168"/>
      <c r="F220" s="168"/>
      <c r="G220" s="779"/>
      <c r="H220" s="167">
        <v>41477</v>
      </c>
      <c r="I220" s="168">
        <v>130</v>
      </c>
      <c r="J220" s="158"/>
      <c r="K220" s="158"/>
      <c r="L220" s="158"/>
      <c r="M220" s="158"/>
      <c r="N220" s="158"/>
      <c r="O220" s="162"/>
    </row>
    <row r="221" spans="2:15">
      <c r="B221" s="166" t="s">
        <v>345</v>
      </c>
      <c r="C221" s="167">
        <v>41472</v>
      </c>
      <c r="D221" s="168">
        <v>129</v>
      </c>
      <c r="E221" s="168"/>
      <c r="F221" s="168"/>
      <c r="G221" s="779"/>
      <c r="H221" s="167">
        <v>41477</v>
      </c>
      <c r="I221" s="168">
        <v>129</v>
      </c>
      <c r="J221" s="158"/>
      <c r="K221" s="158"/>
      <c r="L221" s="158"/>
      <c r="M221" s="158"/>
      <c r="N221" s="158"/>
      <c r="O221" s="162"/>
    </row>
    <row r="222" spans="2:15">
      <c r="B222" s="166" t="s">
        <v>101</v>
      </c>
      <c r="C222" s="167">
        <v>41472</v>
      </c>
      <c r="D222" s="168">
        <v>117</v>
      </c>
      <c r="E222" s="168"/>
      <c r="F222" s="168"/>
      <c r="G222" s="779"/>
      <c r="H222" s="167">
        <v>41477</v>
      </c>
      <c r="I222" s="168">
        <v>117</v>
      </c>
      <c r="J222" s="158"/>
      <c r="K222" s="158"/>
      <c r="L222" s="158"/>
      <c r="M222" s="158"/>
      <c r="N222" s="158"/>
      <c r="O222" s="162"/>
    </row>
    <row r="223" spans="2:15">
      <c r="B223" s="166" t="s">
        <v>346</v>
      </c>
      <c r="C223" s="167">
        <v>41480</v>
      </c>
      <c r="D223" s="168">
        <v>207</v>
      </c>
      <c r="E223" s="168"/>
      <c r="F223" s="168"/>
      <c r="G223" s="779"/>
      <c r="H223" s="167">
        <v>41486</v>
      </c>
      <c r="I223" s="168">
        <v>207</v>
      </c>
      <c r="J223" s="158"/>
      <c r="K223" s="158"/>
      <c r="L223" s="158"/>
      <c r="M223" s="158"/>
      <c r="N223" s="158"/>
      <c r="O223" s="162"/>
    </row>
    <row r="224" spans="2:15">
      <c r="B224" s="166" t="s">
        <v>263</v>
      </c>
      <c r="C224" s="167">
        <v>41480</v>
      </c>
      <c r="D224" s="168">
        <v>80</v>
      </c>
      <c r="E224" s="168"/>
      <c r="F224" s="168"/>
      <c r="G224" s="779"/>
      <c r="H224" s="167">
        <v>41486</v>
      </c>
      <c r="I224" s="168">
        <v>80</v>
      </c>
      <c r="J224" s="158"/>
      <c r="K224" s="158"/>
      <c r="L224" s="158"/>
      <c r="M224" s="158"/>
      <c r="N224" s="158"/>
      <c r="O224" s="162"/>
    </row>
    <row r="225" spans="2:15">
      <c r="B225" s="166" t="s">
        <v>263</v>
      </c>
      <c r="C225" s="167">
        <v>41491</v>
      </c>
      <c r="D225" s="168">
        <v>420</v>
      </c>
      <c r="E225" s="168"/>
      <c r="F225" s="168"/>
      <c r="G225" s="779"/>
      <c r="H225" s="167">
        <v>41502</v>
      </c>
      <c r="I225" s="168">
        <v>420</v>
      </c>
      <c r="J225" s="158"/>
      <c r="K225" s="158"/>
      <c r="L225" s="158"/>
      <c r="M225" s="158"/>
      <c r="N225" s="158"/>
      <c r="O225" s="162"/>
    </row>
    <row r="226" spans="2:15">
      <c r="B226" s="166" t="s">
        <v>339</v>
      </c>
      <c r="C226" s="167">
        <v>41491</v>
      </c>
      <c r="D226" s="168">
        <v>43</v>
      </c>
      <c r="E226" s="168"/>
      <c r="F226" s="168"/>
      <c r="G226" s="779"/>
      <c r="H226" s="167">
        <v>41502</v>
      </c>
      <c r="I226" s="168">
        <v>43</v>
      </c>
      <c r="J226" s="158"/>
      <c r="K226" s="158"/>
      <c r="L226" s="158"/>
      <c r="M226" s="158"/>
      <c r="N226" s="158"/>
      <c r="O226" s="162"/>
    </row>
    <row r="227" spans="2:15">
      <c r="B227" s="166" t="s">
        <v>263</v>
      </c>
      <c r="C227" s="168"/>
      <c r="D227" s="168"/>
      <c r="E227" s="167">
        <v>41491</v>
      </c>
      <c r="F227" s="168">
        <v>200</v>
      </c>
      <c r="G227" s="779"/>
      <c r="H227" s="167">
        <v>41500</v>
      </c>
      <c r="I227" s="168">
        <v>200</v>
      </c>
      <c r="J227" s="158"/>
      <c r="K227" s="158"/>
      <c r="L227" s="158"/>
      <c r="M227" s="158"/>
      <c r="N227" s="158"/>
      <c r="O227" s="162"/>
    </row>
    <row r="228" spans="2:15">
      <c r="B228" s="166" t="s">
        <v>339</v>
      </c>
      <c r="C228" s="168"/>
      <c r="D228" s="168"/>
      <c r="E228" s="167">
        <v>41491</v>
      </c>
      <c r="F228" s="168">
        <v>150</v>
      </c>
      <c r="G228" s="779"/>
      <c r="H228" s="167">
        <v>41500</v>
      </c>
      <c r="I228" s="168">
        <v>150</v>
      </c>
      <c r="J228" s="158"/>
      <c r="K228" s="158"/>
      <c r="L228" s="158"/>
      <c r="M228" s="158"/>
      <c r="N228" s="158"/>
      <c r="O228" s="162"/>
    </row>
    <row r="229" spans="2:15">
      <c r="B229" s="166" t="s">
        <v>23</v>
      </c>
      <c r="C229" s="167">
        <v>41498</v>
      </c>
      <c r="D229" s="168">
        <v>484</v>
      </c>
      <c r="E229" s="168"/>
      <c r="F229" s="168"/>
      <c r="G229" s="779"/>
      <c r="H229" s="167">
        <v>41502</v>
      </c>
      <c r="I229" s="168">
        <v>484</v>
      </c>
      <c r="J229" s="158"/>
      <c r="K229" s="158"/>
      <c r="L229" s="158"/>
      <c r="M229" s="158"/>
      <c r="N229" s="158"/>
      <c r="O229" s="162"/>
    </row>
    <row r="230" spans="2:15">
      <c r="B230" s="166" t="s">
        <v>36</v>
      </c>
      <c r="C230" s="167">
        <v>41498</v>
      </c>
      <c r="D230" s="168">
        <v>157</v>
      </c>
      <c r="E230" s="168"/>
      <c r="F230" s="168"/>
      <c r="G230" s="779"/>
      <c r="H230" s="167">
        <v>41502</v>
      </c>
      <c r="I230" s="168">
        <v>157</v>
      </c>
      <c r="J230" s="158"/>
      <c r="K230" s="158"/>
      <c r="L230" s="158"/>
      <c r="M230" s="158"/>
      <c r="N230" s="158"/>
      <c r="O230" s="162"/>
    </row>
    <row r="231" spans="2:15">
      <c r="B231" s="166" t="s">
        <v>41</v>
      </c>
      <c r="C231" s="167">
        <v>41498</v>
      </c>
      <c r="D231" s="168">
        <v>80</v>
      </c>
      <c r="E231" s="168"/>
      <c r="F231" s="168"/>
      <c r="G231" s="779"/>
      <c r="H231" s="167">
        <v>41502</v>
      </c>
      <c r="I231" s="168">
        <v>80</v>
      </c>
      <c r="J231" s="158"/>
      <c r="K231" s="158"/>
      <c r="L231" s="158"/>
      <c r="M231" s="158"/>
      <c r="N231" s="158"/>
      <c r="O231" s="162"/>
    </row>
    <row r="232" spans="2:15">
      <c r="B232" s="166" t="s">
        <v>333</v>
      </c>
      <c r="C232" s="167">
        <v>41348</v>
      </c>
      <c r="D232" s="168">
        <v>153</v>
      </c>
      <c r="E232" s="168"/>
      <c r="F232" s="168"/>
      <c r="G232" s="779"/>
      <c r="H232" s="167">
        <v>41502</v>
      </c>
      <c r="I232" s="168">
        <v>153</v>
      </c>
      <c r="J232" s="145"/>
      <c r="K232" s="145"/>
      <c r="L232" s="145"/>
      <c r="M232" s="158"/>
      <c r="N232" s="158"/>
      <c r="O232" s="162"/>
    </row>
    <row r="233" spans="2:15">
      <c r="B233" s="166" t="s">
        <v>344</v>
      </c>
      <c r="C233" s="167">
        <v>41348</v>
      </c>
      <c r="D233" s="168">
        <v>116</v>
      </c>
      <c r="E233" s="168"/>
      <c r="F233" s="168"/>
      <c r="G233" s="779"/>
      <c r="H233" s="167">
        <v>41502</v>
      </c>
      <c r="I233" s="168">
        <v>116</v>
      </c>
      <c r="J233" s="145"/>
      <c r="K233" s="145"/>
      <c r="L233" s="145"/>
      <c r="M233" s="158"/>
      <c r="N233" s="158"/>
      <c r="O233" s="162"/>
    </row>
    <row r="234" spans="2:15">
      <c r="B234" s="166" t="s">
        <v>263</v>
      </c>
      <c r="C234" s="167">
        <v>41507</v>
      </c>
      <c r="D234" s="168">
        <v>113</v>
      </c>
      <c r="E234" s="168"/>
      <c r="F234" s="168"/>
      <c r="G234" s="779"/>
      <c r="H234" s="167">
        <v>41508</v>
      </c>
      <c r="I234" s="168">
        <v>113</v>
      </c>
      <c r="J234" s="145"/>
      <c r="K234" s="145"/>
      <c r="L234" s="145"/>
      <c r="M234" s="158"/>
      <c r="N234" s="158"/>
      <c r="O234" s="162"/>
    </row>
    <row r="235" spans="2:15">
      <c r="B235" s="166" t="s">
        <v>101</v>
      </c>
      <c r="C235" s="167">
        <v>41507</v>
      </c>
      <c r="D235" s="168">
        <v>58</v>
      </c>
      <c r="E235" s="168"/>
      <c r="F235" s="168"/>
      <c r="G235" s="779"/>
      <c r="H235" s="167">
        <v>41508</v>
      </c>
      <c r="I235" s="168">
        <v>58</v>
      </c>
      <c r="J235" s="145"/>
      <c r="K235" s="145"/>
      <c r="L235" s="145"/>
      <c r="M235" s="158"/>
      <c r="N235" s="158"/>
      <c r="O235" s="162"/>
    </row>
    <row r="236" spans="2:15">
      <c r="B236" s="166" t="s">
        <v>334</v>
      </c>
      <c r="C236" s="168"/>
      <c r="D236" s="168"/>
      <c r="E236" s="167">
        <v>41506</v>
      </c>
      <c r="F236" s="168">
        <v>156</v>
      </c>
      <c r="G236" s="779"/>
      <c r="H236" s="167">
        <v>41507</v>
      </c>
      <c r="I236" s="168">
        <v>156</v>
      </c>
      <c r="J236" s="145"/>
      <c r="K236" s="145"/>
      <c r="L236" s="145"/>
      <c r="M236" s="158"/>
      <c r="N236" s="158"/>
      <c r="O236" s="162"/>
    </row>
    <row r="237" spans="2:15">
      <c r="B237" s="157" t="s">
        <v>260</v>
      </c>
      <c r="C237" s="181">
        <v>41508</v>
      </c>
      <c r="D237" s="182">
        <v>513</v>
      </c>
      <c r="E237" s="158"/>
      <c r="F237" s="158"/>
      <c r="G237" s="779"/>
      <c r="H237" s="181">
        <v>41519</v>
      </c>
      <c r="I237" s="182">
        <v>508</v>
      </c>
      <c r="J237" s="145"/>
      <c r="K237" s="145"/>
      <c r="L237" s="145"/>
      <c r="M237" s="158"/>
      <c r="N237" s="158"/>
      <c r="O237" s="162"/>
    </row>
    <row r="238" spans="2:15">
      <c r="B238" s="166" t="s">
        <v>347</v>
      </c>
      <c r="C238" s="167">
        <v>41513</v>
      </c>
      <c r="D238" s="168">
        <v>27</v>
      </c>
      <c r="E238" s="168"/>
      <c r="F238" s="168"/>
      <c r="G238" s="779"/>
      <c r="H238" s="167">
        <v>41519</v>
      </c>
      <c r="I238" s="168">
        <v>27</v>
      </c>
      <c r="J238" s="145"/>
      <c r="K238" s="145"/>
      <c r="L238" s="145"/>
      <c r="M238" s="158"/>
      <c r="N238" s="158"/>
      <c r="O238" s="162"/>
    </row>
    <row r="239" spans="2:15">
      <c r="B239" s="166" t="s">
        <v>101</v>
      </c>
      <c r="C239" s="167"/>
      <c r="D239" s="168"/>
      <c r="E239" s="167">
        <v>41529</v>
      </c>
      <c r="F239" s="168">
        <v>157</v>
      </c>
      <c r="G239" s="779"/>
      <c r="H239" s="167">
        <v>41540</v>
      </c>
      <c r="I239" s="168">
        <v>157</v>
      </c>
      <c r="J239" s="145"/>
      <c r="K239" s="145"/>
      <c r="L239" s="145"/>
      <c r="M239" s="158"/>
      <c r="N239" s="158"/>
      <c r="O239" s="162"/>
    </row>
    <row r="240" spans="2:15">
      <c r="B240" s="166" t="s">
        <v>348</v>
      </c>
      <c r="C240" s="167">
        <v>41529</v>
      </c>
      <c r="D240" s="168">
        <v>503</v>
      </c>
      <c r="E240" s="168"/>
      <c r="F240" s="168"/>
      <c r="G240" s="779"/>
      <c r="H240" s="167">
        <v>41543</v>
      </c>
      <c r="I240" s="168">
        <v>503</v>
      </c>
      <c r="J240" s="145"/>
      <c r="K240" s="145"/>
      <c r="L240" s="145"/>
      <c r="M240" s="158"/>
      <c r="N240" s="158"/>
      <c r="O240" s="162"/>
    </row>
    <row r="241" spans="2:15">
      <c r="B241" s="166" t="s">
        <v>334</v>
      </c>
      <c r="C241" s="167">
        <v>41529</v>
      </c>
      <c r="D241" s="168">
        <v>53</v>
      </c>
      <c r="E241" s="168"/>
      <c r="F241" s="168"/>
      <c r="G241" s="779"/>
      <c r="H241" s="167">
        <v>41543</v>
      </c>
      <c r="I241" s="168">
        <v>53</v>
      </c>
      <c r="J241" s="145"/>
      <c r="K241" s="145"/>
      <c r="L241" s="145"/>
      <c r="M241" s="158"/>
      <c r="N241" s="158"/>
      <c r="O241" s="162"/>
    </row>
    <row r="242" spans="2:15">
      <c r="B242" s="166" t="s">
        <v>342</v>
      </c>
      <c r="C242" s="167">
        <v>41537</v>
      </c>
      <c r="D242" s="168">
        <v>184</v>
      </c>
      <c r="E242" s="168"/>
      <c r="F242" s="168"/>
      <c r="G242" s="779"/>
      <c r="H242" s="167">
        <v>41543</v>
      </c>
      <c r="I242" s="168">
        <v>184</v>
      </c>
      <c r="J242" s="145"/>
      <c r="K242" s="145"/>
      <c r="L242" s="145"/>
      <c r="M242" s="158"/>
      <c r="N242" s="158"/>
      <c r="O242" s="162"/>
    </row>
    <row r="243" spans="2:15">
      <c r="B243" s="166" t="s">
        <v>101</v>
      </c>
      <c r="C243" s="167">
        <v>41537</v>
      </c>
      <c r="D243" s="168">
        <v>127</v>
      </c>
      <c r="E243" s="168"/>
      <c r="F243" s="168"/>
      <c r="G243" s="779"/>
      <c r="H243" s="167">
        <v>41543</v>
      </c>
      <c r="I243" s="168">
        <v>127</v>
      </c>
      <c r="J243" s="145"/>
      <c r="K243" s="145"/>
      <c r="L243" s="145"/>
      <c r="M243" s="158"/>
      <c r="N243" s="158"/>
      <c r="O243" s="162"/>
    </row>
    <row r="244" spans="2:15">
      <c r="B244" s="166" t="s">
        <v>343</v>
      </c>
      <c r="C244" s="167">
        <v>41537</v>
      </c>
      <c r="D244" s="168">
        <v>57</v>
      </c>
      <c r="E244" s="167"/>
      <c r="F244" s="168"/>
      <c r="G244" s="779"/>
      <c r="H244" s="167">
        <v>41543</v>
      </c>
      <c r="I244" s="168">
        <v>57</v>
      </c>
      <c r="J244" s="145"/>
      <c r="K244" s="145"/>
      <c r="L244" s="145"/>
      <c r="M244" s="158"/>
      <c r="N244" s="158"/>
      <c r="O244" s="162"/>
    </row>
    <row r="245" spans="2:15">
      <c r="B245" s="166" t="s">
        <v>333</v>
      </c>
      <c r="C245" s="167">
        <v>41540</v>
      </c>
      <c r="D245" s="168">
        <v>150</v>
      </c>
      <c r="E245" s="168"/>
      <c r="F245" s="168"/>
      <c r="G245" s="779"/>
      <c r="H245" s="167">
        <v>41543</v>
      </c>
      <c r="I245" s="168">
        <v>150</v>
      </c>
      <c r="J245" s="158"/>
      <c r="K245" s="158"/>
      <c r="L245" s="158"/>
      <c r="M245" s="158"/>
      <c r="N245" s="158"/>
      <c r="O245" s="162"/>
    </row>
    <row r="246" spans="2:15">
      <c r="B246" s="166" t="s">
        <v>349</v>
      </c>
      <c r="C246" s="167"/>
      <c r="D246" s="168"/>
      <c r="E246" s="167">
        <v>41542</v>
      </c>
      <c r="F246" s="168">
        <v>168</v>
      </c>
      <c r="G246" s="779"/>
      <c r="H246" s="167">
        <v>41543</v>
      </c>
      <c r="I246" s="168">
        <v>165</v>
      </c>
      <c r="J246" s="158"/>
      <c r="K246" s="158"/>
      <c r="L246" s="158"/>
      <c r="M246" s="158"/>
      <c r="N246" s="158"/>
      <c r="O246" s="162"/>
    </row>
    <row r="247" spans="2:15">
      <c r="B247" s="166" t="s">
        <v>350</v>
      </c>
      <c r="C247" s="167">
        <v>41542</v>
      </c>
      <c r="D247" s="168">
        <v>118</v>
      </c>
      <c r="E247" s="167"/>
      <c r="F247" s="168"/>
      <c r="G247" s="779"/>
      <c r="H247" s="167">
        <v>41543</v>
      </c>
      <c r="I247" s="168">
        <v>118</v>
      </c>
      <c r="J247" s="158"/>
      <c r="K247" s="158"/>
      <c r="L247" s="158"/>
      <c r="M247" s="158"/>
      <c r="N247" s="158"/>
      <c r="O247" s="162"/>
    </row>
    <row r="248" spans="2:15">
      <c r="B248" s="157" t="s">
        <v>322</v>
      </c>
      <c r="C248" s="159"/>
      <c r="D248" s="158"/>
      <c r="E248" s="159">
        <v>41551</v>
      </c>
      <c r="F248" s="158">
        <v>200</v>
      </c>
      <c r="G248" s="779"/>
      <c r="H248" s="158"/>
      <c r="I248" s="158"/>
      <c r="J248" s="158"/>
      <c r="K248" s="158"/>
      <c r="L248" s="158"/>
      <c r="M248" s="158"/>
      <c r="N248" s="158"/>
      <c r="O248" s="162"/>
    </row>
    <row r="249" spans="2:15">
      <c r="B249" s="157" t="s">
        <v>318</v>
      </c>
      <c r="C249" s="159"/>
      <c r="D249" s="158"/>
      <c r="E249" s="159">
        <v>41551</v>
      </c>
      <c r="F249" s="158">
        <v>150</v>
      </c>
      <c r="G249" s="779"/>
      <c r="H249" s="158"/>
      <c r="I249" s="158"/>
      <c r="J249" s="158"/>
      <c r="K249" s="158"/>
      <c r="L249" s="158"/>
      <c r="M249" s="158"/>
      <c r="N249" s="158"/>
      <c r="O249" s="162"/>
    </row>
    <row r="250" spans="2:15">
      <c r="B250" s="166" t="s">
        <v>307</v>
      </c>
      <c r="C250" s="167">
        <v>41556</v>
      </c>
      <c r="D250" s="168">
        <v>115</v>
      </c>
      <c r="E250" s="168"/>
      <c r="F250" s="168"/>
      <c r="G250" s="779"/>
      <c r="H250" s="167">
        <v>41557</v>
      </c>
      <c r="I250" s="168">
        <v>115</v>
      </c>
      <c r="J250" s="145"/>
      <c r="K250" s="145"/>
      <c r="L250" s="145"/>
      <c r="M250" s="145"/>
      <c r="N250" s="145"/>
      <c r="O250" s="149"/>
    </row>
    <row r="251" spans="2:15">
      <c r="B251" s="166" t="s">
        <v>308</v>
      </c>
      <c r="C251" s="167">
        <v>41556</v>
      </c>
      <c r="D251" s="168">
        <v>143</v>
      </c>
      <c r="E251" s="168"/>
      <c r="F251" s="168"/>
      <c r="G251" s="779"/>
      <c r="H251" s="167">
        <v>41557</v>
      </c>
      <c r="I251" s="168">
        <v>143</v>
      </c>
      <c r="J251" s="145"/>
      <c r="K251" s="145"/>
      <c r="L251" s="145"/>
      <c r="M251" s="145"/>
      <c r="N251" s="145"/>
      <c r="O251" s="149"/>
    </row>
    <row r="252" spans="2:15">
      <c r="B252" s="166" t="s">
        <v>225</v>
      </c>
      <c r="C252" s="167">
        <v>41556</v>
      </c>
      <c r="D252" s="168">
        <v>83</v>
      </c>
      <c r="E252" s="168"/>
      <c r="F252" s="168"/>
      <c r="G252" s="779"/>
      <c r="H252" s="167">
        <v>41557</v>
      </c>
      <c r="I252" s="168">
        <v>83</v>
      </c>
      <c r="J252" s="145"/>
      <c r="K252" s="145"/>
      <c r="L252" s="145"/>
      <c r="M252" s="145"/>
      <c r="N252" s="145"/>
      <c r="O252" s="149"/>
    </row>
    <row r="253" spans="2:15">
      <c r="B253" s="166" t="s">
        <v>281</v>
      </c>
      <c r="C253" s="167">
        <v>41556</v>
      </c>
      <c r="D253" s="168">
        <v>25</v>
      </c>
      <c r="E253" s="168"/>
      <c r="F253" s="168"/>
      <c r="G253" s="779"/>
      <c r="H253" s="167">
        <v>41557</v>
      </c>
      <c r="I253" s="168">
        <v>25</v>
      </c>
      <c r="J253" s="145"/>
      <c r="K253" s="145"/>
      <c r="L253" s="145"/>
      <c r="M253" s="145"/>
      <c r="N253" s="145"/>
      <c r="O253" s="149"/>
    </row>
    <row r="254" spans="2:15">
      <c r="B254" s="166" t="s">
        <v>333</v>
      </c>
      <c r="C254" s="167">
        <v>41562</v>
      </c>
      <c r="D254" s="168">
        <f>153-100</f>
        <v>53</v>
      </c>
      <c r="E254" s="167"/>
      <c r="F254" s="168"/>
      <c r="G254" s="779"/>
      <c r="H254" s="167">
        <v>41576</v>
      </c>
      <c r="I254" s="168">
        <v>53</v>
      </c>
      <c r="J254" s="145"/>
      <c r="K254" s="145"/>
      <c r="L254" s="145"/>
      <c r="M254" s="145"/>
      <c r="N254" s="145"/>
      <c r="O254" s="149"/>
    </row>
    <row r="255" spans="2:15">
      <c r="B255" s="166" t="s">
        <v>263</v>
      </c>
      <c r="C255" s="167">
        <v>41562</v>
      </c>
      <c r="D255" s="168">
        <v>110</v>
      </c>
      <c r="E255" s="168"/>
      <c r="F255" s="168"/>
      <c r="G255" s="779"/>
      <c r="H255" s="167"/>
      <c r="I255" s="168">
        <v>110</v>
      </c>
      <c r="J255" s="145"/>
      <c r="K255" s="145"/>
      <c r="L255" s="145"/>
      <c r="M255" s="145"/>
      <c r="N255" s="145"/>
      <c r="O255" s="149"/>
    </row>
    <row r="256" spans="2:15">
      <c r="B256" s="166" t="s">
        <v>23</v>
      </c>
      <c r="C256" s="167">
        <v>41571</v>
      </c>
      <c r="D256" s="168">
        <v>110</v>
      </c>
      <c r="E256" s="168"/>
      <c r="F256" s="168"/>
      <c r="G256" s="779"/>
      <c r="H256" s="167"/>
      <c r="I256" s="168">
        <v>110</v>
      </c>
      <c r="J256" s="145"/>
      <c r="K256" s="145"/>
      <c r="L256" s="145"/>
      <c r="M256" s="145"/>
      <c r="N256" s="145"/>
      <c r="O256" s="149"/>
    </row>
    <row r="257" spans="2:15">
      <c r="B257" s="166" t="s">
        <v>348</v>
      </c>
      <c r="C257" s="167"/>
      <c r="D257" s="168">
        <v>125</v>
      </c>
      <c r="E257" s="167"/>
      <c r="F257" s="168"/>
      <c r="G257" s="779"/>
      <c r="H257" s="167"/>
      <c r="I257" s="168">
        <v>125</v>
      </c>
      <c r="J257" s="145"/>
      <c r="K257" s="145"/>
      <c r="L257" s="145"/>
      <c r="M257" s="145"/>
      <c r="N257" s="145"/>
      <c r="O257" s="149"/>
    </row>
    <row r="258" spans="2:15">
      <c r="B258" s="166" t="s">
        <v>333</v>
      </c>
      <c r="C258" s="167">
        <v>41575</v>
      </c>
      <c r="D258" s="168">
        <v>155</v>
      </c>
      <c r="E258" s="168"/>
      <c r="F258" s="168"/>
      <c r="G258" s="779"/>
      <c r="H258" s="167"/>
      <c r="I258" s="168">
        <v>155</v>
      </c>
      <c r="J258" s="145"/>
      <c r="K258" s="145"/>
      <c r="L258" s="145"/>
      <c r="M258" s="145"/>
      <c r="N258" s="145"/>
      <c r="O258" s="149"/>
    </row>
    <row r="259" spans="2:15">
      <c r="B259" s="166" t="s">
        <v>339</v>
      </c>
      <c r="C259" s="167">
        <v>41575</v>
      </c>
      <c r="D259" s="168">
        <v>51</v>
      </c>
      <c r="E259" s="168"/>
      <c r="F259" s="168"/>
      <c r="G259" s="779"/>
      <c r="H259" s="168"/>
      <c r="I259" s="168">
        <v>51</v>
      </c>
      <c r="J259" s="145"/>
      <c r="K259" s="145"/>
      <c r="L259" s="145"/>
      <c r="M259" s="145"/>
      <c r="N259" s="145"/>
      <c r="O259" s="149"/>
    </row>
    <row r="260" spans="2:15">
      <c r="B260" s="166" t="s">
        <v>334</v>
      </c>
      <c r="C260" s="167">
        <v>41578</v>
      </c>
      <c r="D260" s="168">
        <v>134</v>
      </c>
      <c r="E260" s="168"/>
      <c r="F260" s="168"/>
      <c r="G260" s="779"/>
      <c r="H260" s="167">
        <v>41583</v>
      </c>
      <c r="I260" s="168">
        <v>134</v>
      </c>
      <c r="J260" s="145"/>
      <c r="K260" s="145"/>
      <c r="L260" s="145"/>
      <c r="M260" s="145"/>
      <c r="N260" s="145"/>
      <c r="O260" s="149"/>
    </row>
    <row r="261" spans="2:15">
      <c r="B261" s="166" t="s">
        <v>350</v>
      </c>
      <c r="C261" s="167">
        <v>41576</v>
      </c>
      <c r="D261" s="168">
        <v>131</v>
      </c>
      <c r="E261" s="168"/>
      <c r="F261" s="168"/>
      <c r="G261" s="779"/>
      <c r="H261" s="167">
        <v>41584</v>
      </c>
      <c r="I261" s="168">
        <v>131</v>
      </c>
      <c r="J261" s="145"/>
      <c r="K261" s="145"/>
      <c r="L261" s="145"/>
      <c r="M261" s="145"/>
      <c r="N261" s="145"/>
      <c r="O261" s="149"/>
    </row>
    <row r="262" spans="2:15">
      <c r="B262" s="157" t="s">
        <v>338</v>
      </c>
      <c r="C262" s="159"/>
      <c r="D262" s="158"/>
      <c r="E262" s="159">
        <v>41582</v>
      </c>
      <c r="F262" s="158">
        <v>155</v>
      </c>
      <c r="G262" s="779"/>
      <c r="H262" s="146"/>
      <c r="I262" s="145"/>
      <c r="J262" s="145"/>
      <c r="K262" s="145"/>
      <c r="L262" s="145"/>
      <c r="M262" s="145"/>
      <c r="N262" s="145"/>
      <c r="O262" s="149"/>
    </row>
    <row r="263" spans="2:15">
      <c r="B263" s="157" t="s">
        <v>263</v>
      </c>
      <c r="C263" s="159">
        <v>41593</v>
      </c>
      <c r="D263" s="158">
        <v>300</v>
      </c>
      <c r="E263" s="159"/>
      <c r="F263" s="158"/>
      <c r="G263" s="779"/>
      <c r="H263" s="146">
        <v>41604</v>
      </c>
      <c r="I263" s="145">
        <v>300</v>
      </c>
      <c r="J263" s="145"/>
      <c r="K263" s="145"/>
      <c r="L263" s="145"/>
      <c r="M263" s="145"/>
      <c r="N263" s="145"/>
      <c r="O263" s="149"/>
    </row>
    <row r="264" spans="2:15">
      <c r="B264" s="157" t="s">
        <v>101</v>
      </c>
      <c r="C264" s="159">
        <v>41593</v>
      </c>
      <c r="D264" s="158">
        <v>150</v>
      </c>
      <c r="E264" s="159"/>
      <c r="F264" s="158"/>
      <c r="G264" s="779"/>
      <c r="H264" s="146"/>
      <c r="I264" s="145">
        <v>150</v>
      </c>
      <c r="J264" s="145"/>
      <c r="K264" s="145"/>
      <c r="L264" s="145"/>
      <c r="M264" s="145"/>
      <c r="N264" s="145"/>
      <c r="O264" s="149"/>
    </row>
    <row r="265" spans="2:15">
      <c r="B265" s="157" t="s">
        <v>101</v>
      </c>
      <c r="C265" s="159">
        <v>41596</v>
      </c>
      <c r="D265" s="158">
        <v>138</v>
      </c>
      <c r="E265" s="158"/>
      <c r="F265" s="158"/>
      <c r="G265" s="779"/>
      <c r="H265" s="146"/>
      <c r="I265" s="145">
        <v>138</v>
      </c>
      <c r="J265" s="145"/>
      <c r="K265" s="145"/>
      <c r="L265" s="145"/>
      <c r="M265" s="145"/>
      <c r="N265" s="145"/>
      <c r="O265" s="149"/>
    </row>
    <row r="266" spans="2:15">
      <c r="B266" s="157" t="s">
        <v>345</v>
      </c>
      <c r="C266" s="159">
        <v>41599</v>
      </c>
      <c r="D266" s="158">
        <v>45</v>
      </c>
      <c r="E266" s="158"/>
      <c r="F266" s="158"/>
      <c r="G266" s="779"/>
      <c r="H266" s="145"/>
      <c r="I266" s="145"/>
      <c r="J266" s="145"/>
      <c r="K266" s="145"/>
      <c r="L266" s="145"/>
      <c r="M266" s="145"/>
      <c r="N266" s="145"/>
      <c r="O266" s="149"/>
    </row>
    <row r="267" spans="2:15">
      <c r="B267" s="157" t="s">
        <v>348</v>
      </c>
      <c r="C267" s="159">
        <v>41599</v>
      </c>
      <c r="D267" s="158">
        <v>188</v>
      </c>
      <c r="E267" s="158"/>
      <c r="F267" s="158"/>
      <c r="G267" s="779"/>
      <c r="H267" s="145"/>
      <c r="I267" s="145"/>
      <c r="J267" s="145"/>
      <c r="K267" s="145"/>
      <c r="L267" s="145"/>
      <c r="M267" s="145"/>
      <c r="N267" s="145"/>
      <c r="O267" s="149"/>
    </row>
    <row r="268" spans="2:15">
      <c r="B268" s="157" t="s">
        <v>333</v>
      </c>
      <c r="C268" s="159">
        <v>41599</v>
      </c>
      <c r="D268" s="158">
        <v>21</v>
      </c>
      <c r="E268" s="158"/>
      <c r="F268" s="158"/>
      <c r="G268" s="779"/>
      <c r="H268" s="145"/>
      <c r="I268" s="145"/>
      <c r="J268" s="145"/>
      <c r="K268" s="145"/>
      <c r="L268" s="145"/>
      <c r="M268" s="145"/>
      <c r="N268" s="145"/>
      <c r="O268" s="149"/>
    </row>
    <row r="269" spans="2:15">
      <c r="B269" s="157" t="s">
        <v>339</v>
      </c>
      <c r="C269" s="159"/>
      <c r="D269" s="158"/>
      <c r="E269" s="159">
        <v>41599</v>
      </c>
      <c r="F269" s="158">
        <v>159</v>
      </c>
      <c r="G269" s="779"/>
      <c r="H269" s="146">
        <v>41607</v>
      </c>
      <c r="I269" s="145">
        <v>159</v>
      </c>
      <c r="J269" s="145"/>
      <c r="K269" s="145"/>
      <c r="L269" s="145"/>
      <c r="M269" s="145"/>
      <c r="N269" s="145"/>
      <c r="O269" s="149"/>
    </row>
    <row r="270" spans="2:15">
      <c r="B270" s="157" t="s">
        <v>351</v>
      </c>
      <c r="C270" s="159"/>
      <c r="D270" s="158"/>
      <c r="E270" s="159"/>
      <c r="F270" s="158"/>
      <c r="G270" s="779"/>
      <c r="H270" s="146">
        <v>41779</v>
      </c>
      <c r="I270" s="145">
        <v>497</v>
      </c>
      <c r="J270" s="145"/>
      <c r="K270" s="145"/>
      <c r="L270" s="145"/>
      <c r="M270" s="145"/>
      <c r="N270" s="145"/>
      <c r="O270" s="149"/>
    </row>
    <row r="271" spans="2:15">
      <c r="B271" s="157" t="s">
        <v>348</v>
      </c>
      <c r="C271" s="159">
        <v>41619</v>
      </c>
      <c r="D271" s="158">
        <v>126</v>
      </c>
      <c r="E271" s="159"/>
      <c r="F271" s="158"/>
      <c r="G271" s="779"/>
      <c r="H271" s="146">
        <v>41624</v>
      </c>
      <c r="I271" s="145">
        <v>126</v>
      </c>
      <c r="J271" s="145"/>
      <c r="K271" s="145"/>
      <c r="L271" s="145"/>
      <c r="M271" s="145"/>
      <c r="N271" s="145"/>
      <c r="O271" s="149"/>
    </row>
    <row r="272" spans="2:15">
      <c r="B272" s="157" t="s">
        <v>101</v>
      </c>
      <c r="C272" s="159">
        <v>41619</v>
      </c>
      <c r="D272" s="158">
        <v>111</v>
      </c>
      <c r="E272" s="159"/>
      <c r="F272" s="158"/>
      <c r="G272" s="779"/>
      <c r="H272" s="146">
        <v>41624</v>
      </c>
      <c r="I272" s="145">
        <v>111</v>
      </c>
      <c r="J272" s="145"/>
      <c r="K272" s="145"/>
      <c r="L272" s="145"/>
      <c r="M272" s="145"/>
      <c r="N272" s="145"/>
      <c r="O272" s="149"/>
    </row>
    <row r="273" spans="2:15">
      <c r="B273" s="157" t="s">
        <v>333</v>
      </c>
      <c r="C273" s="159">
        <v>41619</v>
      </c>
      <c r="D273" s="158">
        <v>109</v>
      </c>
      <c r="E273" s="158"/>
      <c r="F273" s="158"/>
      <c r="G273" s="779"/>
      <c r="H273" s="146">
        <v>41624</v>
      </c>
      <c r="I273" s="145">
        <v>109</v>
      </c>
      <c r="J273" s="145"/>
      <c r="K273" s="145"/>
      <c r="L273" s="145"/>
      <c r="M273" s="145"/>
      <c r="N273" s="145"/>
      <c r="O273" s="149"/>
    </row>
    <row r="274" spans="2:15">
      <c r="B274" s="157" t="s">
        <v>319</v>
      </c>
      <c r="C274" s="159"/>
      <c r="D274" s="158"/>
      <c r="E274" s="159">
        <v>41621</v>
      </c>
      <c r="F274" s="158">
        <v>151</v>
      </c>
      <c r="G274" s="779"/>
      <c r="H274" s="146">
        <v>41626</v>
      </c>
      <c r="I274" s="145">
        <v>151</v>
      </c>
      <c r="J274" s="145"/>
      <c r="K274" s="145"/>
      <c r="L274" s="145"/>
      <c r="M274" s="145"/>
      <c r="N274" s="145"/>
      <c r="O274" s="149"/>
    </row>
    <row r="275" spans="2:15">
      <c r="B275" s="157" t="s">
        <v>342</v>
      </c>
      <c r="C275" s="159">
        <v>41624</v>
      </c>
      <c r="D275" s="158">
        <v>119</v>
      </c>
      <c r="E275" s="158"/>
      <c r="F275" s="158"/>
      <c r="G275" s="779"/>
      <c r="H275" s="146">
        <v>41641</v>
      </c>
      <c r="I275" s="145">
        <v>119</v>
      </c>
      <c r="J275" s="145"/>
      <c r="K275" s="145"/>
      <c r="L275" s="145"/>
      <c r="M275" s="145"/>
      <c r="N275" s="145"/>
      <c r="O275" s="149"/>
    </row>
    <row r="276" spans="2:15">
      <c r="B276" s="166" t="s">
        <v>334</v>
      </c>
      <c r="C276" s="167"/>
      <c r="D276" s="168"/>
      <c r="E276" s="167">
        <v>41625</v>
      </c>
      <c r="F276" s="168">
        <v>123</v>
      </c>
      <c r="G276" s="779"/>
      <c r="H276" s="167">
        <v>41641</v>
      </c>
      <c r="I276" s="168">
        <v>123</v>
      </c>
      <c r="J276" s="145"/>
      <c r="K276" s="145"/>
      <c r="L276" s="145"/>
      <c r="M276" s="145"/>
      <c r="N276" s="145"/>
      <c r="O276" s="149"/>
    </row>
    <row r="277" spans="2:15">
      <c r="B277" s="166" t="s">
        <v>346</v>
      </c>
      <c r="C277" s="167">
        <v>41627</v>
      </c>
      <c r="D277" s="168">
        <v>163</v>
      </c>
      <c r="E277" s="167"/>
      <c r="F277" s="168"/>
      <c r="G277" s="779"/>
      <c r="H277" s="146">
        <v>41641</v>
      </c>
      <c r="I277" s="145">
        <v>163</v>
      </c>
      <c r="J277" s="145"/>
      <c r="K277" s="145"/>
      <c r="L277" s="145"/>
      <c r="M277" s="145"/>
      <c r="N277" s="145"/>
      <c r="O277" s="149"/>
    </row>
    <row r="278" spans="2:15">
      <c r="B278" s="166" t="s">
        <v>260</v>
      </c>
      <c r="C278" s="167">
        <v>41653</v>
      </c>
      <c r="D278" s="168">
        <v>93</v>
      </c>
      <c r="E278" s="167"/>
      <c r="F278" s="168"/>
      <c r="G278" s="779"/>
      <c r="H278" s="146">
        <v>41662</v>
      </c>
      <c r="I278" s="145">
        <v>93</v>
      </c>
      <c r="J278" s="145"/>
      <c r="K278" s="145"/>
      <c r="L278" s="145"/>
      <c r="M278" s="145"/>
      <c r="N278" s="145"/>
      <c r="O278" s="149"/>
    </row>
    <row r="279" spans="2:15">
      <c r="B279" s="166" t="s">
        <v>339</v>
      </c>
      <c r="C279" s="167">
        <v>41653</v>
      </c>
      <c r="D279" s="168">
        <v>19</v>
      </c>
      <c r="E279" s="168"/>
      <c r="F279" s="168"/>
      <c r="G279" s="779"/>
      <c r="H279" s="146">
        <v>41662</v>
      </c>
      <c r="I279" s="145">
        <v>19</v>
      </c>
      <c r="J279" s="145"/>
      <c r="K279" s="145"/>
      <c r="L279" s="145"/>
      <c r="M279" s="145"/>
      <c r="N279" s="145"/>
      <c r="O279" s="149"/>
    </row>
    <row r="280" spans="2:15">
      <c r="B280" s="166" t="s">
        <v>344</v>
      </c>
      <c r="C280" s="167">
        <v>41653</v>
      </c>
      <c r="D280" s="168">
        <v>3</v>
      </c>
      <c r="E280" s="167"/>
      <c r="F280" s="168"/>
      <c r="G280" s="779"/>
      <c r="H280" s="146">
        <v>41662</v>
      </c>
      <c r="I280" s="145">
        <v>3</v>
      </c>
      <c r="J280" s="145"/>
      <c r="K280" s="145"/>
      <c r="L280" s="145"/>
      <c r="M280" s="145"/>
      <c r="N280" s="145"/>
      <c r="O280" s="149"/>
    </row>
    <row r="281" spans="2:15">
      <c r="B281" s="157" t="s">
        <v>352</v>
      </c>
      <c r="C281" s="159"/>
      <c r="D281" s="158"/>
      <c r="E281" s="159">
        <v>41659</v>
      </c>
      <c r="F281" s="158">
        <v>105</v>
      </c>
      <c r="G281" s="779"/>
      <c r="H281" s="146">
        <v>41675</v>
      </c>
      <c r="I281" s="145">
        <v>105</v>
      </c>
      <c r="J281" s="145"/>
      <c r="K281" s="145"/>
      <c r="L281" s="145"/>
      <c r="M281" s="145"/>
      <c r="N281" s="145"/>
      <c r="O281" s="149"/>
    </row>
    <row r="282" spans="2:15" s="150" customFormat="1">
      <c r="B282" s="144" t="s">
        <v>339</v>
      </c>
      <c r="C282" s="146">
        <v>41676</v>
      </c>
      <c r="D282" s="145">
        <v>168</v>
      </c>
      <c r="E282" s="146"/>
      <c r="F282" s="145"/>
      <c r="G282" s="779"/>
      <c r="H282" s="146">
        <v>41682</v>
      </c>
      <c r="I282" s="145">
        <v>168</v>
      </c>
      <c r="J282" s="145"/>
      <c r="K282" s="145"/>
      <c r="L282" s="145"/>
      <c r="M282" s="145"/>
      <c r="N282" s="145"/>
      <c r="O282" s="149"/>
    </row>
    <row r="283" spans="2:15">
      <c r="B283" s="157" t="s">
        <v>263</v>
      </c>
      <c r="C283" s="159">
        <v>41683</v>
      </c>
      <c r="D283" s="158">
        <v>150</v>
      </c>
      <c r="E283" s="159"/>
      <c r="F283" s="158"/>
      <c r="G283" s="779"/>
      <c r="H283" s="146">
        <v>41694</v>
      </c>
      <c r="I283" s="145">
        <v>150</v>
      </c>
      <c r="J283" s="145"/>
      <c r="K283" s="145"/>
      <c r="L283" s="145"/>
      <c r="M283" s="145"/>
      <c r="N283" s="145"/>
      <c r="O283" s="149"/>
    </row>
    <row r="284" spans="2:15">
      <c r="B284" s="157" t="s">
        <v>353</v>
      </c>
      <c r="C284" s="159"/>
      <c r="D284" s="158"/>
      <c r="E284" s="159">
        <v>41694</v>
      </c>
      <c r="F284" s="158">
        <v>148</v>
      </c>
      <c r="G284" s="779"/>
      <c r="H284" s="146">
        <v>41697</v>
      </c>
      <c r="I284" s="145">
        <v>148</v>
      </c>
      <c r="J284" s="145"/>
      <c r="K284" s="145"/>
      <c r="L284" s="145"/>
      <c r="M284" s="145"/>
      <c r="N284" s="145"/>
      <c r="O284" s="149"/>
    </row>
    <row r="285" spans="2:15">
      <c r="B285" s="144" t="s">
        <v>354</v>
      </c>
      <c r="C285" s="146"/>
      <c r="D285" s="145"/>
      <c r="E285" s="146">
        <v>41694</v>
      </c>
      <c r="F285" s="145">
        <v>4</v>
      </c>
      <c r="G285" s="779"/>
      <c r="H285" s="146"/>
      <c r="I285" s="145">
        <v>4</v>
      </c>
      <c r="J285" s="145"/>
      <c r="K285" s="145"/>
      <c r="L285" s="145"/>
      <c r="M285" s="145"/>
      <c r="N285" s="145"/>
      <c r="O285" s="149"/>
    </row>
    <row r="286" spans="2:15">
      <c r="B286" s="157" t="s">
        <v>348</v>
      </c>
      <c r="C286" s="159">
        <v>41694</v>
      </c>
      <c r="D286" s="158">
        <v>110</v>
      </c>
      <c r="E286" s="159"/>
      <c r="F286" s="158"/>
      <c r="G286" s="779"/>
      <c r="H286" s="146">
        <v>41694</v>
      </c>
      <c r="I286" s="145">
        <v>110</v>
      </c>
      <c r="J286" s="145"/>
      <c r="K286" s="145"/>
      <c r="L286" s="145"/>
      <c r="M286" s="145"/>
      <c r="N286" s="145"/>
      <c r="O286" s="149"/>
    </row>
    <row r="287" spans="2:15">
      <c r="B287" s="144" t="s">
        <v>344</v>
      </c>
      <c r="C287" s="146">
        <v>41694</v>
      </c>
      <c r="D287" s="145">
        <v>300</v>
      </c>
      <c r="E287" s="146"/>
      <c r="F287" s="145"/>
      <c r="G287" s="779"/>
      <c r="H287" s="146">
        <v>41694</v>
      </c>
      <c r="I287" s="145">
        <v>300</v>
      </c>
      <c r="J287" s="145"/>
      <c r="K287" s="145"/>
      <c r="L287" s="145"/>
      <c r="M287" s="145"/>
      <c r="N287" s="145"/>
      <c r="O287" s="149"/>
    </row>
    <row r="288" spans="2:15">
      <c r="B288" s="157" t="s">
        <v>355</v>
      </c>
      <c r="C288" s="159">
        <v>41704</v>
      </c>
      <c r="D288" s="158">
        <v>127</v>
      </c>
      <c r="E288" s="159"/>
      <c r="F288" s="158"/>
      <c r="G288" s="779"/>
      <c r="H288" s="146">
        <v>41716</v>
      </c>
      <c r="I288" s="145">
        <v>127</v>
      </c>
      <c r="J288" s="145"/>
      <c r="K288" s="145"/>
      <c r="L288" s="145"/>
      <c r="M288" s="145"/>
      <c r="N288" s="145"/>
      <c r="O288" s="149"/>
    </row>
    <row r="289" spans="2:15">
      <c r="B289" s="157" t="s">
        <v>344</v>
      </c>
      <c r="C289" s="159">
        <v>41704</v>
      </c>
      <c r="D289" s="158">
        <v>104</v>
      </c>
      <c r="E289" s="159"/>
      <c r="F289" s="158"/>
      <c r="G289" s="779"/>
      <c r="H289" s="146">
        <v>41716</v>
      </c>
      <c r="I289" s="145">
        <v>104</v>
      </c>
      <c r="J289" s="145"/>
      <c r="K289" s="145"/>
      <c r="L289" s="145"/>
      <c r="M289" s="145"/>
      <c r="N289" s="145"/>
      <c r="O289" s="149"/>
    </row>
    <row r="290" spans="2:15">
      <c r="B290" s="144" t="s">
        <v>333</v>
      </c>
      <c r="C290" s="146">
        <v>41716</v>
      </c>
      <c r="D290" s="145">
        <v>273</v>
      </c>
      <c r="E290" s="146"/>
      <c r="F290" s="145"/>
      <c r="G290" s="779"/>
      <c r="H290" s="146">
        <v>41725</v>
      </c>
      <c r="I290" s="145">
        <v>273</v>
      </c>
      <c r="J290" s="145"/>
      <c r="K290" s="145"/>
      <c r="L290" s="145"/>
      <c r="M290" s="145"/>
      <c r="N290" s="145"/>
      <c r="O290" s="149"/>
    </row>
    <row r="291" spans="2:15">
      <c r="B291" s="157" t="s">
        <v>101</v>
      </c>
      <c r="C291" s="159">
        <v>41716</v>
      </c>
      <c r="D291" s="158">
        <v>220</v>
      </c>
      <c r="E291" s="159"/>
      <c r="F291" s="158"/>
      <c r="G291" s="779"/>
      <c r="H291" s="146">
        <v>41725</v>
      </c>
      <c r="I291" s="145">
        <v>220</v>
      </c>
      <c r="J291" s="145"/>
      <c r="K291" s="145"/>
      <c r="L291" s="145"/>
      <c r="M291" s="145"/>
      <c r="N291" s="145"/>
      <c r="O291" s="149"/>
    </row>
    <row r="292" spans="2:15">
      <c r="B292" s="144" t="s">
        <v>344</v>
      </c>
      <c r="C292" s="146"/>
      <c r="D292" s="145"/>
      <c r="E292" s="146">
        <v>41716</v>
      </c>
      <c r="F292" s="145">
        <v>200</v>
      </c>
      <c r="G292" s="779"/>
      <c r="H292" s="146">
        <v>41725</v>
      </c>
      <c r="I292" s="145">
        <v>200</v>
      </c>
      <c r="J292" s="145"/>
      <c r="K292" s="145"/>
      <c r="L292" s="145"/>
      <c r="M292" s="145"/>
      <c r="N292" s="145"/>
      <c r="O292" s="149"/>
    </row>
    <row r="293" spans="2:15">
      <c r="B293" s="157" t="s">
        <v>101</v>
      </c>
      <c r="C293" s="159">
        <v>41717</v>
      </c>
      <c r="D293" s="158">
        <v>296</v>
      </c>
      <c r="E293" s="159"/>
      <c r="F293" s="158"/>
      <c r="G293" s="779"/>
      <c r="H293" s="146">
        <v>41725</v>
      </c>
      <c r="I293" s="145">
        <v>296</v>
      </c>
      <c r="J293" s="145"/>
      <c r="K293" s="145"/>
      <c r="L293" s="145"/>
      <c r="M293" s="145"/>
      <c r="N293" s="145"/>
      <c r="O293" s="149"/>
    </row>
    <row r="294" spans="2:15">
      <c r="B294" s="157" t="s">
        <v>101</v>
      </c>
      <c r="C294" s="159">
        <v>41719</v>
      </c>
      <c r="D294" s="158">
        <v>280</v>
      </c>
      <c r="E294" s="159"/>
      <c r="F294" s="158"/>
      <c r="G294" s="779"/>
      <c r="H294" s="146">
        <v>41725</v>
      </c>
      <c r="I294" s="145">
        <v>280</v>
      </c>
      <c r="J294" s="145"/>
      <c r="K294" s="145"/>
      <c r="L294" s="145"/>
      <c r="M294" s="145"/>
      <c r="N294" s="145"/>
      <c r="O294" s="149"/>
    </row>
    <row r="295" spans="2:15">
      <c r="B295" s="144" t="s">
        <v>344</v>
      </c>
      <c r="C295" s="146">
        <v>41724</v>
      </c>
      <c r="D295" s="145">
        <v>300</v>
      </c>
      <c r="E295" s="146"/>
      <c r="F295" s="145"/>
      <c r="G295" s="779"/>
      <c r="H295" s="146">
        <v>41725</v>
      </c>
      <c r="I295" s="145">
        <v>300</v>
      </c>
      <c r="J295" s="145"/>
      <c r="K295" s="145"/>
      <c r="L295" s="145"/>
      <c r="M295" s="145"/>
      <c r="N295" s="145"/>
      <c r="O295" s="149"/>
    </row>
    <row r="296" spans="2:15">
      <c r="B296" s="157" t="s">
        <v>344</v>
      </c>
      <c r="C296" s="159">
        <v>41725</v>
      </c>
      <c r="D296" s="158">
        <v>200</v>
      </c>
      <c r="E296" s="159"/>
      <c r="F296" s="158"/>
      <c r="G296" s="779"/>
      <c r="H296" s="146">
        <v>41725</v>
      </c>
      <c r="I296" s="145">
        <v>200</v>
      </c>
      <c r="J296" s="145"/>
      <c r="K296" s="145"/>
      <c r="L296" s="145"/>
      <c r="M296" s="145"/>
      <c r="N296" s="145"/>
      <c r="O296" s="149"/>
    </row>
    <row r="297" spans="2:15">
      <c r="B297" s="144" t="s">
        <v>338</v>
      </c>
      <c r="C297" s="146"/>
      <c r="D297" s="145"/>
      <c r="E297" s="146">
        <v>41725</v>
      </c>
      <c r="F297" s="145">
        <v>155</v>
      </c>
      <c r="G297" s="779"/>
      <c r="H297" s="146">
        <v>41736</v>
      </c>
      <c r="I297" s="145">
        <v>152</v>
      </c>
      <c r="J297" s="145"/>
      <c r="K297" s="145"/>
      <c r="L297" s="145"/>
      <c r="M297" s="145"/>
      <c r="N297" s="145"/>
      <c r="O297" s="149"/>
    </row>
    <row r="298" spans="2:15">
      <c r="B298" s="157" t="s">
        <v>101</v>
      </c>
      <c r="C298" s="159"/>
      <c r="D298" s="158"/>
      <c r="E298" s="159">
        <v>41730</v>
      </c>
      <c r="F298" s="158">
        <v>152</v>
      </c>
      <c r="G298" s="779"/>
      <c r="H298" s="146">
        <v>41736</v>
      </c>
      <c r="I298" s="145">
        <v>155</v>
      </c>
      <c r="J298" s="145"/>
      <c r="K298" s="145"/>
      <c r="L298" s="145"/>
      <c r="M298" s="145"/>
      <c r="N298" s="145"/>
      <c r="O298" s="149"/>
    </row>
    <row r="299" spans="2:15">
      <c r="B299" s="157" t="s">
        <v>333</v>
      </c>
      <c r="C299" s="159"/>
      <c r="D299" s="158"/>
      <c r="E299" s="159">
        <v>41736</v>
      </c>
      <c r="F299" s="158">
        <v>152</v>
      </c>
      <c r="G299" s="779"/>
      <c r="H299" s="146">
        <v>41737</v>
      </c>
      <c r="I299" s="145">
        <v>152</v>
      </c>
      <c r="J299" s="145"/>
      <c r="K299" s="145"/>
      <c r="L299" s="145"/>
      <c r="M299" s="145"/>
      <c r="N299" s="145"/>
      <c r="O299" s="149"/>
    </row>
    <row r="300" spans="2:15">
      <c r="B300" s="144" t="s">
        <v>334</v>
      </c>
      <c r="C300" s="146">
        <v>41744</v>
      </c>
      <c r="D300" s="145">
        <v>183</v>
      </c>
      <c r="E300" s="146"/>
      <c r="F300" s="145"/>
      <c r="G300" s="779"/>
      <c r="H300" s="146">
        <v>41751</v>
      </c>
      <c r="I300" s="145">
        <v>183</v>
      </c>
      <c r="J300" s="145"/>
      <c r="K300" s="145"/>
      <c r="L300" s="145"/>
      <c r="M300" s="145"/>
      <c r="N300" s="145"/>
      <c r="O300" s="149"/>
    </row>
    <row r="301" spans="2:15">
      <c r="B301" s="144" t="s">
        <v>338</v>
      </c>
      <c r="C301" s="146">
        <v>41744</v>
      </c>
      <c r="D301" s="145">
        <v>160</v>
      </c>
      <c r="E301" s="146"/>
      <c r="F301" s="145"/>
      <c r="G301" s="779"/>
      <c r="H301" s="146">
        <v>41751</v>
      </c>
      <c r="I301" s="145">
        <v>160</v>
      </c>
      <c r="J301" s="145"/>
      <c r="K301" s="145"/>
      <c r="L301" s="145"/>
      <c r="M301" s="145"/>
      <c r="N301" s="145"/>
      <c r="O301" s="149"/>
    </row>
    <row r="302" spans="2:15">
      <c r="B302" s="144" t="s">
        <v>344</v>
      </c>
      <c r="C302" s="146">
        <v>41744</v>
      </c>
      <c r="D302" s="145">
        <v>88</v>
      </c>
      <c r="E302" s="146"/>
      <c r="F302" s="145"/>
      <c r="G302" s="779"/>
      <c r="H302" s="146">
        <v>41751</v>
      </c>
      <c r="I302" s="145">
        <v>88</v>
      </c>
      <c r="J302" s="145"/>
      <c r="K302" s="145"/>
      <c r="L302" s="145"/>
      <c r="M302" s="145"/>
      <c r="N302" s="145"/>
      <c r="O302" s="149"/>
    </row>
    <row r="303" spans="2:15">
      <c r="B303" s="144" t="s">
        <v>333</v>
      </c>
      <c r="C303" s="146">
        <v>41744</v>
      </c>
      <c r="D303" s="145">
        <v>50</v>
      </c>
      <c r="E303" s="146"/>
      <c r="F303" s="145"/>
      <c r="G303" s="779"/>
      <c r="H303" s="146">
        <v>41751</v>
      </c>
      <c r="I303" s="145">
        <v>50</v>
      </c>
      <c r="J303" s="145"/>
      <c r="K303" s="145"/>
      <c r="L303" s="145"/>
      <c r="M303" s="145"/>
      <c r="N303" s="145"/>
      <c r="O303" s="149"/>
    </row>
    <row r="304" spans="2:15">
      <c r="B304" s="144" t="s">
        <v>333</v>
      </c>
      <c r="C304" s="146">
        <v>41745</v>
      </c>
      <c r="D304" s="145">
        <v>400</v>
      </c>
      <c r="E304" s="146"/>
      <c r="F304" s="145"/>
      <c r="G304" s="779"/>
      <c r="H304" s="146">
        <v>41751</v>
      </c>
      <c r="I304" s="145">
        <v>400</v>
      </c>
      <c r="J304" s="145"/>
      <c r="K304" s="145"/>
      <c r="L304" s="145"/>
      <c r="M304" s="145"/>
      <c r="N304" s="145"/>
      <c r="O304" s="149"/>
    </row>
    <row r="305" spans="2:15">
      <c r="B305" s="144" t="s">
        <v>356</v>
      </c>
      <c r="C305" s="146">
        <v>41746</v>
      </c>
      <c r="D305" s="145">
        <v>158</v>
      </c>
      <c r="E305" s="146"/>
      <c r="F305" s="145"/>
      <c r="G305" s="779"/>
      <c r="H305" s="146">
        <v>41752</v>
      </c>
      <c r="I305" s="145">
        <v>158</v>
      </c>
      <c r="J305" s="145"/>
      <c r="K305" s="145"/>
      <c r="L305" s="145"/>
      <c r="M305" s="145"/>
      <c r="N305" s="145"/>
      <c r="O305" s="149"/>
    </row>
    <row r="306" spans="2:15">
      <c r="B306" s="144" t="s">
        <v>333</v>
      </c>
      <c r="C306" s="146">
        <v>41746</v>
      </c>
      <c r="D306" s="145">
        <v>123</v>
      </c>
      <c r="E306" s="146"/>
      <c r="F306" s="145"/>
      <c r="G306" s="779"/>
      <c r="H306" s="146">
        <v>41752</v>
      </c>
      <c r="I306" s="145">
        <v>123</v>
      </c>
      <c r="J306" s="145"/>
      <c r="K306" s="145"/>
      <c r="L306" s="145"/>
      <c r="M306" s="145"/>
      <c r="N306" s="145"/>
      <c r="O306" s="149"/>
    </row>
    <row r="307" spans="2:15">
      <c r="B307" s="144" t="s">
        <v>334</v>
      </c>
      <c r="C307" s="146">
        <v>41746</v>
      </c>
      <c r="D307" s="145">
        <v>67</v>
      </c>
      <c r="E307" s="146"/>
      <c r="F307" s="145"/>
      <c r="G307" s="779"/>
      <c r="H307" s="146">
        <v>41752</v>
      </c>
      <c r="I307" s="145">
        <v>67</v>
      </c>
      <c r="J307" s="145"/>
      <c r="K307" s="145"/>
      <c r="L307" s="145"/>
      <c r="M307" s="145"/>
      <c r="N307" s="145"/>
      <c r="O307" s="149"/>
    </row>
    <row r="308" spans="2:15">
      <c r="B308" s="144" t="s">
        <v>338</v>
      </c>
      <c r="C308" s="146">
        <v>41746</v>
      </c>
      <c r="D308" s="145">
        <v>28</v>
      </c>
      <c r="E308" s="146"/>
      <c r="F308" s="145"/>
      <c r="G308" s="779"/>
      <c r="H308" s="146">
        <v>41752</v>
      </c>
      <c r="I308" s="145">
        <v>28</v>
      </c>
      <c r="J308" s="145"/>
      <c r="K308" s="145"/>
      <c r="L308" s="145"/>
      <c r="M308" s="145"/>
      <c r="N308" s="145"/>
      <c r="O308" s="149"/>
    </row>
    <row r="309" spans="2:15">
      <c r="B309" s="144" t="s">
        <v>357</v>
      </c>
      <c r="C309" s="146"/>
      <c r="D309" s="145"/>
      <c r="E309" s="146">
        <v>41750</v>
      </c>
      <c r="F309" s="145">
        <v>158</v>
      </c>
      <c r="G309" s="779"/>
      <c r="H309" s="146">
        <v>41765</v>
      </c>
      <c r="I309" s="145">
        <v>158</v>
      </c>
      <c r="J309" s="145"/>
      <c r="K309" s="145"/>
      <c r="L309" s="145"/>
      <c r="M309" s="145"/>
      <c r="N309" s="145"/>
      <c r="O309" s="149"/>
    </row>
    <row r="310" spans="2:15">
      <c r="B310" s="144" t="s">
        <v>14</v>
      </c>
      <c r="C310" s="146">
        <v>41766</v>
      </c>
      <c r="D310" s="145">
        <v>377</v>
      </c>
      <c r="E310" s="146"/>
      <c r="F310" s="145"/>
      <c r="G310" s="779"/>
      <c r="H310" s="146">
        <v>41771</v>
      </c>
      <c r="I310" s="145">
        <v>377</v>
      </c>
      <c r="J310" s="145"/>
      <c r="K310" s="145"/>
      <c r="L310" s="145"/>
      <c r="M310" s="145"/>
      <c r="N310" s="145"/>
      <c r="O310" s="149"/>
    </row>
    <row r="311" spans="2:15">
      <c r="B311" s="144" t="s">
        <v>358</v>
      </c>
      <c r="C311" s="146">
        <v>41765</v>
      </c>
      <c r="D311" s="145">
        <v>350</v>
      </c>
      <c r="E311" s="146"/>
      <c r="F311" s="145"/>
      <c r="G311" s="779"/>
      <c r="H311" s="146">
        <v>41766</v>
      </c>
      <c r="I311" s="145">
        <v>350</v>
      </c>
      <c r="J311" s="145"/>
      <c r="K311" s="145"/>
      <c r="L311" s="145"/>
      <c r="M311" s="145"/>
      <c r="N311" s="145"/>
      <c r="O311" s="149"/>
    </row>
    <row r="312" spans="2:15">
      <c r="B312" s="144" t="s">
        <v>41</v>
      </c>
      <c r="C312" s="146">
        <v>41765</v>
      </c>
      <c r="D312" s="145">
        <v>33</v>
      </c>
      <c r="E312" s="146"/>
      <c r="F312" s="145"/>
      <c r="G312" s="779"/>
      <c r="H312" s="146">
        <v>41766</v>
      </c>
      <c r="I312" s="145">
        <v>33</v>
      </c>
      <c r="J312" s="145"/>
      <c r="K312" s="145"/>
      <c r="L312" s="145"/>
      <c r="M312" s="145"/>
      <c r="N312" s="145"/>
      <c r="O312" s="149"/>
    </row>
    <row r="313" spans="2:15">
      <c r="B313" s="144" t="s">
        <v>14</v>
      </c>
      <c r="C313" s="146">
        <v>41765</v>
      </c>
      <c r="D313" s="145">
        <v>60</v>
      </c>
      <c r="E313" s="146"/>
      <c r="F313" s="145"/>
      <c r="G313" s="779"/>
      <c r="H313" s="146">
        <v>41766</v>
      </c>
      <c r="I313" s="145">
        <v>60</v>
      </c>
      <c r="J313" s="145"/>
      <c r="K313" s="145"/>
      <c r="L313" s="145"/>
      <c r="M313" s="145"/>
      <c r="N313" s="145"/>
      <c r="O313" s="149"/>
    </row>
    <row r="314" spans="2:15">
      <c r="B314" s="144" t="s">
        <v>333</v>
      </c>
      <c r="C314" s="146">
        <v>41771</v>
      </c>
      <c r="D314" s="145">
        <v>101</v>
      </c>
      <c r="E314" s="146"/>
      <c r="F314" s="145"/>
      <c r="G314" s="779"/>
      <c r="H314" s="146">
        <v>41807</v>
      </c>
      <c r="I314" s="145">
        <v>101</v>
      </c>
      <c r="J314" s="145"/>
      <c r="K314" s="145"/>
      <c r="L314" s="145"/>
      <c r="M314" s="145"/>
      <c r="N314" s="145"/>
      <c r="O314" s="149"/>
    </row>
    <row r="315" spans="2:15">
      <c r="B315" s="144" t="s">
        <v>101</v>
      </c>
      <c r="C315" s="146">
        <v>41785</v>
      </c>
      <c r="D315" s="145">
        <v>80</v>
      </c>
      <c r="E315" s="146"/>
      <c r="F315" s="145"/>
      <c r="G315" s="779"/>
      <c r="H315" s="146">
        <v>41800</v>
      </c>
      <c r="I315" s="145">
        <v>80</v>
      </c>
      <c r="J315" s="145"/>
      <c r="K315" s="145"/>
      <c r="L315" s="145"/>
      <c r="M315" s="145"/>
      <c r="N315" s="145"/>
      <c r="O315" s="149"/>
    </row>
    <row r="316" spans="2:15">
      <c r="B316" s="144" t="s">
        <v>333</v>
      </c>
      <c r="C316" s="146"/>
      <c r="D316" s="145"/>
      <c r="E316" s="146"/>
      <c r="F316" s="145"/>
      <c r="G316" s="779"/>
      <c r="H316" s="146">
        <v>41795</v>
      </c>
      <c r="I316" s="145">
        <v>314</v>
      </c>
      <c r="J316" s="145"/>
      <c r="K316" s="145"/>
      <c r="L316" s="145"/>
      <c r="M316" s="145"/>
      <c r="N316" s="145"/>
      <c r="O316" s="149"/>
    </row>
    <row r="317" spans="2:15">
      <c r="B317" s="144" t="s">
        <v>359</v>
      </c>
      <c r="C317" s="146"/>
      <c r="D317" s="145"/>
      <c r="E317" s="146"/>
      <c r="F317" s="145"/>
      <c r="G317" s="779"/>
      <c r="H317" s="146">
        <v>41803</v>
      </c>
      <c r="I317" s="145">
        <v>110</v>
      </c>
      <c r="J317" s="145"/>
      <c r="K317" s="145"/>
      <c r="L317" s="145"/>
      <c r="M317" s="145"/>
      <c r="N317" s="145"/>
      <c r="O317" s="149"/>
    </row>
    <row r="318" spans="2:15">
      <c r="B318" s="144" t="s">
        <v>333</v>
      </c>
      <c r="C318" s="146"/>
      <c r="D318" s="145"/>
      <c r="E318" s="146"/>
      <c r="F318" s="145"/>
      <c r="G318" s="779"/>
      <c r="H318" s="146">
        <v>41795</v>
      </c>
      <c r="I318" s="145">
        <v>9</v>
      </c>
      <c r="J318" s="145"/>
      <c r="K318" s="145"/>
      <c r="L318" s="145"/>
      <c r="M318" s="145"/>
      <c r="N318" s="145"/>
      <c r="O318" s="149"/>
    </row>
    <row r="319" spans="2:15" ht="13.5" customHeight="1">
      <c r="B319" s="144" t="s">
        <v>360</v>
      </c>
      <c r="C319" s="146"/>
      <c r="D319" s="145"/>
      <c r="E319" s="146"/>
      <c r="F319" s="145"/>
      <c r="G319" s="779"/>
      <c r="H319" s="146">
        <v>41803</v>
      </c>
      <c r="I319" s="145">
        <v>49</v>
      </c>
      <c r="J319" s="145"/>
      <c r="K319" s="145"/>
      <c r="L319" s="145"/>
      <c r="M319" s="145"/>
      <c r="N319" s="145"/>
      <c r="O319" s="149"/>
    </row>
    <row r="320" spans="2:15">
      <c r="B320" s="144" t="s">
        <v>361</v>
      </c>
      <c r="C320" s="146"/>
      <c r="D320" s="145"/>
      <c r="E320" s="146"/>
      <c r="F320" s="145"/>
      <c r="G320" s="779"/>
      <c r="H320" s="146"/>
      <c r="I320" s="145"/>
      <c r="J320" s="145"/>
      <c r="K320" s="145"/>
      <c r="L320" s="145"/>
      <c r="M320" s="145"/>
      <c r="N320" s="145"/>
      <c r="O320" s="149"/>
    </row>
    <row r="321" spans="2:15">
      <c r="B321" s="157" t="s">
        <v>362</v>
      </c>
      <c r="C321" s="146"/>
      <c r="D321" s="145"/>
      <c r="E321" s="146"/>
      <c r="F321" s="145"/>
      <c r="G321" s="779"/>
      <c r="H321" s="146"/>
      <c r="I321" s="145"/>
      <c r="J321" s="145"/>
      <c r="K321" s="145"/>
      <c r="L321" s="145"/>
      <c r="M321" s="145"/>
      <c r="N321" s="145"/>
      <c r="O321" s="149"/>
    </row>
    <row r="322" spans="2:15">
      <c r="B322" s="157" t="s">
        <v>344</v>
      </c>
      <c r="C322" s="146">
        <v>41794</v>
      </c>
      <c r="D322" s="145">
        <v>494</v>
      </c>
      <c r="E322" s="146"/>
      <c r="F322" s="145"/>
      <c r="G322" s="779"/>
      <c r="H322" s="146">
        <v>41808</v>
      </c>
      <c r="I322" s="145">
        <v>494</v>
      </c>
      <c r="J322" s="145"/>
      <c r="K322" s="145"/>
      <c r="L322" s="145"/>
      <c r="M322" s="145"/>
      <c r="N322" s="145"/>
      <c r="O322" s="149"/>
    </row>
    <row r="323" spans="2:15">
      <c r="B323" s="157" t="s">
        <v>360</v>
      </c>
      <c r="C323" s="146"/>
      <c r="D323" s="145"/>
      <c r="E323" s="146"/>
      <c r="F323" s="145"/>
      <c r="G323" s="779"/>
      <c r="H323" s="146">
        <v>41806</v>
      </c>
      <c r="I323" s="145">
        <v>200</v>
      </c>
      <c r="J323" s="145"/>
      <c r="K323" s="145"/>
      <c r="L323" s="145"/>
      <c r="M323" s="145"/>
      <c r="N323" s="145"/>
      <c r="O323" s="149"/>
    </row>
    <row r="324" spans="2:15">
      <c r="B324" s="157" t="s">
        <v>333</v>
      </c>
      <c r="C324" s="146"/>
      <c r="D324" s="145"/>
      <c r="E324" s="146"/>
      <c r="F324" s="145"/>
      <c r="G324" s="779"/>
      <c r="H324" s="146">
        <v>41799</v>
      </c>
      <c r="I324" s="145">
        <v>137</v>
      </c>
      <c r="J324" s="145"/>
      <c r="K324" s="145"/>
      <c r="L324" s="145"/>
      <c r="M324" s="145"/>
      <c r="N324" s="145"/>
      <c r="O324" s="149"/>
    </row>
    <row r="325" spans="2:15">
      <c r="B325" s="157" t="s">
        <v>360</v>
      </c>
      <c r="C325" s="146"/>
      <c r="D325" s="145"/>
      <c r="E325" s="146"/>
      <c r="F325" s="145"/>
      <c r="G325" s="779"/>
      <c r="H325" s="146">
        <v>41806</v>
      </c>
      <c r="I325" s="145">
        <v>137</v>
      </c>
      <c r="J325" s="145"/>
      <c r="K325" s="145"/>
      <c r="L325" s="145"/>
      <c r="M325" s="145"/>
      <c r="N325" s="145"/>
      <c r="O325" s="149"/>
    </row>
    <row r="326" spans="2:15">
      <c r="B326" s="157" t="s">
        <v>100</v>
      </c>
      <c r="C326" s="146">
        <v>41801</v>
      </c>
      <c r="D326" s="145">
        <v>181</v>
      </c>
      <c r="E326" s="146"/>
      <c r="F326" s="145"/>
      <c r="G326" s="779"/>
      <c r="H326" s="146">
        <v>41808</v>
      </c>
      <c r="I326" s="145">
        <v>181</v>
      </c>
      <c r="J326" s="145"/>
      <c r="K326" s="145"/>
      <c r="L326" s="145"/>
      <c r="M326" s="145"/>
      <c r="N326" s="145"/>
      <c r="O326" s="149"/>
    </row>
    <row r="327" spans="2:15">
      <c r="B327" s="157" t="s">
        <v>101</v>
      </c>
      <c r="C327" s="146">
        <v>41801</v>
      </c>
      <c r="D327" s="145">
        <v>140</v>
      </c>
      <c r="E327" s="146"/>
      <c r="F327" s="145"/>
      <c r="G327" s="779"/>
      <c r="H327" s="146">
        <v>41808</v>
      </c>
      <c r="I327" s="145">
        <v>140</v>
      </c>
      <c r="J327" s="145"/>
      <c r="K327" s="145"/>
      <c r="L327" s="145"/>
      <c r="M327" s="145"/>
      <c r="N327" s="145"/>
      <c r="O327" s="149"/>
    </row>
    <row r="328" spans="2:15">
      <c r="B328" s="157" t="s">
        <v>360</v>
      </c>
      <c r="C328" s="146">
        <v>41807</v>
      </c>
      <c r="D328" s="145">
        <v>496</v>
      </c>
      <c r="E328" s="146"/>
      <c r="F328" s="145"/>
      <c r="G328" s="779"/>
      <c r="H328" s="146">
        <v>41808</v>
      </c>
      <c r="I328" s="145">
        <v>496</v>
      </c>
      <c r="J328" s="145"/>
      <c r="K328" s="145"/>
      <c r="L328" s="145"/>
      <c r="M328" s="145"/>
      <c r="N328" s="145"/>
      <c r="O328" s="149"/>
    </row>
    <row r="329" spans="2:15">
      <c r="B329" s="157" t="s">
        <v>363</v>
      </c>
      <c r="C329" s="146"/>
      <c r="D329" s="145"/>
      <c r="E329" s="146"/>
      <c r="F329" s="145"/>
      <c r="G329" s="779"/>
      <c r="H329" s="146"/>
      <c r="I329" s="145"/>
      <c r="J329" s="145"/>
      <c r="K329" s="145"/>
      <c r="L329" s="145"/>
      <c r="M329" s="145"/>
      <c r="N329" s="145"/>
      <c r="O329" s="149"/>
    </row>
    <row r="330" spans="2:15">
      <c r="B330" s="157" t="s">
        <v>101</v>
      </c>
      <c r="C330" s="146"/>
      <c r="D330" s="145"/>
      <c r="E330" s="146"/>
      <c r="F330" s="145"/>
      <c r="G330" s="779"/>
      <c r="H330" s="146"/>
      <c r="I330" s="145"/>
      <c r="J330" s="145"/>
      <c r="K330" s="145"/>
      <c r="L330" s="145"/>
      <c r="M330" s="145"/>
      <c r="N330" s="145"/>
      <c r="O330" s="149"/>
    </row>
    <row r="331" spans="2:15">
      <c r="B331" s="157" t="s">
        <v>364</v>
      </c>
      <c r="C331" s="146"/>
      <c r="D331" s="145"/>
      <c r="E331" s="146">
        <v>41814</v>
      </c>
      <c r="F331" s="145">
        <v>160</v>
      </c>
      <c r="G331" s="779"/>
      <c r="H331" s="146">
        <v>41823</v>
      </c>
      <c r="I331" s="145">
        <v>160</v>
      </c>
      <c r="J331" s="145"/>
      <c r="K331" s="145"/>
      <c r="L331" s="145"/>
      <c r="M331" s="145"/>
      <c r="N331" s="145"/>
      <c r="O331" s="149"/>
    </row>
    <row r="332" spans="2:15">
      <c r="B332" s="157" t="s">
        <v>365</v>
      </c>
      <c r="C332" s="146">
        <v>41817</v>
      </c>
      <c r="D332" s="145">
        <v>26</v>
      </c>
      <c r="E332" s="146"/>
      <c r="F332" s="145"/>
      <c r="G332" s="779"/>
      <c r="H332" s="146">
        <v>41830</v>
      </c>
      <c r="I332" s="145">
        <v>26</v>
      </c>
      <c r="J332" s="145"/>
      <c r="K332" s="145"/>
      <c r="L332" s="145"/>
      <c r="M332" s="145"/>
      <c r="N332" s="145"/>
      <c r="O332" s="149"/>
    </row>
    <row r="333" spans="2:15">
      <c r="B333" s="157" t="s">
        <v>343</v>
      </c>
      <c r="C333" s="146">
        <v>41820</v>
      </c>
      <c r="D333" s="145">
        <v>129</v>
      </c>
      <c r="E333" s="146"/>
      <c r="F333" s="145"/>
      <c r="G333" s="779"/>
      <c r="H333" s="146">
        <v>41830</v>
      </c>
      <c r="I333" s="145">
        <v>129</v>
      </c>
      <c r="J333" s="145"/>
      <c r="K333" s="145"/>
      <c r="L333" s="145"/>
      <c r="M333" s="145"/>
      <c r="N333" s="145"/>
      <c r="O333" s="149"/>
    </row>
    <row r="334" spans="2:15">
      <c r="B334" s="157" t="s">
        <v>101</v>
      </c>
      <c r="C334" s="146">
        <v>41824</v>
      </c>
      <c r="D334" s="145">
        <v>100</v>
      </c>
      <c r="E334" s="146"/>
      <c r="F334" s="145"/>
      <c r="G334" s="779"/>
      <c r="H334" s="146">
        <v>41830</v>
      </c>
      <c r="I334" s="145">
        <v>100</v>
      </c>
      <c r="J334" s="145"/>
      <c r="K334" s="145"/>
      <c r="L334" s="145"/>
      <c r="M334" s="145"/>
      <c r="N334" s="145"/>
      <c r="O334" s="149"/>
    </row>
    <row r="335" spans="2:15">
      <c r="B335" s="157" t="s">
        <v>366</v>
      </c>
      <c r="C335" s="146">
        <v>41824</v>
      </c>
      <c r="D335" s="145">
        <v>40</v>
      </c>
      <c r="E335" s="146"/>
      <c r="F335" s="145"/>
      <c r="G335" s="779"/>
      <c r="H335" s="146">
        <v>41830</v>
      </c>
      <c r="I335" s="145">
        <v>40</v>
      </c>
      <c r="J335" s="145"/>
      <c r="K335" s="145"/>
      <c r="L335" s="145"/>
      <c r="M335" s="145"/>
      <c r="N335" s="145"/>
      <c r="O335" s="149"/>
    </row>
    <row r="336" spans="2:15">
      <c r="B336" s="157" t="s">
        <v>342</v>
      </c>
      <c r="C336" s="146">
        <v>41824</v>
      </c>
      <c r="D336" s="145">
        <v>17</v>
      </c>
      <c r="E336" s="146"/>
      <c r="F336" s="145"/>
      <c r="G336" s="779"/>
      <c r="H336" s="146">
        <v>41830</v>
      </c>
      <c r="I336" s="145">
        <v>17</v>
      </c>
      <c r="J336" s="145"/>
      <c r="K336" s="145"/>
      <c r="L336" s="145"/>
      <c r="M336" s="145"/>
      <c r="N336" s="145"/>
      <c r="O336" s="149"/>
    </row>
    <row r="337" spans="2:15">
      <c r="B337" s="157" t="s">
        <v>333</v>
      </c>
      <c r="C337" s="146">
        <v>41823</v>
      </c>
      <c r="D337" s="145">
        <v>148</v>
      </c>
      <c r="E337" s="146"/>
      <c r="F337" s="145"/>
      <c r="G337" s="779"/>
      <c r="H337" s="146">
        <v>41830</v>
      </c>
      <c r="I337" s="145">
        <v>148</v>
      </c>
      <c r="J337" s="145"/>
      <c r="K337" s="145"/>
      <c r="L337" s="145"/>
      <c r="M337" s="145"/>
      <c r="N337" s="145"/>
      <c r="O337" s="149"/>
    </row>
    <row r="338" spans="2:15">
      <c r="B338" s="157" t="s">
        <v>342</v>
      </c>
      <c r="C338" s="146">
        <v>41823</v>
      </c>
      <c r="D338" s="145">
        <v>82</v>
      </c>
      <c r="E338" s="146"/>
      <c r="F338" s="145"/>
      <c r="G338" s="779"/>
      <c r="H338" s="146">
        <v>41830</v>
      </c>
      <c r="I338" s="145">
        <v>82</v>
      </c>
      <c r="J338" s="145"/>
      <c r="K338" s="145"/>
      <c r="L338" s="145"/>
      <c r="M338" s="145"/>
      <c r="N338" s="145"/>
      <c r="O338" s="149"/>
    </row>
    <row r="339" spans="2:15">
      <c r="B339" s="157" t="s">
        <v>342</v>
      </c>
      <c r="C339" s="146">
        <v>41824</v>
      </c>
      <c r="D339" s="145">
        <v>150</v>
      </c>
      <c r="E339" s="146"/>
      <c r="F339" s="145"/>
      <c r="G339" s="779"/>
      <c r="H339" s="146">
        <v>41830</v>
      </c>
      <c r="I339" s="145">
        <v>150</v>
      </c>
      <c r="J339" s="145"/>
      <c r="K339" s="145"/>
      <c r="L339" s="145"/>
      <c r="M339" s="145"/>
      <c r="N339" s="145"/>
      <c r="O339" s="149"/>
    </row>
    <row r="340" spans="2:15">
      <c r="B340" s="157" t="s">
        <v>367</v>
      </c>
      <c r="C340" s="146">
        <v>41824</v>
      </c>
      <c r="D340" s="145">
        <v>100</v>
      </c>
      <c r="E340" s="146"/>
      <c r="F340" s="145"/>
      <c r="G340" s="779"/>
      <c r="H340" s="146">
        <v>41830</v>
      </c>
      <c r="I340" s="145">
        <v>100</v>
      </c>
      <c r="J340" s="145"/>
      <c r="K340" s="145"/>
      <c r="L340" s="145"/>
      <c r="M340" s="145"/>
      <c r="N340" s="145"/>
      <c r="O340" s="149"/>
    </row>
    <row r="341" spans="2:15">
      <c r="B341" s="157" t="s">
        <v>333</v>
      </c>
      <c r="C341" s="146">
        <v>41824</v>
      </c>
      <c r="D341" s="145">
        <v>77</v>
      </c>
      <c r="E341" s="146"/>
      <c r="F341" s="145"/>
      <c r="G341" s="779"/>
      <c r="H341" s="146">
        <v>41830</v>
      </c>
      <c r="I341" s="145">
        <v>77</v>
      </c>
      <c r="J341" s="145"/>
      <c r="K341" s="145"/>
      <c r="L341" s="145"/>
      <c r="M341" s="145"/>
      <c r="N341" s="145"/>
      <c r="O341" s="149"/>
    </row>
    <row r="342" spans="2:15">
      <c r="B342" s="157" t="s">
        <v>342</v>
      </c>
      <c r="C342" s="146">
        <v>41827</v>
      </c>
      <c r="D342" s="145">
        <v>85</v>
      </c>
      <c r="E342" s="146"/>
      <c r="F342" s="145"/>
      <c r="G342" s="779"/>
      <c r="H342" s="146">
        <v>41830</v>
      </c>
      <c r="I342" s="145">
        <v>85</v>
      </c>
      <c r="J342" s="145"/>
      <c r="K342" s="145"/>
      <c r="L342" s="145"/>
      <c r="M342" s="145"/>
      <c r="N342" s="145"/>
      <c r="O342" s="149"/>
    </row>
    <row r="343" spans="2:15">
      <c r="B343" s="157" t="s">
        <v>101</v>
      </c>
      <c r="C343" s="146">
        <v>41827</v>
      </c>
      <c r="D343" s="145">
        <v>73</v>
      </c>
      <c r="E343" s="146"/>
      <c r="F343" s="145"/>
      <c r="G343" s="779"/>
      <c r="H343" s="146">
        <v>41830</v>
      </c>
      <c r="I343" s="145">
        <v>73</v>
      </c>
      <c r="J343" s="145"/>
      <c r="K343" s="145"/>
      <c r="L343" s="145"/>
      <c r="M343" s="145"/>
      <c r="N343" s="145"/>
      <c r="O343" s="149"/>
    </row>
    <row r="344" spans="2:15">
      <c r="B344" s="157" t="s">
        <v>344</v>
      </c>
      <c r="C344" s="146">
        <v>41862</v>
      </c>
      <c r="D344" s="145">
        <v>109</v>
      </c>
      <c r="E344" s="146"/>
      <c r="F344" s="145"/>
      <c r="G344" s="779"/>
      <c r="H344" s="146">
        <v>41865</v>
      </c>
      <c r="I344" s="145">
        <v>109</v>
      </c>
      <c r="J344" s="145"/>
      <c r="K344" s="145"/>
      <c r="L344" s="145"/>
      <c r="M344" s="145"/>
      <c r="N344" s="145"/>
      <c r="O344" s="149"/>
    </row>
    <row r="345" spans="2:15">
      <c r="B345" s="157" t="s">
        <v>343</v>
      </c>
      <c r="C345" s="146">
        <v>41862</v>
      </c>
      <c r="D345" s="145">
        <v>63</v>
      </c>
      <c r="E345" s="146"/>
      <c r="F345" s="145"/>
      <c r="G345" s="779"/>
      <c r="H345" s="146">
        <v>41865</v>
      </c>
      <c r="I345" s="145">
        <v>63</v>
      </c>
      <c r="J345" s="145"/>
      <c r="K345" s="145"/>
      <c r="L345" s="145"/>
      <c r="M345" s="145"/>
      <c r="N345" s="145"/>
      <c r="O345" s="149"/>
    </row>
    <row r="346" spans="2:15">
      <c r="B346" s="157" t="s">
        <v>367</v>
      </c>
      <c r="C346" s="146">
        <v>41862</v>
      </c>
      <c r="D346" s="145">
        <v>167</v>
      </c>
      <c r="E346" s="146"/>
      <c r="F346" s="145"/>
      <c r="G346" s="779"/>
      <c r="H346" s="146">
        <v>41865</v>
      </c>
      <c r="I346" s="145">
        <v>167</v>
      </c>
      <c r="J346" s="145"/>
      <c r="K346" s="145"/>
      <c r="L346" s="145"/>
      <c r="M346" s="145"/>
      <c r="N346" s="145"/>
      <c r="O346" s="149"/>
    </row>
    <row r="347" spans="2:15">
      <c r="B347" s="157" t="s">
        <v>23</v>
      </c>
      <c r="C347" s="146">
        <v>41865</v>
      </c>
      <c r="D347" s="145">
        <v>220</v>
      </c>
      <c r="E347" s="146"/>
      <c r="F347" s="145"/>
      <c r="G347" s="779"/>
      <c r="H347" s="146">
        <v>41870</v>
      </c>
      <c r="I347" s="145">
        <v>220</v>
      </c>
      <c r="J347" s="145"/>
      <c r="K347" s="145"/>
      <c r="L347" s="145"/>
      <c r="M347" s="145"/>
      <c r="N347" s="145"/>
      <c r="O347" s="149"/>
    </row>
    <row r="348" spans="2:15">
      <c r="B348" s="157" t="s">
        <v>298</v>
      </c>
      <c r="C348" s="146"/>
      <c r="D348" s="145"/>
      <c r="E348" s="146"/>
      <c r="F348" s="145"/>
      <c r="G348" s="779"/>
      <c r="H348" s="146"/>
      <c r="I348" s="145"/>
      <c r="J348" s="145"/>
      <c r="K348" s="145"/>
      <c r="L348" s="145"/>
      <c r="M348" s="145"/>
      <c r="N348" s="145"/>
      <c r="O348" s="149"/>
    </row>
    <row r="349" spans="2:15">
      <c r="B349" s="157" t="s">
        <v>367</v>
      </c>
      <c r="C349" s="146">
        <v>41870</v>
      </c>
      <c r="D349" s="145">
        <v>190</v>
      </c>
      <c r="E349" s="146"/>
      <c r="F349" s="145"/>
      <c r="G349" s="779"/>
      <c r="H349" s="146">
        <v>41873</v>
      </c>
      <c r="I349" s="145">
        <v>190</v>
      </c>
      <c r="J349" s="145"/>
      <c r="K349" s="145"/>
      <c r="L349" s="145"/>
      <c r="M349" s="145"/>
      <c r="N349" s="145"/>
      <c r="O349" s="149"/>
    </row>
    <row r="350" spans="2:15">
      <c r="B350" s="157" t="s">
        <v>333</v>
      </c>
      <c r="C350" s="146">
        <v>41870</v>
      </c>
      <c r="D350" s="145">
        <v>167</v>
      </c>
      <c r="E350" s="146"/>
      <c r="F350" s="145"/>
      <c r="G350" s="779"/>
      <c r="H350" s="146">
        <v>41873</v>
      </c>
      <c r="I350" s="145">
        <v>167</v>
      </c>
      <c r="J350" s="145"/>
      <c r="K350" s="145"/>
      <c r="L350" s="145"/>
      <c r="M350" s="145"/>
      <c r="N350" s="145"/>
      <c r="O350" s="149"/>
    </row>
    <row r="351" spans="2:15">
      <c r="B351" s="157" t="s">
        <v>333</v>
      </c>
      <c r="C351" s="146">
        <v>41886</v>
      </c>
      <c r="D351" s="145">
        <v>300</v>
      </c>
      <c r="E351" s="146"/>
      <c r="F351" s="145"/>
      <c r="G351" s="779"/>
      <c r="H351" s="146">
        <v>41894</v>
      </c>
      <c r="I351" s="145">
        <v>300</v>
      </c>
      <c r="J351" s="145"/>
      <c r="K351" s="145"/>
      <c r="L351" s="145"/>
      <c r="M351" s="145"/>
      <c r="N351" s="145"/>
      <c r="O351" s="149"/>
    </row>
    <row r="352" spans="2:15">
      <c r="B352" s="157" t="s">
        <v>41</v>
      </c>
      <c r="C352" s="146">
        <v>41897</v>
      </c>
      <c r="D352" s="145">
        <v>81</v>
      </c>
      <c r="E352" s="146"/>
      <c r="F352" s="145"/>
      <c r="G352" s="779"/>
      <c r="H352" s="146"/>
      <c r="I352" s="145"/>
      <c r="J352" s="145"/>
      <c r="K352" s="145"/>
      <c r="L352" s="145"/>
      <c r="M352" s="145"/>
      <c r="N352" s="145"/>
      <c r="O352" s="149"/>
    </row>
    <row r="353" spans="2:15">
      <c r="B353" s="157" t="s">
        <v>368</v>
      </c>
      <c r="C353" s="146">
        <v>41897</v>
      </c>
      <c r="D353" s="145">
        <v>66</v>
      </c>
      <c r="E353" s="146"/>
      <c r="F353" s="145"/>
      <c r="G353" s="779"/>
      <c r="H353" s="146"/>
      <c r="I353" s="145"/>
      <c r="J353" s="145"/>
      <c r="K353" s="145"/>
      <c r="L353" s="145"/>
      <c r="M353" s="145"/>
      <c r="N353" s="145"/>
      <c r="O353" s="149"/>
    </row>
    <row r="354" spans="2:15">
      <c r="B354" s="157" t="s">
        <v>22</v>
      </c>
      <c r="C354" s="146">
        <v>41897</v>
      </c>
      <c r="D354" s="145">
        <v>51</v>
      </c>
      <c r="E354" s="146"/>
      <c r="F354" s="145"/>
      <c r="G354" s="779"/>
      <c r="H354" s="146"/>
      <c r="I354" s="145"/>
      <c r="J354" s="145"/>
      <c r="K354" s="145"/>
      <c r="L354" s="145"/>
      <c r="M354" s="145"/>
      <c r="N354" s="145"/>
      <c r="O354" s="149"/>
    </row>
    <row r="355" spans="2:15">
      <c r="B355" s="157" t="s">
        <v>36</v>
      </c>
      <c r="C355" s="146">
        <v>41928</v>
      </c>
      <c r="D355" s="145">
        <v>220</v>
      </c>
      <c r="E355" s="146"/>
      <c r="F355" s="145"/>
      <c r="G355" s="779"/>
      <c r="H355" s="146">
        <v>41929</v>
      </c>
      <c r="I355" s="145">
        <v>220</v>
      </c>
      <c r="J355" s="145"/>
      <c r="K355" s="145"/>
      <c r="L355" s="145"/>
      <c r="M355" s="145"/>
      <c r="N355" s="145"/>
      <c r="O355" s="149"/>
    </row>
    <row r="356" spans="2:15">
      <c r="B356" s="157" t="s">
        <v>22</v>
      </c>
      <c r="C356" s="159">
        <v>41928</v>
      </c>
      <c r="D356" s="158">
        <v>123</v>
      </c>
      <c r="E356" s="159"/>
      <c r="F356" s="158"/>
      <c r="G356" s="779"/>
      <c r="H356" s="146">
        <v>41929</v>
      </c>
      <c r="I356" s="145">
        <v>123</v>
      </c>
      <c r="J356" s="145"/>
      <c r="K356" s="145"/>
      <c r="L356" s="145"/>
      <c r="M356" s="145"/>
      <c r="N356" s="145"/>
      <c r="O356" s="149"/>
    </row>
    <row r="357" spans="2:15">
      <c r="B357" s="157" t="s">
        <v>263</v>
      </c>
      <c r="C357" s="159">
        <v>41929</v>
      </c>
      <c r="D357" s="158">
        <v>120</v>
      </c>
      <c r="E357" s="159"/>
      <c r="F357" s="158"/>
      <c r="G357" s="779"/>
      <c r="H357" s="146">
        <v>41929</v>
      </c>
      <c r="I357" s="145">
        <v>120</v>
      </c>
      <c r="J357" s="145"/>
      <c r="K357" s="145"/>
      <c r="L357" s="145"/>
      <c r="M357" s="145"/>
      <c r="N357" s="145"/>
      <c r="O357" s="149"/>
    </row>
    <row r="358" spans="2:15">
      <c r="B358" s="157" t="s">
        <v>260</v>
      </c>
      <c r="C358" s="159">
        <v>41934</v>
      </c>
      <c r="D358" s="158">
        <v>157</v>
      </c>
      <c r="E358" s="159"/>
      <c r="F358" s="158"/>
      <c r="G358" s="779"/>
      <c r="H358" s="146">
        <v>41939</v>
      </c>
      <c r="I358" s="145">
        <v>157</v>
      </c>
      <c r="J358" s="145"/>
      <c r="K358" s="145"/>
      <c r="L358" s="145"/>
      <c r="M358" s="145"/>
      <c r="N358" s="145"/>
      <c r="O358" s="149"/>
    </row>
    <row r="359" spans="2:15">
      <c r="B359" s="157" t="s">
        <v>263</v>
      </c>
      <c r="C359" s="159">
        <v>41934</v>
      </c>
      <c r="D359" s="183">
        <v>190</v>
      </c>
      <c r="E359" s="159"/>
      <c r="F359" s="158"/>
      <c r="G359" s="779"/>
      <c r="H359" s="146">
        <v>41939</v>
      </c>
      <c r="I359" s="145">
        <v>190</v>
      </c>
      <c r="J359" s="145"/>
      <c r="K359" s="145"/>
      <c r="L359" s="145"/>
      <c r="M359" s="145"/>
      <c r="N359" s="145"/>
      <c r="O359" s="149"/>
    </row>
    <row r="360" spans="2:15">
      <c r="B360" s="157" t="s">
        <v>337</v>
      </c>
      <c r="C360" s="159">
        <v>41939</v>
      </c>
      <c r="D360" s="158">
        <v>180</v>
      </c>
      <c r="E360" s="159"/>
      <c r="F360" s="158"/>
      <c r="G360" s="779"/>
      <c r="H360" s="146">
        <v>41939</v>
      </c>
      <c r="I360" s="145">
        <v>180</v>
      </c>
      <c r="J360" s="145"/>
      <c r="K360" s="145"/>
      <c r="L360" s="145"/>
      <c r="M360" s="145"/>
      <c r="N360" s="145"/>
      <c r="O360" s="149"/>
    </row>
    <row r="361" spans="2:15">
      <c r="B361" s="157" t="s">
        <v>343</v>
      </c>
      <c r="C361" s="159">
        <v>41939</v>
      </c>
      <c r="D361" s="158">
        <v>89</v>
      </c>
      <c r="E361" s="159"/>
      <c r="F361" s="158"/>
      <c r="G361" s="779"/>
      <c r="H361" s="146">
        <v>41939</v>
      </c>
      <c r="I361" s="145">
        <v>89</v>
      </c>
      <c r="J361" s="145"/>
      <c r="K361" s="145"/>
      <c r="L361" s="145"/>
      <c r="M361" s="145"/>
      <c r="N361" s="145"/>
      <c r="O361" s="149"/>
    </row>
    <row r="362" spans="2:15">
      <c r="B362" s="157" t="s">
        <v>338</v>
      </c>
      <c r="C362" s="159">
        <v>41939</v>
      </c>
      <c r="D362" s="158">
        <v>60</v>
      </c>
      <c r="E362" s="159"/>
      <c r="F362" s="158"/>
      <c r="G362" s="779"/>
      <c r="H362" s="146">
        <v>41939</v>
      </c>
      <c r="I362" s="145">
        <v>60</v>
      </c>
      <c r="J362" s="145"/>
      <c r="K362" s="145"/>
      <c r="L362" s="145"/>
      <c r="M362" s="145"/>
      <c r="N362" s="145"/>
      <c r="O362" s="149"/>
    </row>
    <row r="363" spans="2:15">
      <c r="B363" s="157" t="s">
        <v>369</v>
      </c>
      <c r="C363" s="159">
        <v>41936</v>
      </c>
      <c r="D363" s="158">
        <v>204</v>
      </c>
      <c r="E363" s="159"/>
      <c r="F363" s="158"/>
      <c r="G363" s="779"/>
      <c r="H363" s="146">
        <v>41939</v>
      </c>
      <c r="I363" s="145">
        <v>204</v>
      </c>
      <c r="J363" s="145"/>
      <c r="K363" s="145"/>
      <c r="L363" s="145"/>
      <c r="M363" s="145"/>
      <c r="N363" s="145"/>
      <c r="O363" s="149"/>
    </row>
    <row r="364" spans="2:15">
      <c r="B364" s="157" t="s">
        <v>263</v>
      </c>
      <c r="C364" s="159">
        <v>41936</v>
      </c>
      <c r="D364" s="158">
        <v>110</v>
      </c>
      <c r="E364" s="159"/>
      <c r="F364" s="158"/>
      <c r="G364" s="779"/>
      <c r="H364" s="146">
        <v>41939</v>
      </c>
      <c r="I364" s="145">
        <v>110</v>
      </c>
      <c r="J364" s="145"/>
      <c r="K364" s="145"/>
      <c r="L364" s="145"/>
      <c r="M364" s="145"/>
      <c r="N364" s="145"/>
      <c r="O364" s="149"/>
    </row>
    <row r="365" spans="2:15">
      <c r="B365" s="157" t="s">
        <v>337</v>
      </c>
      <c r="C365" s="159">
        <v>41941</v>
      </c>
      <c r="D365" s="158">
        <v>140</v>
      </c>
      <c r="E365" s="159"/>
      <c r="F365" s="158"/>
      <c r="G365" s="779"/>
      <c r="H365" s="146">
        <v>41956</v>
      </c>
      <c r="I365" s="145">
        <v>140</v>
      </c>
      <c r="J365" s="145"/>
      <c r="K365" s="145"/>
      <c r="L365" s="145"/>
      <c r="M365" s="145"/>
      <c r="N365" s="145"/>
      <c r="O365" s="149"/>
    </row>
    <row r="366" spans="2:15">
      <c r="B366" s="157" t="s">
        <v>337</v>
      </c>
      <c r="C366" s="159">
        <v>41943</v>
      </c>
      <c r="D366" s="158">
        <v>210</v>
      </c>
      <c r="E366" s="159"/>
      <c r="F366" s="158"/>
      <c r="G366" s="779"/>
      <c r="H366" s="146">
        <v>41956</v>
      </c>
      <c r="I366" s="145">
        <v>210</v>
      </c>
      <c r="J366" s="145"/>
      <c r="K366" s="145"/>
      <c r="L366" s="145"/>
      <c r="M366" s="145"/>
      <c r="N366" s="145"/>
      <c r="O366" s="149"/>
    </row>
    <row r="367" spans="2:15">
      <c r="B367" s="157" t="s">
        <v>17</v>
      </c>
      <c r="C367" s="159">
        <v>41943</v>
      </c>
      <c r="D367" s="158">
        <v>100</v>
      </c>
      <c r="E367" s="159"/>
      <c r="F367" s="158"/>
      <c r="G367" s="779"/>
      <c r="H367" s="146">
        <v>41956</v>
      </c>
      <c r="I367" s="145">
        <v>100</v>
      </c>
      <c r="J367" s="145"/>
      <c r="K367" s="145"/>
      <c r="L367" s="145"/>
      <c r="M367" s="145"/>
      <c r="N367" s="145"/>
      <c r="O367" s="149"/>
    </row>
    <row r="368" spans="2:15">
      <c r="B368" s="157" t="s">
        <v>339</v>
      </c>
      <c r="C368" s="159">
        <v>41953</v>
      </c>
      <c r="D368" s="158">
        <v>320</v>
      </c>
      <c r="E368" s="159"/>
      <c r="F368" s="158"/>
      <c r="G368" s="779"/>
      <c r="H368" s="146">
        <v>41956</v>
      </c>
      <c r="I368" s="145">
        <v>320</v>
      </c>
      <c r="J368" s="145"/>
      <c r="K368" s="145"/>
      <c r="L368" s="145"/>
      <c r="M368" s="145"/>
      <c r="N368" s="145"/>
      <c r="O368" s="149"/>
    </row>
    <row r="369" spans="2:15">
      <c r="B369" s="157" t="s">
        <v>41</v>
      </c>
      <c r="C369" s="159">
        <v>41954</v>
      </c>
      <c r="D369" s="158">
        <v>126</v>
      </c>
      <c r="E369" s="159"/>
      <c r="F369" s="158"/>
      <c r="G369" s="779"/>
      <c r="H369" s="146">
        <v>41956</v>
      </c>
      <c r="I369" s="145">
        <v>126</v>
      </c>
      <c r="J369" s="145"/>
      <c r="K369" s="145"/>
      <c r="L369" s="145"/>
      <c r="M369" s="145"/>
      <c r="N369" s="145"/>
      <c r="O369" s="149"/>
    </row>
    <row r="370" spans="2:15">
      <c r="B370" s="157" t="s">
        <v>264</v>
      </c>
      <c r="C370" s="159">
        <v>41954</v>
      </c>
      <c r="D370" s="158">
        <v>88</v>
      </c>
      <c r="E370" s="159"/>
      <c r="F370" s="158"/>
      <c r="G370" s="779"/>
      <c r="H370" s="146">
        <v>41956</v>
      </c>
      <c r="I370" s="145">
        <v>88</v>
      </c>
      <c r="J370" s="145"/>
      <c r="K370" s="145"/>
      <c r="L370" s="145"/>
      <c r="M370" s="145"/>
      <c r="N370" s="145"/>
      <c r="O370" s="149"/>
    </row>
    <row r="371" spans="2:15">
      <c r="B371" s="157" t="s">
        <v>32</v>
      </c>
      <c r="C371" s="159">
        <v>41954</v>
      </c>
      <c r="D371" s="158">
        <v>49</v>
      </c>
      <c r="E371" s="159"/>
      <c r="F371" s="158"/>
      <c r="G371" s="779"/>
      <c r="H371" s="146">
        <v>41956</v>
      </c>
      <c r="I371" s="145">
        <v>49</v>
      </c>
      <c r="J371" s="145"/>
      <c r="K371" s="145"/>
      <c r="L371" s="145"/>
      <c r="M371" s="145"/>
      <c r="N371" s="145"/>
      <c r="O371" s="149"/>
    </row>
    <row r="372" spans="2:15">
      <c r="B372" s="157" t="s">
        <v>370</v>
      </c>
      <c r="C372" s="159">
        <v>41955</v>
      </c>
      <c r="D372" s="158">
        <v>68</v>
      </c>
      <c r="E372" s="159"/>
      <c r="F372" s="158"/>
      <c r="G372" s="779"/>
      <c r="H372" s="146">
        <v>41956</v>
      </c>
      <c r="I372" s="145">
        <v>68</v>
      </c>
      <c r="J372" s="145"/>
      <c r="K372" s="145"/>
      <c r="L372" s="145"/>
      <c r="M372" s="145"/>
      <c r="N372" s="145"/>
      <c r="O372" s="149"/>
    </row>
    <row r="373" spans="2:15">
      <c r="B373" s="157" t="s">
        <v>339</v>
      </c>
      <c r="C373" s="159">
        <v>41962</v>
      </c>
      <c r="D373" s="158">
        <v>102</v>
      </c>
      <c r="E373" s="159"/>
      <c r="F373" s="158"/>
      <c r="G373" s="779"/>
      <c r="H373" s="146">
        <v>41963</v>
      </c>
      <c r="I373" s="145">
        <v>102</v>
      </c>
      <c r="J373" s="145"/>
      <c r="K373" s="145"/>
      <c r="L373" s="145"/>
      <c r="M373" s="145"/>
      <c r="N373" s="145"/>
      <c r="O373" s="149"/>
    </row>
    <row r="374" spans="2:15">
      <c r="B374" s="157" t="s">
        <v>355</v>
      </c>
      <c r="C374" s="159">
        <v>41962</v>
      </c>
      <c r="D374" s="158">
        <v>89</v>
      </c>
      <c r="E374" s="159"/>
      <c r="F374" s="158"/>
      <c r="G374" s="779"/>
      <c r="H374" s="146">
        <v>41963</v>
      </c>
      <c r="I374" s="145">
        <v>89</v>
      </c>
      <c r="J374" s="145"/>
      <c r="K374" s="145"/>
      <c r="L374" s="145"/>
      <c r="M374" s="145"/>
      <c r="N374" s="145"/>
      <c r="O374" s="149"/>
    </row>
    <row r="375" spans="2:15">
      <c r="B375" s="157" t="s">
        <v>342</v>
      </c>
      <c r="C375" s="159">
        <v>41962</v>
      </c>
      <c r="D375" s="158">
        <v>75</v>
      </c>
      <c r="E375" s="159"/>
      <c r="F375" s="158"/>
      <c r="G375" s="779"/>
      <c r="H375" s="146">
        <v>41963</v>
      </c>
      <c r="I375" s="145">
        <v>75</v>
      </c>
      <c r="J375" s="145"/>
      <c r="K375" s="145"/>
      <c r="L375" s="145"/>
      <c r="M375" s="145"/>
      <c r="N375" s="145"/>
      <c r="O375" s="149"/>
    </row>
    <row r="376" spans="2:15">
      <c r="B376" s="157" t="s">
        <v>342</v>
      </c>
      <c r="C376" s="159">
        <v>41970</v>
      </c>
      <c r="D376" s="158">
        <v>80</v>
      </c>
      <c r="E376" s="159"/>
      <c r="F376" s="158"/>
      <c r="G376" s="779"/>
      <c r="H376" s="146">
        <v>41976</v>
      </c>
      <c r="I376" s="145">
        <v>80</v>
      </c>
      <c r="J376" s="145"/>
      <c r="K376" s="145"/>
      <c r="L376" s="145"/>
      <c r="M376" s="145"/>
      <c r="N376" s="145"/>
      <c r="O376" s="149"/>
    </row>
    <row r="377" spans="2:15">
      <c r="B377" s="157" t="s">
        <v>339</v>
      </c>
      <c r="C377" s="159">
        <v>41970</v>
      </c>
      <c r="D377" s="158">
        <v>12</v>
      </c>
      <c r="E377" s="159"/>
      <c r="F377" s="158"/>
      <c r="G377" s="779"/>
      <c r="H377" s="146">
        <v>41976</v>
      </c>
      <c r="I377" s="145">
        <v>12</v>
      </c>
      <c r="J377" s="145"/>
      <c r="K377" s="145"/>
      <c r="L377" s="145"/>
      <c r="M377" s="145"/>
      <c r="N377" s="145"/>
      <c r="O377" s="149"/>
    </row>
    <row r="378" spans="2:15">
      <c r="B378" s="157" t="s">
        <v>355</v>
      </c>
      <c r="C378" s="159">
        <v>41970</v>
      </c>
      <c r="D378" s="158">
        <v>10</v>
      </c>
      <c r="E378" s="159"/>
      <c r="F378" s="158"/>
      <c r="G378" s="779"/>
      <c r="H378" s="146">
        <v>41976</v>
      </c>
      <c r="I378" s="145">
        <v>10</v>
      </c>
      <c r="J378" s="145"/>
      <c r="K378" s="145"/>
      <c r="L378" s="145"/>
      <c r="M378" s="145"/>
      <c r="N378" s="145"/>
      <c r="O378" s="149"/>
    </row>
    <row r="379" spans="2:15">
      <c r="B379" s="157" t="s">
        <v>333</v>
      </c>
      <c r="C379" s="159">
        <v>41970</v>
      </c>
      <c r="D379" s="158">
        <v>19</v>
      </c>
      <c r="E379" s="158"/>
      <c r="F379" s="158"/>
      <c r="G379" s="779"/>
      <c r="H379" s="146">
        <v>41976</v>
      </c>
      <c r="I379" s="158">
        <v>19</v>
      </c>
      <c r="J379" s="158"/>
      <c r="K379" s="158"/>
      <c r="L379" s="158"/>
      <c r="M379" s="158"/>
      <c r="N379" s="158"/>
      <c r="O379" s="162"/>
    </row>
    <row r="380" spans="2:15">
      <c r="B380" s="157" t="s">
        <v>344</v>
      </c>
      <c r="C380" s="159">
        <v>41970</v>
      </c>
      <c r="D380" s="158">
        <v>50</v>
      </c>
      <c r="E380" s="158"/>
      <c r="F380" s="158"/>
      <c r="G380" s="779"/>
      <c r="H380" s="146">
        <v>41976</v>
      </c>
      <c r="I380" s="158">
        <v>50</v>
      </c>
      <c r="J380" s="158"/>
      <c r="K380" s="158"/>
      <c r="L380" s="158"/>
      <c r="M380" s="158"/>
      <c r="N380" s="158"/>
      <c r="O380" s="162"/>
    </row>
    <row r="381" spans="2:15">
      <c r="B381" s="157" t="s">
        <v>263</v>
      </c>
      <c r="C381" s="159">
        <v>41977</v>
      </c>
      <c r="D381" s="158">
        <v>200</v>
      </c>
      <c r="E381" s="158"/>
      <c r="F381" s="158"/>
      <c r="G381" s="779"/>
      <c r="H381" s="159">
        <v>41982</v>
      </c>
      <c r="I381" s="158">
        <v>200</v>
      </c>
      <c r="J381" s="158"/>
      <c r="K381" s="158"/>
      <c r="L381" s="158"/>
      <c r="M381" s="158"/>
      <c r="N381" s="158"/>
      <c r="O381" s="162"/>
    </row>
    <row r="382" spans="2:15">
      <c r="B382" s="157" t="s">
        <v>101</v>
      </c>
      <c r="C382" s="159">
        <v>41977</v>
      </c>
      <c r="D382" s="158">
        <v>174</v>
      </c>
      <c r="E382" s="158"/>
      <c r="F382" s="158"/>
      <c r="G382" s="779"/>
      <c r="H382" s="159">
        <v>41982</v>
      </c>
      <c r="I382" s="158">
        <v>174</v>
      </c>
      <c r="J382" s="158"/>
      <c r="K382" s="158"/>
      <c r="L382" s="158"/>
      <c r="M382" s="158"/>
      <c r="N382" s="158"/>
      <c r="O382" s="162"/>
    </row>
    <row r="383" spans="2:15">
      <c r="B383" s="157" t="s">
        <v>348</v>
      </c>
      <c r="C383" s="159">
        <v>41977</v>
      </c>
      <c r="D383" s="158">
        <v>66</v>
      </c>
      <c r="E383" s="158"/>
      <c r="F383" s="158"/>
      <c r="G383" s="779"/>
      <c r="H383" s="159">
        <v>41982</v>
      </c>
      <c r="I383" s="158">
        <v>66</v>
      </c>
      <c r="J383" s="158"/>
      <c r="K383" s="158"/>
      <c r="L383" s="158"/>
      <c r="M383" s="158"/>
      <c r="N383" s="158"/>
      <c r="O383" s="162"/>
    </row>
    <row r="384" spans="2:15">
      <c r="B384" s="157" t="s">
        <v>344</v>
      </c>
      <c r="C384" s="159">
        <v>42367</v>
      </c>
      <c r="D384" s="158">
        <v>128</v>
      </c>
      <c r="E384" s="158"/>
      <c r="F384" s="158"/>
      <c r="G384" s="779"/>
      <c r="H384" s="159">
        <v>42010</v>
      </c>
      <c r="I384" s="158">
        <v>128</v>
      </c>
      <c r="J384" s="158"/>
      <c r="K384" s="158"/>
      <c r="L384" s="158"/>
      <c r="M384" s="158"/>
      <c r="N384" s="158"/>
      <c r="O384" s="162"/>
    </row>
    <row r="385" spans="2:15">
      <c r="B385" s="157" t="s">
        <v>348</v>
      </c>
      <c r="C385" s="159">
        <v>42367</v>
      </c>
      <c r="D385" s="158">
        <v>105</v>
      </c>
      <c r="E385" s="158"/>
      <c r="F385" s="158"/>
      <c r="G385" s="779"/>
      <c r="H385" s="159">
        <v>42010</v>
      </c>
      <c r="I385" s="158">
        <v>105</v>
      </c>
      <c r="J385" s="158"/>
      <c r="K385" s="158"/>
      <c r="L385" s="158"/>
      <c r="M385" s="158"/>
      <c r="N385" s="158"/>
      <c r="O385" s="162"/>
    </row>
    <row r="386" spans="2:15">
      <c r="B386" s="157" t="s">
        <v>333</v>
      </c>
      <c r="C386" s="159">
        <v>42367</v>
      </c>
      <c r="D386" s="158">
        <v>170</v>
      </c>
      <c r="E386" s="158"/>
      <c r="F386" s="158"/>
      <c r="G386" s="779"/>
      <c r="H386" s="159">
        <v>42010</v>
      </c>
      <c r="I386" s="158">
        <v>170</v>
      </c>
      <c r="J386" s="158"/>
      <c r="K386" s="158"/>
      <c r="L386" s="158"/>
      <c r="M386" s="158"/>
      <c r="N386" s="158"/>
      <c r="O386" s="162"/>
    </row>
    <row r="387" spans="2:15">
      <c r="B387" s="157" t="s">
        <v>371</v>
      </c>
      <c r="C387" s="159">
        <v>42044</v>
      </c>
      <c r="D387" s="158">
        <v>19</v>
      </c>
      <c r="E387" s="158"/>
      <c r="F387" s="158"/>
      <c r="G387" s="779"/>
      <c r="H387" s="159">
        <v>42053</v>
      </c>
      <c r="I387" s="158">
        <v>19</v>
      </c>
      <c r="J387" s="158"/>
      <c r="K387" s="158"/>
      <c r="L387" s="158"/>
      <c r="M387" s="158"/>
      <c r="N387" s="158"/>
      <c r="O387" s="162"/>
    </row>
    <row r="388" spans="2:15">
      <c r="B388" s="157" t="s">
        <v>343</v>
      </c>
      <c r="C388" s="159">
        <v>42044</v>
      </c>
      <c r="D388" s="158">
        <v>147</v>
      </c>
      <c r="E388" s="158"/>
      <c r="F388" s="158"/>
      <c r="G388" s="779"/>
      <c r="H388" s="159">
        <v>42053</v>
      </c>
      <c r="I388" s="158">
        <v>147</v>
      </c>
      <c r="J388" s="158"/>
      <c r="K388" s="158"/>
      <c r="L388" s="158"/>
      <c r="M388" s="158"/>
      <c r="N388" s="158"/>
      <c r="O388" s="162"/>
    </row>
    <row r="389" spans="2:15">
      <c r="B389" s="157" t="s">
        <v>339</v>
      </c>
      <c r="C389" s="159">
        <v>42044</v>
      </c>
      <c r="D389" s="158">
        <v>86</v>
      </c>
      <c r="E389" s="158"/>
      <c r="F389" s="158"/>
      <c r="G389" s="779"/>
      <c r="H389" s="159">
        <v>42053</v>
      </c>
      <c r="I389" s="158">
        <v>86</v>
      </c>
      <c r="J389" s="158"/>
      <c r="K389" s="158"/>
      <c r="L389" s="158"/>
      <c r="M389" s="158"/>
      <c r="N389" s="158"/>
      <c r="O389" s="162"/>
    </row>
    <row r="390" spans="2:15">
      <c r="B390" s="157" t="s">
        <v>347</v>
      </c>
      <c r="C390" s="159">
        <v>42044</v>
      </c>
      <c r="D390" s="158">
        <v>71</v>
      </c>
      <c r="E390" s="158"/>
      <c r="F390" s="158"/>
      <c r="G390" s="779"/>
      <c r="H390" s="159">
        <v>42053</v>
      </c>
      <c r="I390" s="158">
        <v>71</v>
      </c>
      <c r="J390" s="158"/>
      <c r="K390" s="158"/>
      <c r="L390" s="158"/>
      <c r="M390" s="158"/>
      <c r="N390" s="158"/>
      <c r="O390" s="162"/>
    </row>
    <row r="391" spans="2:15">
      <c r="B391" s="157" t="s">
        <v>333</v>
      </c>
      <c r="C391" s="159">
        <v>42044</v>
      </c>
      <c r="D391" s="158">
        <v>103</v>
      </c>
      <c r="E391" s="158"/>
      <c r="F391" s="158"/>
      <c r="G391" s="779"/>
      <c r="H391" s="159">
        <v>42053</v>
      </c>
      <c r="I391" s="158">
        <v>103</v>
      </c>
      <c r="J391" s="158"/>
      <c r="K391" s="158"/>
      <c r="L391" s="158"/>
      <c r="M391" s="158"/>
      <c r="N391" s="158"/>
      <c r="O391" s="162"/>
    </row>
    <row r="392" spans="2:15">
      <c r="B392" s="157" t="s">
        <v>372</v>
      </c>
      <c r="C392" s="159">
        <v>42065</v>
      </c>
      <c r="D392" s="158">
        <v>200</v>
      </c>
      <c r="E392" s="158"/>
      <c r="F392" s="158"/>
      <c r="G392" s="779"/>
      <c r="H392" s="159">
        <v>42067</v>
      </c>
      <c r="I392" s="158">
        <v>200</v>
      </c>
      <c r="J392" s="158"/>
      <c r="K392" s="158"/>
      <c r="L392" s="158"/>
      <c r="M392" s="158"/>
      <c r="N392" s="158"/>
      <c r="O392" s="162"/>
    </row>
    <row r="393" spans="2:15">
      <c r="B393" s="157" t="s">
        <v>373</v>
      </c>
      <c r="C393" s="159">
        <v>42065</v>
      </c>
      <c r="D393" s="158">
        <v>150</v>
      </c>
      <c r="E393" s="158"/>
      <c r="F393" s="158"/>
      <c r="G393" s="779"/>
      <c r="H393" s="159">
        <v>42067</v>
      </c>
      <c r="I393" s="158">
        <v>150</v>
      </c>
      <c r="J393" s="158"/>
      <c r="K393" s="158"/>
      <c r="L393" s="158"/>
      <c r="M393" s="158"/>
      <c r="N393" s="158"/>
      <c r="O393" s="162"/>
    </row>
    <row r="394" spans="2:15">
      <c r="B394" s="157" t="s">
        <v>374</v>
      </c>
      <c r="C394" s="159">
        <v>42065</v>
      </c>
      <c r="D394" s="158">
        <v>34</v>
      </c>
      <c r="E394" s="158"/>
      <c r="F394" s="158"/>
      <c r="G394" s="779"/>
      <c r="H394" s="159">
        <v>42067</v>
      </c>
      <c r="I394" s="158">
        <v>34</v>
      </c>
      <c r="J394" s="158"/>
      <c r="K394" s="158"/>
      <c r="L394" s="158"/>
      <c r="M394" s="158"/>
      <c r="N394" s="158"/>
      <c r="O394" s="162"/>
    </row>
    <row r="395" spans="2:15">
      <c r="B395" s="157" t="s">
        <v>101</v>
      </c>
      <c r="C395" s="159">
        <v>42074</v>
      </c>
      <c r="D395" s="158">
        <v>175</v>
      </c>
      <c r="E395" s="158"/>
      <c r="F395" s="158"/>
      <c r="G395" s="779"/>
      <c r="H395" s="159">
        <v>42075</v>
      </c>
      <c r="I395" s="158">
        <v>175</v>
      </c>
      <c r="J395" s="158"/>
      <c r="K395" s="158"/>
      <c r="L395" s="158"/>
      <c r="M395" s="158"/>
      <c r="N395" s="158"/>
      <c r="O395" s="162"/>
    </row>
    <row r="396" spans="2:15">
      <c r="B396" s="157" t="s">
        <v>263</v>
      </c>
      <c r="C396" s="159">
        <v>42074</v>
      </c>
      <c r="D396" s="158">
        <v>175</v>
      </c>
      <c r="E396" s="158"/>
      <c r="F396" s="158"/>
      <c r="G396" s="779"/>
      <c r="H396" s="159">
        <v>42075</v>
      </c>
      <c r="I396" s="158">
        <v>175</v>
      </c>
      <c r="J396" s="158"/>
      <c r="K396" s="158"/>
      <c r="L396" s="158"/>
      <c r="M396" s="158"/>
      <c r="N396" s="158"/>
      <c r="O396" s="162"/>
    </row>
    <row r="397" spans="2:15">
      <c r="B397" s="157" t="s">
        <v>344</v>
      </c>
      <c r="C397" s="159">
        <v>42081</v>
      </c>
      <c r="D397" s="158">
        <v>200</v>
      </c>
      <c r="E397" s="158"/>
      <c r="F397" s="158"/>
      <c r="G397" s="779"/>
      <c r="H397" s="159">
        <v>42082</v>
      </c>
      <c r="I397" s="158">
        <v>200</v>
      </c>
      <c r="J397" s="158"/>
      <c r="K397" s="158"/>
      <c r="L397" s="158"/>
      <c r="M397" s="158"/>
      <c r="N397" s="158"/>
      <c r="O397" s="162"/>
    </row>
    <row r="398" spans="2:15">
      <c r="B398" s="157" t="s">
        <v>348</v>
      </c>
      <c r="C398" s="159">
        <v>42081</v>
      </c>
      <c r="D398" s="158">
        <v>200</v>
      </c>
      <c r="E398" s="158"/>
      <c r="F398" s="158"/>
      <c r="G398" s="779"/>
      <c r="H398" s="159">
        <v>42082</v>
      </c>
      <c r="I398" s="158">
        <v>200</v>
      </c>
      <c r="J398" s="158"/>
      <c r="K398" s="158"/>
      <c r="L398" s="158"/>
      <c r="M398" s="158"/>
      <c r="N398" s="158"/>
      <c r="O398" s="162"/>
    </row>
    <row r="399" spans="2:15">
      <c r="B399" s="157" t="s">
        <v>101</v>
      </c>
      <c r="C399" s="159">
        <v>42081</v>
      </c>
      <c r="D399" s="158">
        <v>55</v>
      </c>
      <c r="E399" s="158"/>
      <c r="F399" s="158"/>
      <c r="G399" s="779"/>
      <c r="H399" s="159">
        <v>42082</v>
      </c>
      <c r="I399" s="158">
        <v>55</v>
      </c>
      <c r="J399" s="158"/>
      <c r="K399" s="158"/>
      <c r="L399" s="158"/>
      <c r="M399" s="158"/>
      <c r="N399" s="158"/>
      <c r="O399" s="162"/>
    </row>
    <row r="400" spans="2:15">
      <c r="B400" s="157" t="s">
        <v>344</v>
      </c>
      <c r="C400" s="159">
        <v>42083</v>
      </c>
      <c r="D400" s="158">
        <v>200</v>
      </c>
      <c r="E400" s="158"/>
      <c r="F400" s="158"/>
      <c r="G400" s="779"/>
      <c r="H400" s="159">
        <v>42093</v>
      </c>
      <c r="I400" s="158">
        <v>200</v>
      </c>
      <c r="J400" s="158"/>
      <c r="K400" s="158"/>
      <c r="L400" s="158"/>
      <c r="M400" s="158"/>
      <c r="N400" s="158"/>
      <c r="O400" s="162"/>
    </row>
    <row r="401" spans="2:15">
      <c r="B401" s="157" t="s">
        <v>348</v>
      </c>
      <c r="C401" s="159"/>
      <c r="D401" s="158">
        <v>160</v>
      </c>
      <c r="E401" s="158"/>
      <c r="F401" s="158"/>
      <c r="G401" s="779"/>
      <c r="H401" s="158"/>
      <c r="I401" s="158">
        <v>160</v>
      </c>
      <c r="J401" s="158"/>
      <c r="K401" s="158"/>
      <c r="L401" s="158"/>
      <c r="M401" s="158"/>
      <c r="N401" s="158"/>
      <c r="O401" s="162"/>
    </row>
    <row r="402" spans="2:15">
      <c r="B402" s="157" t="s">
        <v>334</v>
      </c>
      <c r="C402" s="159"/>
      <c r="D402" s="158">
        <v>65</v>
      </c>
      <c r="E402" s="158"/>
      <c r="F402" s="158"/>
      <c r="G402" s="779"/>
      <c r="H402" s="159"/>
      <c r="I402" s="158">
        <v>65</v>
      </c>
      <c r="J402" s="158"/>
      <c r="K402" s="158"/>
      <c r="L402" s="158"/>
      <c r="M402" s="158"/>
      <c r="N402" s="158"/>
      <c r="O402" s="162"/>
    </row>
    <row r="403" spans="2:15">
      <c r="B403" s="157" t="s">
        <v>101</v>
      </c>
      <c r="C403" s="159"/>
      <c r="D403" s="158">
        <v>20</v>
      </c>
      <c r="E403" s="158"/>
      <c r="F403" s="158"/>
      <c r="G403" s="779"/>
      <c r="H403" s="159"/>
      <c r="I403" s="158">
        <v>20</v>
      </c>
      <c r="J403" s="158"/>
      <c r="K403" s="158"/>
      <c r="L403" s="158"/>
      <c r="M403" s="158"/>
      <c r="N403" s="158"/>
      <c r="O403" s="162"/>
    </row>
    <row r="404" spans="2:15">
      <c r="B404" s="157" t="s">
        <v>344</v>
      </c>
      <c r="C404" s="159">
        <v>42088</v>
      </c>
      <c r="D404" s="158">
        <v>163</v>
      </c>
      <c r="E404" s="158"/>
      <c r="F404" s="158"/>
      <c r="G404" s="779"/>
      <c r="H404" s="159">
        <v>42090</v>
      </c>
      <c r="I404" s="158">
        <v>163</v>
      </c>
      <c r="J404" s="158"/>
      <c r="K404" s="158"/>
      <c r="L404" s="158"/>
      <c r="M404" s="158"/>
      <c r="N404" s="158"/>
      <c r="O404" s="162"/>
    </row>
    <row r="405" spans="2:15">
      <c r="B405" s="157" t="s">
        <v>348</v>
      </c>
      <c r="C405" s="159"/>
      <c r="D405" s="158">
        <v>60</v>
      </c>
      <c r="E405" s="158"/>
      <c r="F405" s="158"/>
      <c r="G405" s="779"/>
      <c r="H405" s="159"/>
      <c r="I405" s="158">
        <v>60</v>
      </c>
      <c r="J405" s="158"/>
      <c r="K405" s="158"/>
      <c r="L405" s="158"/>
      <c r="M405" s="158"/>
      <c r="N405" s="158"/>
      <c r="O405" s="162"/>
    </row>
    <row r="406" spans="2:15">
      <c r="B406" s="157" t="s">
        <v>334</v>
      </c>
      <c r="C406" s="159"/>
      <c r="D406" s="158">
        <v>88</v>
      </c>
      <c r="E406" s="158"/>
      <c r="F406" s="158"/>
      <c r="G406" s="779"/>
      <c r="H406" s="159"/>
      <c r="I406" s="158">
        <v>88</v>
      </c>
      <c r="J406" s="158"/>
      <c r="K406" s="158"/>
      <c r="L406" s="158"/>
      <c r="M406" s="158"/>
      <c r="N406" s="158"/>
      <c r="O406" s="162"/>
    </row>
    <row r="407" spans="2:15">
      <c r="B407" s="157" t="s">
        <v>375</v>
      </c>
      <c r="C407" s="159"/>
      <c r="D407" s="158">
        <v>60</v>
      </c>
      <c r="E407" s="158"/>
      <c r="F407" s="158"/>
      <c r="G407" s="779"/>
      <c r="H407" s="159"/>
      <c r="I407" s="158">
        <v>60</v>
      </c>
      <c r="J407" s="158"/>
      <c r="K407" s="158"/>
      <c r="L407" s="158"/>
      <c r="M407" s="158"/>
      <c r="N407" s="158"/>
      <c r="O407" s="162"/>
    </row>
    <row r="408" spans="2:15">
      <c r="B408" s="157" t="s">
        <v>101</v>
      </c>
      <c r="C408" s="159">
        <v>42090</v>
      </c>
      <c r="D408" s="158">
        <v>69</v>
      </c>
      <c r="E408" s="158"/>
      <c r="F408" s="158"/>
      <c r="G408" s="779"/>
      <c r="H408" s="159">
        <v>42093</v>
      </c>
      <c r="I408" s="158">
        <v>69</v>
      </c>
      <c r="J408" s="158"/>
      <c r="K408" s="158"/>
      <c r="L408" s="158"/>
      <c r="M408" s="158"/>
      <c r="N408" s="158"/>
      <c r="O408" s="162"/>
    </row>
    <row r="409" spans="2:15">
      <c r="B409" s="157" t="s">
        <v>375</v>
      </c>
      <c r="C409" s="159"/>
      <c r="D409" s="158">
        <v>53</v>
      </c>
      <c r="E409" s="158"/>
      <c r="F409" s="158"/>
      <c r="G409" s="779"/>
      <c r="H409" s="159"/>
      <c r="I409" s="158">
        <v>53</v>
      </c>
      <c r="J409" s="158"/>
      <c r="K409" s="158"/>
      <c r="L409" s="158"/>
      <c r="M409" s="158"/>
      <c r="N409" s="158"/>
      <c r="O409" s="162"/>
    </row>
    <row r="410" spans="2:15">
      <c r="B410" s="157" t="s">
        <v>333</v>
      </c>
      <c r="C410" s="159"/>
      <c r="D410" s="158">
        <v>110</v>
      </c>
      <c r="E410" s="158"/>
      <c r="F410" s="158"/>
      <c r="G410" s="779"/>
      <c r="H410" s="159"/>
      <c r="I410" s="158">
        <v>110</v>
      </c>
      <c r="J410" s="158"/>
      <c r="K410" s="158"/>
      <c r="L410" s="158"/>
      <c r="M410" s="158"/>
      <c r="N410" s="158"/>
      <c r="O410" s="162"/>
    </row>
    <row r="411" spans="2:15">
      <c r="B411" s="157" t="s">
        <v>333</v>
      </c>
      <c r="C411" s="159">
        <v>42095</v>
      </c>
      <c r="D411" s="158">
        <v>290</v>
      </c>
      <c r="E411" s="158"/>
      <c r="F411" s="158"/>
      <c r="G411" s="779"/>
      <c r="H411" s="159">
        <v>42100</v>
      </c>
      <c r="I411" s="158">
        <v>290</v>
      </c>
      <c r="J411" s="158"/>
      <c r="K411" s="158"/>
      <c r="L411" s="158"/>
      <c r="M411" s="158"/>
      <c r="N411" s="158"/>
      <c r="O411" s="162"/>
    </row>
    <row r="412" spans="2:15">
      <c r="B412" s="157" t="s">
        <v>333</v>
      </c>
      <c r="C412" s="159">
        <v>42102</v>
      </c>
      <c r="D412" s="158">
        <v>220</v>
      </c>
      <c r="E412" s="158"/>
      <c r="F412" s="158"/>
      <c r="G412" s="779"/>
      <c r="H412" s="159">
        <v>42103</v>
      </c>
      <c r="I412" s="158">
        <v>220</v>
      </c>
      <c r="J412" s="158"/>
      <c r="K412" s="158"/>
      <c r="L412" s="158"/>
      <c r="M412" s="158"/>
      <c r="N412" s="158"/>
      <c r="O412" s="162"/>
    </row>
    <row r="413" spans="2:15">
      <c r="B413" s="157" t="s">
        <v>339</v>
      </c>
      <c r="C413" s="159"/>
      <c r="D413" s="158">
        <v>55</v>
      </c>
      <c r="E413" s="158"/>
      <c r="F413" s="158"/>
      <c r="G413" s="779"/>
      <c r="H413" s="159"/>
      <c r="I413" s="158">
        <v>55</v>
      </c>
      <c r="J413" s="158"/>
      <c r="K413" s="158"/>
      <c r="L413" s="158"/>
      <c r="M413" s="158"/>
      <c r="N413" s="158"/>
      <c r="O413" s="162"/>
    </row>
    <row r="414" spans="2:15">
      <c r="B414" s="157" t="s">
        <v>376</v>
      </c>
      <c r="C414" s="159"/>
      <c r="D414" s="158"/>
      <c r="E414" s="159">
        <v>42107</v>
      </c>
      <c r="F414" s="158">
        <v>155</v>
      </c>
      <c r="G414" s="779"/>
      <c r="H414" s="159">
        <v>42121</v>
      </c>
      <c r="I414" s="158">
        <v>155</v>
      </c>
      <c r="J414" s="158"/>
      <c r="K414" s="158"/>
      <c r="L414" s="158"/>
      <c r="M414" s="158"/>
      <c r="N414" s="158"/>
      <c r="O414" s="162"/>
    </row>
    <row r="415" spans="2:15">
      <c r="B415" s="157" t="s">
        <v>377</v>
      </c>
      <c r="C415" s="159"/>
      <c r="D415" s="158"/>
      <c r="E415" s="159"/>
      <c r="F415" s="158">
        <v>150</v>
      </c>
      <c r="G415" s="779"/>
      <c r="H415" s="159"/>
      <c r="I415" s="158">
        <v>150</v>
      </c>
      <c r="J415" s="158"/>
      <c r="K415" s="158"/>
      <c r="L415" s="158"/>
      <c r="M415" s="158"/>
      <c r="N415" s="158"/>
      <c r="O415" s="162"/>
    </row>
    <row r="416" spans="2:15">
      <c r="B416" s="157" t="s">
        <v>345</v>
      </c>
      <c r="C416" s="159">
        <v>42110</v>
      </c>
      <c r="D416" s="158">
        <v>136</v>
      </c>
      <c r="E416" s="158"/>
      <c r="F416" s="158"/>
      <c r="G416" s="779"/>
      <c r="H416" s="159">
        <v>42110</v>
      </c>
      <c r="I416" s="158">
        <v>136</v>
      </c>
      <c r="J416" s="158"/>
      <c r="K416" s="158"/>
      <c r="L416" s="158"/>
      <c r="M416" s="158"/>
      <c r="N416" s="158"/>
      <c r="O416" s="162"/>
    </row>
    <row r="417" spans="2:15">
      <c r="B417" s="157" t="s">
        <v>339</v>
      </c>
      <c r="C417" s="159"/>
      <c r="D417" s="158">
        <v>124</v>
      </c>
      <c r="E417" s="158"/>
      <c r="F417" s="158"/>
      <c r="G417" s="779"/>
      <c r="H417" s="158"/>
      <c r="I417" s="158">
        <v>124</v>
      </c>
      <c r="J417" s="158"/>
      <c r="K417" s="158"/>
      <c r="L417" s="158"/>
      <c r="M417" s="158"/>
      <c r="N417" s="158"/>
      <c r="O417" s="162"/>
    </row>
    <row r="418" spans="2:15">
      <c r="B418" s="157" t="s">
        <v>260</v>
      </c>
      <c r="C418" s="159">
        <v>42111</v>
      </c>
      <c r="D418" s="158">
        <v>121</v>
      </c>
      <c r="E418" s="158"/>
      <c r="F418" s="158"/>
      <c r="G418" s="779"/>
      <c r="H418" s="159">
        <v>42111</v>
      </c>
      <c r="I418" s="158">
        <v>121</v>
      </c>
      <c r="J418" s="158"/>
      <c r="K418" s="158"/>
      <c r="L418" s="158"/>
      <c r="M418" s="158"/>
      <c r="N418" s="158"/>
      <c r="O418" s="162"/>
    </row>
    <row r="419" spans="2:15">
      <c r="B419" s="157" t="s">
        <v>378</v>
      </c>
      <c r="C419" s="159">
        <v>42124</v>
      </c>
      <c r="D419" s="158">
        <v>90</v>
      </c>
      <c r="E419" s="158"/>
      <c r="F419" s="158"/>
      <c r="G419" s="779"/>
      <c r="H419" s="159">
        <v>42131</v>
      </c>
      <c r="I419" s="158">
        <v>90</v>
      </c>
      <c r="J419" s="158"/>
      <c r="K419" s="158"/>
      <c r="L419" s="158"/>
      <c r="M419" s="158"/>
      <c r="N419" s="158"/>
      <c r="O419" s="162"/>
    </row>
    <row r="420" spans="2:15">
      <c r="B420" s="157" t="s">
        <v>263</v>
      </c>
      <c r="C420" s="159">
        <v>42124</v>
      </c>
      <c r="D420" s="158">
        <v>240</v>
      </c>
      <c r="E420" s="158"/>
      <c r="F420" s="158"/>
      <c r="G420" s="779"/>
      <c r="H420" s="159">
        <v>42131</v>
      </c>
      <c r="I420" s="158">
        <v>240</v>
      </c>
      <c r="J420" s="158"/>
      <c r="K420" s="158"/>
      <c r="L420" s="158"/>
      <c r="M420" s="158"/>
      <c r="N420" s="158"/>
      <c r="O420" s="162"/>
    </row>
    <row r="421" spans="2:15">
      <c r="B421" s="157" t="s">
        <v>342</v>
      </c>
      <c r="C421" s="159" t="s">
        <v>463</v>
      </c>
      <c r="D421" s="158">
        <v>133</v>
      </c>
      <c r="E421" s="158"/>
      <c r="F421" s="158"/>
      <c r="G421" s="779"/>
      <c r="H421" s="159">
        <v>42150</v>
      </c>
      <c r="I421" s="175">
        <v>130</v>
      </c>
      <c r="J421" s="158"/>
      <c r="K421" s="158"/>
      <c r="L421" s="158"/>
      <c r="M421" s="158"/>
      <c r="N421" s="158"/>
      <c r="O421" s="162"/>
    </row>
    <row r="422" spans="2:15">
      <c r="B422" s="157" t="s">
        <v>333</v>
      </c>
      <c r="C422" s="159" t="s">
        <v>463</v>
      </c>
      <c r="D422" s="158">
        <v>100</v>
      </c>
      <c r="E422" s="158"/>
      <c r="F422" s="158"/>
      <c r="G422" s="779"/>
      <c r="H422" s="159">
        <v>42150</v>
      </c>
      <c r="I422" s="158">
        <v>100</v>
      </c>
      <c r="J422" s="158"/>
      <c r="K422" s="158"/>
      <c r="L422" s="158"/>
      <c r="M422" s="158"/>
      <c r="N422" s="158"/>
      <c r="O422" s="162"/>
    </row>
    <row r="423" spans="2:15">
      <c r="B423" s="157" t="s">
        <v>264</v>
      </c>
      <c r="C423" s="159"/>
      <c r="D423" s="158"/>
      <c r="E423" s="158"/>
      <c r="F423" s="158"/>
      <c r="G423" s="779"/>
      <c r="H423" s="159">
        <v>42150</v>
      </c>
      <c r="I423" s="158">
        <v>1</v>
      </c>
      <c r="J423" s="158"/>
      <c r="K423" s="158"/>
      <c r="L423" s="158"/>
      <c r="M423" s="158"/>
      <c r="N423" s="158"/>
      <c r="O423" s="162"/>
    </row>
    <row r="424" spans="2:15">
      <c r="B424" s="157" t="s">
        <v>333</v>
      </c>
      <c r="C424" s="159">
        <v>42156</v>
      </c>
      <c r="D424" s="158">
        <v>214</v>
      </c>
      <c r="E424" s="158"/>
      <c r="F424" s="158"/>
      <c r="G424" s="779"/>
      <c r="H424" s="159">
        <v>42158</v>
      </c>
      <c r="I424" s="158">
        <v>214</v>
      </c>
      <c r="J424" s="158"/>
      <c r="K424" s="158"/>
      <c r="L424" s="158"/>
      <c r="M424" s="158"/>
      <c r="N424" s="158"/>
      <c r="O424" s="162"/>
    </row>
    <row r="425" spans="2:15">
      <c r="B425" s="157" t="s">
        <v>505</v>
      </c>
      <c r="C425" s="159">
        <v>42156</v>
      </c>
      <c r="D425" s="158">
        <v>8</v>
      </c>
      <c r="E425" s="158"/>
      <c r="F425" s="158"/>
      <c r="G425" s="779"/>
      <c r="H425" s="159">
        <v>42158</v>
      </c>
      <c r="I425" s="158">
        <v>8</v>
      </c>
      <c r="J425" s="158"/>
      <c r="K425" s="158"/>
      <c r="L425" s="158"/>
      <c r="M425" s="158"/>
      <c r="N425" s="158"/>
      <c r="O425" s="162"/>
    </row>
    <row r="426" spans="2:15">
      <c r="B426" s="157" t="s">
        <v>338</v>
      </c>
      <c r="C426" s="159">
        <v>42163</v>
      </c>
      <c r="D426" s="158">
        <v>201</v>
      </c>
      <c r="E426" s="158"/>
      <c r="F426" s="158"/>
      <c r="G426" s="779"/>
      <c r="H426" s="159">
        <v>42166</v>
      </c>
      <c r="I426" s="158">
        <v>201</v>
      </c>
      <c r="J426" s="158"/>
      <c r="K426" s="158"/>
      <c r="L426" s="158"/>
      <c r="M426" s="158"/>
      <c r="N426" s="158"/>
      <c r="O426" s="162"/>
    </row>
    <row r="427" spans="2:15">
      <c r="B427" s="157" t="s">
        <v>333</v>
      </c>
      <c r="C427" s="159">
        <v>42163</v>
      </c>
      <c r="D427" s="158">
        <v>42</v>
      </c>
      <c r="E427" s="158"/>
      <c r="F427" s="158"/>
      <c r="G427" s="779"/>
      <c r="H427" s="159">
        <v>42166</v>
      </c>
      <c r="I427" s="158">
        <v>42</v>
      </c>
      <c r="J427" s="158"/>
      <c r="K427" s="158"/>
      <c r="L427" s="158"/>
      <c r="M427" s="158"/>
      <c r="N427" s="158"/>
      <c r="O427" s="162"/>
    </row>
    <row r="428" spans="2:15">
      <c r="B428" s="157" t="s">
        <v>532</v>
      </c>
      <c r="C428" s="159">
        <v>42163</v>
      </c>
      <c r="D428" s="158">
        <v>112</v>
      </c>
      <c r="E428" s="158"/>
      <c r="F428" s="158"/>
      <c r="G428" s="779"/>
      <c r="H428" s="159">
        <v>42166</v>
      </c>
      <c r="I428" s="158">
        <v>112</v>
      </c>
      <c r="J428" s="158"/>
      <c r="K428" s="158"/>
      <c r="L428" s="158"/>
      <c r="M428" s="158"/>
      <c r="N428" s="158"/>
      <c r="O428" s="162"/>
    </row>
    <row r="429" spans="2:15">
      <c r="B429" s="157" t="s">
        <v>551</v>
      </c>
      <c r="C429" s="159">
        <v>42166</v>
      </c>
      <c r="D429" s="158">
        <v>311</v>
      </c>
      <c r="E429" s="158"/>
      <c r="F429" s="158"/>
      <c r="G429" s="779"/>
      <c r="H429" s="158" t="s">
        <v>589</v>
      </c>
      <c r="I429" s="158">
        <v>311</v>
      </c>
      <c r="J429" s="158"/>
      <c r="K429" s="158"/>
      <c r="L429" s="158"/>
      <c r="M429" s="158"/>
      <c r="N429" s="158"/>
      <c r="O429" s="162"/>
    </row>
    <row r="430" spans="2:15">
      <c r="B430" s="157" t="s">
        <v>258</v>
      </c>
      <c r="C430" s="158" t="s">
        <v>589</v>
      </c>
      <c r="D430" s="158">
        <v>400</v>
      </c>
      <c r="E430" s="158"/>
      <c r="F430" s="158"/>
      <c r="G430" s="779"/>
      <c r="H430" s="158" t="s">
        <v>589</v>
      </c>
      <c r="I430" s="158">
        <v>400</v>
      </c>
      <c r="J430" s="158"/>
      <c r="K430" s="158"/>
      <c r="L430" s="158"/>
      <c r="M430" s="158"/>
      <c r="N430" s="158"/>
      <c r="O430" s="162"/>
    </row>
    <row r="431" spans="2:15">
      <c r="B431" s="157" t="s">
        <v>101</v>
      </c>
      <c r="C431" s="158" t="s">
        <v>589</v>
      </c>
      <c r="D431" s="158">
        <v>163</v>
      </c>
      <c r="E431" s="158"/>
      <c r="F431" s="158"/>
      <c r="G431" s="779"/>
      <c r="H431" s="158" t="s">
        <v>589</v>
      </c>
      <c r="I431" s="158">
        <v>163</v>
      </c>
      <c r="J431" s="158"/>
      <c r="K431" s="158"/>
      <c r="L431" s="158"/>
      <c r="M431" s="158"/>
      <c r="N431" s="158"/>
      <c r="O431" s="162"/>
    </row>
    <row r="432" spans="2:15">
      <c r="B432" s="157" t="s">
        <v>100</v>
      </c>
      <c r="C432" s="158" t="s">
        <v>589</v>
      </c>
      <c r="D432" s="158">
        <v>151</v>
      </c>
      <c r="E432" s="158"/>
      <c r="F432" s="158"/>
      <c r="G432" s="779"/>
      <c r="H432" s="158" t="s">
        <v>589</v>
      </c>
      <c r="I432" s="158">
        <v>151</v>
      </c>
      <c r="J432" s="158"/>
      <c r="K432" s="158"/>
      <c r="L432" s="158"/>
      <c r="M432" s="158"/>
      <c r="N432" s="158"/>
      <c r="O432" s="162"/>
    </row>
    <row r="433" spans="2:15">
      <c r="B433" s="157" t="s">
        <v>263</v>
      </c>
      <c r="C433" s="158" t="s">
        <v>589</v>
      </c>
      <c r="D433" s="158">
        <v>124</v>
      </c>
      <c r="E433" s="158"/>
      <c r="F433" s="158"/>
      <c r="G433" s="779"/>
      <c r="H433" s="159">
        <v>42188</v>
      </c>
      <c r="I433" s="158">
        <v>124</v>
      </c>
      <c r="J433" s="158"/>
      <c r="K433" s="158"/>
      <c r="L433" s="158"/>
      <c r="M433" s="158"/>
      <c r="N433" s="158"/>
      <c r="O433" s="162"/>
    </row>
    <row r="434" spans="2:15">
      <c r="B434" s="157" t="s">
        <v>264</v>
      </c>
      <c r="C434" s="159">
        <v>42191</v>
      </c>
      <c r="D434" s="158">
        <v>150</v>
      </c>
      <c r="E434" s="158"/>
      <c r="F434" s="158"/>
      <c r="G434" s="779"/>
      <c r="H434" s="159">
        <v>42198</v>
      </c>
      <c r="I434" s="158">
        <v>150</v>
      </c>
      <c r="J434" s="158"/>
      <c r="K434" s="158"/>
      <c r="L434" s="158"/>
      <c r="M434" s="158"/>
      <c r="N434" s="158"/>
      <c r="O434" s="162"/>
    </row>
    <row r="435" spans="2:15">
      <c r="B435" s="157" t="s">
        <v>264</v>
      </c>
      <c r="C435" s="158" t="s">
        <v>609</v>
      </c>
      <c r="D435" s="158">
        <v>250</v>
      </c>
      <c r="E435" s="158"/>
      <c r="F435" s="158"/>
      <c r="G435" s="779"/>
      <c r="H435" s="158" t="s">
        <v>610</v>
      </c>
      <c r="I435" s="158">
        <v>250</v>
      </c>
      <c r="J435" s="158"/>
      <c r="K435" s="158"/>
      <c r="L435" s="158"/>
      <c r="M435" s="158"/>
      <c r="N435" s="158"/>
      <c r="O435" s="162"/>
    </row>
    <row r="436" spans="2:15">
      <c r="B436" s="157" t="s">
        <v>264</v>
      </c>
      <c r="C436" s="158" t="s">
        <v>611</v>
      </c>
      <c r="D436" s="158">
        <v>168</v>
      </c>
      <c r="E436" s="158"/>
      <c r="F436" s="158"/>
      <c r="G436" s="779"/>
      <c r="H436" s="158" t="s">
        <v>610</v>
      </c>
      <c r="I436" s="158">
        <v>168</v>
      </c>
      <c r="J436" s="158"/>
      <c r="K436" s="158"/>
      <c r="L436" s="158"/>
      <c r="M436" s="158"/>
      <c r="N436" s="158"/>
      <c r="O436" s="162"/>
    </row>
    <row r="437" spans="2:15">
      <c r="B437" s="157" t="s">
        <v>635</v>
      </c>
      <c r="C437" s="159">
        <v>42214</v>
      </c>
      <c r="D437" s="158">
        <v>163</v>
      </c>
      <c r="E437" s="158"/>
      <c r="F437" s="158"/>
      <c r="G437" s="779"/>
      <c r="H437" s="158" t="s">
        <v>643</v>
      </c>
      <c r="I437" s="158">
        <v>163</v>
      </c>
      <c r="J437" s="158"/>
      <c r="K437" s="158"/>
      <c r="L437" s="158"/>
      <c r="M437" s="158"/>
      <c r="N437" s="158"/>
      <c r="O437" s="162"/>
    </row>
    <row r="438" spans="2:15">
      <c r="B438" s="157" t="s">
        <v>634</v>
      </c>
      <c r="C438" s="159">
        <v>42214</v>
      </c>
      <c r="D438" s="158">
        <v>39</v>
      </c>
      <c r="E438" s="158"/>
      <c r="F438" s="158"/>
      <c r="G438" s="779"/>
      <c r="H438" s="158" t="s">
        <v>643</v>
      </c>
      <c r="I438" s="158">
        <v>39</v>
      </c>
      <c r="J438" s="158"/>
      <c r="K438" s="158"/>
      <c r="L438" s="158"/>
      <c r="M438" s="158"/>
      <c r="N438" s="158"/>
      <c r="O438" s="162"/>
    </row>
    <row r="439" spans="2:15">
      <c r="B439" s="157" t="s">
        <v>633</v>
      </c>
      <c r="C439" s="159">
        <v>42214</v>
      </c>
      <c r="D439" s="158">
        <v>50</v>
      </c>
      <c r="E439" s="158"/>
      <c r="F439" s="158"/>
      <c r="G439" s="779"/>
      <c r="H439" s="158" t="s">
        <v>643</v>
      </c>
      <c r="I439" s="158">
        <v>50</v>
      </c>
      <c r="J439" s="158"/>
      <c r="K439" s="158"/>
      <c r="L439" s="158"/>
      <c r="M439" s="158"/>
      <c r="N439" s="158"/>
      <c r="O439" s="162"/>
    </row>
    <row r="440" spans="2:15">
      <c r="B440" s="157" t="s">
        <v>644</v>
      </c>
      <c r="C440" s="159">
        <v>42221</v>
      </c>
      <c r="D440" s="158">
        <v>300</v>
      </c>
      <c r="E440" s="158"/>
      <c r="F440" s="158"/>
      <c r="G440" s="779"/>
      <c r="H440" s="159">
        <v>42227</v>
      </c>
      <c r="I440" s="158">
        <v>300</v>
      </c>
      <c r="J440" s="158"/>
      <c r="K440" s="158"/>
      <c r="L440" s="158"/>
      <c r="M440" s="158"/>
      <c r="N440" s="158"/>
      <c r="O440" s="162"/>
    </row>
    <row r="441" spans="2:15">
      <c r="B441" s="157" t="s">
        <v>655</v>
      </c>
      <c r="C441" s="159">
        <v>42227</v>
      </c>
      <c r="D441" s="158">
        <v>229</v>
      </c>
      <c r="E441" s="158"/>
      <c r="F441" s="158"/>
      <c r="G441" s="779"/>
      <c r="H441" s="158" t="s">
        <v>663</v>
      </c>
      <c r="I441" s="158">
        <v>292</v>
      </c>
      <c r="J441" s="158"/>
      <c r="K441" s="158"/>
      <c r="L441" s="158"/>
      <c r="M441" s="158"/>
      <c r="N441" s="158"/>
      <c r="O441" s="162"/>
    </row>
    <row r="442" spans="2:15">
      <c r="B442" s="157" t="s">
        <v>656</v>
      </c>
      <c r="C442" s="159">
        <v>42227</v>
      </c>
      <c r="D442" s="158">
        <v>160</v>
      </c>
      <c r="E442" s="158"/>
      <c r="F442" s="158"/>
      <c r="G442" s="779"/>
      <c r="H442" s="158" t="s">
        <v>663</v>
      </c>
      <c r="I442" s="158">
        <v>186</v>
      </c>
      <c r="J442" s="158"/>
      <c r="K442" s="158"/>
      <c r="L442" s="158"/>
      <c r="M442" s="158"/>
      <c r="N442" s="158"/>
      <c r="O442" s="162"/>
    </row>
    <row r="443" spans="2:15">
      <c r="B443" s="157" t="s">
        <v>657</v>
      </c>
      <c r="C443" s="159">
        <v>42227</v>
      </c>
      <c r="D443" s="158">
        <v>198</v>
      </c>
      <c r="E443" s="158"/>
      <c r="F443" s="158"/>
      <c r="G443" s="779"/>
      <c r="H443" s="158" t="s">
        <v>663</v>
      </c>
      <c r="I443" s="158">
        <v>191</v>
      </c>
      <c r="J443" s="158"/>
      <c r="K443" s="158"/>
      <c r="L443" s="158"/>
      <c r="M443" s="158"/>
      <c r="N443" s="158"/>
      <c r="O443" s="162"/>
    </row>
    <row r="444" spans="2:15">
      <c r="B444" s="157" t="s">
        <v>263</v>
      </c>
      <c r="C444" s="158" t="s">
        <v>662</v>
      </c>
      <c r="D444" s="158">
        <v>79</v>
      </c>
      <c r="E444" s="158"/>
      <c r="F444" s="158"/>
      <c r="G444" s="779"/>
      <c r="H444" s="158" t="s">
        <v>685</v>
      </c>
      <c r="I444" s="158">
        <v>79</v>
      </c>
      <c r="J444" s="158"/>
      <c r="K444" s="158"/>
      <c r="L444" s="158"/>
      <c r="M444" s="158"/>
      <c r="N444" s="158"/>
      <c r="O444" s="162"/>
    </row>
    <row r="445" spans="2:15">
      <c r="B445" s="157" t="s">
        <v>661</v>
      </c>
      <c r="C445" s="158" t="s">
        <v>662</v>
      </c>
      <c r="D445" s="158">
        <v>166</v>
      </c>
      <c r="E445" s="158"/>
      <c r="F445" s="158"/>
      <c r="G445" s="779"/>
      <c r="H445" s="158" t="s">
        <v>685</v>
      </c>
      <c r="I445" s="158">
        <v>166</v>
      </c>
      <c r="J445" s="158"/>
      <c r="K445" s="158"/>
      <c r="L445" s="158"/>
      <c r="M445" s="158"/>
      <c r="N445" s="158"/>
      <c r="O445" s="162"/>
    </row>
    <row r="446" spans="2:15">
      <c r="B446" s="157" t="s">
        <v>683</v>
      </c>
      <c r="C446" s="158" t="s">
        <v>684</v>
      </c>
      <c r="D446" s="158">
        <v>418</v>
      </c>
      <c r="E446" s="158"/>
      <c r="F446" s="158"/>
      <c r="G446" s="779"/>
      <c r="H446" s="158" t="s">
        <v>685</v>
      </c>
      <c r="I446" s="158">
        <v>418</v>
      </c>
      <c r="J446" s="158"/>
      <c r="K446" s="158"/>
      <c r="L446" s="158"/>
      <c r="M446" s="158"/>
      <c r="N446" s="158"/>
      <c r="O446" s="162"/>
    </row>
    <row r="447" spans="2:15">
      <c r="B447" s="157" t="s">
        <v>657</v>
      </c>
      <c r="C447" s="158" t="s">
        <v>685</v>
      </c>
      <c r="D447" s="158">
        <v>100</v>
      </c>
      <c r="E447" s="158"/>
      <c r="F447" s="158"/>
      <c r="G447" s="779"/>
      <c r="H447" s="158" t="s">
        <v>685</v>
      </c>
      <c r="I447" s="158">
        <v>100</v>
      </c>
      <c r="J447" s="158"/>
      <c r="K447" s="158"/>
      <c r="L447" s="158"/>
      <c r="M447" s="158"/>
      <c r="N447" s="158"/>
      <c r="O447" s="162"/>
    </row>
    <row r="448" spans="2:15">
      <c r="B448" s="144" t="s">
        <v>656</v>
      </c>
      <c r="C448" s="159">
        <v>42251</v>
      </c>
      <c r="D448" s="158">
        <v>171</v>
      </c>
      <c r="E448" s="158"/>
      <c r="F448" s="158"/>
      <c r="G448" s="779"/>
      <c r="H448" s="158" t="s">
        <v>723</v>
      </c>
      <c r="I448" s="158">
        <v>171</v>
      </c>
      <c r="J448" s="158"/>
      <c r="K448" s="158"/>
      <c r="L448" s="158"/>
      <c r="M448" s="158"/>
      <c r="N448" s="158"/>
      <c r="O448" s="162"/>
    </row>
    <row r="449" spans="2:15">
      <c r="B449" s="144" t="s">
        <v>700</v>
      </c>
      <c r="C449" s="159">
        <v>42251</v>
      </c>
      <c r="D449" s="158">
        <v>211</v>
      </c>
      <c r="E449" s="158"/>
      <c r="F449" s="158"/>
      <c r="G449" s="779"/>
      <c r="H449" s="158" t="s">
        <v>723</v>
      </c>
      <c r="I449" s="158">
        <v>211</v>
      </c>
      <c r="J449" s="158"/>
      <c r="K449" s="158"/>
      <c r="L449" s="158"/>
      <c r="M449" s="158"/>
      <c r="N449" s="158"/>
      <c r="O449" s="162"/>
    </row>
    <row r="450" spans="2:15">
      <c r="B450" s="144" t="s">
        <v>708</v>
      </c>
      <c r="C450" s="159">
        <v>42257</v>
      </c>
      <c r="D450" s="158">
        <v>115</v>
      </c>
      <c r="E450" s="158"/>
      <c r="F450" s="158"/>
      <c r="G450" s="779"/>
      <c r="H450" s="158" t="s">
        <v>723</v>
      </c>
      <c r="I450" s="158">
        <v>115</v>
      </c>
      <c r="J450" s="158"/>
      <c r="K450" s="158"/>
      <c r="L450" s="158"/>
      <c r="M450" s="158"/>
      <c r="N450" s="158"/>
      <c r="O450" s="162"/>
    </row>
    <row r="451" spans="2:15">
      <c r="B451" s="144" t="s">
        <v>709</v>
      </c>
      <c r="C451" s="159">
        <v>42257</v>
      </c>
      <c r="D451" s="158">
        <v>143</v>
      </c>
      <c r="E451" s="158"/>
      <c r="F451" s="158"/>
      <c r="G451" s="779"/>
      <c r="H451" s="158" t="s">
        <v>723</v>
      </c>
      <c r="I451" s="158">
        <v>143</v>
      </c>
      <c r="J451" s="158"/>
      <c r="K451" s="158"/>
      <c r="L451" s="158"/>
      <c r="M451" s="158"/>
      <c r="N451" s="158"/>
      <c r="O451" s="162"/>
    </row>
    <row r="452" spans="2:15">
      <c r="B452" s="144" t="s">
        <v>710</v>
      </c>
      <c r="C452" s="159">
        <v>42257</v>
      </c>
      <c r="D452" s="158">
        <v>50</v>
      </c>
      <c r="E452" s="158"/>
      <c r="F452" s="158"/>
      <c r="G452" s="779"/>
      <c r="H452" s="158" t="s">
        <v>723</v>
      </c>
      <c r="I452" s="158">
        <v>50</v>
      </c>
      <c r="J452" s="158"/>
      <c r="K452" s="158"/>
      <c r="L452" s="158"/>
      <c r="M452" s="158"/>
      <c r="N452" s="158"/>
      <c r="O452" s="162"/>
    </row>
    <row r="453" spans="2:15">
      <c r="B453" s="157" t="s">
        <v>719</v>
      </c>
      <c r="C453" s="158" t="s">
        <v>718</v>
      </c>
      <c r="D453" s="158">
        <v>97</v>
      </c>
      <c r="E453" s="158"/>
      <c r="F453" s="158"/>
      <c r="G453" s="779"/>
      <c r="H453" s="158" t="s">
        <v>723</v>
      </c>
      <c r="I453" s="158">
        <v>97</v>
      </c>
      <c r="J453" s="158"/>
      <c r="K453" s="158"/>
      <c r="L453" s="158"/>
      <c r="M453" s="158"/>
      <c r="N453" s="158"/>
      <c r="O453" s="162"/>
    </row>
    <row r="454" spans="2:15">
      <c r="B454" s="157" t="s">
        <v>720</v>
      </c>
      <c r="C454" s="158" t="s">
        <v>718</v>
      </c>
      <c r="D454" s="158">
        <v>92</v>
      </c>
      <c r="E454" s="158"/>
      <c r="F454" s="158"/>
      <c r="G454" s="779"/>
      <c r="H454" s="158" t="s">
        <v>723</v>
      </c>
      <c r="I454" s="158">
        <v>92</v>
      </c>
      <c r="J454" s="158"/>
      <c r="K454" s="158"/>
      <c r="L454" s="158"/>
      <c r="M454" s="158"/>
      <c r="N454" s="158"/>
      <c r="O454" s="162"/>
    </row>
    <row r="455" spans="2:15">
      <c r="B455" s="157" t="s">
        <v>721</v>
      </c>
      <c r="C455" s="158" t="s">
        <v>718</v>
      </c>
      <c r="D455" s="158">
        <v>100</v>
      </c>
      <c r="E455" s="158"/>
      <c r="F455" s="158"/>
      <c r="G455" s="779"/>
      <c r="H455" s="158" t="s">
        <v>723</v>
      </c>
      <c r="I455" s="158">
        <v>100</v>
      </c>
      <c r="J455" s="158"/>
      <c r="K455" s="158"/>
      <c r="L455" s="158"/>
      <c r="M455" s="158"/>
      <c r="N455" s="158"/>
      <c r="O455" s="162"/>
    </row>
    <row r="456" spans="2:15">
      <c r="B456" s="157" t="s">
        <v>733</v>
      </c>
      <c r="C456" s="158" t="s">
        <v>734</v>
      </c>
      <c r="D456" s="158">
        <v>150</v>
      </c>
      <c r="E456" s="158"/>
      <c r="F456" s="158"/>
      <c r="G456" s="779"/>
      <c r="H456" s="158" t="s">
        <v>739</v>
      </c>
      <c r="I456" s="158">
        <v>180</v>
      </c>
      <c r="J456" s="158"/>
      <c r="K456" s="158"/>
      <c r="L456" s="158"/>
      <c r="M456" s="158"/>
      <c r="N456" s="158"/>
      <c r="O456" s="162"/>
    </row>
    <row r="457" spans="2:15">
      <c r="B457" s="157" t="s">
        <v>719</v>
      </c>
      <c r="C457" s="158" t="s">
        <v>734</v>
      </c>
      <c r="D457" s="158">
        <v>50</v>
      </c>
      <c r="E457" s="158"/>
      <c r="F457" s="158"/>
      <c r="G457" s="779"/>
      <c r="H457" s="158" t="s">
        <v>739</v>
      </c>
      <c r="I457" s="158">
        <v>50</v>
      </c>
      <c r="J457" s="158"/>
      <c r="K457" s="158"/>
      <c r="L457" s="158"/>
      <c r="M457" s="158"/>
      <c r="N457" s="158"/>
      <c r="O457" s="162"/>
    </row>
    <row r="458" spans="2:15">
      <c r="B458" s="157" t="s">
        <v>721</v>
      </c>
      <c r="C458" s="158" t="s">
        <v>734</v>
      </c>
      <c r="D458" s="158">
        <v>76</v>
      </c>
      <c r="E458" s="158"/>
      <c r="F458" s="158"/>
      <c r="G458" s="779"/>
      <c r="H458" s="158" t="s">
        <v>739</v>
      </c>
      <c r="I458" s="158">
        <v>76</v>
      </c>
      <c r="J458" s="158"/>
      <c r="K458" s="158"/>
      <c r="L458" s="158"/>
      <c r="M458" s="158"/>
      <c r="N458" s="158"/>
      <c r="O458" s="162"/>
    </row>
    <row r="459" spans="2:15">
      <c r="B459" s="157" t="s">
        <v>733</v>
      </c>
      <c r="C459" s="158" t="s">
        <v>739</v>
      </c>
      <c r="D459" s="158">
        <v>220</v>
      </c>
      <c r="E459" s="158"/>
      <c r="F459" s="158"/>
      <c r="G459" s="779"/>
      <c r="H459" s="159">
        <v>42279</v>
      </c>
      <c r="I459" s="158">
        <v>220</v>
      </c>
      <c r="J459" s="158"/>
      <c r="K459" s="158"/>
      <c r="L459" s="158"/>
      <c r="M459" s="158"/>
      <c r="N459" s="158"/>
      <c r="O459" s="162"/>
    </row>
    <row r="460" spans="2:15">
      <c r="B460" s="157" t="s">
        <v>753</v>
      </c>
      <c r="C460" s="158" t="s">
        <v>754</v>
      </c>
      <c r="D460" s="158">
        <v>117</v>
      </c>
      <c r="E460" s="158"/>
      <c r="F460" s="158"/>
      <c r="G460" s="779"/>
      <c r="H460" s="159">
        <v>42279</v>
      </c>
      <c r="I460" s="158">
        <v>117</v>
      </c>
      <c r="J460" s="158"/>
      <c r="K460" s="158"/>
      <c r="L460" s="158"/>
      <c r="M460" s="158"/>
      <c r="N460" s="158"/>
      <c r="O460" s="162"/>
    </row>
    <row r="461" spans="2:15">
      <c r="B461" s="157" t="s">
        <v>762</v>
      </c>
      <c r="C461" s="159">
        <v>42278</v>
      </c>
      <c r="D461" s="158">
        <v>60</v>
      </c>
      <c r="E461" s="158"/>
      <c r="F461" s="158"/>
      <c r="G461" s="779"/>
      <c r="H461" s="159">
        <v>42279</v>
      </c>
      <c r="I461" s="158">
        <v>60</v>
      </c>
      <c r="J461" s="158"/>
      <c r="K461" s="158"/>
      <c r="L461" s="158"/>
      <c r="M461" s="158"/>
      <c r="N461" s="158"/>
      <c r="O461" s="162"/>
    </row>
    <row r="462" spans="2:15">
      <c r="B462" s="157" t="s">
        <v>633</v>
      </c>
      <c r="C462" s="159">
        <v>42282</v>
      </c>
      <c r="D462" s="158">
        <v>222</v>
      </c>
      <c r="E462" s="158"/>
      <c r="F462" s="158"/>
      <c r="G462" s="779"/>
      <c r="H462" s="159">
        <v>42286</v>
      </c>
      <c r="I462" s="158">
        <v>222</v>
      </c>
      <c r="J462" s="158"/>
      <c r="K462" s="158"/>
      <c r="L462" s="158"/>
      <c r="M462" s="158"/>
      <c r="N462" s="158"/>
      <c r="O462" s="162"/>
    </row>
    <row r="463" spans="2:15">
      <c r="B463" s="157" t="s">
        <v>661</v>
      </c>
      <c r="C463" s="159">
        <v>42282</v>
      </c>
      <c r="D463" s="158">
        <v>50</v>
      </c>
      <c r="E463" s="158"/>
      <c r="F463" s="158"/>
      <c r="G463" s="779"/>
      <c r="H463" s="159">
        <v>42286</v>
      </c>
      <c r="I463" s="158">
        <v>50</v>
      </c>
      <c r="J463" s="158"/>
      <c r="K463" s="158"/>
      <c r="L463" s="158"/>
      <c r="M463" s="158"/>
      <c r="N463" s="158"/>
      <c r="O463" s="162"/>
    </row>
    <row r="464" spans="2:15">
      <c r="B464" s="157" t="s">
        <v>378</v>
      </c>
      <c r="C464" s="159">
        <v>42286</v>
      </c>
      <c r="D464" s="158">
        <v>150</v>
      </c>
      <c r="E464" s="158"/>
      <c r="F464" s="158"/>
      <c r="G464" s="779"/>
      <c r="H464" s="159">
        <v>42291</v>
      </c>
      <c r="I464" s="158">
        <v>150</v>
      </c>
      <c r="J464" s="158"/>
      <c r="K464" s="158"/>
      <c r="L464" s="158"/>
      <c r="M464" s="158"/>
      <c r="N464" s="158"/>
      <c r="O464" s="162"/>
    </row>
    <row r="465" spans="1:15">
      <c r="B465" s="157" t="s">
        <v>263</v>
      </c>
      <c r="C465" s="159">
        <v>42286</v>
      </c>
      <c r="D465" s="158">
        <v>329</v>
      </c>
      <c r="E465" s="158"/>
      <c r="F465" s="158"/>
      <c r="G465" s="779"/>
      <c r="H465" s="159">
        <v>42291</v>
      </c>
      <c r="I465" s="158">
        <v>329</v>
      </c>
      <c r="J465" s="158"/>
      <c r="K465" s="158"/>
      <c r="L465" s="158"/>
      <c r="M465" s="158"/>
      <c r="N465" s="158"/>
      <c r="O465" s="162"/>
    </row>
    <row r="466" spans="1:15">
      <c r="B466" s="157" t="s">
        <v>774</v>
      </c>
      <c r="C466" s="159">
        <v>42291</v>
      </c>
      <c r="D466" s="158">
        <v>240</v>
      </c>
      <c r="E466" s="158"/>
      <c r="F466" s="158"/>
      <c r="G466" s="779"/>
      <c r="H466" s="158" t="s">
        <v>795</v>
      </c>
      <c r="I466" s="158">
        <v>240</v>
      </c>
      <c r="J466" s="158"/>
      <c r="K466" s="158"/>
      <c r="L466" s="158"/>
      <c r="M466" s="158"/>
      <c r="N466" s="158"/>
      <c r="O466" s="162"/>
    </row>
    <row r="467" spans="1:15">
      <c r="B467" s="157" t="s">
        <v>774</v>
      </c>
      <c r="C467" s="159">
        <v>42292</v>
      </c>
      <c r="D467" s="158">
        <v>104</v>
      </c>
      <c r="E467" s="158"/>
      <c r="F467" s="158"/>
      <c r="G467" s="779"/>
      <c r="H467" s="158" t="s">
        <v>795</v>
      </c>
      <c r="I467" s="158">
        <v>104</v>
      </c>
      <c r="J467" s="158"/>
      <c r="K467" s="158"/>
      <c r="L467" s="158"/>
      <c r="M467" s="158"/>
      <c r="N467" s="158"/>
      <c r="O467" s="162"/>
    </row>
    <row r="468" spans="1:15">
      <c r="B468" s="157" t="s">
        <v>700</v>
      </c>
      <c r="C468" s="158" t="s">
        <v>812</v>
      </c>
      <c r="D468" s="158">
        <v>160</v>
      </c>
      <c r="E468" s="158"/>
      <c r="F468" s="158"/>
      <c r="G468" s="779"/>
      <c r="H468" s="159">
        <v>42313</v>
      </c>
      <c r="I468" s="158">
        <v>160</v>
      </c>
      <c r="J468" s="158"/>
      <c r="K468" s="158"/>
      <c r="L468" s="158"/>
      <c r="M468" s="158"/>
      <c r="N468" s="158"/>
      <c r="O468" s="162"/>
    </row>
    <row r="469" spans="1:15">
      <c r="B469" s="157" t="s">
        <v>708</v>
      </c>
      <c r="C469" s="158" t="s">
        <v>812</v>
      </c>
      <c r="D469" s="158">
        <v>120</v>
      </c>
      <c r="E469" s="158"/>
      <c r="F469" s="158"/>
      <c r="G469" s="779"/>
      <c r="H469" s="159">
        <v>42313</v>
      </c>
      <c r="I469" s="158">
        <v>120</v>
      </c>
      <c r="J469" s="158"/>
      <c r="K469" s="158"/>
      <c r="L469" s="158"/>
      <c r="M469" s="158"/>
      <c r="N469" s="158"/>
      <c r="O469" s="162"/>
    </row>
    <row r="470" spans="1:15">
      <c r="B470" s="157" t="s">
        <v>700</v>
      </c>
      <c r="C470" s="158" t="s">
        <v>827</v>
      </c>
      <c r="D470" s="158">
        <v>83</v>
      </c>
      <c r="E470" s="158"/>
      <c r="F470" s="158"/>
      <c r="G470" s="779"/>
      <c r="H470" s="159">
        <v>42313</v>
      </c>
      <c r="I470" s="158">
        <v>83</v>
      </c>
      <c r="J470" s="158"/>
      <c r="K470" s="158"/>
      <c r="L470" s="158"/>
      <c r="M470" s="158"/>
      <c r="N470" s="158"/>
      <c r="O470" s="162"/>
    </row>
    <row r="471" spans="1:15">
      <c r="B471" s="157" t="s">
        <v>721</v>
      </c>
      <c r="C471" s="159">
        <v>42313</v>
      </c>
      <c r="D471" s="158">
        <v>260</v>
      </c>
      <c r="E471" s="158"/>
      <c r="F471" s="158"/>
      <c r="G471" s="779"/>
      <c r="H471" s="158" t="s">
        <v>853</v>
      </c>
      <c r="I471" s="158">
        <v>260</v>
      </c>
      <c r="J471" s="158"/>
      <c r="K471" s="158"/>
      <c r="L471" s="158"/>
      <c r="M471" s="158"/>
      <c r="N471" s="158"/>
      <c r="O471" s="162"/>
    </row>
    <row r="472" spans="1:15">
      <c r="B472" s="157" t="s">
        <v>635</v>
      </c>
      <c r="C472" s="159">
        <v>42313</v>
      </c>
      <c r="D472" s="158">
        <v>100</v>
      </c>
      <c r="E472" s="158"/>
      <c r="F472" s="158"/>
      <c r="G472" s="779"/>
      <c r="H472" s="158" t="s">
        <v>853</v>
      </c>
      <c r="I472" s="158">
        <v>100</v>
      </c>
      <c r="J472" s="158"/>
      <c r="K472" s="158"/>
      <c r="L472" s="158"/>
      <c r="M472" s="158"/>
      <c r="N472" s="158"/>
      <c r="O472" s="162"/>
    </row>
    <row r="473" spans="1:15">
      <c r="B473" s="157" t="s">
        <v>661</v>
      </c>
      <c r="C473" s="159">
        <v>42320</v>
      </c>
      <c r="D473" s="158">
        <v>238</v>
      </c>
      <c r="E473" s="158"/>
      <c r="F473" s="158"/>
      <c r="G473" s="779"/>
      <c r="H473" s="158" t="s">
        <v>853</v>
      </c>
      <c r="I473" s="158">
        <v>238</v>
      </c>
      <c r="J473" s="158"/>
      <c r="K473" s="158"/>
      <c r="L473" s="158"/>
      <c r="M473" s="158"/>
      <c r="N473" s="158"/>
      <c r="O473" s="162"/>
    </row>
    <row r="474" spans="1:15">
      <c r="B474" s="157" t="s">
        <v>859</v>
      </c>
      <c r="C474" s="158" t="s">
        <v>860</v>
      </c>
      <c r="D474" s="158">
        <v>153</v>
      </c>
      <c r="E474" s="158"/>
      <c r="F474" s="158"/>
      <c r="G474" s="779"/>
      <c r="H474" s="158" t="s">
        <v>872</v>
      </c>
      <c r="I474" s="158">
        <v>153</v>
      </c>
      <c r="J474" s="158"/>
      <c r="K474" s="158"/>
      <c r="L474" s="158"/>
      <c r="M474" s="158"/>
      <c r="N474" s="158"/>
      <c r="O474" s="162"/>
    </row>
    <row r="475" spans="1:15">
      <c r="A475" s="701" t="s">
        <v>865</v>
      </c>
      <c r="B475" s="157" t="s">
        <v>863</v>
      </c>
      <c r="C475" s="158" t="s">
        <v>864</v>
      </c>
      <c r="D475" s="158">
        <v>400</v>
      </c>
      <c r="E475" s="158"/>
      <c r="F475" s="158"/>
      <c r="G475" s="779"/>
      <c r="H475" s="158" t="s">
        <v>872</v>
      </c>
      <c r="I475" s="158">
        <v>400</v>
      </c>
      <c r="J475" s="158"/>
      <c r="K475" s="158"/>
      <c r="L475" s="158"/>
      <c r="M475" s="158"/>
      <c r="N475" s="158"/>
      <c r="O475" s="162"/>
    </row>
    <row r="476" spans="1:15">
      <c r="B476" s="157" t="s">
        <v>721</v>
      </c>
      <c r="C476" s="159">
        <v>42348</v>
      </c>
      <c r="D476" s="158">
        <v>200</v>
      </c>
      <c r="E476" s="158"/>
      <c r="F476" s="158"/>
      <c r="G476" s="779"/>
      <c r="H476" s="158" t="s">
        <v>918</v>
      </c>
      <c r="I476" s="158">
        <v>200</v>
      </c>
      <c r="J476" s="158"/>
      <c r="K476" s="158"/>
      <c r="L476" s="158"/>
      <c r="M476" s="158"/>
      <c r="N476" s="158"/>
      <c r="O476" s="162"/>
    </row>
    <row r="477" spans="1:15">
      <c r="B477" s="157" t="s">
        <v>635</v>
      </c>
      <c r="C477" s="159">
        <v>42348</v>
      </c>
      <c r="D477" s="158">
        <v>41</v>
      </c>
      <c r="E477" s="158"/>
      <c r="F477" s="158"/>
      <c r="G477" s="779"/>
      <c r="H477" s="158" t="s">
        <v>918</v>
      </c>
      <c r="I477" s="158">
        <v>41</v>
      </c>
      <c r="J477" s="158"/>
      <c r="K477" s="158"/>
      <c r="L477" s="158"/>
      <c r="M477" s="158"/>
      <c r="N477" s="158"/>
      <c r="O477" s="162"/>
    </row>
    <row r="478" spans="1:15">
      <c r="B478" s="157" t="s">
        <v>900</v>
      </c>
      <c r="C478" s="159">
        <v>42348</v>
      </c>
      <c r="D478" s="158">
        <v>179</v>
      </c>
      <c r="E478" s="158"/>
      <c r="F478" s="158"/>
      <c r="G478" s="779"/>
      <c r="H478" s="158" t="s">
        <v>918</v>
      </c>
      <c r="I478" s="158">
        <v>179</v>
      </c>
      <c r="J478" s="158"/>
      <c r="K478" s="158"/>
      <c r="L478" s="158"/>
      <c r="M478" s="158"/>
      <c r="N478" s="158"/>
      <c r="O478" s="162"/>
    </row>
    <row r="479" spans="1:15">
      <c r="A479" s="131">
        <v>1</v>
      </c>
      <c r="B479" s="157" t="s">
        <v>939</v>
      </c>
      <c r="C479" s="159">
        <v>42383</v>
      </c>
      <c r="D479" s="775">
        <v>321</v>
      </c>
      <c r="E479" s="158"/>
      <c r="F479" s="158"/>
      <c r="G479" s="779"/>
      <c r="H479" s="158" t="s">
        <v>961</v>
      </c>
      <c r="I479" s="158">
        <v>323</v>
      </c>
      <c r="J479" s="158" t="s">
        <v>960</v>
      </c>
      <c r="K479" s="158"/>
      <c r="L479" s="158"/>
      <c r="M479" s="158"/>
      <c r="N479" s="158"/>
      <c r="O479" s="162"/>
    </row>
    <row r="480" spans="1:15">
      <c r="A480" s="131">
        <v>2</v>
      </c>
      <c r="B480" s="144" t="s">
        <v>945</v>
      </c>
      <c r="C480" s="158" t="s">
        <v>946</v>
      </c>
      <c r="D480" s="781">
        <v>66</v>
      </c>
      <c r="E480" s="145"/>
      <c r="F480" s="145"/>
      <c r="G480" s="779"/>
      <c r="H480" s="158" t="s">
        <v>961</v>
      </c>
      <c r="I480" s="158">
        <v>76</v>
      </c>
      <c r="J480" s="158" t="s">
        <v>960</v>
      </c>
      <c r="K480" s="158"/>
      <c r="L480" s="158"/>
      <c r="M480" s="158"/>
      <c r="N480" s="158"/>
      <c r="O480" s="162"/>
    </row>
    <row r="481" spans="1:15">
      <c r="A481" s="131">
        <v>2</v>
      </c>
      <c r="B481" s="144" t="s">
        <v>683</v>
      </c>
      <c r="C481" s="158" t="s">
        <v>946</v>
      </c>
      <c r="D481" s="145">
        <v>99</v>
      </c>
      <c r="E481" s="145"/>
      <c r="F481" s="145"/>
      <c r="G481" s="779"/>
      <c r="H481" s="158" t="s">
        <v>961</v>
      </c>
      <c r="I481" s="158">
        <v>99</v>
      </c>
      <c r="J481" s="158"/>
      <c r="K481" s="158"/>
      <c r="L481" s="158"/>
      <c r="M481" s="158"/>
      <c r="N481" s="158"/>
      <c r="O481" s="162"/>
    </row>
    <row r="482" spans="1:15">
      <c r="A482" s="131">
        <v>3</v>
      </c>
      <c r="B482" s="144" t="s">
        <v>956</v>
      </c>
      <c r="C482" s="159">
        <v>42390</v>
      </c>
      <c r="D482" s="145">
        <v>184</v>
      </c>
      <c r="E482" s="145"/>
      <c r="F482" s="145"/>
      <c r="G482" s="779"/>
      <c r="H482" s="158" t="s">
        <v>961</v>
      </c>
      <c r="I482" s="158">
        <v>184</v>
      </c>
      <c r="J482" s="158"/>
      <c r="K482" s="158"/>
      <c r="L482" s="158"/>
      <c r="M482" s="158"/>
      <c r="N482" s="158"/>
      <c r="O482" s="162"/>
    </row>
    <row r="483" spans="1:15">
      <c r="A483" s="131">
        <v>3</v>
      </c>
      <c r="B483" s="144" t="s">
        <v>333</v>
      </c>
      <c r="C483" s="159">
        <v>42390</v>
      </c>
      <c r="D483" s="145">
        <v>136</v>
      </c>
      <c r="E483" s="145"/>
      <c r="F483" s="145"/>
      <c r="G483" s="779"/>
      <c r="H483" s="158" t="s">
        <v>961</v>
      </c>
      <c r="I483" s="158">
        <v>136</v>
      </c>
      <c r="J483" s="158"/>
      <c r="K483" s="158"/>
      <c r="L483" s="158"/>
      <c r="M483" s="158"/>
      <c r="N483" s="158"/>
      <c r="O483" s="162"/>
    </row>
    <row r="484" spans="1:15">
      <c r="A484" s="131">
        <v>4</v>
      </c>
      <c r="B484" s="144" t="s">
        <v>956</v>
      </c>
      <c r="C484" s="159">
        <v>42391</v>
      </c>
      <c r="D484" s="145">
        <v>216</v>
      </c>
      <c r="E484" s="145"/>
      <c r="F484" s="145"/>
      <c r="G484" s="779"/>
      <c r="H484" s="158" t="s">
        <v>961</v>
      </c>
      <c r="I484" s="158">
        <v>216</v>
      </c>
      <c r="J484" s="158"/>
      <c r="K484" s="158"/>
      <c r="L484" s="158"/>
      <c r="M484" s="158"/>
      <c r="N484" s="158"/>
      <c r="O484" s="162"/>
    </row>
    <row r="485" spans="1:15">
      <c r="A485" s="131">
        <v>4</v>
      </c>
      <c r="B485" s="144" t="s">
        <v>101</v>
      </c>
      <c r="C485" s="159">
        <v>42391</v>
      </c>
      <c r="D485" s="775">
        <v>103</v>
      </c>
      <c r="E485" s="145"/>
      <c r="F485" s="1133"/>
      <c r="G485" s="780"/>
      <c r="H485" s="158" t="s">
        <v>961</v>
      </c>
      <c r="I485" s="158">
        <v>100</v>
      </c>
      <c r="J485" s="158" t="s">
        <v>960</v>
      </c>
      <c r="K485" s="158"/>
      <c r="L485" s="158"/>
      <c r="M485" s="158"/>
      <c r="N485" s="158"/>
      <c r="O485" s="162"/>
    </row>
    <row r="486" spans="1:15">
      <c r="A486" s="131">
        <v>5</v>
      </c>
      <c r="B486" s="150" t="s">
        <v>633</v>
      </c>
      <c r="C486" s="184" t="s">
        <v>958</v>
      </c>
      <c r="D486" s="184">
        <v>161</v>
      </c>
      <c r="E486" s="777"/>
      <c r="F486" s="1134"/>
      <c r="H486" s="158" t="s">
        <v>961</v>
      </c>
      <c r="I486" s="184">
        <v>161</v>
      </c>
    </row>
    <row r="487" spans="1:15">
      <c r="A487" s="131">
        <v>5</v>
      </c>
      <c r="B487" s="150" t="s">
        <v>656</v>
      </c>
      <c r="C487" s="184" t="s">
        <v>958</v>
      </c>
      <c r="D487" s="776">
        <v>266</v>
      </c>
      <c r="E487" s="777"/>
      <c r="F487" s="777"/>
      <c r="H487" s="158" t="s">
        <v>961</v>
      </c>
      <c r="I487" s="184">
        <v>268</v>
      </c>
      <c r="J487" s="184" t="s">
        <v>960</v>
      </c>
    </row>
    <row r="488" spans="1:15">
      <c r="B488" s="131" t="s">
        <v>338</v>
      </c>
      <c r="C488" s="184" t="s">
        <v>966</v>
      </c>
      <c r="D488" s="184">
        <v>457</v>
      </c>
      <c r="H488" s="793">
        <v>42403</v>
      </c>
      <c r="I488" s="184">
        <v>455</v>
      </c>
      <c r="J488" s="184" t="s">
        <v>960</v>
      </c>
    </row>
    <row r="489" spans="1:15">
      <c r="B489" s="131" t="s">
        <v>260</v>
      </c>
      <c r="C489" s="184" t="s">
        <v>966</v>
      </c>
      <c r="D489" s="184">
        <v>100</v>
      </c>
      <c r="H489" s="793">
        <v>42403</v>
      </c>
      <c r="I489" s="184">
        <v>100</v>
      </c>
    </row>
    <row r="490" spans="1:15">
      <c r="B490" s="131" t="s">
        <v>973</v>
      </c>
      <c r="C490" s="184" t="s">
        <v>974</v>
      </c>
      <c r="D490" s="184">
        <v>216</v>
      </c>
      <c r="H490" s="793">
        <v>42430</v>
      </c>
      <c r="I490" s="184">
        <v>216</v>
      </c>
    </row>
    <row r="491" spans="1:15">
      <c r="B491" s="131" t="s">
        <v>973</v>
      </c>
      <c r="C491" s="184" t="s">
        <v>981</v>
      </c>
      <c r="D491" s="184">
        <v>148</v>
      </c>
      <c r="H491" s="184" t="s">
        <v>984</v>
      </c>
      <c r="I491" s="184">
        <v>148</v>
      </c>
    </row>
    <row r="492" spans="1:15">
      <c r="B492" s="131" t="s">
        <v>263</v>
      </c>
      <c r="C492" s="184" t="s">
        <v>981</v>
      </c>
      <c r="D492" s="184">
        <v>35</v>
      </c>
      <c r="H492" s="184" t="s">
        <v>984</v>
      </c>
      <c r="I492" s="184">
        <v>35</v>
      </c>
    </row>
    <row r="493" spans="1:15">
      <c r="B493" s="131" t="s">
        <v>982</v>
      </c>
      <c r="C493" s="184" t="s">
        <v>983</v>
      </c>
      <c r="D493" s="184">
        <v>208</v>
      </c>
      <c r="H493" s="184" t="s">
        <v>984</v>
      </c>
      <c r="I493" s="184">
        <v>165</v>
      </c>
      <c r="J493" s="793">
        <v>42430</v>
      </c>
      <c r="K493" s="184">
        <v>43</v>
      </c>
    </row>
    <row r="494" spans="1:15">
      <c r="B494" s="131" t="s">
        <v>1014</v>
      </c>
      <c r="C494" s="819">
        <v>42461</v>
      </c>
      <c r="D494" s="184">
        <v>126</v>
      </c>
      <c r="H494" s="793">
        <v>42468</v>
      </c>
      <c r="I494" s="184">
        <v>126</v>
      </c>
    </row>
    <row r="495" spans="1:15">
      <c r="B495" s="131" t="s">
        <v>1015</v>
      </c>
      <c r="C495" s="819">
        <v>42461</v>
      </c>
      <c r="D495" s="184">
        <v>109</v>
      </c>
      <c r="H495" s="793">
        <v>42468</v>
      </c>
      <c r="I495" s="184">
        <v>109</v>
      </c>
    </row>
    <row r="496" spans="1:15">
      <c r="B496" s="131" t="s">
        <v>1016</v>
      </c>
      <c r="C496" s="819">
        <v>42461</v>
      </c>
      <c r="D496" s="184">
        <v>110</v>
      </c>
      <c r="H496" s="793">
        <v>42468</v>
      </c>
      <c r="I496" s="184">
        <v>110</v>
      </c>
    </row>
    <row r="497" spans="1:9">
      <c r="B497" s="131" t="s">
        <v>956</v>
      </c>
      <c r="C497" s="184" t="s">
        <v>1159</v>
      </c>
      <c r="D497" s="184">
        <v>470</v>
      </c>
      <c r="H497" s="184" t="s">
        <v>1160</v>
      </c>
      <c r="I497" s="184">
        <v>470</v>
      </c>
    </row>
    <row r="498" spans="1:9">
      <c r="B498" s="131" t="s">
        <v>956</v>
      </c>
      <c r="C498" s="184" t="s">
        <v>1160</v>
      </c>
      <c r="D498" s="184">
        <v>330</v>
      </c>
      <c r="H498" s="184" t="s">
        <v>463</v>
      </c>
      <c r="I498" s="184">
        <v>330</v>
      </c>
    </row>
    <row r="499" spans="1:9">
      <c r="B499" s="131" t="s">
        <v>644</v>
      </c>
      <c r="C499" s="184" t="s">
        <v>1160</v>
      </c>
      <c r="D499" s="184">
        <v>200</v>
      </c>
      <c r="H499" s="184" t="s">
        <v>463</v>
      </c>
      <c r="I499" s="184">
        <v>200</v>
      </c>
    </row>
    <row r="500" spans="1:9">
      <c r="A500" s="131" t="s">
        <v>1170</v>
      </c>
      <c r="B500" s="131" t="s">
        <v>644</v>
      </c>
      <c r="C500" s="184" t="s">
        <v>463</v>
      </c>
      <c r="D500" s="184">
        <v>300</v>
      </c>
      <c r="H500" s="184" t="s">
        <v>1195</v>
      </c>
    </row>
    <row r="501" spans="1:9">
      <c r="A501" s="131" t="s">
        <v>1197</v>
      </c>
      <c r="B501" s="131" t="s">
        <v>644</v>
      </c>
      <c r="C501" s="184" t="s">
        <v>466</v>
      </c>
      <c r="D501" s="184">
        <v>126</v>
      </c>
      <c r="H501" s="184" t="s">
        <v>495</v>
      </c>
    </row>
    <row r="502" spans="1:9">
      <c r="A502" s="131" t="s">
        <v>1170</v>
      </c>
      <c r="B502" s="131" t="s">
        <v>1173</v>
      </c>
      <c r="C502" s="184" t="s">
        <v>1174</v>
      </c>
      <c r="D502" s="184">
        <v>200</v>
      </c>
      <c r="H502" s="184" t="s">
        <v>495</v>
      </c>
      <c r="I502" s="184">
        <v>200</v>
      </c>
    </row>
    <row r="503" spans="1:9">
      <c r="A503" s="131" t="s">
        <v>1186</v>
      </c>
      <c r="B503" s="131" t="s">
        <v>1173</v>
      </c>
      <c r="C503" s="184" t="s">
        <v>1178</v>
      </c>
      <c r="D503" s="184">
        <v>215</v>
      </c>
      <c r="H503" s="184" t="s">
        <v>1194</v>
      </c>
      <c r="I503" s="184">
        <v>213</v>
      </c>
    </row>
    <row r="504" spans="1:9">
      <c r="A504" s="1094" t="s">
        <v>1170</v>
      </c>
      <c r="B504" s="911" t="s">
        <v>1198</v>
      </c>
      <c r="C504" s="793">
        <v>42522</v>
      </c>
      <c r="D504" s="184">
        <v>206</v>
      </c>
      <c r="H504" s="915" t="s">
        <v>1252</v>
      </c>
    </row>
    <row r="505" spans="1:9">
      <c r="A505" s="1094"/>
      <c r="B505" s="911" t="s">
        <v>1199</v>
      </c>
      <c r="C505" s="793">
        <v>42522</v>
      </c>
      <c r="D505" s="184">
        <v>80</v>
      </c>
      <c r="H505" s="915" t="s">
        <v>1252</v>
      </c>
    </row>
    <row r="506" spans="1:9">
      <c r="A506" s="131" t="s">
        <v>1197</v>
      </c>
      <c r="B506" s="911" t="s">
        <v>1199</v>
      </c>
      <c r="C506" s="793">
        <v>42523</v>
      </c>
      <c r="D506" s="184">
        <v>142</v>
      </c>
      <c r="H506" s="915" t="s">
        <v>1251</v>
      </c>
    </row>
    <row r="507" spans="1:9">
      <c r="A507" s="1094" t="s">
        <v>1197</v>
      </c>
      <c r="B507" s="911" t="s">
        <v>1199</v>
      </c>
      <c r="C507" s="793">
        <v>42523</v>
      </c>
      <c r="D507" s="184">
        <v>80</v>
      </c>
      <c r="H507" s="915" t="s">
        <v>1251</v>
      </c>
    </row>
    <row r="508" spans="1:9">
      <c r="A508" s="1094"/>
      <c r="B508" s="911" t="s">
        <v>1014</v>
      </c>
      <c r="C508" s="793">
        <v>42523</v>
      </c>
      <c r="D508" s="184">
        <v>57</v>
      </c>
      <c r="H508" s="915" t="s">
        <v>1251</v>
      </c>
    </row>
    <row r="509" spans="1:9">
      <c r="A509" s="131" t="s">
        <v>1170</v>
      </c>
      <c r="B509" s="150" t="s">
        <v>1235</v>
      </c>
      <c r="C509" s="793">
        <v>42530</v>
      </c>
      <c r="D509" s="184">
        <v>300</v>
      </c>
      <c r="H509" s="793">
        <v>42536</v>
      </c>
      <c r="I509" s="184">
        <v>300</v>
      </c>
    </row>
    <row r="510" spans="1:9">
      <c r="A510" s="131" t="s">
        <v>1170</v>
      </c>
      <c r="B510" s="150" t="s">
        <v>1235</v>
      </c>
      <c r="C510" s="793">
        <v>42531</v>
      </c>
      <c r="D510" s="184">
        <v>386</v>
      </c>
      <c r="H510" s="793">
        <v>42536</v>
      </c>
      <c r="I510" s="184">
        <v>386</v>
      </c>
    </row>
    <row r="511" spans="1:9">
      <c r="A511" s="131" t="s">
        <v>1170</v>
      </c>
      <c r="B511" s="911" t="s">
        <v>333</v>
      </c>
      <c r="C511" s="793">
        <v>42536</v>
      </c>
      <c r="D511" s="184">
        <v>300</v>
      </c>
    </row>
    <row r="512" spans="1:9">
      <c r="A512" s="131" t="s">
        <v>1186</v>
      </c>
      <c r="B512" s="911" t="s">
        <v>333</v>
      </c>
      <c r="C512" s="793">
        <v>42537</v>
      </c>
      <c r="D512" s="909">
        <v>279</v>
      </c>
    </row>
    <row r="513" spans="1:4">
      <c r="A513" s="131" t="s">
        <v>1255</v>
      </c>
      <c r="B513" s="131" t="s">
        <v>802</v>
      </c>
      <c r="C513" s="916" t="s">
        <v>589</v>
      </c>
      <c r="D513" s="909">
        <v>302</v>
      </c>
    </row>
  </sheetData>
  <mergeCells count="15">
    <mergeCell ref="A504:A505"/>
    <mergeCell ref="A507:A508"/>
    <mergeCell ref="B1:O2"/>
    <mergeCell ref="B3:B5"/>
    <mergeCell ref="C3:F3"/>
    <mergeCell ref="G3:G203"/>
    <mergeCell ref="H3:N4"/>
    <mergeCell ref="O3:O5"/>
    <mergeCell ref="C4:D4"/>
    <mergeCell ref="E4:F4"/>
    <mergeCell ref="A3:A5"/>
    <mergeCell ref="E74:E76"/>
    <mergeCell ref="F74:F76"/>
    <mergeCell ref="H103:H105"/>
    <mergeCell ref="F485:F48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4"/>
  <sheetViews>
    <sheetView topLeftCell="A33" workbookViewId="0">
      <selection activeCell="B55" sqref="B55"/>
    </sheetView>
  </sheetViews>
  <sheetFormatPr baseColWidth="10" defaultRowHeight="15"/>
  <cols>
    <col min="2" max="2" width="13.7109375" bestFit="1" customWidth="1"/>
    <col min="4" max="4" width="26" customWidth="1"/>
    <col min="5" max="5" width="21.5703125" bestFit="1" customWidth="1"/>
    <col min="6" max="6" width="85.5703125" bestFit="1" customWidth="1"/>
  </cols>
  <sheetData>
    <row r="1" spans="1:6">
      <c r="A1" s="59" t="s">
        <v>123</v>
      </c>
      <c r="B1" s="196" t="s">
        <v>105</v>
      </c>
      <c r="C1" s="196" t="s">
        <v>106</v>
      </c>
      <c r="D1" s="196" t="s">
        <v>414</v>
      </c>
      <c r="E1" s="196" t="s">
        <v>416</v>
      </c>
      <c r="F1" s="196" t="s">
        <v>404</v>
      </c>
    </row>
    <row r="2" spans="1:6">
      <c r="A2" s="59" t="s">
        <v>408</v>
      </c>
      <c r="B2" s="212" t="s">
        <v>402</v>
      </c>
      <c r="C2" s="213">
        <v>42136</v>
      </c>
      <c r="D2" s="212" t="s">
        <v>403</v>
      </c>
      <c r="E2" s="212" t="s">
        <v>418</v>
      </c>
      <c r="F2" s="59" t="s">
        <v>413</v>
      </c>
    </row>
    <row r="3" spans="1:6">
      <c r="A3" s="59" t="s">
        <v>406</v>
      </c>
      <c r="B3" s="212" t="s">
        <v>405</v>
      </c>
      <c r="C3" s="213">
        <v>42136</v>
      </c>
      <c r="D3" s="59" t="s">
        <v>407</v>
      </c>
      <c r="E3" s="212" t="s">
        <v>418</v>
      </c>
      <c r="F3" s="59" t="s">
        <v>412</v>
      </c>
    </row>
    <row r="4" spans="1:6">
      <c r="A4" s="59" t="s">
        <v>408</v>
      </c>
      <c r="B4" s="212" t="s">
        <v>409</v>
      </c>
      <c r="C4" s="213">
        <v>42136</v>
      </c>
      <c r="D4" s="59" t="s">
        <v>410</v>
      </c>
      <c r="E4" s="59" t="s">
        <v>417</v>
      </c>
      <c r="F4" s="59" t="s">
        <v>411</v>
      </c>
    </row>
    <row r="5" spans="1:6">
      <c r="A5" s="59" t="s">
        <v>408</v>
      </c>
      <c r="B5" s="214" t="s">
        <v>415</v>
      </c>
      <c r="C5" s="213">
        <v>42122</v>
      </c>
      <c r="D5" s="59" t="s">
        <v>111</v>
      </c>
      <c r="E5" s="59" t="s">
        <v>419</v>
      </c>
      <c r="F5" s="59" t="s">
        <v>421</v>
      </c>
    </row>
    <row r="6" spans="1:6">
      <c r="A6" s="59" t="s">
        <v>408</v>
      </c>
      <c r="B6" s="214" t="s">
        <v>579</v>
      </c>
      <c r="C6" s="59" t="s">
        <v>580</v>
      </c>
      <c r="D6" s="59" t="s">
        <v>177</v>
      </c>
      <c r="E6" s="59" t="s">
        <v>581</v>
      </c>
      <c r="F6" s="59" t="s">
        <v>582</v>
      </c>
    </row>
    <row r="7" spans="1:6">
      <c r="A7" s="59" t="s">
        <v>408</v>
      </c>
      <c r="C7" s="59" t="s">
        <v>620</v>
      </c>
      <c r="D7" s="59" t="s">
        <v>13</v>
      </c>
      <c r="E7" s="59" t="s">
        <v>621</v>
      </c>
      <c r="F7" s="59" t="s">
        <v>622</v>
      </c>
    </row>
    <row r="8" spans="1:6">
      <c r="A8" s="59" t="s">
        <v>408</v>
      </c>
      <c r="B8" s="214" t="s">
        <v>705</v>
      </c>
      <c r="C8" s="503">
        <v>42286</v>
      </c>
      <c r="D8" s="59" t="s">
        <v>407</v>
      </c>
      <c r="E8" s="59" t="s">
        <v>706</v>
      </c>
      <c r="F8" s="59" t="s">
        <v>707</v>
      </c>
    </row>
    <row r="9" spans="1:6">
      <c r="A9" s="59" t="s">
        <v>798</v>
      </c>
      <c r="B9" s="212" t="s">
        <v>799</v>
      </c>
      <c r="C9" s="59" t="s">
        <v>800</v>
      </c>
      <c r="D9" s="59" t="s">
        <v>13</v>
      </c>
      <c r="E9" s="59" t="s">
        <v>419</v>
      </c>
      <c r="F9" s="59" t="s">
        <v>801</v>
      </c>
    </row>
    <row r="10" spans="1:6">
      <c r="A10" s="59" t="s">
        <v>408</v>
      </c>
      <c r="B10" s="212" t="s">
        <v>805</v>
      </c>
      <c r="C10" s="503">
        <v>42045</v>
      </c>
      <c r="D10" s="59" t="s">
        <v>27</v>
      </c>
      <c r="E10" s="59" t="s">
        <v>419</v>
      </c>
      <c r="F10" s="59" t="s">
        <v>806</v>
      </c>
    </row>
    <row r="11" spans="1:6">
      <c r="A11" s="59" t="s">
        <v>408</v>
      </c>
      <c r="B11" s="212" t="s">
        <v>805</v>
      </c>
      <c r="C11" s="503">
        <v>42045</v>
      </c>
      <c r="D11" s="59" t="s">
        <v>27</v>
      </c>
      <c r="E11" s="59" t="s">
        <v>419</v>
      </c>
      <c r="F11" s="59" t="s">
        <v>807</v>
      </c>
    </row>
    <row r="12" spans="1:6">
      <c r="A12" s="59" t="s">
        <v>408</v>
      </c>
      <c r="B12" s="212" t="s">
        <v>805</v>
      </c>
      <c r="C12" s="503">
        <v>42045</v>
      </c>
      <c r="D12" s="59" t="s">
        <v>27</v>
      </c>
      <c r="E12" s="59" t="s">
        <v>419</v>
      </c>
      <c r="F12" s="59" t="s">
        <v>808</v>
      </c>
    </row>
    <row r="13" spans="1:6">
      <c r="A13" s="59" t="s">
        <v>408</v>
      </c>
      <c r="B13" s="212" t="s">
        <v>805</v>
      </c>
      <c r="C13" s="503">
        <v>42045</v>
      </c>
      <c r="D13" s="59" t="s">
        <v>27</v>
      </c>
      <c r="E13" s="59" t="s">
        <v>419</v>
      </c>
      <c r="F13" s="59" t="s">
        <v>809</v>
      </c>
    </row>
    <row r="14" spans="1:6">
      <c r="A14" s="59" t="s">
        <v>408</v>
      </c>
      <c r="B14" s="212" t="s">
        <v>805</v>
      </c>
      <c r="C14" s="503">
        <v>42045</v>
      </c>
      <c r="D14" s="59" t="s">
        <v>27</v>
      </c>
      <c r="E14" s="59" t="s">
        <v>419</v>
      </c>
      <c r="F14" s="59" t="s">
        <v>810</v>
      </c>
    </row>
    <row r="15" spans="1:6">
      <c r="A15" s="59" t="s">
        <v>408</v>
      </c>
      <c r="B15" s="212" t="s">
        <v>805</v>
      </c>
      <c r="C15" s="503">
        <v>42045</v>
      </c>
      <c r="D15" s="59" t="s">
        <v>27</v>
      </c>
      <c r="E15" s="59" t="s">
        <v>419</v>
      </c>
      <c r="F15" s="59" t="s">
        <v>811</v>
      </c>
    </row>
    <row r="16" spans="1:6">
      <c r="A16" s="59" t="s">
        <v>408</v>
      </c>
      <c r="B16" s="59" t="s">
        <v>813</v>
      </c>
      <c r="C16" s="59" t="s">
        <v>814</v>
      </c>
      <c r="D16" s="59" t="s">
        <v>815</v>
      </c>
      <c r="E16" s="59" t="s">
        <v>816</v>
      </c>
      <c r="F16" s="59" t="s">
        <v>817</v>
      </c>
    </row>
    <row r="17" spans="1:6">
      <c r="A17" s="59" t="s">
        <v>408</v>
      </c>
      <c r="B17" s="59" t="s">
        <v>821</v>
      </c>
      <c r="C17" s="59" t="s">
        <v>818</v>
      </c>
      <c r="D17" s="59" t="s">
        <v>488</v>
      </c>
      <c r="E17" s="59" t="s">
        <v>819</v>
      </c>
      <c r="F17" s="59" t="s">
        <v>820</v>
      </c>
    </row>
    <row r="18" spans="1:6">
      <c r="A18" s="59" t="s">
        <v>408</v>
      </c>
      <c r="B18" s="59" t="s">
        <v>822</v>
      </c>
      <c r="C18" s="59" t="s">
        <v>823</v>
      </c>
      <c r="D18" s="59" t="s">
        <v>403</v>
      </c>
      <c r="E18" s="59" t="s">
        <v>706</v>
      </c>
      <c r="F18" s="59" t="s">
        <v>824</v>
      </c>
    </row>
    <row r="19" spans="1:6">
      <c r="A19" s="325" t="s">
        <v>408</v>
      </c>
      <c r="B19" s="214" t="s">
        <v>837</v>
      </c>
      <c r="C19" s="665">
        <v>42166</v>
      </c>
      <c r="D19" s="325" t="s">
        <v>177</v>
      </c>
      <c r="E19" s="325" t="s">
        <v>706</v>
      </c>
      <c r="F19" s="325" t="s">
        <v>838</v>
      </c>
    </row>
    <row r="20" spans="1:6">
      <c r="A20" s="59" t="s">
        <v>408</v>
      </c>
      <c r="B20" s="214" t="s">
        <v>845</v>
      </c>
      <c r="C20" s="503">
        <v>42319</v>
      </c>
      <c r="D20" s="59" t="s">
        <v>407</v>
      </c>
      <c r="E20" s="59" t="s">
        <v>706</v>
      </c>
      <c r="F20" s="59" t="s">
        <v>846</v>
      </c>
    </row>
    <row r="21" spans="1:6">
      <c r="A21" s="59" t="s">
        <v>408</v>
      </c>
      <c r="B21" s="59" t="s">
        <v>848</v>
      </c>
      <c r="C21" s="59" t="s">
        <v>847</v>
      </c>
      <c r="D21" s="59" t="s">
        <v>403</v>
      </c>
      <c r="E21" s="59" t="s">
        <v>706</v>
      </c>
      <c r="F21" s="59" t="s">
        <v>849</v>
      </c>
    </row>
    <row r="22" spans="1:6">
      <c r="A22" s="67" t="s">
        <v>408</v>
      </c>
      <c r="B22" s="67" t="s">
        <v>244</v>
      </c>
      <c r="C22" s="67" t="s">
        <v>854</v>
      </c>
      <c r="D22" s="67" t="s">
        <v>34</v>
      </c>
      <c r="E22" s="67" t="s">
        <v>419</v>
      </c>
      <c r="F22" s="67" t="s">
        <v>855</v>
      </c>
    </row>
    <row r="23" spans="1:6">
      <c r="A23" s="67" t="s">
        <v>408</v>
      </c>
      <c r="B23" s="59">
        <v>1174</v>
      </c>
      <c r="C23" s="503">
        <v>42016</v>
      </c>
      <c r="D23" s="67" t="s">
        <v>867</v>
      </c>
      <c r="E23" s="67" t="s">
        <v>870</v>
      </c>
      <c r="F23" s="67" t="s">
        <v>871</v>
      </c>
    </row>
    <row r="24" spans="1:6">
      <c r="A24" s="67" t="s">
        <v>408</v>
      </c>
      <c r="B24" s="59" t="s">
        <v>873</v>
      </c>
      <c r="C24" s="59" t="s">
        <v>874</v>
      </c>
      <c r="D24" s="67" t="s">
        <v>815</v>
      </c>
      <c r="E24" s="67" t="s">
        <v>816</v>
      </c>
      <c r="F24" s="59" t="s">
        <v>875</v>
      </c>
    </row>
    <row r="25" spans="1:6">
      <c r="A25" s="67" t="s">
        <v>408</v>
      </c>
      <c r="B25" s="59"/>
      <c r="C25" s="59" t="s">
        <v>893</v>
      </c>
      <c r="D25" s="67" t="s">
        <v>403</v>
      </c>
      <c r="E25" s="67" t="s">
        <v>706</v>
      </c>
      <c r="F25" s="67" t="s">
        <v>894</v>
      </c>
    </row>
    <row r="26" spans="1:6">
      <c r="A26" s="59" t="s">
        <v>408</v>
      </c>
      <c r="B26" s="59" t="s">
        <v>244</v>
      </c>
      <c r="C26" s="503">
        <v>42047</v>
      </c>
      <c r="D26" s="59" t="s">
        <v>895</v>
      </c>
      <c r="E26" s="59" t="s">
        <v>706</v>
      </c>
      <c r="F26" s="59" t="s">
        <v>896</v>
      </c>
    </row>
    <row r="27" spans="1:6">
      <c r="A27" s="59" t="s">
        <v>408</v>
      </c>
      <c r="B27" s="59" t="s">
        <v>897</v>
      </c>
      <c r="C27" s="503">
        <v>42259</v>
      </c>
      <c r="D27" s="59" t="s">
        <v>403</v>
      </c>
      <c r="E27" s="59" t="s">
        <v>706</v>
      </c>
      <c r="F27" s="59" t="s">
        <v>898</v>
      </c>
    </row>
    <row r="28" spans="1:6">
      <c r="A28" s="59" t="s">
        <v>408</v>
      </c>
      <c r="B28" s="61" t="s">
        <v>990</v>
      </c>
      <c r="C28" s="503">
        <v>42554</v>
      </c>
      <c r="D28" s="59" t="s">
        <v>991</v>
      </c>
      <c r="E28" s="59" t="s">
        <v>992</v>
      </c>
      <c r="F28" s="59" t="s">
        <v>993</v>
      </c>
    </row>
    <row r="29" spans="1:6">
      <c r="A29" s="59" t="s">
        <v>408</v>
      </c>
      <c r="B29" s="59" t="s">
        <v>998</v>
      </c>
      <c r="C29" s="503">
        <v>42585</v>
      </c>
      <c r="D29" s="59" t="s">
        <v>999</v>
      </c>
      <c r="E29" s="59" t="s">
        <v>816</v>
      </c>
      <c r="F29" s="59" t="s">
        <v>875</v>
      </c>
    </row>
    <row r="30" spans="1:6">
      <c r="A30" s="59"/>
      <c r="B30" s="59"/>
      <c r="C30" s="503">
        <v>42494</v>
      </c>
      <c r="D30" s="59" t="s">
        <v>1028</v>
      </c>
      <c r="E30" s="59"/>
      <c r="F30" s="59"/>
    </row>
    <row r="31" spans="1:6">
      <c r="A31" s="59" t="s">
        <v>387</v>
      </c>
      <c r="B31" s="59" t="s">
        <v>1031</v>
      </c>
      <c r="C31" s="503">
        <v>42525</v>
      </c>
      <c r="D31" s="59" t="s">
        <v>1029</v>
      </c>
      <c r="E31" s="59" t="s">
        <v>816</v>
      </c>
      <c r="F31" s="59" t="s">
        <v>1030</v>
      </c>
    </row>
    <row r="32" spans="1:6">
      <c r="A32" s="59" t="s">
        <v>387</v>
      </c>
      <c r="B32" s="59" t="s">
        <v>1035</v>
      </c>
      <c r="C32" s="503">
        <v>42555</v>
      </c>
      <c r="D32" s="59" t="s">
        <v>1032</v>
      </c>
      <c r="E32" s="59" t="s">
        <v>1033</v>
      </c>
      <c r="F32" s="59" t="s">
        <v>1034</v>
      </c>
    </row>
    <row r="33" spans="1:6">
      <c r="A33" s="59" t="s">
        <v>408</v>
      </c>
      <c r="B33" s="61" t="s">
        <v>1061</v>
      </c>
      <c r="C33" s="503">
        <v>42708</v>
      </c>
      <c r="D33" s="59" t="s">
        <v>3</v>
      </c>
      <c r="E33" s="59" t="s">
        <v>419</v>
      </c>
      <c r="F33" s="59" t="s">
        <v>1062</v>
      </c>
    </row>
    <row r="34" spans="1:6">
      <c r="A34" s="59" t="s">
        <v>408</v>
      </c>
      <c r="B34" s="59" t="s">
        <v>1100</v>
      </c>
      <c r="C34" s="59" t="s">
        <v>1101</v>
      </c>
      <c r="D34" s="59" t="s">
        <v>1102</v>
      </c>
      <c r="E34" s="59" t="s">
        <v>1103</v>
      </c>
      <c r="F34" s="59" t="s">
        <v>1104</v>
      </c>
    </row>
    <row r="35" spans="1:6">
      <c r="A35" s="59" t="s">
        <v>387</v>
      </c>
      <c r="B35" s="59" t="s">
        <v>1119</v>
      </c>
      <c r="C35" s="503">
        <v>42405</v>
      </c>
      <c r="D35" s="59" t="s">
        <v>999</v>
      </c>
      <c r="E35" s="59" t="s">
        <v>816</v>
      </c>
      <c r="F35" s="59" t="s">
        <v>817</v>
      </c>
    </row>
    <row r="36" spans="1:6">
      <c r="A36" s="59" t="s">
        <v>387</v>
      </c>
      <c r="B36" s="59" t="s">
        <v>1122</v>
      </c>
      <c r="C36" s="503">
        <v>42587</v>
      </c>
      <c r="D36" s="59" t="s">
        <v>1123</v>
      </c>
      <c r="E36" s="59" t="s">
        <v>706</v>
      </c>
      <c r="F36" s="59" t="s">
        <v>1124</v>
      </c>
    </row>
    <row r="37" spans="1:6">
      <c r="A37" s="67" t="s">
        <v>406</v>
      </c>
      <c r="B37" s="61" t="s">
        <v>1139</v>
      </c>
      <c r="C37" s="503">
        <v>42465</v>
      </c>
      <c r="D37" s="67" t="s">
        <v>407</v>
      </c>
      <c r="E37" s="67" t="s">
        <v>706</v>
      </c>
      <c r="F37" s="67" t="s">
        <v>1140</v>
      </c>
    </row>
    <row r="38" spans="1:6">
      <c r="A38" s="325" t="s">
        <v>387</v>
      </c>
      <c r="B38" s="59" t="s">
        <v>1150</v>
      </c>
      <c r="C38" s="503">
        <v>42648</v>
      </c>
      <c r="D38" s="59" t="s">
        <v>1123</v>
      </c>
      <c r="E38" s="59" t="s">
        <v>706</v>
      </c>
      <c r="F38" s="59" t="s">
        <v>1151</v>
      </c>
    </row>
    <row r="39" spans="1:6">
      <c r="A39" s="59" t="s">
        <v>387</v>
      </c>
      <c r="B39" s="59" t="s">
        <v>1153</v>
      </c>
      <c r="C39" s="503" t="s">
        <v>1154</v>
      </c>
      <c r="D39" s="59" t="s">
        <v>999</v>
      </c>
      <c r="E39" s="59" t="s">
        <v>816</v>
      </c>
      <c r="F39" s="59" t="s">
        <v>875</v>
      </c>
    </row>
    <row r="40" spans="1:6">
      <c r="A40" s="67" t="s">
        <v>387</v>
      </c>
      <c r="B40" s="59" t="s">
        <v>244</v>
      </c>
      <c r="C40" s="59" t="s">
        <v>1161</v>
      </c>
      <c r="D40" s="67" t="s">
        <v>1162</v>
      </c>
      <c r="E40" s="67" t="s">
        <v>706</v>
      </c>
      <c r="F40" s="67" t="s">
        <v>1163</v>
      </c>
    </row>
    <row r="41" spans="1:6">
      <c r="A41" s="1135" t="s">
        <v>387</v>
      </c>
      <c r="B41" s="1136" t="s">
        <v>1164</v>
      </c>
      <c r="C41" s="1135" t="s">
        <v>1161</v>
      </c>
      <c r="D41" s="1135" t="s">
        <v>1165</v>
      </c>
      <c r="E41" s="1135" t="s">
        <v>816</v>
      </c>
      <c r="F41" s="59" t="s">
        <v>1166</v>
      </c>
    </row>
    <row r="42" spans="1:6">
      <c r="A42" s="1135"/>
      <c r="B42" s="1136"/>
      <c r="C42" s="1135"/>
      <c r="D42" s="1135"/>
      <c r="E42" s="1135"/>
      <c r="F42" s="59" t="s">
        <v>1167</v>
      </c>
    </row>
    <row r="43" spans="1:6">
      <c r="A43" s="1135"/>
      <c r="B43" s="1136"/>
      <c r="C43" s="1135"/>
      <c r="D43" s="1135"/>
      <c r="E43" s="1135"/>
      <c r="F43" s="67" t="s">
        <v>1168</v>
      </c>
    </row>
    <row r="44" spans="1:6">
      <c r="A44" s="1135"/>
      <c r="B44" s="1136"/>
      <c r="C44" s="1135"/>
      <c r="D44" s="1135"/>
      <c r="E44" s="1135"/>
      <c r="F44" s="67" t="s">
        <v>1169</v>
      </c>
    </row>
    <row r="45" spans="1:6">
      <c r="A45" s="67" t="s">
        <v>387</v>
      </c>
      <c r="B45" s="67" t="s">
        <v>1180</v>
      </c>
      <c r="C45" s="59" t="s">
        <v>1181</v>
      </c>
      <c r="D45" s="67" t="s">
        <v>1182</v>
      </c>
      <c r="E45" s="67" t="s">
        <v>1183</v>
      </c>
      <c r="F45" s="67" t="s">
        <v>1184</v>
      </c>
    </row>
    <row r="46" spans="1:6">
      <c r="A46" s="67" t="s">
        <v>387</v>
      </c>
      <c r="B46" s="67" t="s">
        <v>244</v>
      </c>
      <c r="C46" s="59" t="s">
        <v>1196</v>
      </c>
      <c r="D46" s="67" t="s">
        <v>895</v>
      </c>
      <c r="E46" s="67" t="s">
        <v>706</v>
      </c>
      <c r="F46" s="67" t="s">
        <v>1220</v>
      </c>
    </row>
    <row r="47" spans="1:6">
      <c r="A47" s="67" t="s">
        <v>387</v>
      </c>
      <c r="B47" s="61" t="s">
        <v>1200</v>
      </c>
      <c r="C47" s="59" t="s">
        <v>1201</v>
      </c>
      <c r="D47" s="67" t="s">
        <v>1165</v>
      </c>
      <c r="E47" s="67" t="s">
        <v>816</v>
      </c>
      <c r="F47" s="67" t="s">
        <v>1202</v>
      </c>
    </row>
    <row r="48" spans="1:6">
      <c r="A48" s="67" t="s">
        <v>408</v>
      </c>
      <c r="B48" s="67" t="s">
        <v>1203</v>
      </c>
      <c r="C48" s="59" t="s">
        <v>1204</v>
      </c>
      <c r="D48" s="67" t="s">
        <v>999</v>
      </c>
      <c r="E48" s="67" t="s">
        <v>816</v>
      </c>
      <c r="F48" s="59" t="s">
        <v>817</v>
      </c>
    </row>
    <row r="49" spans="1:6">
      <c r="A49" s="67" t="s">
        <v>387</v>
      </c>
      <c r="B49" s="67" t="s">
        <v>1218</v>
      </c>
      <c r="C49" s="503">
        <v>42406</v>
      </c>
      <c r="D49" s="67" t="s">
        <v>1219</v>
      </c>
      <c r="E49" s="67" t="s">
        <v>816</v>
      </c>
      <c r="F49" s="67" t="s">
        <v>1221</v>
      </c>
    </row>
    <row r="50" spans="1:6">
      <c r="A50" s="67" t="s">
        <v>406</v>
      </c>
      <c r="B50" s="67" t="s">
        <v>1222</v>
      </c>
      <c r="C50" s="503">
        <v>42375</v>
      </c>
      <c r="D50" s="67" t="s">
        <v>407</v>
      </c>
      <c r="E50" s="67" t="s">
        <v>706</v>
      </c>
      <c r="F50" s="67" t="s">
        <v>1223</v>
      </c>
    </row>
    <row r="51" spans="1:6">
      <c r="A51" s="67" t="s">
        <v>387</v>
      </c>
      <c r="B51" s="67" t="s">
        <v>1224</v>
      </c>
      <c r="C51" s="503">
        <v>42375</v>
      </c>
      <c r="D51" s="67" t="s">
        <v>1123</v>
      </c>
      <c r="E51" s="67" t="s">
        <v>706</v>
      </c>
      <c r="F51" s="59" t="s">
        <v>1225</v>
      </c>
    </row>
    <row r="52" spans="1:6">
      <c r="A52" s="67" t="s">
        <v>387</v>
      </c>
      <c r="B52" s="67" t="s">
        <v>1231</v>
      </c>
      <c r="C52" s="503">
        <v>42557</v>
      </c>
      <c r="D52" s="67" t="s">
        <v>1219</v>
      </c>
      <c r="E52" s="67" t="s">
        <v>1232</v>
      </c>
      <c r="F52" s="325" t="s">
        <v>1233</v>
      </c>
    </row>
    <row r="53" spans="1:6">
      <c r="A53" s="67" t="s">
        <v>408</v>
      </c>
      <c r="B53" s="67" t="s">
        <v>1237</v>
      </c>
      <c r="C53" s="59" t="s">
        <v>1236</v>
      </c>
      <c r="D53" s="67" t="s">
        <v>999</v>
      </c>
      <c r="E53" s="67" t="s">
        <v>816</v>
      </c>
      <c r="F53" s="59" t="s">
        <v>817</v>
      </c>
    </row>
    <row r="54" spans="1:6">
      <c r="A54" s="67" t="s">
        <v>387</v>
      </c>
      <c r="B54" s="67" t="s">
        <v>1239</v>
      </c>
      <c r="C54" s="503">
        <v>42588</v>
      </c>
      <c r="D54" s="67" t="s">
        <v>1123</v>
      </c>
      <c r="E54" s="67" t="s">
        <v>706</v>
      </c>
      <c r="F54" s="59" t="s">
        <v>1238</v>
      </c>
    </row>
  </sheetData>
  <mergeCells count="5">
    <mergeCell ref="E41:E44"/>
    <mergeCell ref="D41:D44"/>
    <mergeCell ref="C41:C44"/>
    <mergeCell ref="B41:B44"/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OT FUNDICIÓN</vt:lpstr>
      <vt:lpstr>STOCK SOPORTES</vt:lpstr>
      <vt:lpstr>STOCK CAÑOS</vt:lpstr>
      <vt:lpstr>REMITOS - NT SALIDA</vt:lpstr>
      <vt:lpstr>STOCK (PP-PT)</vt:lpstr>
      <vt:lpstr>planning fundición</vt:lpstr>
      <vt:lpstr>planning reb</vt:lpstr>
      <vt:lpstr>MERCADERIA EN TRANSITO</vt:lpstr>
      <vt:lpstr>REMITOS INGRESO</vt:lpstr>
      <vt:lpstr>PEDIDO BRUZZESE</vt:lpstr>
      <vt:lpstr>COSTOS</vt:lpstr>
      <vt:lpstr>Hoja1</vt:lpstr>
      <vt:lpstr>FASD</vt:lpstr>
      <vt:lpstr>INVENTARIO SOP AL 5-12</vt:lpstr>
      <vt:lpstr>fab caños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Jose</cp:lastModifiedBy>
  <cp:lastPrinted>2016-03-14T16:06:51Z</cp:lastPrinted>
  <dcterms:created xsi:type="dcterms:W3CDTF">2015-04-09T19:06:30Z</dcterms:created>
  <dcterms:modified xsi:type="dcterms:W3CDTF">2016-06-24T18:53:35Z</dcterms:modified>
</cp:coreProperties>
</file>