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nmedina/Documents/u/0/dat/osa/"/>
    </mc:Choice>
  </mc:AlternateContent>
  <xr:revisionPtr revIDLastSave="0" documentId="13_ncr:1_{C33F12C1-229F-F94E-AA65-086C5235CFF1}" xr6:coauthVersionLast="40" xr6:coauthVersionMax="40" xr10:uidLastSave="{00000000-0000-0000-0000-000000000000}"/>
  <bookViews>
    <workbookView xWindow="4440" yWindow="460" windowWidth="24360" windowHeight="15280" tabRatio="608" xr2:uid="{00000000-000D-0000-FFFF-FFFF00000000}"/>
  </bookViews>
  <sheets>
    <sheet name="carbono julio 2013" sheetId="1" r:id="rId1"/>
    <sheet name="luz docel julio 2013" sheetId="3" r:id="rId2"/>
    <sheet name="resumen parcelas agosto 2013" sheetId="5" r:id="rId3"/>
    <sheet name="anal. especies osa agosto 2013" sheetId="11" r:id="rId4"/>
    <sheet name="gráficos" sheetId="1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1" l="1"/>
  <c r="F31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 s="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 s="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7" i="11"/>
  <c r="I236" i="11"/>
  <c r="I235" i="11"/>
  <c r="I234" i="11"/>
  <c r="I233" i="11"/>
  <c r="I232" i="11"/>
  <c r="I231" i="11"/>
  <c r="I230" i="11"/>
  <c r="I229" i="11"/>
  <c r="I228" i="11"/>
  <c r="I226" i="11" s="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0" i="11" s="1"/>
  <c r="I211" i="11"/>
  <c r="I209" i="11"/>
  <c r="I208" i="11"/>
  <c r="I207" i="11"/>
  <c r="I206" i="11"/>
  <c r="I205" i="11"/>
  <c r="I204" i="11"/>
  <c r="I203" i="11"/>
  <c r="I202" i="11"/>
  <c r="I201" i="11"/>
  <c r="I200" i="11"/>
  <c r="I199" i="11" s="1"/>
  <c r="I198" i="11"/>
  <c r="I197" i="11"/>
  <c r="I196" i="11"/>
  <c r="I195" i="11"/>
  <c r="I194" i="11"/>
  <c r="I193" i="11"/>
  <c r="I192" i="11"/>
  <c r="I189" i="11" s="1"/>
  <c r="I191" i="11"/>
  <c r="I190" i="11"/>
  <c r="I188" i="11"/>
  <c r="I187" i="11"/>
  <c r="I186" i="11"/>
  <c r="I185" i="11"/>
  <c r="I184" i="11"/>
  <c r="I183" i="11"/>
  <c r="I182" i="11"/>
  <c r="I181" i="11"/>
  <c r="I180" i="11"/>
  <c r="I179" i="11" s="1"/>
  <c r="I178" i="11"/>
  <c r="I177" i="11"/>
  <c r="I176" i="11"/>
  <c r="I175" i="11"/>
  <c r="I174" i="11"/>
  <c r="I173" i="11"/>
  <c r="I172" i="11"/>
  <c r="I171" i="11"/>
  <c r="I170" i="11"/>
  <c r="I169" i="11"/>
  <c r="I168" i="11"/>
  <c r="I165" i="11" s="1"/>
  <c r="I167" i="11"/>
  <c r="I166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0" i="11" s="1"/>
  <c r="I151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5" i="11" s="1"/>
  <c r="I127" i="11"/>
  <c r="I126" i="11"/>
  <c r="I124" i="11"/>
  <c r="I123" i="11"/>
  <c r="I122" i="11"/>
  <c r="I121" i="11"/>
  <c r="I120" i="11"/>
  <c r="I119" i="11"/>
  <c r="I118" i="11"/>
  <c r="I117" i="11"/>
  <c r="I116" i="11"/>
  <c r="I113" i="11" s="1"/>
  <c r="I115" i="11"/>
  <c r="I114" i="11"/>
  <c r="I112" i="11"/>
  <c r="I111" i="11"/>
  <c r="I110" i="11"/>
  <c r="I109" i="11"/>
  <c r="I108" i="11"/>
  <c r="I107" i="11"/>
  <c r="I106" i="11"/>
  <c r="I105" i="11"/>
  <c r="I104" i="11"/>
  <c r="I103" i="11" s="1"/>
  <c r="I102" i="11"/>
  <c r="I101" i="11"/>
  <c r="I100" i="11"/>
  <c r="I97" i="11" s="1"/>
  <c r="I99" i="11"/>
  <c r="I98" i="11"/>
  <c r="I96" i="11"/>
  <c r="I95" i="11"/>
  <c r="I94" i="11"/>
  <c r="I93" i="11"/>
  <c r="I92" i="11"/>
  <c r="I91" i="11"/>
  <c r="I90" i="11"/>
  <c r="I89" i="11"/>
  <c r="I88" i="11"/>
  <c r="I85" i="11" s="1"/>
  <c r="I87" i="11"/>
  <c r="I86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1" i="11" s="1"/>
  <c r="I63" i="11"/>
  <c r="I62" i="11"/>
  <c r="I60" i="11"/>
  <c r="I59" i="11"/>
  <c r="I58" i="11"/>
  <c r="I57" i="11"/>
  <c r="I56" i="11"/>
  <c r="I54" i="11" s="1"/>
  <c r="I55" i="11"/>
  <c r="I53" i="11"/>
  <c r="I52" i="11"/>
  <c r="I51" i="11"/>
  <c r="I50" i="11"/>
  <c r="I49" i="11"/>
  <c r="I48" i="11"/>
  <c r="I47" i="11"/>
  <c r="I46" i="11"/>
  <c r="I45" i="11"/>
  <c r="I44" i="11"/>
  <c r="I41" i="11" s="1"/>
  <c r="I43" i="11"/>
  <c r="I42" i="11"/>
  <c r="I40" i="11"/>
  <c r="I39" i="11"/>
  <c r="I38" i="11"/>
  <c r="I37" i="11"/>
  <c r="I36" i="11"/>
  <c r="I35" i="11"/>
  <c r="I34" i="11"/>
  <c r="I33" i="11"/>
  <c r="I32" i="11"/>
  <c r="I30" i="11" s="1"/>
  <c r="I31" i="11"/>
  <c r="I29" i="11"/>
  <c r="I28" i="11"/>
  <c r="I25" i="11" s="1"/>
  <c r="I27" i="11"/>
  <c r="I26" i="11"/>
  <c r="I24" i="11"/>
  <c r="I23" i="11"/>
  <c r="I22" i="11"/>
  <c r="I21" i="11"/>
  <c r="I20" i="11"/>
  <c r="I19" i="11"/>
  <c r="I18" i="11"/>
  <c r="I17" i="11"/>
  <c r="I16" i="11"/>
  <c r="I13" i="11" s="1"/>
  <c r="I15" i="11"/>
  <c r="I12" i="11"/>
  <c r="I11" i="11"/>
  <c r="I10" i="11"/>
  <c r="I9" i="11"/>
  <c r="I8" i="11"/>
  <c r="I7" i="11"/>
  <c r="I6" i="11"/>
  <c r="I5" i="1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85" i="1"/>
  <c r="T312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7" i="1"/>
  <c r="W7" i="1"/>
  <c r="AA7" i="1" s="1"/>
  <c r="AB7" i="1" s="1"/>
  <c r="Z7" i="1"/>
  <c r="W8" i="1"/>
  <c r="AA8" i="1" s="1"/>
  <c r="AB8" i="1" s="1"/>
  <c r="Z8" i="1"/>
  <c r="W9" i="1"/>
  <c r="Z9" i="1"/>
  <c r="W10" i="1"/>
  <c r="Z10" i="1"/>
  <c r="W11" i="1"/>
  <c r="AA11" i="1" s="1"/>
  <c r="AB11" i="1" s="1"/>
  <c r="Z11" i="1"/>
  <c r="W12" i="1"/>
  <c r="AA12" i="1" s="1"/>
  <c r="AB12" i="1" s="1"/>
  <c r="Z12" i="1"/>
  <c r="W13" i="1"/>
  <c r="Z13" i="1"/>
  <c r="W14" i="1"/>
  <c r="Z14" i="1"/>
  <c r="W15" i="1"/>
  <c r="AA15" i="1" s="1"/>
  <c r="AB15" i="1" s="1"/>
  <c r="Z15" i="1"/>
  <c r="W16" i="1"/>
  <c r="AA16" i="1" s="1"/>
  <c r="AB16" i="1" s="1"/>
  <c r="Z16" i="1"/>
  <c r="W17" i="1"/>
  <c r="AA17" i="1" s="1"/>
  <c r="AB17" i="1" s="1"/>
  <c r="Z17" i="1"/>
  <c r="W18" i="1"/>
  <c r="AA18" i="1" s="1"/>
  <c r="AB18" i="1" s="1"/>
  <c r="Z18" i="1"/>
  <c r="W19" i="1"/>
  <c r="AA19" i="1" s="1"/>
  <c r="AB19" i="1" s="1"/>
  <c r="Z19" i="1"/>
  <c r="W20" i="1"/>
  <c r="AA20" i="1" s="1"/>
  <c r="AB20" i="1" s="1"/>
  <c r="Z20" i="1"/>
  <c r="W21" i="1"/>
  <c r="AA21" i="1" s="1"/>
  <c r="AB21" i="1" s="1"/>
  <c r="Z21" i="1"/>
  <c r="W22" i="1"/>
  <c r="AA22" i="1" s="1"/>
  <c r="AB22" i="1" s="1"/>
  <c r="Z22" i="1"/>
  <c r="W23" i="1"/>
  <c r="AA23" i="1" s="1"/>
  <c r="AB23" i="1" s="1"/>
  <c r="Z23" i="1"/>
  <c r="W24" i="1"/>
  <c r="AA24" i="1" s="1"/>
  <c r="AB24" i="1" s="1"/>
  <c r="Z24" i="1"/>
  <c r="W25" i="1"/>
  <c r="AA25" i="1" s="1"/>
  <c r="AB25" i="1" s="1"/>
  <c r="Z25" i="1"/>
  <c r="W26" i="1"/>
  <c r="AA26" i="1" s="1"/>
  <c r="AB26" i="1" s="1"/>
  <c r="Z26" i="1"/>
  <c r="W27" i="1"/>
  <c r="AA27" i="1" s="1"/>
  <c r="AB27" i="1" s="1"/>
  <c r="Z27" i="1"/>
  <c r="W28" i="1"/>
  <c r="AA28" i="1" s="1"/>
  <c r="AB28" i="1" s="1"/>
  <c r="Z28" i="1"/>
  <c r="W29" i="1"/>
  <c r="AA29" i="1" s="1"/>
  <c r="AB29" i="1" s="1"/>
  <c r="Z29" i="1"/>
  <c r="W30" i="1"/>
  <c r="AA30" i="1" s="1"/>
  <c r="AB30" i="1" s="1"/>
  <c r="Z30" i="1"/>
  <c r="W31" i="1"/>
  <c r="AA31" i="1" s="1"/>
  <c r="AB31" i="1" s="1"/>
  <c r="Z31" i="1"/>
  <c r="W32" i="1"/>
  <c r="AA32" i="1" s="1"/>
  <c r="AB32" i="1" s="1"/>
  <c r="Z32" i="1"/>
  <c r="W33" i="1"/>
  <c r="AA33" i="1" s="1"/>
  <c r="AB33" i="1" s="1"/>
  <c r="Z33" i="1"/>
  <c r="W34" i="1"/>
  <c r="AA34" i="1" s="1"/>
  <c r="AB34" i="1" s="1"/>
  <c r="Z34" i="1"/>
  <c r="W35" i="1"/>
  <c r="AA35" i="1" s="1"/>
  <c r="AB35" i="1" s="1"/>
  <c r="Z35" i="1"/>
  <c r="W36" i="1"/>
  <c r="AA36" i="1" s="1"/>
  <c r="AB36" i="1" s="1"/>
  <c r="Z36" i="1"/>
  <c r="W37" i="1"/>
  <c r="AA37" i="1" s="1"/>
  <c r="AB37" i="1" s="1"/>
  <c r="Z37" i="1"/>
  <c r="W38" i="1"/>
  <c r="AA38" i="1" s="1"/>
  <c r="AB38" i="1" s="1"/>
  <c r="Z38" i="1"/>
  <c r="W39" i="1"/>
  <c r="AA39" i="1" s="1"/>
  <c r="AB39" i="1" s="1"/>
  <c r="Z39" i="1"/>
  <c r="W40" i="1"/>
  <c r="AA40" i="1" s="1"/>
  <c r="AB40" i="1" s="1"/>
  <c r="Z40" i="1"/>
  <c r="W41" i="1"/>
  <c r="AA41" i="1" s="1"/>
  <c r="AB41" i="1" s="1"/>
  <c r="Z41" i="1"/>
  <c r="W42" i="1"/>
  <c r="AA42" i="1" s="1"/>
  <c r="AB42" i="1" s="1"/>
  <c r="Z42" i="1"/>
  <c r="W43" i="1"/>
  <c r="AA43" i="1" s="1"/>
  <c r="AB43" i="1" s="1"/>
  <c r="Z43" i="1"/>
  <c r="W44" i="1"/>
  <c r="AA44" i="1" s="1"/>
  <c r="AB44" i="1" s="1"/>
  <c r="Z44" i="1"/>
  <c r="W45" i="1"/>
  <c r="AA45" i="1" s="1"/>
  <c r="AB45" i="1" s="1"/>
  <c r="Z45" i="1"/>
  <c r="W46" i="1"/>
  <c r="AA46" i="1" s="1"/>
  <c r="AB46" i="1" s="1"/>
  <c r="Z46" i="1"/>
  <c r="W47" i="1"/>
  <c r="AA47" i="1" s="1"/>
  <c r="AB47" i="1" s="1"/>
  <c r="Z47" i="1"/>
  <c r="W48" i="1"/>
  <c r="AA48" i="1" s="1"/>
  <c r="AB48" i="1" s="1"/>
  <c r="Z48" i="1"/>
  <c r="W49" i="1"/>
  <c r="AA49" i="1" s="1"/>
  <c r="AB49" i="1" s="1"/>
  <c r="Z49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F50" i="1"/>
  <c r="AG50" i="1" s="1"/>
  <c r="AF51" i="1"/>
  <c r="AG51" i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/>
  <c r="AF186" i="1"/>
  <c r="AG186" i="1" s="1"/>
  <c r="AF187" i="1"/>
  <c r="AG187" i="1"/>
  <c r="AF188" i="1"/>
  <c r="AG188" i="1" s="1"/>
  <c r="AF189" i="1"/>
  <c r="AG189" i="1"/>
  <c r="AF190" i="1"/>
  <c r="AG190" i="1" s="1"/>
  <c r="AF191" i="1"/>
  <c r="AG191" i="1"/>
  <c r="AF192" i="1"/>
  <c r="AG192" i="1" s="1"/>
  <c r="AF193" i="1"/>
  <c r="AG193" i="1"/>
  <c r="AF194" i="1"/>
  <c r="AG194" i="1" s="1"/>
  <c r="AF195" i="1"/>
  <c r="AG195" i="1"/>
  <c r="AF196" i="1"/>
  <c r="AG196" i="1" s="1"/>
  <c r="AF197" i="1"/>
  <c r="AG197" i="1"/>
  <c r="AF198" i="1"/>
  <c r="AG198" i="1" s="1"/>
  <c r="AF199" i="1"/>
  <c r="AG199" i="1"/>
  <c r="AF200" i="1"/>
  <c r="AG200" i="1" s="1"/>
  <c r="AF201" i="1"/>
  <c r="AG201" i="1"/>
  <c r="AF202" i="1"/>
  <c r="AG202" i="1" s="1"/>
  <c r="AF203" i="1"/>
  <c r="AG203" i="1"/>
  <c r="AF204" i="1"/>
  <c r="AG204" i="1" s="1"/>
  <c r="AF205" i="1"/>
  <c r="AG205" i="1"/>
  <c r="AF206" i="1"/>
  <c r="AG206" i="1" s="1"/>
  <c r="AF207" i="1"/>
  <c r="AG207" i="1"/>
  <c r="AF208" i="1"/>
  <c r="AG208" i="1" s="1"/>
  <c r="AF209" i="1"/>
  <c r="AG209" i="1"/>
  <c r="AF210" i="1"/>
  <c r="AG210" i="1" s="1"/>
  <c r="AF211" i="1"/>
  <c r="AG211" i="1"/>
  <c r="AF212" i="1"/>
  <c r="AG212" i="1" s="1"/>
  <c r="AF213" i="1"/>
  <c r="AG213" i="1"/>
  <c r="AF214" i="1"/>
  <c r="AG214" i="1" s="1"/>
  <c r="AF215" i="1"/>
  <c r="AG215" i="1"/>
  <c r="AF216" i="1"/>
  <c r="AG216" i="1" s="1"/>
  <c r="AF217" i="1"/>
  <c r="AG217" i="1"/>
  <c r="AF218" i="1"/>
  <c r="AG218" i="1" s="1"/>
  <c r="AF219" i="1"/>
  <c r="AG219" i="1"/>
  <c r="AF220" i="1"/>
  <c r="AG220" i="1" s="1"/>
  <c r="AF221" i="1"/>
  <c r="AG221" i="1"/>
  <c r="AF222" i="1"/>
  <c r="AG222" i="1" s="1"/>
  <c r="AF223" i="1"/>
  <c r="AG223" i="1"/>
  <c r="AF224" i="1"/>
  <c r="AG224" i="1" s="1"/>
  <c r="AF225" i="1"/>
  <c r="AG225" i="1"/>
  <c r="AF226" i="1"/>
  <c r="AG226" i="1" s="1"/>
  <c r="AF227" i="1"/>
  <c r="AG227" i="1"/>
  <c r="AF228" i="1"/>
  <c r="AG228" i="1" s="1"/>
  <c r="AF229" i="1"/>
  <c r="AG229" i="1"/>
  <c r="AF230" i="1"/>
  <c r="AG230" i="1" s="1"/>
  <c r="AF231" i="1"/>
  <c r="AG231" i="1"/>
  <c r="AF232" i="1"/>
  <c r="AG232" i="1" s="1"/>
  <c r="AF233" i="1"/>
  <c r="AG233" i="1"/>
  <c r="AF234" i="1"/>
  <c r="AG234" i="1" s="1"/>
  <c r="AF235" i="1"/>
  <c r="AG235" i="1"/>
  <c r="AF236" i="1"/>
  <c r="AG236" i="1" s="1"/>
  <c r="AF237" i="1"/>
  <c r="AG237" i="1"/>
  <c r="AF238" i="1"/>
  <c r="AG238" i="1" s="1"/>
  <c r="AF239" i="1"/>
  <c r="AG239" i="1" s="1"/>
  <c r="AF240" i="1"/>
  <c r="AG240" i="1" s="1"/>
  <c r="AF241" i="1"/>
  <c r="AG241" i="1" s="1"/>
  <c r="AF242" i="1"/>
  <c r="AG242" i="1" s="1"/>
  <c r="S243" i="1"/>
  <c r="T243" i="1" s="1"/>
  <c r="S244" i="1"/>
  <c r="T244" i="1" s="1"/>
  <c r="AF244" i="1"/>
  <c r="AG244" i="1" s="1"/>
  <c r="S245" i="1"/>
  <c r="T245" i="1" s="1"/>
  <c r="S246" i="1"/>
  <c r="T246" i="1" s="1"/>
  <c r="AF246" i="1"/>
  <c r="AG246" i="1" s="1"/>
  <c r="S247" i="1"/>
  <c r="T247" i="1" s="1"/>
  <c r="AF247" i="1"/>
  <c r="AG247" i="1"/>
  <c r="S248" i="1"/>
  <c r="T248" i="1" s="1"/>
  <c r="AF248" i="1"/>
  <c r="AG248" i="1"/>
  <c r="S249" i="1"/>
  <c r="T249" i="1" s="1"/>
  <c r="S250" i="1"/>
  <c r="T250" i="1" s="1"/>
  <c r="AF250" i="1"/>
  <c r="AG250" i="1" s="1"/>
  <c r="S251" i="1"/>
  <c r="T251" i="1" s="1"/>
  <c r="AF251" i="1"/>
  <c r="AG251" i="1"/>
  <c r="S252" i="1"/>
  <c r="T252" i="1" s="1"/>
  <c r="AF252" i="1"/>
  <c r="AG252" i="1"/>
  <c r="S253" i="1"/>
  <c r="T253" i="1" s="1"/>
  <c r="S254" i="1"/>
  <c r="T254" i="1" s="1"/>
  <c r="AF254" i="1"/>
  <c r="AG254" i="1" s="1"/>
  <c r="S255" i="1"/>
  <c r="T255" i="1" s="1"/>
  <c r="AF255" i="1"/>
  <c r="AG255" i="1"/>
  <c r="S256" i="1"/>
  <c r="T256" i="1" s="1"/>
  <c r="AF256" i="1"/>
  <c r="AG256" i="1"/>
  <c r="S257" i="1"/>
  <c r="T257" i="1" s="1"/>
  <c r="S258" i="1"/>
  <c r="T258" i="1" s="1"/>
  <c r="AF258" i="1"/>
  <c r="AG258" i="1" s="1"/>
  <c r="S259" i="1"/>
  <c r="T259" i="1" s="1"/>
  <c r="AF259" i="1"/>
  <c r="AG259" i="1"/>
  <c r="S260" i="1"/>
  <c r="T260" i="1" s="1"/>
  <c r="AF260" i="1"/>
  <c r="AG260" i="1"/>
  <c r="S261" i="1"/>
  <c r="T261" i="1" s="1"/>
  <c r="S262" i="1"/>
  <c r="T262" i="1" s="1"/>
  <c r="AF262" i="1"/>
  <c r="AG262" i="1" s="1"/>
  <c r="S263" i="1"/>
  <c r="T263" i="1" s="1"/>
  <c r="AF263" i="1"/>
  <c r="AG263" i="1"/>
  <c r="S264" i="1"/>
  <c r="T264" i="1" s="1"/>
  <c r="AF264" i="1"/>
  <c r="AG264" i="1"/>
  <c r="S265" i="1"/>
  <c r="T265" i="1" s="1"/>
  <c r="S266" i="1"/>
  <c r="T266" i="1" s="1"/>
  <c r="AF266" i="1"/>
  <c r="AG266" i="1" s="1"/>
  <c r="S267" i="1"/>
  <c r="T267" i="1" s="1"/>
  <c r="AF267" i="1"/>
  <c r="AG267" i="1"/>
  <c r="S268" i="1"/>
  <c r="T268" i="1" s="1"/>
  <c r="AF268" i="1"/>
  <c r="AG268" i="1"/>
  <c r="S269" i="1"/>
  <c r="T269" i="1" s="1"/>
  <c r="S270" i="1"/>
  <c r="T270" i="1" s="1"/>
  <c r="AF270" i="1"/>
  <c r="AG270" i="1" s="1"/>
  <c r="S271" i="1"/>
  <c r="T271" i="1" s="1"/>
  <c r="AF271" i="1"/>
  <c r="AG271" i="1"/>
  <c r="S272" i="1"/>
  <c r="T272" i="1" s="1"/>
  <c r="AF272" i="1"/>
  <c r="AG272" i="1"/>
  <c r="S273" i="1"/>
  <c r="T273" i="1" s="1"/>
  <c r="S274" i="1"/>
  <c r="T274" i="1" s="1"/>
  <c r="AF274" i="1"/>
  <c r="AG274" i="1" s="1"/>
  <c r="S275" i="1"/>
  <c r="T275" i="1" s="1"/>
  <c r="AF275" i="1"/>
  <c r="AG275" i="1"/>
  <c r="S276" i="1"/>
  <c r="T276" i="1" s="1"/>
  <c r="AF276" i="1"/>
  <c r="AG276" i="1"/>
  <c r="S277" i="1"/>
  <c r="T277" i="1" s="1"/>
  <c r="S278" i="1"/>
  <c r="T278" i="1" s="1"/>
  <c r="AF278" i="1"/>
  <c r="AG278" i="1" s="1"/>
  <c r="S279" i="1"/>
  <c r="T279" i="1" s="1"/>
  <c r="AF279" i="1"/>
  <c r="AG279" i="1"/>
  <c r="S280" i="1"/>
  <c r="T280" i="1" s="1"/>
  <c r="AF280" i="1"/>
  <c r="AG280" i="1"/>
  <c r="S281" i="1"/>
  <c r="S282" i="1"/>
  <c r="T282" i="1" s="1"/>
  <c r="AF282" i="1"/>
  <c r="AG282" i="1" s="1"/>
  <c r="S283" i="1"/>
  <c r="T283" i="1" s="1"/>
  <c r="AF283" i="1"/>
  <c r="AG283" i="1"/>
  <c r="S284" i="1"/>
  <c r="T284" i="1" s="1"/>
  <c r="AF284" i="1"/>
  <c r="AG284" i="1"/>
  <c r="AF285" i="1"/>
  <c r="AG285" i="1" s="1"/>
  <c r="S286" i="1"/>
  <c r="T286" i="1" s="1"/>
  <c r="AF286" i="1"/>
  <c r="AG286" i="1"/>
  <c r="S287" i="1"/>
  <c r="T287" i="1" s="1"/>
  <c r="AF287" i="1"/>
  <c r="AG287" i="1"/>
  <c r="S288" i="1"/>
  <c r="S289" i="1"/>
  <c r="T289" i="1" s="1"/>
  <c r="AF289" i="1"/>
  <c r="AG289" i="1" s="1"/>
  <c r="S290" i="1"/>
  <c r="T290" i="1" s="1"/>
  <c r="AF290" i="1"/>
  <c r="AG290" i="1"/>
  <c r="S291" i="1"/>
  <c r="T291" i="1" s="1"/>
  <c r="AF291" i="1"/>
  <c r="AG291" i="1"/>
  <c r="S292" i="1"/>
  <c r="S293" i="1"/>
  <c r="T293" i="1" s="1"/>
  <c r="AF293" i="1"/>
  <c r="AG293" i="1" s="1"/>
  <c r="S294" i="1"/>
  <c r="T294" i="1" s="1"/>
  <c r="AF294" i="1"/>
  <c r="AG294" i="1"/>
  <c r="S295" i="1"/>
  <c r="T295" i="1" s="1"/>
  <c r="AF295" i="1"/>
  <c r="AG295" i="1"/>
  <c r="S296" i="1"/>
  <c r="S297" i="1"/>
  <c r="T297" i="1" s="1"/>
  <c r="AF297" i="1"/>
  <c r="AG297" i="1" s="1"/>
  <c r="S298" i="1"/>
  <c r="T298" i="1" s="1"/>
  <c r="AF298" i="1"/>
  <c r="AG298" i="1"/>
  <c r="S299" i="1"/>
  <c r="T299" i="1" s="1"/>
  <c r="AF299" i="1"/>
  <c r="AG299" i="1"/>
  <c r="S300" i="1"/>
  <c r="S301" i="1"/>
  <c r="T301" i="1" s="1"/>
  <c r="AF301" i="1"/>
  <c r="AG301" i="1" s="1"/>
  <c r="S302" i="1"/>
  <c r="T302" i="1" s="1"/>
  <c r="AF302" i="1"/>
  <c r="AG302" i="1"/>
  <c r="S303" i="1"/>
  <c r="T303" i="1" s="1"/>
  <c r="AF303" i="1"/>
  <c r="AG303" i="1"/>
  <c r="S304" i="1"/>
  <c r="S305" i="1"/>
  <c r="T305" i="1" s="1"/>
  <c r="AF305" i="1"/>
  <c r="AG305" i="1" s="1"/>
  <c r="S306" i="1"/>
  <c r="T306" i="1" s="1"/>
  <c r="AF306" i="1"/>
  <c r="AG306" i="1"/>
  <c r="S307" i="1"/>
  <c r="T307" i="1" s="1"/>
  <c r="AF307" i="1"/>
  <c r="AG307" i="1"/>
  <c r="S308" i="1"/>
  <c r="S309" i="1"/>
  <c r="T309" i="1" s="1"/>
  <c r="AF309" i="1"/>
  <c r="AG309" i="1" s="1"/>
  <c r="S310" i="1"/>
  <c r="T310" i="1" s="1"/>
  <c r="AF310" i="1"/>
  <c r="AG310" i="1"/>
  <c r="S311" i="1"/>
  <c r="T311" i="1" s="1"/>
  <c r="AF311" i="1"/>
  <c r="AG311" i="1"/>
  <c r="AF312" i="1"/>
  <c r="AG312" i="1" s="1"/>
  <c r="S313" i="1"/>
  <c r="T313" i="1" s="1"/>
  <c r="AF313" i="1"/>
  <c r="AG313" i="1"/>
  <c r="S314" i="1"/>
  <c r="T314" i="1" s="1"/>
  <c r="AF314" i="1"/>
  <c r="AG314" i="1"/>
  <c r="S315" i="1"/>
  <c r="S316" i="1"/>
  <c r="T316" i="1" s="1"/>
  <c r="AF316" i="1"/>
  <c r="AG316" i="1" s="1"/>
  <c r="S317" i="1"/>
  <c r="T317" i="1" s="1"/>
  <c r="AF317" i="1"/>
  <c r="AG317" i="1"/>
  <c r="S318" i="1"/>
  <c r="T318" i="1" s="1"/>
  <c r="AF318" i="1"/>
  <c r="AG318" i="1"/>
  <c r="S319" i="1"/>
  <c r="S320" i="1"/>
  <c r="T320" i="1" s="1"/>
  <c r="AF320" i="1"/>
  <c r="AG320" i="1" s="1"/>
  <c r="S321" i="1"/>
  <c r="T321" i="1" s="1"/>
  <c r="AF321" i="1"/>
  <c r="AG321" i="1"/>
  <c r="S322" i="1"/>
  <c r="T322" i="1" s="1"/>
  <c r="AF322" i="1"/>
  <c r="AG322" i="1"/>
  <c r="S323" i="1"/>
  <c r="S324" i="1"/>
  <c r="T324" i="1" s="1"/>
  <c r="AF324" i="1"/>
  <c r="AG324" i="1" s="1"/>
  <c r="S325" i="1"/>
  <c r="T325" i="1" s="1"/>
  <c r="AF325" i="1"/>
  <c r="AG325" i="1"/>
  <c r="S326" i="1"/>
  <c r="T326" i="1" s="1"/>
  <c r="AF326" i="1"/>
  <c r="AG326" i="1"/>
  <c r="S327" i="1"/>
  <c r="S328" i="1"/>
  <c r="T328" i="1" s="1"/>
  <c r="AF328" i="1"/>
  <c r="AG328" i="1" s="1"/>
  <c r="S329" i="1"/>
  <c r="T329" i="1" s="1"/>
  <c r="AF329" i="1"/>
  <c r="AG329" i="1"/>
  <c r="S330" i="1"/>
  <c r="T330" i="1" s="1"/>
  <c r="AF330" i="1"/>
  <c r="AG330" i="1"/>
  <c r="S331" i="1"/>
  <c r="S332" i="1"/>
  <c r="T332" i="1" s="1"/>
  <c r="AF332" i="1"/>
  <c r="AG332" i="1" s="1"/>
  <c r="S333" i="1"/>
  <c r="T333" i="1" s="1"/>
  <c r="AF333" i="1"/>
  <c r="AG333" i="1"/>
  <c r="S334" i="1"/>
  <c r="T334" i="1" s="1"/>
  <c r="AF334" i="1"/>
  <c r="AG334" i="1"/>
  <c r="S335" i="1"/>
  <c r="S336" i="1"/>
  <c r="T336" i="1" s="1"/>
  <c r="AF336" i="1"/>
  <c r="AG336" i="1" s="1"/>
  <c r="S337" i="1"/>
  <c r="T337" i="1" s="1"/>
  <c r="AF337" i="1"/>
  <c r="AG337" i="1"/>
  <c r="S338" i="1"/>
  <c r="T338" i="1" s="1"/>
  <c r="AF338" i="1"/>
  <c r="AG338" i="1"/>
  <c r="S339" i="1"/>
  <c r="S340" i="1"/>
  <c r="T340" i="1" s="1"/>
  <c r="AF340" i="1"/>
  <c r="AG340" i="1" s="1"/>
  <c r="S341" i="1"/>
  <c r="T341" i="1" s="1"/>
  <c r="AF341" i="1"/>
  <c r="AG341" i="1"/>
  <c r="S342" i="1"/>
  <c r="T342" i="1" s="1"/>
  <c r="AF342" i="1"/>
  <c r="AG342" i="1"/>
  <c r="S343" i="1"/>
  <c r="S344" i="1"/>
  <c r="T344" i="1" s="1"/>
  <c r="AF344" i="1"/>
  <c r="AG344" i="1" s="1"/>
  <c r="S345" i="1"/>
  <c r="T345" i="1" s="1"/>
  <c r="AF345" i="1"/>
  <c r="AG345" i="1"/>
  <c r="S346" i="1"/>
  <c r="T346" i="1" s="1"/>
  <c r="AF346" i="1"/>
  <c r="AG346" i="1"/>
  <c r="S347" i="1"/>
  <c r="S348" i="1"/>
  <c r="T348" i="1" s="1"/>
  <c r="AF348" i="1"/>
  <c r="AG348" i="1" s="1"/>
  <c r="S349" i="1"/>
  <c r="T349" i="1" s="1"/>
  <c r="AF349" i="1"/>
  <c r="AG349" i="1"/>
  <c r="S350" i="1"/>
  <c r="T350" i="1" s="1"/>
  <c r="AF350" i="1"/>
  <c r="AG350" i="1"/>
  <c r="S351" i="1"/>
  <c r="S352" i="1"/>
  <c r="T352" i="1" s="1"/>
  <c r="AF352" i="1"/>
  <c r="AG352" i="1" s="1"/>
  <c r="S353" i="1"/>
  <c r="T353" i="1" s="1"/>
  <c r="AF353" i="1"/>
  <c r="AG353" i="1"/>
  <c r="S354" i="1"/>
  <c r="T354" i="1" s="1"/>
  <c r="AF354" i="1"/>
  <c r="AG354" i="1"/>
  <c r="S355" i="1"/>
  <c r="S356" i="1"/>
  <c r="T356" i="1" s="1"/>
  <c r="AF356" i="1"/>
  <c r="AG356" i="1" s="1"/>
  <c r="S357" i="1"/>
  <c r="T357" i="1" s="1"/>
  <c r="AF357" i="1"/>
  <c r="AG357" i="1"/>
  <c r="S358" i="1"/>
  <c r="T358" i="1" s="1"/>
  <c r="AF358" i="1"/>
  <c r="AG358" i="1"/>
  <c r="S359" i="1"/>
  <c r="S360" i="1"/>
  <c r="T360" i="1" s="1"/>
  <c r="AF360" i="1"/>
  <c r="AG360" i="1" s="1"/>
  <c r="S361" i="1"/>
  <c r="T361" i="1" s="1"/>
  <c r="AF361" i="1"/>
  <c r="AG361" i="1"/>
  <c r="S362" i="1"/>
  <c r="T362" i="1" s="1"/>
  <c r="AF362" i="1"/>
  <c r="AG362" i="1"/>
  <c r="S363" i="1"/>
  <c r="S364" i="1"/>
  <c r="T364" i="1" s="1"/>
  <c r="AF364" i="1"/>
  <c r="AG364" i="1" s="1"/>
  <c r="S365" i="1"/>
  <c r="T365" i="1" s="1"/>
  <c r="AF365" i="1"/>
  <c r="AG365" i="1"/>
  <c r="S366" i="1"/>
  <c r="T366" i="1" s="1"/>
  <c r="AF366" i="1"/>
  <c r="AG366" i="1"/>
  <c r="S367" i="1"/>
  <c r="S368" i="1"/>
  <c r="T368" i="1" s="1"/>
  <c r="AF368" i="1"/>
  <c r="AG368" i="1" s="1"/>
  <c r="S369" i="1"/>
  <c r="T369" i="1" s="1"/>
  <c r="AF369" i="1"/>
  <c r="AG369" i="1"/>
  <c r="S370" i="1"/>
  <c r="T370" i="1" s="1"/>
  <c r="AF370" i="1"/>
  <c r="AG370" i="1"/>
  <c r="S371" i="1"/>
  <c r="S372" i="1"/>
  <c r="T372" i="1" s="1"/>
  <c r="AF372" i="1"/>
  <c r="AG372" i="1" s="1"/>
  <c r="S373" i="1"/>
  <c r="T373" i="1" s="1"/>
  <c r="AF373" i="1"/>
  <c r="AG373" i="1"/>
  <c r="S374" i="1"/>
  <c r="T374" i="1" s="1"/>
  <c r="AF374" i="1"/>
  <c r="AG374" i="1"/>
  <c r="S375" i="1"/>
  <c r="S376" i="1"/>
  <c r="T376" i="1" s="1"/>
  <c r="AF376" i="1"/>
  <c r="AG376" i="1" s="1"/>
  <c r="S377" i="1"/>
  <c r="T377" i="1" s="1"/>
  <c r="AF377" i="1"/>
  <c r="AG377" i="1"/>
  <c r="S378" i="1"/>
  <c r="T378" i="1" s="1"/>
  <c r="AF378" i="1"/>
  <c r="AG378" i="1"/>
  <c r="S379" i="1"/>
  <c r="S380" i="1"/>
  <c r="T380" i="1" s="1"/>
  <c r="AF380" i="1"/>
  <c r="AG380" i="1" s="1"/>
  <c r="S381" i="1"/>
  <c r="T381" i="1" s="1"/>
  <c r="AF381" i="1"/>
  <c r="AG381" i="1"/>
  <c r="S382" i="1"/>
  <c r="T382" i="1" s="1"/>
  <c r="AF382" i="1"/>
  <c r="AG382" i="1"/>
  <c r="S383" i="1"/>
  <c r="S384" i="1"/>
  <c r="T384" i="1" s="1"/>
  <c r="AF384" i="1"/>
  <c r="AG384" i="1" s="1"/>
  <c r="S385" i="1"/>
  <c r="T385" i="1" s="1"/>
  <c r="AF385" i="1"/>
  <c r="AG385" i="1"/>
  <c r="S386" i="1"/>
  <c r="T386" i="1" s="1"/>
  <c r="AF386" i="1"/>
  <c r="AG386" i="1"/>
  <c r="S387" i="1"/>
  <c r="S388" i="1"/>
  <c r="T388" i="1" s="1"/>
  <c r="AF388" i="1"/>
  <c r="AG388" i="1" s="1"/>
  <c r="S389" i="1"/>
  <c r="T389" i="1" s="1"/>
  <c r="AF389" i="1"/>
  <c r="AG389" i="1"/>
  <c r="S390" i="1"/>
  <c r="T390" i="1" s="1"/>
  <c r="AF390" i="1"/>
  <c r="AG390" i="1"/>
  <c r="S391" i="1"/>
  <c r="S392" i="1"/>
  <c r="T392" i="1" s="1"/>
  <c r="AF392" i="1"/>
  <c r="AG392" i="1" s="1"/>
  <c r="S393" i="1"/>
  <c r="T393" i="1" s="1"/>
  <c r="AF393" i="1"/>
  <c r="AG393" i="1"/>
  <c r="S394" i="1"/>
  <c r="T394" i="1" s="1"/>
  <c r="AF394" i="1"/>
  <c r="AG394" i="1"/>
  <c r="S395" i="1"/>
  <c r="S396" i="1"/>
  <c r="T396" i="1" s="1"/>
  <c r="AF396" i="1"/>
  <c r="AG396" i="1" s="1"/>
  <c r="S397" i="1"/>
  <c r="T397" i="1" s="1"/>
  <c r="AF397" i="1"/>
  <c r="AG397" i="1"/>
  <c r="S398" i="1"/>
  <c r="T398" i="1" s="1"/>
  <c r="AF398" i="1"/>
  <c r="AG398" i="1"/>
  <c r="S399" i="1"/>
  <c r="S400" i="1"/>
  <c r="T400" i="1" s="1"/>
  <c r="AF400" i="1"/>
  <c r="AG400" i="1" s="1"/>
  <c r="S401" i="1"/>
  <c r="T401" i="1" s="1"/>
  <c r="AF401" i="1"/>
  <c r="AG401" i="1"/>
  <c r="S402" i="1"/>
  <c r="T402" i="1" s="1"/>
  <c r="AF402" i="1"/>
  <c r="AG402" i="1"/>
  <c r="S403" i="1"/>
  <c r="S404" i="1"/>
  <c r="T404" i="1" s="1"/>
  <c r="AF404" i="1"/>
  <c r="AG404" i="1" s="1"/>
  <c r="S405" i="1"/>
  <c r="T405" i="1" s="1"/>
  <c r="AF405" i="1"/>
  <c r="AG405" i="1"/>
  <c r="S406" i="1"/>
  <c r="T406" i="1" s="1"/>
  <c r="AF406" i="1"/>
  <c r="AG406" i="1"/>
  <c r="S407" i="1"/>
  <c r="S408" i="1"/>
  <c r="T408" i="1" s="1"/>
  <c r="AF408" i="1"/>
  <c r="AG408" i="1" s="1"/>
  <c r="S409" i="1"/>
  <c r="T409" i="1" s="1"/>
  <c r="AF409" i="1"/>
  <c r="AG409" i="1"/>
  <c r="S410" i="1"/>
  <c r="T410" i="1" s="1"/>
  <c r="AF410" i="1"/>
  <c r="AG410" i="1"/>
  <c r="S411" i="1"/>
  <c r="S412" i="1"/>
  <c r="T412" i="1" s="1"/>
  <c r="AF412" i="1"/>
  <c r="AG412" i="1" s="1"/>
  <c r="S413" i="1"/>
  <c r="T413" i="1" s="1"/>
  <c r="AF413" i="1"/>
  <c r="AG413" i="1"/>
  <c r="S414" i="1"/>
  <c r="T414" i="1" s="1"/>
  <c r="AF414" i="1"/>
  <c r="AG414" i="1"/>
  <c r="S415" i="1"/>
  <c r="S416" i="1"/>
  <c r="T416" i="1" s="1"/>
  <c r="AF416" i="1"/>
  <c r="AG416" i="1" s="1"/>
  <c r="S417" i="1"/>
  <c r="T417" i="1" s="1"/>
  <c r="AF417" i="1"/>
  <c r="AG417" i="1"/>
  <c r="S418" i="1"/>
  <c r="T418" i="1" s="1"/>
  <c r="AF418" i="1"/>
  <c r="AG418" i="1"/>
  <c r="S419" i="1"/>
  <c r="S420" i="1"/>
  <c r="T420" i="1" s="1"/>
  <c r="AF420" i="1"/>
  <c r="AG420" i="1" s="1"/>
  <c r="S421" i="1"/>
  <c r="T421" i="1" s="1"/>
  <c r="AF421" i="1"/>
  <c r="AG421" i="1"/>
  <c r="S422" i="1"/>
  <c r="T422" i="1" s="1"/>
  <c r="AF422" i="1"/>
  <c r="AG422" i="1"/>
  <c r="S423" i="1"/>
  <c r="S424" i="1"/>
  <c r="T424" i="1" s="1"/>
  <c r="AF424" i="1"/>
  <c r="AG424" i="1" s="1"/>
  <c r="S425" i="1"/>
  <c r="T425" i="1" s="1"/>
  <c r="AF425" i="1"/>
  <c r="AG425" i="1"/>
  <c r="S426" i="1"/>
  <c r="T426" i="1" s="1"/>
  <c r="AF426" i="1"/>
  <c r="AG426" i="1"/>
  <c r="S427" i="1"/>
  <c r="S428" i="1"/>
  <c r="T428" i="1" s="1"/>
  <c r="AF428" i="1"/>
  <c r="AG428" i="1" s="1"/>
  <c r="S429" i="1"/>
  <c r="T429" i="1" s="1"/>
  <c r="AF429" i="1"/>
  <c r="AG429" i="1"/>
  <c r="S430" i="1"/>
  <c r="T430" i="1" s="1"/>
  <c r="AF430" i="1"/>
  <c r="AG430" i="1"/>
  <c r="S431" i="1"/>
  <c r="S432" i="1"/>
  <c r="T432" i="1" s="1"/>
  <c r="AF432" i="1"/>
  <c r="AG432" i="1" s="1"/>
  <c r="S433" i="1"/>
  <c r="T433" i="1" s="1"/>
  <c r="AF433" i="1"/>
  <c r="AG433" i="1"/>
  <c r="S434" i="1"/>
  <c r="T434" i="1" s="1"/>
  <c r="AF434" i="1"/>
  <c r="AG434" i="1"/>
  <c r="S435" i="1"/>
  <c r="S436" i="1"/>
  <c r="T436" i="1" s="1"/>
  <c r="S437" i="1"/>
  <c r="T437" i="1" s="1"/>
  <c r="AF437" i="1"/>
  <c r="AG437" i="1"/>
  <c r="S438" i="1"/>
  <c r="T438" i="1" s="1"/>
  <c r="AF438" i="1"/>
  <c r="AG438" i="1"/>
  <c r="S439" i="1"/>
  <c r="S440" i="1"/>
  <c r="T440" i="1" s="1"/>
  <c r="AF440" i="1"/>
  <c r="AG440" i="1" s="1"/>
  <c r="S441" i="1"/>
  <c r="T441" i="1" s="1"/>
  <c r="AF441" i="1"/>
  <c r="AG441" i="1" s="1"/>
  <c r="S442" i="1"/>
  <c r="T442" i="1" s="1"/>
  <c r="AF442" i="1"/>
  <c r="AG442" i="1"/>
  <c r="S443" i="1"/>
  <c r="S444" i="1"/>
  <c r="S445" i="1"/>
  <c r="T445" i="1" s="1"/>
  <c r="AF445" i="1"/>
  <c r="AG445" i="1"/>
  <c r="S446" i="1"/>
  <c r="T446" i="1" s="1"/>
  <c r="AF446" i="1"/>
  <c r="AG446" i="1"/>
  <c r="S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 s="1"/>
  <c r="AF458" i="1"/>
  <c r="AG458" i="1" s="1"/>
  <c r="AF459" i="1"/>
  <c r="AG459" i="1" s="1"/>
  <c r="AF460" i="1"/>
  <c r="AG460" i="1"/>
  <c r="AF461" i="1"/>
  <c r="AG461" i="1" s="1"/>
  <c r="AF462" i="1"/>
  <c r="AG462" i="1" s="1"/>
  <c r="AF463" i="1"/>
  <c r="AG463" i="1" s="1"/>
  <c r="AF464" i="1"/>
  <c r="AG464" i="1"/>
  <c r="AF465" i="1"/>
  <c r="AG465" i="1" s="1"/>
  <c r="AF466" i="1"/>
  <c r="AG466" i="1" s="1"/>
  <c r="AF467" i="1"/>
  <c r="AG467" i="1" s="1"/>
  <c r="AF468" i="1"/>
  <c r="AG468" i="1"/>
  <c r="AF469" i="1"/>
  <c r="AG469" i="1" s="1"/>
  <c r="AF470" i="1"/>
  <c r="AG470" i="1" s="1"/>
  <c r="AF471" i="1"/>
  <c r="AG471" i="1" s="1"/>
  <c r="AF472" i="1"/>
  <c r="AG472" i="1"/>
  <c r="AF473" i="1"/>
  <c r="AG473" i="1" s="1"/>
  <c r="AF474" i="1"/>
  <c r="AG474" i="1" s="1"/>
  <c r="AF475" i="1"/>
  <c r="AG475" i="1" s="1"/>
  <c r="AF476" i="1"/>
  <c r="AG476" i="1"/>
  <c r="AF477" i="1"/>
  <c r="AG477" i="1" s="1"/>
  <c r="AF478" i="1"/>
  <c r="AG478" i="1" s="1"/>
  <c r="AF479" i="1"/>
  <c r="AG479" i="1" s="1"/>
  <c r="AF480" i="1"/>
  <c r="AG480" i="1"/>
  <c r="AF481" i="1"/>
  <c r="AG481" i="1" s="1"/>
  <c r="AF482" i="1"/>
  <c r="AG482" i="1" s="1"/>
  <c r="AF483" i="1"/>
  <c r="AG483" i="1" s="1"/>
  <c r="AF484" i="1"/>
  <c r="AG484" i="1"/>
  <c r="AF485" i="1"/>
  <c r="AG485" i="1" s="1"/>
  <c r="AF486" i="1"/>
  <c r="AG486" i="1" s="1"/>
  <c r="AF487" i="1"/>
  <c r="AG487" i="1" s="1"/>
  <c r="AF488" i="1"/>
  <c r="AG488" i="1"/>
  <c r="AF489" i="1"/>
  <c r="AG489" i="1" s="1"/>
  <c r="AF490" i="1"/>
  <c r="AG490" i="1" s="1"/>
  <c r="AF491" i="1"/>
  <c r="AG491" i="1" s="1"/>
  <c r="AF492" i="1"/>
  <c r="AG492" i="1"/>
  <c r="AF493" i="1"/>
  <c r="AG493" i="1" s="1"/>
  <c r="AF494" i="1"/>
  <c r="AG494" i="1" s="1"/>
  <c r="AF495" i="1"/>
  <c r="AG495" i="1" s="1"/>
  <c r="S496" i="1"/>
  <c r="T496" i="1" s="1"/>
  <c r="AF496" i="1"/>
  <c r="AG496" i="1" s="1"/>
  <c r="AF497" i="1"/>
  <c r="AG497" i="1"/>
  <c r="AF498" i="1"/>
  <c r="AG498" i="1" s="1"/>
  <c r="AF499" i="1"/>
  <c r="AG499" i="1"/>
  <c r="AF500" i="1"/>
  <c r="AG500" i="1" s="1"/>
  <c r="AF501" i="1"/>
  <c r="AG501" i="1"/>
  <c r="AF502" i="1"/>
  <c r="AG502" i="1" s="1"/>
  <c r="AF503" i="1"/>
  <c r="AG503" i="1"/>
  <c r="AF504" i="1"/>
  <c r="AG504" i="1" s="1"/>
  <c r="AF505" i="1"/>
  <c r="AG505" i="1"/>
  <c r="AF506" i="1"/>
  <c r="AG506" i="1" s="1"/>
  <c r="AF507" i="1"/>
  <c r="AG507" i="1"/>
  <c r="AF508" i="1"/>
  <c r="AG508" i="1" s="1"/>
  <c r="S509" i="1"/>
  <c r="T509" i="1" s="1"/>
  <c r="AF509" i="1"/>
  <c r="AG509" i="1"/>
  <c r="AF510" i="1"/>
  <c r="AG510" i="1" s="1"/>
  <c r="AF511" i="1"/>
  <c r="AG511" i="1" s="1"/>
  <c r="AF512" i="1"/>
  <c r="AG512" i="1" s="1"/>
  <c r="AF513" i="1"/>
  <c r="AG513" i="1"/>
  <c r="AF514" i="1"/>
  <c r="AG514" i="1" s="1"/>
  <c r="AF515" i="1"/>
  <c r="AG515" i="1" s="1"/>
  <c r="AF516" i="1"/>
  <c r="AG516" i="1" s="1"/>
  <c r="AF517" i="1"/>
  <c r="AG517" i="1"/>
  <c r="AF518" i="1"/>
  <c r="AG518" i="1" s="1"/>
  <c r="AF519" i="1"/>
  <c r="AG519" i="1" s="1"/>
  <c r="AF520" i="1"/>
  <c r="AG520" i="1" s="1"/>
  <c r="AF521" i="1"/>
  <c r="AG521" i="1"/>
  <c r="AF522" i="1"/>
  <c r="AG522" i="1" s="1"/>
  <c r="AF523" i="1"/>
  <c r="AG523" i="1" s="1"/>
  <c r="AF524" i="1"/>
  <c r="AG524" i="1" s="1"/>
  <c r="AF525" i="1"/>
  <c r="AG525" i="1"/>
  <c r="AF526" i="1"/>
  <c r="AG526" i="1" s="1"/>
  <c r="AF527" i="1"/>
  <c r="AG527" i="1" s="1"/>
  <c r="AF528" i="1"/>
  <c r="AG528" i="1" s="1"/>
  <c r="AF529" i="1"/>
  <c r="AG529" i="1"/>
  <c r="AF530" i="1"/>
  <c r="AG530" i="1" s="1"/>
  <c r="AF531" i="1"/>
  <c r="AG531" i="1" s="1"/>
  <c r="AF532" i="1"/>
  <c r="AG532" i="1" s="1"/>
  <c r="AF533" i="1"/>
  <c r="AG533" i="1"/>
  <c r="AF534" i="1"/>
  <c r="AG534" i="1" s="1"/>
  <c r="AF535" i="1"/>
  <c r="AG535" i="1" s="1"/>
  <c r="AF536" i="1"/>
  <c r="AG536" i="1" s="1"/>
  <c r="AF537" i="1"/>
  <c r="AG537" i="1"/>
  <c r="AF538" i="1"/>
  <c r="AG538" i="1" s="1"/>
  <c r="AF539" i="1"/>
  <c r="AG539" i="1" s="1"/>
  <c r="AF540" i="1"/>
  <c r="AG540" i="1" s="1"/>
  <c r="AF541" i="1"/>
  <c r="AG541" i="1" s="1"/>
  <c r="AF542" i="1"/>
  <c r="AG542" i="1" s="1"/>
  <c r="AF543" i="1"/>
  <c r="AG543" i="1" s="1"/>
  <c r="AF544" i="1"/>
  <c r="AG544" i="1" s="1"/>
  <c r="AF545" i="1"/>
  <c r="AG545" i="1" s="1"/>
  <c r="AF546" i="1"/>
  <c r="AG546" i="1" s="1"/>
  <c r="AF547" i="1"/>
  <c r="AG547" i="1" s="1"/>
  <c r="AF548" i="1"/>
  <c r="AG548" i="1" s="1"/>
  <c r="AF549" i="1"/>
  <c r="AG549" i="1" s="1"/>
  <c r="AF550" i="1"/>
  <c r="AG550" i="1" s="1"/>
  <c r="AF551" i="1"/>
  <c r="AG551" i="1" s="1"/>
  <c r="AF552" i="1"/>
  <c r="AG552" i="1" s="1"/>
  <c r="AF553" i="1"/>
  <c r="AG553" i="1" s="1"/>
  <c r="AF554" i="1"/>
  <c r="AG554" i="1" s="1"/>
  <c r="AF555" i="1"/>
  <c r="AG555" i="1" s="1"/>
  <c r="AF556" i="1"/>
  <c r="AG556" i="1" s="1"/>
  <c r="AF557" i="1"/>
  <c r="AG557" i="1" s="1"/>
  <c r="AF558" i="1"/>
  <c r="AG558" i="1" s="1"/>
  <c r="AF559" i="1"/>
  <c r="AG559" i="1" s="1"/>
  <c r="AF560" i="1"/>
  <c r="AG560" i="1" s="1"/>
  <c r="AF561" i="1"/>
  <c r="AG561" i="1" s="1"/>
  <c r="AF562" i="1"/>
  <c r="AG562" i="1" s="1"/>
  <c r="AF563" i="1"/>
  <c r="AG563" i="1" s="1"/>
  <c r="AF564" i="1"/>
  <c r="AG564" i="1" s="1"/>
  <c r="AF565" i="1"/>
  <c r="AG565" i="1" s="1"/>
  <c r="AF566" i="1"/>
  <c r="AG566" i="1" s="1"/>
  <c r="AF567" i="1"/>
  <c r="AG567" i="1" s="1"/>
  <c r="AF568" i="1"/>
  <c r="AG568" i="1" s="1"/>
  <c r="AF569" i="1"/>
  <c r="AG569" i="1" s="1"/>
  <c r="AF570" i="1"/>
  <c r="AG570" i="1" s="1"/>
  <c r="AF571" i="1"/>
  <c r="AG571" i="1" s="1"/>
  <c r="AF572" i="1"/>
  <c r="AG572" i="1" s="1"/>
  <c r="AF573" i="1"/>
  <c r="AG573" i="1" s="1"/>
  <c r="AF574" i="1"/>
  <c r="AG574" i="1" s="1"/>
  <c r="AF575" i="1"/>
  <c r="AG575" i="1" s="1"/>
  <c r="AF576" i="1"/>
  <c r="AG576" i="1" s="1"/>
  <c r="AF577" i="1"/>
  <c r="AG577" i="1" s="1"/>
  <c r="AF578" i="1"/>
  <c r="AG578" i="1" s="1"/>
  <c r="AF579" i="1"/>
  <c r="AG579" i="1" s="1"/>
  <c r="AF580" i="1"/>
  <c r="AG580" i="1" s="1"/>
  <c r="AF581" i="1"/>
  <c r="AG581" i="1" s="1"/>
  <c r="AF582" i="1"/>
  <c r="AG582" i="1" s="1"/>
  <c r="AF583" i="1"/>
  <c r="AG583" i="1" s="1"/>
  <c r="AF584" i="1"/>
  <c r="AG584" i="1" s="1"/>
  <c r="AF585" i="1"/>
  <c r="AG585" i="1" s="1"/>
  <c r="AF586" i="1"/>
  <c r="AG586" i="1" s="1"/>
  <c r="AF587" i="1"/>
  <c r="AG587" i="1" s="1"/>
  <c r="AF588" i="1"/>
  <c r="AG588" i="1" s="1"/>
  <c r="AF589" i="1"/>
  <c r="AG589" i="1" s="1"/>
  <c r="AF590" i="1"/>
  <c r="AG590" i="1" s="1"/>
  <c r="AF591" i="1"/>
  <c r="AG591" i="1" s="1"/>
  <c r="AF592" i="1"/>
  <c r="AG592" i="1" s="1"/>
  <c r="AF593" i="1"/>
  <c r="AG593" i="1" s="1"/>
  <c r="AF594" i="1"/>
  <c r="AG594" i="1" s="1"/>
  <c r="AF595" i="1"/>
  <c r="AG595" i="1" s="1"/>
  <c r="AF596" i="1"/>
  <c r="AG596" i="1" s="1"/>
  <c r="AF597" i="1"/>
  <c r="AG597" i="1" s="1"/>
  <c r="AF598" i="1"/>
  <c r="AG598" i="1" s="1"/>
  <c r="AF599" i="1"/>
  <c r="AG599" i="1" s="1"/>
  <c r="AF600" i="1"/>
  <c r="AG600" i="1" s="1"/>
  <c r="AF601" i="1"/>
  <c r="AG601" i="1" s="1"/>
  <c r="AF602" i="1"/>
  <c r="AG602" i="1" s="1"/>
  <c r="AF603" i="1"/>
  <c r="AG603" i="1" s="1"/>
  <c r="AF604" i="1"/>
  <c r="AG604" i="1" s="1"/>
  <c r="AF605" i="1"/>
  <c r="AG605" i="1" s="1"/>
  <c r="AF606" i="1"/>
  <c r="AG606" i="1" s="1"/>
  <c r="AF607" i="1"/>
  <c r="AG607" i="1" s="1"/>
  <c r="AF608" i="1"/>
  <c r="AG608" i="1" s="1"/>
  <c r="AF609" i="1"/>
  <c r="AG609" i="1" s="1"/>
  <c r="AF610" i="1"/>
  <c r="AG610" i="1" s="1"/>
  <c r="AF611" i="1"/>
  <c r="AG611" i="1" s="1"/>
  <c r="AF612" i="1"/>
  <c r="AG612" i="1" s="1"/>
  <c r="AF613" i="1"/>
  <c r="AG613" i="1" s="1"/>
  <c r="AF614" i="1"/>
  <c r="AG614" i="1" s="1"/>
  <c r="AF615" i="1"/>
  <c r="AG615" i="1" s="1"/>
  <c r="AF616" i="1"/>
  <c r="AG616" i="1" s="1"/>
  <c r="AF617" i="1"/>
  <c r="AG617" i="1" s="1"/>
  <c r="AF618" i="1"/>
  <c r="AG618" i="1" s="1"/>
  <c r="AF619" i="1"/>
  <c r="AG619" i="1" s="1"/>
  <c r="AF620" i="1"/>
  <c r="AG620" i="1" s="1"/>
  <c r="AF621" i="1"/>
  <c r="AG621" i="1" s="1"/>
  <c r="AF622" i="1"/>
  <c r="AG622" i="1" s="1"/>
  <c r="AF623" i="1"/>
  <c r="AG623" i="1" s="1"/>
  <c r="AF624" i="1"/>
  <c r="AG624" i="1" s="1"/>
  <c r="AF625" i="1"/>
  <c r="AG625" i="1" s="1"/>
  <c r="AF626" i="1"/>
  <c r="AG626" i="1" s="1"/>
  <c r="AF627" i="1"/>
  <c r="AG627" i="1" s="1"/>
  <c r="AF628" i="1"/>
  <c r="AG628" i="1" s="1"/>
  <c r="AF629" i="1"/>
  <c r="AG629" i="1" s="1"/>
  <c r="AF630" i="1"/>
  <c r="AG630" i="1" s="1"/>
  <c r="AF631" i="1"/>
  <c r="AG631" i="1" s="1"/>
  <c r="AF632" i="1"/>
  <c r="AG632" i="1" s="1"/>
  <c r="AF633" i="1"/>
  <c r="AG633" i="1" s="1"/>
  <c r="AF634" i="1"/>
  <c r="AG634" i="1" s="1"/>
  <c r="AF635" i="1"/>
  <c r="AG635" i="1" s="1"/>
  <c r="AF636" i="1"/>
  <c r="AG636" i="1" s="1"/>
  <c r="AF637" i="1"/>
  <c r="AG637" i="1" s="1"/>
  <c r="S638" i="1"/>
  <c r="S639" i="1"/>
  <c r="T639" i="1" s="1"/>
  <c r="AF639" i="1"/>
  <c r="AG639" i="1" s="1"/>
  <c r="S640" i="1"/>
  <c r="T640" i="1" s="1"/>
  <c r="S641" i="1"/>
  <c r="T641" i="1" s="1"/>
  <c r="AF641" i="1"/>
  <c r="AG641" i="1" s="1"/>
  <c r="S642" i="1"/>
  <c r="S643" i="1"/>
  <c r="T643" i="1" s="1"/>
  <c r="AF643" i="1"/>
  <c r="AG643" i="1" s="1"/>
  <c r="S644" i="1"/>
  <c r="S645" i="1"/>
  <c r="T645" i="1" s="1"/>
  <c r="AF645" i="1"/>
  <c r="AG645" i="1" s="1"/>
  <c r="S646" i="1"/>
  <c r="S647" i="1"/>
  <c r="T647" i="1" s="1"/>
  <c r="AF647" i="1"/>
  <c r="AG647" i="1" s="1"/>
  <c r="S648" i="1"/>
  <c r="S649" i="1"/>
  <c r="T649" i="1" s="1"/>
  <c r="AF649" i="1"/>
  <c r="AG649" i="1" s="1"/>
  <c r="S650" i="1"/>
  <c r="S651" i="1"/>
  <c r="T651" i="1" s="1"/>
  <c r="AF651" i="1"/>
  <c r="AG651" i="1" s="1"/>
  <c r="S652" i="1"/>
  <c r="S653" i="1"/>
  <c r="T653" i="1" s="1"/>
  <c r="AF653" i="1"/>
  <c r="AG653" i="1" s="1"/>
  <c r="S654" i="1"/>
  <c r="S655" i="1"/>
  <c r="T655" i="1" s="1"/>
  <c r="AF655" i="1"/>
  <c r="AG655" i="1" s="1"/>
  <c r="S656" i="1"/>
  <c r="S657" i="1"/>
  <c r="T657" i="1" s="1"/>
  <c r="AF657" i="1"/>
  <c r="AG657" i="1" s="1"/>
  <c r="S658" i="1"/>
  <c r="S659" i="1"/>
  <c r="T659" i="1" s="1"/>
  <c r="AF659" i="1"/>
  <c r="AG659" i="1" s="1"/>
  <c r="S660" i="1"/>
  <c r="S661" i="1"/>
  <c r="T661" i="1" s="1"/>
  <c r="AF661" i="1"/>
  <c r="AG661" i="1" s="1"/>
  <c r="S662" i="1"/>
  <c r="S663" i="1"/>
  <c r="T663" i="1" s="1"/>
  <c r="AF663" i="1"/>
  <c r="AG663" i="1" s="1"/>
  <c r="S664" i="1"/>
  <c r="S665" i="1"/>
  <c r="T665" i="1" s="1"/>
  <c r="AF665" i="1"/>
  <c r="AG665" i="1" s="1"/>
  <c r="S666" i="1"/>
  <c r="S667" i="1"/>
  <c r="T667" i="1" s="1"/>
  <c r="AF667" i="1"/>
  <c r="AG667" i="1" s="1"/>
  <c r="S668" i="1"/>
  <c r="S669" i="1"/>
  <c r="T669" i="1" s="1"/>
  <c r="AF669" i="1"/>
  <c r="AG669" i="1" s="1"/>
  <c r="S670" i="1"/>
  <c r="S671" i="1"/>
  <c r="T671" i="1" s="1"/>
  <c r="AF671" i="1"/>
  <c r="AG671" i="1" s="1"/>
  <c r="S672" i="1"/>
  <c r="S673" i="1"/>
  <c r="T673" i="1" s="1"/>
  <c r="AF673" i="1"/>
  <c r="AG673" i="1" s="1"/>
  <c r="S674" i="1"/>
  <c r="S675" i="1"/>
  <c r="T675" i="1" s="1"/>
  <c r="AF675" i="1"/>
  <c r="AG675" i="1" s="1"/>
  <c r="S676" i="1"/>
  <c r="S677" i="1"/>
  <c r="T677" i="1" s="1"/>
  <c r="AF677" i="1"/>
  <c r="AG677" i="1" s="1"/>
  <c r="S678" i="1"/>
  <c r="S679" i="1"/>
  <c r="T679" i="1" s="1"/>
  <c r="AF679" i="1"/>
  <c r="AG679" i="1" s="1"/>
  <c r="S680" i="1"/>
  <c r="S681" i="1"/>
  <c r="T681" i="1" s="1"/>
  <c r="AF681" i="1"/>
  <c r="AG681" i="1" s="1"/>
  <c r="S682" i="1"/>
  <c r="S683" i="1"/>
  <c r="T683" i="1" s="1"/>
  <c r="AF683" i="1"/>
  <c r="AG683" i="1" s="1"/>
  <c r="S684" i="1"/>
  <c r="S685" i="1"/>
  <c r="T685" i="1" s="1"/>
  <c r="AF685" i="1"/>
  <c r="AG685" i="1" s="1"/>
  <c r="S686" i="1"/>
  <c r="S687" i="1"/>
  <c r="T687" i="1" s="1"/>
  <c r="AF687" i="1"/>
  <c r="AG687" i="1" s="1"/>
  <c r="S688" i="1"/>
  <c r="S689" i="1"/>
  <c r="T689" i="1" s="1"/>
  <c r="AF689" i="1"/>
  <c r="AG689" i="1" s="1"/>
  <c r="S690" i="1"/>
  <c r="S691" i="1"/>
  <c r="T691" i="1" s="1"/>
  <c r="AF691" i="1"/>
  <c r="AG691" i="1" s="1"/>
  <c r="S692" i="1"/>
  <c r="S693" i="1"/>
  <c r="T693" i="1" s="1"/>
  <c r="AF693" i="1"/>
  <c r="AG693" i="1" s="1"/>
  <c r="AF694" i="1"/>
  <c r="AG694" i="1" s="1"/>
  <c r="AF695" i="1"/>
  <c r="AG695" i="1" s="1"/>
  <c r="AF696" i="1"/>
  <c r="AG696" i="1" s="1"/>
  <c r="AF697" i="1"/>
  <c r="AG697" i="1" s="1"/>
  <c r="AF698" i="1"/>
  <c r="AG698" i="1" s="1"/>
  <c r="AF699" i="1"/>
  <c r="AG699" i="1" s="1"/>
  <c r="AF700" i="1"/>
  <c r="AG700" i="1" s="1"/>
  <c r="AF701" i="1"/>
  <c r="AG701" i="1" s="1"/>
  <c r="AF702" i="1"/>
  <c r="AG702" i="1" s="1"/>
  <c r="AF703" i="1"/>
  <c r="AG703" i="1" s="1"/>
  <c r="AF704" i="1"/>
  <c r="AG704" i="1" s="1"/>
  <c r="AF705" i="1"/>
  <c r="AG705" i="1" s="1"/>
  <c r="AF706" i="1"/>
  <c r="AG706" i="1" s="1"/>
  <c r="AF707" i="1"/>
  <c r="AG707" i="1" s="1"/>
  <c r="AF708" i="1"/>
  <c r="AG708" i="1" s="1"/>
  <c r="AF709" i="1"/>
  <c r="AG709" i="1" s="1"/>
  <c r="AF710" i="1"/>
  <c r="AG710" i="1" s="1"/>
  <c r="AF711" i="1"/>
  <c r="AG711" i="1" s="1"/>
  <c r="AF712" i="1"/>
  <c r="AG712" i="1" s="1"/>
  <c r="AF713" i="1"/>
  <c r="AG713" i="1" s="1"/>
  <c r="AF714" i="1"/>
  <c r="AG714" i="1" s="1"/>
  <c r="AF715" i="1"/>
  <c r="AG715" i="1" s="1"/>
  <c r="AF716" i="1"/>
  <c r="AG716" i="1" s="1"/>
  <c r="AF717" i="1"/>
  <c r="AG717" i="1" s="1"/>
  <c r="AF718" i="1"/>
  <c r="AG718" i="1" s="1"/>
  <c r="AF719" i="1"/>
  <c r="AG719" i="1" s="1"/>
  <c r="AF720" i="1"/>
  <c r="AG720" i="1" s="1"/>
  <c r="AF721" i="1"/>
  <c r="AG721" i="1" s="1"/>
  <c r="AF722" i="1"/>
  <c r="AG722" i="1" s="1"/>
  <c r="AF723" i="1"/>
  <c r="AG723" i="1" s="1"/>
  <c r="AF724" i="1"/>
  <c r="AG724" i="1" s="1"/>
  <c r="AF725" i="1"/>
  <c r="AG725" i="1" s="1"/>
  <c r="AF726" i="1"/>
  <c r="AG726" i="1" s="1"/>
  <c r="AF727" i="1"/>
  <c r="AG727" i="1" s="1"/>
  <c r="AF728" i="1"/>
  <c r="AG728" i="1" s="1"/>
  <c r="AF729" i="1"/>
  <c r="AG729" i="1" s="1"/>
  <c r="AF730" i="1"/>
  <c r="AG730" i="1" s="1"/>
  <c r="AF731" i="1"/>
  <c r="AG731" i="1" s="1"/>
  <c r="AF732" i="1"/>
  <c r="AG732" i="1" s="1"/>
  <c r="AF733" i="1"/>
  <c r="AG733" i="1" s="1"/>
  <c r="AF734" i="1"/>
  <c r="AG734" i="1" s="1"/>
  <c r="AF735" i="1"/>
  <c r="AG735" i="1" s="1"/>
  <c r="AF736" i="1"/>
  <c r="AG736" i="1" s="1"/>
  <c r="AF737" i="1"/>
  <c r="AG737" i="1" s="1"/>
  <c r="AF738" i="1"/>
  <c r="AG738" i="1" s="1"/>
  <c r="AF739" i="1"/>
  <c r="AG739" i="1" s="1"/>
  <c r="AF740" i="1"/>
  <c r="AG740" i="1" s="1"/>
  <c r="AF741" i="1"/>
  <c r="AG741" i="1" s="1"/>
  <c r="AF742" i="1"/>
  <c r="AG742" i="1" s="1"/>
  <c r="AF743" i="1"/>
  <c r="AG743" i="1" s="1"/>
  <c r="AF744" i="1"/>
  <c r="AG744" i="1" s="1"/>
  <c r="AF745" i="1"/>
  <c r="AG745" i="1" s="1"/>
  <c r="AF746" i="1"/>
  <c r="AG746" i="1" s="1"/>
  <c r="AF747" i="1"/>
  <c r="AG747" i="1" s="1"/>
  <c r="AF748" i="1"/>
  <c r="AG748" i="1" s="1"/>
  <c r="AF749" i="1"/>
  <c r="AG749" i="1" s="1"/>
  <c r="AF750" i="1"/>
  <c r="AG750" i="1" s="1"/>
  <c r="AF751" i="1"/>
  <c r="AG751" i="1" s="1"/>
  <c r="AF752" i="1"/>
  <c r="AG752" i="1" s="1"/>
  <c r="AF753" i="1"/>
  <c r="AG753" i="1" s="1"/>
  <c r="AF754" i="1"/>
  <c r="AG754" i="1" s="1"/>
  <c r="AF755" i="1"/>
  <c r="AG755" i="1" s="1"/>
  <c r="AF756" i="1"/>
  <c r="AG756" i="1" s="1"/>
  <c r="AF757" i="1"/>
  <c r="AG757" i="1" s="1"/>
  <c r="AF758" i="1"/>
  <c r="AG758" i="1" s="1"/>
  <c r="AF759" i="1"/>
  <c r="AG759" i="1" s="1"/>
  <c r="AF760" i="1"/>
  <c r="AG760" i="1" s="1"/>
  <c r="AF761" i="1"/>
  <c r="AG761" i="1" s="1"/>
  <c r="AF762" i="1"/>
  <c r="AG762" i="1" s="1"/>
  <c r="AF763" i="1"/>
  <c r="AG763" i="1" s="1"/>
  <c r="AF764" i="1"/>
  <c r="AG764" i="1" s="1"/>
  <c r="AF765" i="1"/>
  <c r="AG765" i="1" s="1"/>
  <c r="AF766" i="1"/>
  <c r="AG766" i="1" s="1"/>
  <c r="AF767" i="1"/>
  <c r="AG767" i="1" s="1"/>
  <c r="AF768" i="1"/>
  <c r="AG768" i="1" s="1"/>
  <c r="AF769" i="1"/>
  <c r="AG769" i="1" s="1"/>
  <c r="AF770" i="1"/>
  <c r="AG770" i="1" s="1"/>
  <c r="AF771" i="1"/>
  <c r="AG771" i="1" s="1"/>
  <c r="AF772" i="1"/>
  <c r="AG772" i="1" s="1"/>
  <c r="AF773" i="1"/>
  <c r="AG773" i="1" s="1"/>
  <c r="AF774" i="1"/>
  <c r="AG774" i="1" s="1"/>
  <c r="AF775" i="1"/>
  <c r="AG775" i="1" s="1"/>
  <c r="AF776" i="1"/>
  <c r="AG776" i="1" s="1"/>
  <c r="AF777" i="1"/>
  <c r="AG777" i="1" s="1"/>
  <c r="AF778" i="1"/>
  <c r="AG778" i="1" s="1"/>
  <c r="AF779" i="1"/>
  <c r="AG779" i="1" s="1"/>
  <c r="AF780" i="1"/>
  <c r="AG780" i="1" s="1"/>
  <c r="AF781" i="1"/>
  <c r="AG781" i="1" s="1"/>
  <c r="AF782" i="1"/>
  <c r="AG782" i="1" s="1"/>
  <c r="AF783" i="1"/>
  <c r="AG783" i="1" s="1"/>
  <c r="AF784" i="1"/>
  <c r="AG784" i="1" s="1"/>
  <c r="AF785" i="1"/>
  <c r="AG785" i="1" s="1"/>
  <c r="AF786" i="1"/>
  <c r="AG786" i="1" s="1"/>
  <c r="AF787" i="1"/>
  <c r="AG787" i="1" s="1"/>
  <c r="AF788" i="1"/>
  <c r="AG788" i="1" s="1"/>
  <c r="AF789" i="1"/>
  <c r="AG789" i="1" s="1"/>
  <c r="AF790" i="1"/>
  <c r="AG790" i="1" s="1"/>
  <c r="AF791" i="1"/>
  <c r="AG791" i="1" s="1"/>
  <c r="AF792" i="1"/>
  <c r="AG792" i="1" s="1"/>
  <c r="AF793" i="1"/>
  <c r="AG793" i="1" s="1"/>
  <c r="AF794" i="1"/>
  <c r="AG794" i="1" s="1"/>
  <c r="AF795" i="1"/>
  <c r="AG795" i="1" s="1"/>
  <c r="AF796" i="1"/>
  <c r="AG796" i="1" s="1"/>
  <c r="AF797" i="1"/>
  <c r="AG797" i="1" s="1"/>
  <c r="AF798" i="1"/>
  <c r="AG798" i="1" s="1"/>
  <c r="AF799" i="1"/>
  <c r="AG799" i="1" s="1"/>
  <c r="AF800" i="1"/>
  <c r="AG800" i="1" s="1"/>
  <c r="AF801" i="1"/>
  <c r="AG801" i="1" s="1"/>
  <c r="AF802" i="1"/>
  <c r="AG802" i="1" s="1"/>
  <c r="AF803" i="1"/>
  <c r="AG803" i="1" s="1"/>
  <c r="AF804" i="1"/>
  <c r="AG804" i="1" s="1"/>
  <c r="AF805" i="1"/>
  <c r="AG805" i="1" s="1"/>
  <c r="AF806" i="1"/>
  <c r="AG806" i="1" s="1"/>
  <c r="AF807" i="1"/>
  <c r="AG807" i="1" s="1"/>
  <c r="AF808" i="1"/>
  <c r="AG808" i="1" s="1"/>
  <c r="AF809" i="1"/>
  <c r="AG809" i="1" s="1"/>
  <c r="AF810" i="1"/>
  <c r="AG810" i="1" s="1"/>
  <c r="AF811" i="1"/>
  <c r="AG811" i="1" s="1"/>
  <c r="AF812" i="1"/>
  <c r="AG812" i="1" s="1"/>
  <c r="AF813" i="1"/>
  <c r="AG813" i="1" s="1"/>
  <c r="AF814" i="1"/>
  <c r="AG814" i="1" s="1"/>
  <c r="AF815" i="1"/>
  <c r="AG815" i="1" s="1"/>
  <c r="AF816" i="1"/>
  <c r="AG816" i="1" s="1"/>
  <c r="AF817" i="1"/>
  <c r="AG817" i="1" s="1"/>
  <c r="AF818" i="1"/>
  <c r="AG818" i="1" s="1"/>
  <c r="AF819" i="1"/>
  <c r="AG819" i="1" s="1"/>
  <c r="AF820" i="1"/>
  <c r="AG820" i="1" s="1"/>
  <c r="AF821" i="1"/>
  <c r="AG821" i="1" s="1"/>
  <c r="AF822" i="1"/>
  <c r="AG822" i="1" s="1"/>
  <c r="AF823" i="1"/>
  <c r="AG823" i="1" s="1"/>
  <c r="AF824" i="1"/>
  <c r="AG824" i="1" s="1"/>
  <c r="AF825" i="1"/>
  <c r="AG825" i="1" s="1"/>
  <c r="AF826" i="1"/>
  <c r="AG826" i="1" s="1"/>
  <c r="AF827" i="1"/>
  <c r="AG827" i="1" s="1"/>
  <c r="AF828" i="1"/>
  <c r="AG828" i="1" s="1"/>
  <c r="AF829" i="1"/>
  <c r="AG829" i="1" s="1"/>
  <c r="AF830" i="1"/>
  <c r="AG830" i="1" s="1"/>
  <c r="AF831" i="1"/>
  <c r="AG831" i="1" s="1"/>
  <c r="AF832" i="1"/>
  <c r="AG832" i="1" s="1"/>
  <c r="AF833" i="1"/>
  <c r="AG833" i="1" s="1"/>
  <c r="AF834" i="1"/>
  <c r="AG834" i="1" s="1"/>
  <c r="AF835" i="1"/>
  <c r="AG835" i="1" s="1"/>
  <c r="AF836" i="1"/>
  <c r="AG836" i="1" s="1"/>
  <c r="AF837" i="1"/>
  <c r="AG837" i="1" s="1"/>
  <c r="AF838" i="1"/>
  <c r="AG838" i="1" s="1"/>
  <c r="AF839" i="1"/>
  <c r="AG839" i="1" s="1"/>
  <c r="AF840" i="1"/>
  <c r="AG840" i="1" s="1"/>
  <c r="AF841" i="1"/>
  <c r="AG841" i="1" s="1"/>
  <c r="AF842" i="1"/>
  <c r="AG842" i="1" s="1"/>
  <c r="AF843" i="1"/>
  <c r="AG843" i="1" s="1"/>
  <c r="AF844" i="1"/>
  <c r="AG844" i="1" s="1"/>
  <c r="AF845" i="1"/>
  <c r="AG845" i="1" s="1"/>
  <c r="AF846" i="1"/>
  <c r="AG846" i="1" s="1"/>
  <c r="AF847" i="1"/>
  <c r="AG847" i="1" s="1"/>
  <c r="AF848" i="1"/>
  <c r="AG848" i="1" s="1"/>
  <c r="AF849" i="1"/>
  <c r="AG849" i="1" s="1"/>
  <c r="AF850" i="1"/>
  <c r="AG850" i="1" s="1"/>
  <c r="AF851" i="1"/>
  <c r="AG851" i="1" s="1"/>
  <c r="AF852" i="1"/>
  <c r="AG852" i="1" s="1"/>
  <c r="AF853" i="1"/>
  <c r="AG853" i="1" s="1"/>
  <c r="AF854" i="1"/>
  <c r="AG854" i="1" s="1"/>
  <c r="AF855" i="1"/>
  <c r="AG855" i="1" s="1"/>
  <c r="AF856" i="1"/>
  <c r="AG856" i="1" s="1"/>
  <c r="AF857" i="1"/>
  <c r="AG857" i="1" s="1"/>
  <c r="AF858" i="1"/>
  <c r="AG858" i="1" s="1"/>
  <c r="AF859" i="1"/>
  <c r="AG859" i="1" s="1"/>
  <c r="AF860" i="1"/>
  <c r="AG860" i="1" s="1"/>
  <c r="AF861" i="1"/>
  <c r="AG861" i="1" s="1"/>
  <c r="AF862" i="1"/>
  <c r="AG862" i="1" s="1"/>
  <c r="AF863" i="1"/>
  <c r="AG863" i="1" s="1"/>
  <c r="AF864" i="1"/>
  <c r="AG864" i="1" s="1"/>
  <c r="AF865" i="1"/>
  <c r="AG865" i="1" s="1"/>
  <c r="AF866" i="1"/>
  <c r="AG866" i="1" s="1"/>
  <c r="AF867" i="1"/>
  <c r="AG867" i="1" s="1"/>
  <c r="AF868" i="1"/>
  <c r="AG868" i="1" s="1"/>
  <c r="AF869" i="1"/>
  <c r="AG869" i="1" s="1"/>
  <c r="AF870" i="1"/>
  <c r="AG870" i="1" s="1"/>
  <c r="AF871" i="1"/>
  <c r="AG871" i="1" s="1"/>
  <c r="AF872" i="1"/>
  <c r="AG872" i="1" s="1"/>
  <c r="AF873" i="1"/>
  <c r="AG873" i="1" s="1"/>
  <c r="AF874" i="1"/>
  <c r="AG874" i="1" s="1"/>
  <c r="AF875" i="1"/>
  <c r="AG875" i="1" s="1"/>
  <c r="AF876" i="1"/>
  <c r="AG876" i="1" s="1"/>
  <c r="AF877" i="1"/>
  <c r="AG877" i="1" s="1"/>
  <c r="AF878" i="1"/>
  <c r="AG878" i="1" s="1"/>
  <c r="AF879" i="1"/>
  <c r="AG879" i="1" s="1"/>
  <c r="AF880" i="1"/>
  <c r="AG880" i="1" s="1"/>
  <c r="AF881" i="1"/>
  <c r="AG881" i="1" s="1"/>
  <c r="AF882" i="1"/>
  <c r="AG882" i="1" s="1"/>
  <c r="AF883" i="1"/>
  <c r="AG883" i="1" s="1"/>
  <c r="AF884" i="1"/>
  <c r="AG884" i="1" s="1"/>
  <c r="AF885" i="1"/>
  <c r="AG885" i="1" s="1"/>
  <c r="AF886" i="1"/>
  <c r="AG886" i="1" s="1"/>
  <c r="AF887" i="1"/>
  <c r="AG887" i="1" s="1"/>
  <c r="AF888" i="1"/>
  <c r="AG888" i="1" s="1"/>
  <c r="AF889" i="1"/>
  <c r="AG889" i="1" s="1"/>
  <c r="AF890" i="1"/>
  <c r="AG890" i="1" s="1"/>
  <c r="AF891" i="1"/>
  <c r="AG891" i="1" s="1"/>
  <c r="AF892" i="1"/>
  <c r="AG892" i="1" s="1"/>
  <c r="AF893" i="1"/>
  <c r="AG893" i="1" s="1"/>
  <c r="AF894" i="1"/>
  <c r="AG894" i="1" s="1"/>
  <c r="AF895" i="1"/>
  <c r="AG895" i="1" s="1"/>
  <c r="AF896" i="1"/>
  <c r="AG896" i="1" s="1"/>
  <c r="AF897" i="1"/>
  <c r="AG897" i="1" s="1"/>
  <c r="AF898" i="1"/>
  <c r="AG898" i="1" s="1"/>
  <c r="AF899" i="1"/>
  <c r="AG899" i="1" s="1"/>
  <c r="AF900" i="1"/>
  <c r="AG900" i="1" s="1"/>
  <c r="AF901" i="1"/>
  <c r="AG901" i="1" s="1"/>
  <c r="AF902" i="1"/>
  <c r="AG902" i="1" s="1"/>
  <c r="AF903" i="1"/>
  <c r="AG903" i="1" s="1"/>
  <c r="AF904" i="1"/>
  <c r="AG904" i="1" s="1"/>
  <c r="AF905" i="1"/>
  <c r="AG905" i="1" s="1"/>
  <c r="AF906" i="1"/>
  <c r="AG906" i="1" s="1"/>
  <c r="AF907" i="1"/>
  <c r="AG907" i="1" s="1"/>
  <c r="AF908" i="1"/>
  <c r="AG908" i="1" s="1"/>
  <c r="AF909" i="1"/>
  <c r="AG909" i="1" s="1"/>
  <c r="AF910" i="1"/>
  <c r="AG910" i="1" s="1"/>
  <c r="AF911" i="1"/>
  <c r="AG911" i="1" s="1"/>
  <c r="AF912" i="1"/>
  <c r="AG912" i="1" s="1"/>
  <c r="AF913" i="1"/>
  <c r="AG913" i="1" s="1"/>
  <c r="AF914" i="1"/>
  <c r="AG914" i="1" s="1"/>
  <c r="AF915" i="1"/>
  <c r="AG915" i="1" s="1"/>
  <c r="AF916" i="1"/>
  <c r="AG916" i="1" s="1"/>
  <c r="AF917" i="1"/>
  <c r="AG917" i="1" s="1"/>
  <c r="AF918" i="1"/>
  <c r="AG918" i="1" s="1"/>
  <c r="AF919" i="1"/>
  <c r="AG919" i="1" s="1"/>
  <c r="AF920" i="1"/>
  <c r="AG920" i="1" s="1"/>
  <c r="AF921" i="1"/>
  <c r="AG921" i="1" s="1"/>
  <c r="AF922" i="1"/>
  <c r="AG922" i="1" s="1"/>
  <c r="AF923" i="1"/>
  <c r="AG923" i="1" s="1"/>
  <c r="AF924" i="1"/>
  <c r="AG924" i="1" s="1"/>
  <c r="AF925" i="1"/>
  <c r="AG925" i="1" s="1"/>
  <c r="AF926" i="1"/>
  <c r="AG926" i="1" s="1"/>
  <c r="AF927" i="1"/>
  <c r="AG927" i="1" s="1"/>
  <c r="AF928" i="1"/>
  <c r="AG928" i="1" s="1"/>
  <c r="AF929" i="1"/>
  <c r="AG929" i="1" s="1"/>
  <c r="AF930" i="1"/>
  <c r="AG930" i="1" s="1"/>
  <c r="AF931" i="1"/>
  <c r="AG931" i="1" s="1"/>
  <c r="AF932" i="1"/>
  <c r="AG932" i="1" s="1"/>
  <c r="AF933" i="1"/>
  <c r="AG933" i="1" s="1"/>
  <c r="AF934" i="1"/>
  <c r="AG934" i="1" s="1"/>
  <c r="AF935" i="1"/>
  <c r="AG935" i="1" s="1"/>
  <c r="AF936" i="1"/>
  <c r="AG936" i="1" s="1"/>
  <c r="AF937" i="1"/>
  <c r="AG937" i="1" s="1"/>
  <c r="AF938" i="1"/>
  <c r="AG938" i="1" s="1"/>
  <c r="AF939" i="1"/>
  <c r="AG939" i="1" s="1"/>
  <c r="AF940" i="1"/>
  <c r="AG940" i="1" s="1"/>
  <c r="AF941" i="1"/>
  <c r="AG941" i="1" s="1"/>
  <c r="AF942" i="1"/>
  <c r="AG942" i="1" s="1"/>
  <c r="AF943" i="1"/>
  <c r="AG943" i="1" s="1"/>
  <c r="AF944" i="1"/>
  <c r="AG944" i="1" s="1"/>
  <c r="AF945" i="1"/>
  <c r="AG945" i="1" s="1"/>
  <c r="AF946" i="1"/>
  <c r="AG946" i="1" s="1"/>
  <c r="AF947" i="1"/>
  <c r="AG947" i="1" s="1"/>
  <c r="AF948" i="1"/>
  <c r="AG948" i="1" s="1"/>
  <c r="AF949" i="1"/>
  <c r="AG949" i="1" s="1"/>
  <c r="AF950" i="1"/>
  <c r="AG950" i="1" s="1"/>
  <c r="AF951" i="1"/>
  <c r="AG951" i="1" s="1"/>
  <c r="AF952" i="1"/>
  <c r="AG952" i="1" s="1"/>
  <c r="AF953" i="1"/>
  <c r="AG953" i="1" s="1"/>
  <c r="AF954" i="1"/>
  <c r="AG954" i="1" s="1"/>
  <c r="AF955" i="1"/>
  <c r="AG955" i="1" s="1"/>
  <c r="AF956" i="1"/>
  <c r="AG956" i="1" s="1"/>
  <c r="AF957" i="1"/>
  <c r="AG957" i="1" s="1"/>
  <c r="AF958" i="1"/>
  <c r="AG958" i="1" s="1"/>
  <c r="AF959" i="1"/>
  <c r="AG959" i="1" s="1"/>
  <c r="AF960" i="1"/>
  <c r="AG960" i="1" s="1"/>
  <c r="AF961" i="1"/>
  <c r="AG961" i="1" s="1"/>
  <c r="AF962" i="1"/>
  <c r="AG962" i="1" s="1"/>
  <c r="AF963" i="1"/>
  <c r="AG963" i="1" s="1"/>
  <c r="AF964" i="1"/>
  <c r="AG964" i="1" s="1"/>
  <c r="AF965" i="1"/>
  <c r="AG965" i="1" s="1"/>
  <c r="AF966" i="1"/>
  <c r="AG966" i="1" s="1"/>
  <c r="AF967" i="1"/>
  <c r="AG967" i="1" s="1"/>
  <c r="AF968" i="1"/>
  <c r="AG968" i="1" s="1"/>
  <c r="AF969" i="1"/>
  <c r="AG969" i="1" s="1"/>
  <c r="AF970" i="1"/>
  <c r="AG970" i="1" s="1"/>
  <c r="AF971" i="1"/>
  <c r="AG971" i="1" s="1"/>
  <c r="AF972" i="1"/>
  <c r="AG972" i="1" s="1"/>
  <c r="AF973" i="1"/>
  <c r="AG973" i="1" s="1"/>
  <c r="AF974" i="1"/>
  <c r="AG974" i="1" s="1"/>
  <c r="AF975" i="1"/>
  <c r="AG975" i="1" s="1"/>
  <c r="AF976" i="1"/>
  <c r="AG976" i="1" s="1"/>
  <c r="AF977" i="1"/>
  <c r="AG977" i="1" s="1"/>
  <c r="AF978" i="1"/>
  <c r="AG978" i="1" s="1"/>
  <c r="AF979" i="1"/>
  <c r="AG979" i="1" s="1"/>
  <c r="AF980" i="1"/>
  <c r="AG980" i="1" s="1"/>
  <c r="AF981" i="1"/>
  <c r="AG981" i="1" s="1"/>
  <c r="AF982" i="1"/>
  <c r="AG982" i="1" s="1"/>
  <c r="AF983" i="1"/>
  <c r="AG983" i="1" s="1"/>
  <c r="AF984" i="1"/>
  <c r="AG984" i="1" s="1"/>
  <c r="AF985" i="1"/>
  <c r="AG985" i="1" s="1"/>
  <c r="AF986" i="1"/>
  <c r="AG986" i="1" s="1"/>
  <c r="AF987" i="1"/>
  <c r="AG987" i="1" s="1"/>
  <c r="AF988" i="1"/>
  <c r="AG988" i="1" s="1"/>
  <c r="AF989" i="1"/>
  <c r="AG989" i="1" s="1"/>
  <c r="AF990" i="1"/>
  <c r="AG990" i="1" s="1"/>
  <c r="AF991" i="1"/>
  <c r="AG991" i="1" s="1"/>
  <c r="AF992" i="1"/>
  <c r="AG992" i="1" s="1"/>
  <c r="AF993" i="1"/>
  <c r="AG993" i="1" s="1"/>
  <c r="AF994" i="1"/>
  <c r="AG994" i="1" s="1"/>
  <c r="AF995" i="1"/>
  <c r="AG995" i="1" s="1"/>
  <c r="AF996" i="1"/>
  <c r="AG996" i="1" s="1"/>
  <c r="AF997" i="1"/>
  <c r="AG997" i="1" s="1"/>
  <c r="AF998" i="1"/>
  <c r="AG998" i="1" s="1"/>
  <c r="AF999" i="1"/>
  <c r="AG999" i="1" s="1"/>
  <c r="AF1000" i="1"/>
  <c r="AG1000" i="1" s="1"/>
  <c r="AF1001" i="1"/>
  <c r="AG1001" i="1" s="1"/>
  <c r="AF1002" i="1"/>
  <c r="AG1002" i="1" s="1"/>
  <c r="AF1003" i="1"/>
  <c r="AG1003" i="1" s="1"/>
  <c r="AF1004" i="1"/>
  <c r="AG1004" i="1" s="1"/>
  <c r="AF1005" i="1"/>
  <c r="AG1005" i="1" s="1"/>
  <c r="AF1006" i="1"/>
  <c r="AG1006" i="1" s="1"/>
  <c r="AF1007" i="1"/>
  <c r="AG1007" i="1" s="1"/>
  <c r="AF1008" i="1"/>
  <c r="AG1008" i="1" s="1"/>
  <c r="AF1009" i="1"/>
  <c r="AG1009" i="1" s="1"/>
  <c r="AF1010" i="1"/>
  <c r="AG1010" i="1" s="1"/>
  <c r="AF1011" i="1"/>
  <c r="AG1011" i="1" s="1"/>
  <c r="AF1012" i="1"/>
  <c r="AG1012" i="1" s="1"/>
  <c r="AF1013" i="1"/>
  <c r="AG1013" i="1" s="1"/>
  <c r="AF1014" i="1"/>
  <c r="AG1014" i="1" s="1"/>
  <c r="S1015" i="1"/>
  <c r="T1015" i="1" s="1"/>
  <c r="S1016" i="1"/>
  <c r="T1016" i="1" s="1"/>
  <c r="AF1016" i="1"/>
  <c r="AG1016" i="1" s="1"/>
  <c r="AF1017" i="1"/>
  <c r="AG1017" i="1" s="1"/>
  <c r="AF1018" i="1"/>
  <c r="AG1018" i="1" s="1"/>
  <c r="AF1019" i="1"/>
  <c r="AG1019" i="1" s="1"/>
  <c r="AF1020" i="1"/>
  <c r="AG1020" i="1" s="1"/>
  <c r="AF1021" i="1"/>
  <c r="AG1021" i="1" s="1"/>
  <c r="AF1022" i="1"/>
  <c r="AG1022" i="1" s="1"/>
  <c r="AF1023" i="1"/>
  <c r="AG1023" i="1" s="1"/>
  <c r="AF1024" i="1"/>
  <c r="AG1024" i="1" s="1"/>
  <c r="AF1025" i="1"/>
  <c r="AG1025" i="1" s="1"/>
  <c r="AF1026" i="1"/>
  <c r="AG1026" i="1" s="1"/>
  <c r="AF1027" i="1"/>
  <c r="AG1027" i="1" s="1"/>
  <c r="AF1028" i="1"/>
  <c r="AG1028" i="1" s="1"/>
  <c r="AF1029" i="1"/>
  <c r="AG1029" i="1" s="1"/>
  <c r="AF1030" i="1"/>
  <c r="AG1030" i="1" s="1"/>
  <c r="AF1031" i="1"/>
  <c r="AG1031" i="1" s="1"/>
  <c r="AF1032" i="1"/>
  <c r="AG1032" i="1" s="1"/>
  <c r="AF1033" i="1"/>
  <c r="AG1033" i="1" s="1"/>
  <c r="AF1034" i="1"/>
  <c r="AG1034" i="1" s="1"/>
  <c r="AF1035" i="1"/>
  <c r="AG1035" i="1" s="1"/>
  <c r="AF1036" i="1"/>
  <c r="AG1036" i="1" s="1"/>
  <c r="AF1037" i="1"/>
  <c r="AG1037" i="1" s="1"/>
  <c r="AF1038" i="1"/>
  <c r="AG1038" i="1" s="1"/>
  <c r="AF1039" i="1"/>
  <c r="AG1039" i="1" s="1"/>
  <c r="AF1040" i="1"/>
  <c r="AG1040" i="1" s="1"/>
  <c r="AF1041" i="1"/>
  <c r="AG1041" i="1" s="1"/>
  <c r="AF1042" i="1"/>
  <c r="AG1042" i="1" s="1"/>
  <c r="AF1043" i="1"/>
  <c r="AG1043" i="1" s="1"/>
  <c r="AF1044" i="1"/>
  <c r="AG1044" i="1" s="1"/>
  <c r="AF1045" i="1"/>
  <c r="AG1045" i="1" s="1"/>
  <c r="AF1046" i="1"/>
  <c r="AG1046" i="1" s="1"/>
  <c r="AF1047" i="1"/>
  <c r="AG1047" i="1" s="1"/>
  <c r="AF1048" i="1"/>
  <c r="AG1048" i="1" s="1"/>
  <c r="AF1049" i="1"/>
  <c r="AG1049" i="1" s="1"/>
  <c r="AF1050" i="1"/>
  <c r="AG1050" i="1" s="1"/>
  <c r="AF1051" i="1"/>
  <c r="AG1051" i="1" s="1"/>
  <c r="AF1052" i="1"/>
  <c r="AG1052" i="1" s="1"/>
  <c r="AF1053" i="1"/>
  <c r="AG1053" i="1" s="1"/>
  <c r="AF1054" i="1"/>
  <c r="AG1054" i="1" s="1"/>
  <c r="AF1055" i="1"/>
  <c r="AG1055" i="1" s="1"/>
  <c r="AF1056" i="1"/>
  <c r="AG1056" i="1" s="1"/>
  <c r="AF1057" i="1"/>
  <c r="AG1057" i="1" s="1"/>
  <c r="AF1058" i="1"/>
  <c r="AG1058" i="1" s="1"/>
  <c r="AF1059" i="1"/>
  <c r="AG1059" i="1" s="1"/>
  <c r="AF1060" i="1"/>
  <c r="AG1060" i="1" s="1"/>
  <c r="AF1061" i="1"/>
  <c r="AG1061" i="1" s="1"/>
  <c r="AF1062" i="1"/>
  <c r="AG1062" i="1" s="1"/>
  <c r="AF1063" i="1"/>
  <c r="AG1063" i="1" s="1"/>
  <c r="AF1064" i="1"/>
  <c r="AG1064" i="1" s="1"/>
  <c r="AF1065" i="1"/>
  <c r="AG1065" i="1" s="1"/>
  <c r="AF1066" i="1"/>
  <c r="AG1066" i="1" s="1"/>
  <c r="AF1067" i="1"/>
  <c r="AG1067" i="1" s="1"/>
  <c r="AF1068" i="1"/>
  <c r="AG1068" i="1" s="1"/>
  <c r="AF1069" i="1"/>
  <c r="AG1069" i="1" s="1"/>
  <c r="AF1070" i="1"/>
  <c r="AG1070" i="1" s="1"/>
  <c r="AF1071" i="1"/>
  <c r="AG1071" i="1" s="1"/>
  <c r="AF1072" i="1"/>
  <c r="AG1072" i="1" s="1"/>
  <c r="AF1073" i="1"/>
  <c r="AG1073" i="1" s="1"/>
  <c r="AF1074" i="1"/>
  <c r="AG1074" i="1" s="1"/>
  <c r="AF1075" i="1"/>
  <c r="AG1075" i="1" s="1"/>
  <c r="AF1076" i="1"/>
  <c r="AG1076" i="1" s="1"/>
  <c r="AF1077" i="1"/>
  <c r="AG1077" i="1" s="1"/>
  <c r="AF1078" i="1"/>
  <c r="AG1078" i="1" s="1"/>
  <c r="AF1079" i="1"/>
  <c r="AG1079" i="1" s="1"/>
  <c r="AF1080" i="1"/>
  <c r="AG1080" i="1" s="1"/>
  <c r="AF1081" i="1"/>
  <c r="AG1081" i="1" s="1"/>
  <c r="AF1082" i="1"/>
  <c r="AG1082" i="1" s="1"/>
  <c r="AF1083" i="1"/>
  <c r="AG1083" i="1" s="1"/>
  <c r="AF1084" i="1"/>
  <c r="AG1084" i="1" s="1"/>
  <c r="AF1085" i="1"/>
  <c r="AG1085" i="1" s="1"/>
  <c r="AF1086" i="1"/>
  <c r="AG1086" i="1" s="1"/>
  <c r="AF1087" i="1"/>
  <c r="AG1087" i="1" s="1"/>
  <c r="AF1088" i="1"/>
  <c r="AG1088" i="1" s="1"/>
  <c r="AF1089" i="1"/>
  <c r="AG1089" i="1" s="1"/>
  <c r="AF1090" i="1"/>
  <c r="AG1090" i="1" s="1"/>
  <c r="AF1091" i="1"/>
  <c r="AG1091" i="1" s="1"/>
  <c r="AF1092" i="1"/>
  <c r="AG1092" i="1" s="1"/>
  <c r="AF1093" i="1"/>
  <c r="AG1093" i="1" s="1"/>
  <c r="AF1094" i="1"/>
  <c r="AG1094" i="1" s="1"/>
  <c r="AF1095" i="1"/>
  <c r="AG1095" i="1" s="1"/>
  <c r="AF1096" i="1"/>
  <c r="AG1096" i="1" s="1"/>
  <c r="AF1097" i="1"/>
  <c r="AG1097" i="1" s="1"/>
  <c r="AF1098" i="1"/>
  <c r="AG1098" i="1" s="1"/>
  <c r="AF1099" i="1"/>
  <c r="AG1099" i="1" s="1"/>
  <c r="AF1100" i="1"/>
  <c r="AG1100" i="1" s="1"/>
  <c r="AF1101" i="1"/>
  <c r="AG1101" i="1" s="1"/>
  <c r="AF1102" i="1"/>
  <c r="AG1102" i="1" s="1"/>
  <c r="S1103" i="1"/>
  <c r="AF1104" i="1"/>
  <c r="AG1104" i="1"/>
  <c r="AF1105" i="1"/>
  <c r="AG1105" i="1"/>
  <c r="AF1106" i="1"/>
  <c r="AG1106" i="1"/>
  <c r="AF1107" i="1"/>
  <c r="AG1107" i="1"/>
  <c r="AF1108" i="1"/>
  <c r="AG1108" i="1"/>
  <c r="AF1109" i="1"/>
  <c r="AG1109" i="1"/>
  <c r="AF1110" i="1"/>
  <c r="AG1110" i="1"/>
  <c r="AF1111" i="1"/>
  <c r="AG1111" i="1"/>
  <c r="AF1112" i="1"/>
  <c r="AG1112" i="1"/>
  <c r="AF1113" i="1"/>
  <c r="AG1113" i="1"/>
  <c r="AF1114" i="1"/>
  <c r="AG1114" i="1"/>
  <c r="AF1115" i="1"/>
  <c r="AG1115" i="1"/>
  <c r="AF1116" i="1"/>
  <c r="AG1116" i="1"/>
  <c r="AF1117" i="1"/>
  <c r="AG1117" i="1"/>
  <c r="AF1118" i="1"/>
  <c r="AG1118" i="1"/>
  <c r="AF1119" i="1"/>
  <c r="AG1119" i="1"/>
  <c r="AF1120" i="1"/>
  <c r="AG1120" i="1"/>
  <c r="AF1121" i="1"/>
  <c r="AG1121" i="1"/>
  <c r="AF1122" i="1"/>
  <c r="AG1122" i="1"/>
  <c r="S1123" i="1"/>
  <c r="T1123" i="1" s="1"/>
  <c r="AF1123" i="1"/>
  <c r="AG1123" i="1" s="1"/>
  <c r="AF1124" i="1"/>
  <c r="AG1124" i="1" s="1"/>
  <c r="AF1125" i="1"/>
  <c r="AG1125" i="1" s="1"/>
  <c r="AF1126" i="1"/>
  <c r="AG1126" i="1" s="1"/>
  <c r="AF1127" i="1"/>
  <c r="AG1127" i="1" s="1"/>
  <c r="AF1128" i="1"/>
  <c r="AG1128" i="1" s="1"/>
  <c r="AF1129" i="1"/>
  <c r="AG1129" i="1" s="1"/>
  <c r="AF1130" i="1"/>
  <c r="AG1130" i="1" s="1"/>
  <c r="AF1131" i="1"/>
  <c r="AG1131" i="1" s="1"/>
  <c r="AF1132" i="1"/>
  <c r="AG1132" i="1" s="1"/>
  <c r="AF1133" i="1"/>
  <c r="AG1133" i="1" s="1"/>
  <c r="AF1134" i="1"/>
  <c r="AG1134" i="1" s="1"/>
  <c r="AF1135" i="1"/>
  <c r="AG1135" i="1" s="1"/>
  <c r="AF1136" i="1"/>
  <c r="AG1136" i="1" s="1"/>
  <c r="AF1137" i="1"/>
  <c r="AG1137" i="1" s="1"/>
  <c r="AF1138" i="1"/>
  <c r="AG1138" i="1" s="1"/>
  <c r="S1139" i="1"/>
  <c r="AF1140" i="1"/>
  <c r="AG1140" i="1"/>
  <c r="AF1141" i="1"/>
  <c r="AG1141" i="1"/>
  <c r="AF1142" i="1"/>
  <c r="AG1142" i="1"/>
  <c r="AF1143" i="1"/>
  <c r="AG1143" i="1"/>
  <c r="AF1144" i="1"/>
  <c r="AG1144" i="1"/>
  <c r="AF1145" i="1"/>
  <c r="AG1145" i="1"/>
  <c r="AF1146" i="1"/>
  <c r="AG1146" i="1"/>
  <c r="AF1147" i="1"/>
  <c r="AG1147" i="1"/>
  <c r="AF1148" i="1"/>
  <c r="AG1148" i="1"/>
  <c r="AF1149" i="1"/>
  <c r="AG1149" i="1"/>
  <c r="AF1150" i="1"/>
  <c r="AG1150" i="1"/>
  <c r="AF1151" i="1"/>
  <c r="AG1151" i="1"/>
  <c r="AF1152" i="1"/>
  <c r="AG1152" i="1"/>
  <c r="AF1153" i="1"/>
  <c r="AG1153" i="1"/>
  <c r="S1154" i="1"/>
  <c r="T1154" i="1" s="1"/>
  <c r="AF1154" i="1"/>
  <c r="AG1154" i="1" s="1"/>
  <c r="AF1155" i="1"/>
  <c r="AG1155" i="1" s="1"/>
  <c r="AF1156" i="1"/>
  <c r="AG1156" i="1" s="1"/>
  <c r="AF1157" i="1"/>
  <c r="AG1157" i="1" s="1"/>
  <c r="AF1158" i="1"/>
  <c r="AG1158" i="1" s="1"/>
  <c r="AF1159" i="1"/>
  <c r="AG1159" i="1" s="1"/>
  <c r="AF1160" i="1"/>
  <c r="AG1160" i="1" s="1"/>
  <c r="AF1161" i="1"/>
  <c r="AG1161" i="1" s="1"/>
  <c r="AF1162" i="1"/>
  <c r="AG1162" i="1" s="1"/>
  <c r="AF1163" i="1"/>
  <c r="AG1163" i="1" s="1"/>
  <c r="AF1164" i="1"/>
  <c r="AG1164" i="1" s="1"/>
  <c r="AF1165" i="1"/>
  <c r="AG1165" i="1" s="1"/>
  <c r="AF1166" i="1"/>
  <c r="AG1166" i="1" s="1"/>
  <c r="AF1167" i="1"/>
  <c r="AG1167" i="1" s="1"/>
  <c r="AF1168" i="1"/>
  <c r="AG1168" i="1" s="1"/>
  <c r="AF1169" i="1"/>
  <c r="AG1169" i="1" s="1"/>
  <c r="AF1170" i="1"/>
  <c r="AG1170" i="1" s="1"/>
  <c r="AF1171" i="1"/>
  <c r="AG1171" i="1" s="1"/>
  <c r="AF1172" i="1"/>
  <c r="AG1172" i="1" s="1"/>
  <c r="S1173" i="1"/>
  <c r="AF1174" i="1"/>
  <c r="AG1174" i="1"/>
  <c r="AF1175" i="1"/>
  <c r="AG1175" i="1"/>
  <c r="AF1176" i="1"/>
  <c r="AG1176" i="1"/>
  <c r="AF1177" i="1"/>
  <c r="AG1177" i="1"/>
  <c r="AF1178" i="1"/>
  <c r="AG1178" i="1"/>
  <c r="AF1179" i="1"/>
  <c r="AG1179" i="1"/>
  <c r="AF1180" i="1"/>
  <c r="AG1180" i="1"/>
  <c r="AF1181" i="1"/>
  <c r="AG1181" i="1"/>
  <c r="AF1182" i="1"/>
  <c r="AG1182" i="1"/>
  <c r="AF1183" i="1"/>
  <c r="AG1183" i="1"/>
  <c r="AF1184" i="1"/>
  <c r="AG1184" i="1"/>
  <c r="AF1185" i="1"/>
  <c r="AG1185" i="1"/>
  <c r="AF1186" i="1"/>
  <c r="AG1186" i="1"/>
  <c r="AF1187" i="1"/>
  <c r="AG1187" i="1"/>
  <c r="AF1188" i="1"/>
  <c r="AG1188" i="1"/>
  <c r="AF1189" i="1"/>
  <c r="AG1189" i="1"/>
  <c r="AF1190" i="1"/>
  <c r="AG1190" i="1"/>
  <c r="AF1191" i="1"/>
  <c r="AG1191" i="1"/>
  <c r="AF1192" i="1"/>
  <c r="AG1192" i="1"/>
  <c r="AF1193" i="1"/>
  <c r="AG1193" i="1"/>
  <c r="AF1194" i="1"/>
  <c r="AG1194" i="1"/>
  <c r="AF1195" i="1"/>
  <c r="AG1195" i="1"/>
  <c r="AF1196" i="1"/>
  <c r="AG1196" i="1"/>
  <c r="AF1197" i="1"/>
  <c r="AG1197" i="1"/>
  <c r="AF1198" i="1"/>
  <c r="AG1198" i="1"/>
  <c r="AF1199" i="1"/>
  <c r="AG1199" i="1"/>
  <c r="AF1200" i="1"/>
  <c r="AG1200" i="1"/>
  <c r="AF1201" i="1"/>
  <c r="AG1201" i="1"/>
  <c r="AF1202" i="1"/>
  <c r="AG1202" i="1"/>
  <c r="AF1203" i="1"/>
  <c r="AG1203" i="1"/>
  <c r="AF1204" i="1"/>
  <c r="AG1204" i="1"/>
  <c r="AF1205" i="1"/>
  <c r="AG1205" i="1"/>
  <c r="AF1206" i="1"/>
  <c r="AG1206" i="1"/>
  <c r="AF1207" i="1"/>
  <c r="AG1207" i="1"/>
  <c r="AF1208" i="1"/>
  <c r="AG1208" i="1"/>
  <c r="AF1209" i="1"/>
  <c r="AG1209" i="1"/>
  <c r="AF1210" i="1"/>
  <c r="AG1210" i="1"/>
  <c r="AF1211" i="1"/>
  <c r="AG1211" i="1"/>
  <c r="AF1212" i="1"/>
  <c r="AG1212" i="1"/>
  <c r="AF1213" i="1"/>
  <c r="AG1213" i="1"/>
  <c r="AF1214" i="1"/>
  <c r="AG1214" i="1"/>
  <c r="AF1215" i="1"/>
  <c r="AG1215" i="1"/>
  <c r="AF1216" i="1"/>
  <c r="AG1216" i="1"/>
  <c r="AF1217" i="1"/>
  <c r="AG1217" i="1"/>
  <c r="AF1218" i="1"/>
  <c r="AG1218" i="1"/>
  <c r="AF1219" i="1"/>
  <c r="AG1219" i="1"/>
  <c r="AF1220" i="1"/>
  <c r="AG1220" i="1"/>
  <c r="AF1221" i="1"/>
  <c r="AG1221" i="1"/>
  <c r="AF1222" i="1"/>
  <c r="AG1222" i="1"/>
  <c r="AF1223" i="1"/>
  <c r="AG1223" i="1"/>
  <c r="AF1224" i="1"/>
  <c r="AG1224" i="1"/>
  <c r="AF1225" i="1"/>
  <c r="AG1225" i="1"/>
  <c r="AF1226" i="1"/>
  <c r="AG1226" i="1"/>
  <c r="AF1227" i="1"/>
  <c r="AG1227" i="1"/>
  <c r="AF1228" i="1"/>
  <c r="AG1228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5" i="1"/>
  <c r="AG1235" i="1"/>
  <c r="AF1236" i="1"/>
  <c r="AG1236" i="1"/>
  <c r="AF1237" i="1"/>
  <c r="AG1237" i="1"/>
  <c r="AF1238" i="1"/>
  <c r="AG1238" i="1"/>
  <c r="AF1239" i="1"/>
  <c r="AG1239" i="1"/>
  <c r="AF1240" i="1"/>
  <c r="AG1240" i="1"/>
  <c r="AF1241" i="1"/>
  <c r="AG1241" i="1"/>
  <c r="AF1242" i="1"/>
  <c r="AG1242" i="1"/>
  <c r="AF1243" i="1"/>
  <c r="AG1243" i="1"/>
  <c r="AF1244" i="1"/>
  <c r="AG1244" i="1"/>
  <c r="AF1245" i="1"/>
  <c r="AG1245" i="1"/>
  <c r="AF1246" i="1"/>
  <c r="AG1246" i="1"/>
  <c r="AF1247" i="1"/>
  <c r="AG1247" i="1"/>
  <c r="AF1248" i="1"/>
  <c r="AG1248" i="1"/>
  <c r="AC8" i="1"/>
  <c r="AC11" i="1"/>
  <c r="AC12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W50" i="1"/>
  <c r="Z50" i="1"/>
  <c r="AA50" i="1" s="1"/>
  <c r="AB50" i="1"/>
  <c r="AC50" i="1" s="1"/>
  <c r="W51" i="1"/>
  <c r="AA51" i="1" s="1"/>
  <c r="AB51" i="1" s="1"/>
  <c r="AC51" i="1" s="1"/>
  <c r="Z51" i="1"/>
  <c r="W52" i="1"/>
  <c r="Z52" i="1"/>
  <c r="W53" i="1"/>
  <c r="Z53" i="1"/>
  <c r="AA53" i="1"/>
  <c r="AB53" i="1" s="1"/>
  <c r="AC53" i="1" s="1"/>
  <c r="W54" i="1"/>
  <c r="Z54" i="1"/>
  <c r="AA54" i="1" s="1"/>
  <c r="AB54" i="1" s="1"/>
  <c r="AC54" i="1" s="1"/>
  <c r="W55" i="1"/>
  <c r="Z55" i="1"/>
  <c r="AA55" i="1"/>
  <c r="AB55" i="1" s="1"/>
  <c r="AC55" i="1" s="1"/>
  <c r="W56" i="1"/>
  <c r="Z56" i="1"/>
  <c r="W57" i="1"/>
  <c r="AA57" i="1" s="1"/>
  <c r="AB57" i="1" s="1"/>
  <c r="Z57" i="1"/>
  <c r="AC57" i="1"/>
  <c r="W58" i="1"/>
  <c r="Z58" i="1"/>
  <c r="AA58" i="1" s="1"/>
  <c r="AB58" i="1"/>
  <c r="AC58" i="1" s="1"/>
  <c r="W59" i="1"/>
  <c r="AA59" i="1" s="1"/>
  <c r="AB59" i="1" s="1"/>
  <c r="AC59" i="1" s="1"/>
  <c r="Z59" i="1"/>
  <c r="W60" i="1"/>
  <c r="AA60" i="1" s="1"/>
  <c r="AB60" i="1" s="1"/>
  <c r="AC60" i="1" s="1"/>
  <c r="Z60" i="1"/>
  <c r="W61" i="1"/>
  <c r="Z61" i="1"/>
  <c r="AA61" i="1"/>
  <c r="AB61" i="1" s="1"/>
  <c r="AC61" i="1" s="1"/>
  <c r="W62" i="1"/>
  <c r="Z62" i="1"/>
  <c r="AA62" i="1" s="1"/>
  <c r="AB62" i="1"/>
  <c r="AC62" i="1" s="1"/>
  <c r="W63" i="1"/>
  <c r="Z63" i="1"/>
  <c r="AA63" i="1"/>
  <c r="AB63" i="1" s="1"/>
  <c r="AC63" i="1"/>
  <c r="W64" i="1"/>
  <c r="Z64" i="1"/>
  <c r="W65" i="1"/>
  <c r="AA65" i="1" s="1"/>
  <c r="AB65" i="1" s="1"/>
  <c r="AC65" i="1" s="1"/>
  <c r="Z65" i="1"/>
  <c r="W66" i="1"/>
  <c r="Z66" i="1"/>
  <c r="AA66" i="1" s="1"/>
  <c r="AB66" i="1" s="1"/>
  <c r="AC66" i="1" s="1"/>
  <c r="W67" i="1"/>
  <c r="Z67" i="1"/>
  <c r="AA67" i="1" s="1"/>
  <c r="AB67" i="1" s="1"/>
  <c r="AC67" i="1" s="1"/>
  <c r="W68" i="1"/>
  <c r="Z68" i="1"/>
  <c r="W69" i="1"/>
  <c r="Z69" i="1"/>
  <c r="AA69" i="1"/>
  <c r="AB69" i="1"/>
  <c r="AC69" i="1" s="1"/>
  <c r="W70" i="1"/>
  <c r="Z70" i="1"/>
  <c r="AA70" i="1" s="1"/>
  <c r="AB70" i="1" s="1"/>
  <c r="AC70" i="1" s="1"/>
  <c r="W71" i="1"/>
  <c r="AA71" i="1" s="1"/>
  <c r="AB71" i="1" s="1"/>
  <c r="AC71" i="1" s="1"/>
  <c r="Z71" i="1"/>
  <c r="W72" i="1"/>
  <c r="Z72" i="1"/>
  <c r="W73" i="1"/>
  <c r="Z73" i="1"/>
  <c r="AA73" i="1"/>
  <c r="AB73" i="1" s="1"/>
  <c r="AC73" i="1"/>
  <c r="W74" i="1"/>
  <c r="Z74" i="1"/>
  <c r="AA74" i="1" s="1"/>
  <c r="AB74" i="1"/>
  <c r="AC74" i="1" s="1"/>
  <c r="W75" i="1"/>
  <c r="AA75" i="1" s="1"/>
  <c r="AB75" i="1" s="1"/>
  <c r="AC75" i="1" s="1"/>
  <c r="Z75" i="1"/>
  <c r="W76" i="1"/>
  <c r="Z76" i="1"/>
  <c r="W77" i="1"/>
  <c r="AA77" i="1" s="1"/>
  <c r="Z77" i="1"/>
  <c r="AB77" i="1"/>
  <c r="AC77" i="1" s="1"/>
  <c r="W78" i="1"/>
  <c r="Z78" i="1"/>
  <c r="AA78" i="1"/>
  <c r="AB78" i="1" s="1"/>
  <c r="AC78" i="1" s="1"/>
  <c r="W79" i="1"/>
  <c r="Z79" i="1"/>
  <c r="AA79" i="1"/>
  <c r="AB79" i="1" s="1"/>
  <c r="AC79" i="1" s="1"/>
  <c r="W80" i="1"/>
  <c r="AA80" i="1" s="1"/>
  <c r="Z80" i="1"/>
  <c r="AB80" i="1"/>
  <c r="AC80" i="1" s="1"/>
  <c r="W81" i="1"/>
  <c r="Z81" i="1"/>
  <c r="AA81" i="1"/>
  <c r="AB81" i="1" s="1"/>
  <c r="AC81" i="1" s="1"/>
  <c r="W82" i="1"/>
  <c r="Z82" i="1"/>
  <c r="AA82" i="1" s="1"/>
  <c r="AB82" i="1" s="1"/>
  <c r="AC82" i="1" s="1"/>
  <c r="W83" i="1"/>
  <c r="Z83" i="1"/>
  <c r="AA83" i="1" s="1"/>
  <c r="AB83" i="1" s="1"/>
  <c r="AC83" i="1" s="1"/>
  <c r="W84" i="1"/>
  <c r="Z84" i="1"/>
  <c r="W85" i="1"/>
  <c r="Z85" i="1"/>
  <c r="AA85" i="1"/>
  <c r="AB85" i="1" s="1"/>
  <c r="AC85" i="1" s="1"/>
  <c r="W86" i="1"/>
  <c r="Z86" i="1"/>
  <c r="AA86" i="1" s="1"/>
  <c r="AB86" i="1" s="1"/>
  <c r="AC86" i="1" s="1"/>
  <c r="W87" i="1"/>
  <c r="Z87" i="1"/>
  <c r="AA87" i="1"/>
  <c r="AB87" i="1" s="1"/>
  <c r="AC87" i="1" s="1"/>
  <c r="W88" i="1"/>
  <c r="AA88" i="1" s="1"/>
  <c r="Z88" i="1"/>
  <c r="AB88" i="1"/>
  <c r="AC88" i="1" s="1"/>
  <c r="W89" i="1"/>
  <c r="AA89" i="1" s="1"/>
  <c r="AB89" i="1" s="1"/>
  <c r="AC89" i="1" s="1"/>
  <c r="Z89" i="1"/>
  <c r="W90" i="1"/>
  <c r="Z90" i="1"/>
  <c r="AA90" i="1" s="1"/>
  <c r="AB90" i="1" s="1"/>
  <c r="AC90" i="1" s="1"/>
  <c r="W91" i="1"/>
  <c r="Z91" i="1"/>
  <c r="W92" i="1"/>
  <c r="Z92" i="1"/>
  <c r="W93" i="1"/>
  <c r="AA93" i="1" s="1"/>
  <c r="Z93" i="1"/>
  <c r="AB93" i="1"/>
  <c r="AC93" i="1"/>
  <c r="W94" i="1"/>
  <c r="Z94" i="1"/>
  <c r="AA94" i="1"/>
  <c r="AB94" i="1"/>
  <c r="AC94" i="1" s="1"/>
  <c r="W95" i="1"/>
  <c r="Z95" i="1"/>
  <c r="AA95" i="1"/>
  <c r="AB95" i="1" s="1"/>
  <c r="AC95" i="1"/>
  <c r="W96" i="1"/>
  <c r="AA96" i="1" s="1"/>
  <c r="Z96" i="1"/>
  <c r="AB96" i="1"/>
  <c r="AC96" i="1"/>
  <c r="W97" i="1"/>
  <c r="Z97" i="1"/>
  <c r="AA97" i="1"/>
  <c r="AB97" i="1"/>
  <c r="AC97" i="1" s="1"/>
  <c r="W98" i="1"/>
  <c r="Z98" i="1"/>
  <c r="AA98" i="1"/>
  <c r="AB98" i="1" s="1"/>
  <c r="AC98" i="1" s="1"/>
  <c r="W99" i="1"/>
  <c r="Z99" i="1"/>
  <c r="AA99" i="1" s="1"/>
  <c r="AB99" i="1" s="1"/>
  <c r="AC99" i="1" s="1"/>
  <c r="W100" i="1"/>
  <c r="Z100" i="1"/>
  <c r="W101" i="1"/>
  <c r="Z101" i="1"/>
  <c r="AA101" i="1"/>
  <c r="AB101" i="1" s="1"/>
  <c r="AC101" i="1" s="1"/>
  <c r="W102" i="1"/>
  <c r="Z102" i="1"/>
  <c r="AA102" i="1"/>
  <c r="AB102" i="1" s="1"/>
  <c r="AC102" i="1" s="1"/>
  <c r="W103" i="1"/>
  <c r="Z103" i="1"/>
  <c r="W104" i="1"/>
  <c r="Z104" i="1"/>
  <c r="AA104" i="1"/>
  <c r="AB104" i="1" s="1"/>
  <c r="AC104" i="1" s="1"/>
  <c r="W105" i="1"/>
  <c r="Z105" i="1"/>
  <c r="AA105" i="1" s="1"/>
  <c r="AB105" i="1" s="1"/>
  <c r="AC105" i="1" s="1"/>
  <c r="W106" i="1"/>
  <c r="AA106" i="1" s="1"/>
  <c r="AB106" i="1" s="1"/>
  <c r="AC106" i="1" s="1"/>
  <c r="Z106" i="1"/>
  <c r="W107" i="1"/>
  <c r="Z107" i="1"/>
  <c r="W108" i="1"/>
  <c r="AA108" i="1" s="1"/>
  <c r="AB108" i="1" s="1"/>
  <c r="AC108" i="1" s="1"/>
  <c r="Z108" i="1"/>
  <c r="W109" i="1"/>
  <c r="Z109" i="1"/>
  <c r="AA109" i="1" s="1"/>
  <c r="AB109" i="1" s="1"/>
  <c r="AC109" i="1" s="1"/>
  <c r="W110" i="1"/>
  <c r="AA110" i="1" s="1"/>
  <c r="AB110" i="1" s="1"/>
  <c r="Z110" i="1"/>
  <c r="AC110" i="1"/>
  <c r="W111" i="1"/>
  <c r="AA111" i="1" s="1"/>
  <c r="AB111" i="1" s="1"/>
  <c r="Z111" i="1"/>
  <c r="AC111" i="1"/>
  <c r="W112" i="1"/>
  <c r="AA112" i="1" s="1"/>
  <c r="AB112" i="1" s="1"/>
  <c r="AC112" i="1" s="1"/>
  <c r="Z112" i="1"/>
  <c r="W113" i="1"/>
  <c r="Z113" i="1"/>
  <c r="AA113" i="1"/>
  <c r="AB113" i="1"/>
  <c r="AC113" i="1" s="1"/>
  <c r="W114" i="1"/>
  <c r="Z114" i="1"/>
  <c r="AA114" i="1"/>
  <c r="AB114" i="1" s="1"/>
  <c r="AC114" i="1"/>
  <c r="W115" i="1"/>
  <c r="AA115" i="1" s="1"/>
  <c r="Z115" i="1"/>
  <c r="AB115" i="1"/>
  <c r="AC115" i="1"/>
  <c r="W116" i="1"/>
  <c r="Z116" i="1"/>
  <c r="AA116" i="1"/>
  <c r="AB116" i="1"/>
  <c r="AC116" i="1" s="1"/>
  <c r="W117" i="1"/>
  <c r="Z117" i="1"/>
  <c r="AA117" i="1"/>
  <c r="AB117" i="1" s="1"/>
  <c r="AC117" i="1" s="1"/>
  <c r="W118" i="1"/>
  <c r="Z118" i="1"/>
  <c r="AA118" i="1" s="1"/>
  <c r="AB118" i="1" s="1"/>
  <c r="AC118" i="1" s="1"/>
  <c r="W119" i="1"/>
  <c r="Z119" i="1"/>
  <c r="W120" i="1"/>
  <c r="Z120" i="1"/>
  <c r="AA120" i="1"/>
  <c r="AB120" i="1" s="1"/>
  <c r="AC120" i="1" s="1"/>
  <c r="W121" i="1"/>
  <c r="Z121" i="1"/>
  <c r="AA121" i="1" s="1"/>
  <c r="AB121" i="1" s="1"/>
  <c r="AC121" i="1" s="1"/>
  <c r="W122" i="1"/>
  <c r="Z122" i="1"/>
  <c r="W123" i="1"/>
  <c r="AA123" i="1" s="1"/>
  <c r="AB123" i="1" s="1"/>
  <c r="AC123" i="1" s="1"/>
  <c r="Z123" i="1"/>
  <c r="W124" i="1"/>
  <c r="AA124" i="1" s="1"/>
  <c r="AB124" i="1" s="1"/>
  <c r="Z124" i="1"/>
  <c r="AC124" i="1"/>
  <c r="W125" i="1"/>
  <c r="Z125" i="1"/>
  <c r="AA125" i="1" s="1"/>
  <c r="AB125" i="1"/>
  <c r="AC125" i="1" s="1"/>
  <c r="W126" i="1"/>
  <c r="AA126" i="1" s="1"/>
  <c r="AB126" i="1" s="1"/>
  <c r="AC126" i="1" s="1"/>
  <c r="Z126" i="1"/>
  <c r="W127" i="1"/>
  <c r="AA127" i="1" s="1"/>
  <c r="AB127" i="1" s="1"/>
  <c r="AC127" i="1" s="1"/>
  <c r="Z127" i="1"/>
  <c r="W128" i="1"/>
  <c r="AA128" i="1" s="1"/>
  <c r="Z128" i="1"/>
  <c r="AB128" i="1"/>
  <c r="AC128" i="1" s="1"/>
  <c r="W129" i="1"/>
  <c r="Z129" i="1"/>
  <c r="AA129" i="1"/>
  <c r="AB129" i="1" s="1"/>
  <c r="AC129" i="1" s="1"/>
  <c r="W130" i="1"/>
  <c r="Z130" i="1"/>
  <c r="AA130" i="1"/>
  <c r="AB130" i="1" s="1"/>
  <c r="AC130" i="1" s="1"/>
  <c r="W131" i="1"/>
  <c r="AA131" i="1" s="1"/>
  <c r="Z131" i="1"/>
  <c r="AB131" i="1"/>
  <c r="AC131" i="1" s="1"/>
  <c r="W132" i="1"/>
  <c r="Z132" i="1"/>
  <c r="AA132" i="1"/>
  <c r="AB132" i="1" s="1"/>
  <c r="AC132" i="1" s="1"/>
  <c r="W133" i="1"/>
  <c r="Z133" i="1"/>
  <c r="AA133" i="1"/>
  <c r="AB133" i="1" s="1"/>
  <c r="AC133" i="1" s="1"/>
  <c r="W134" i="1"/>
  <c r="Z134" i="1"/>
  <c r="AA134" i="1"/>
  <c r="AB134" i="1" s="1"/>
  <c r="AC134" i="1" s="1"/>
  <c r="W135" i="1"/>
  <c r="Z135" i="1"/>
  <c r="W136" i="1"/>
  <c r="Z136" i="1"/>
  <c r="AA136" i="1"/>
  <c r="AB136" i="1" s="1"/>
  <c r="AC136" i="1" s="1"/>
  <c r="W137" i="1"/>
  <c r="Z137" i="1"/>
  <c r="AA137" i="1" s="1"/>
  <c r="AB137" i="1" s="1"/>
  <c r="AC137" i="1" s="1"/>
  <c r="W138" i="1"/>
  <c r="AA138" i="1" s="1"/>
  <c r="AB138" i="1" s="1"/>
  <c r="AC138" i="1" s="1"/>
  <c r="Z138" i="1"/>
  <c r="W139" i="1"/>
  <c r="Z139" i="1"/>
  <c r="W140" i="1"/>
  <c r="AA140" i="1" s="1"/>
  <c r="AB140" i="1" s="1"/>
  <c r="AC140" i="1" s="1"/>
  <c r="Z140" i="1"/>
  <c r="W141" i="1"/>
  <c r="Z141" i="1"/>
  <c r="AA141" i="1" s="1"/>
  <c r="AB141" i="1" s="1"/>
  <c r="AC141" i="1" s="1"/>
  <c r="W142" i="1"/>
  <c r="AA142" i="1" s="1"/>
  <c r="AB142" i="1" s="1"/>
  <c r="Z142" i="1"/>
  <c r="AC142" i="1"/>
  <c r="W143" i="1"/>
  <c r="AA143" i="1" s="1"/>
  <c r="AB143" i="1" s="1"/>
  <c r="Z143" i="1"/>
  <c r="AC143" i="1"/>
  <c r="W144" i="1"/>
  <c r="AA144" i="1" s="1"/>
  <c r="AB144" i="1" s="1"/>
  <c r="AC144" i="1" s="1"/>
  <c r="Z144" i="1"/>
  <c r="W145" i="1"/>
  <c r="Z145" i="1"/>
  <c r="AA145" i="1"/>
  <c r="AB145" i="1"/>
  <c r="AC145" i="1" s="1"/>
  <c r="W146" i="1"/>
  <c r="Z146" i="1"/>
  <c r="AA146" i="1"/>
  <c r="AB146" i="1" s="1"/>
  <c r="AC146" i="1"/>
  <c r="W147" i="1"/>
  <c r="AA147" i="1" s="1"/>
  <c r="Z147" i="1"/>
  <c r="AB147" i="1"/>
  <c r="AC147" i="1"/>
  <c r="W148" i="1"/>
  <c r="Z148" i="1"/>
  <c r="AA148" i="1"/>
  <c r="AB148" i="1"/>
  <c r="AC148" i="1" s="1"/>
  <c r="W149" i="1"/>
  <c r="Z149" i="1"/>
  <c r="AA149" i="1"/>
  <c r="AB149" i="1" s="1"/>
  <c r="AC149" i="1" s="1"/>
  <c r="W150" i="1"/>
  <c r="Z150" i="1"/>
  <c r="AA150" i="1" s="1"/>
  <c r="AB150" i="1" s="1"/>
  <c r="AC150" i="1" s="1"/>
  <c r="W151" i="1"/>
  <c r="Z151" i="1"/>
  <c r="W152" i="1"/>
  <c r="Z152" i="1"/>
  <c r="AA152" i="1"/>
  <c r="AB152" i="1" s="1"/>
  <c r="AC152" i="1" s="1"/>
  <c r="W153" i="1"/>
  <c r="Z153" i="1"/>
  <c r="AA153" i="1" s="1"/>
  <c r="AB153" i="1" s="1"/>
  <c r="AC153" i="1" s="1"/>
  <c r="W154" i="1"/>
  <c r="Z154" i="1"/>
  <c r="W155" i="1"/>
  <c r="AA155" i="1" s="1"/>
  <c r="AB155" i="1" s="1"/>
  <c r="AC155" i="1" s="1"/>
  <c r="Z155" i="1"/>
  <c r="W156" i="1"/>
  <c r="AA156" i="1" s="1"/>
  <c r="AB156" i="1" s="1"/>
  <c r="Z156" i="1"/>
  <c r="AC156" i="1"/>
  <c r="W157" i="1"/>
  <c r="Z157" i="1"/>
  <c r="AA157" i="1" s="1"/>
  <c r="AB157" i="1"/>
  <c r="AC157" i="1" s="1"/>
  <c r="W158" i="1"/>
  <c r="AA158" i="1" s="1"/>
  <c r="AB158" i="1" s="1"/>
  <c r="AC158" i="1" s="1"/>
  <c r="Z158" i="1"/>
  <c r="W159" i="1"/>
  <c r="AA159" i="1" s="1"/>
  <c r="AB159" i="1" s="1"/>
  <c r="AC159" i="1" s="1"/>
  <c r="Z159" i="1"/>
  <c r="W160" i="1"/>
  <c r="AA160" i="1" s="1"/>
  <c r="Z160" i="1"/>
  <c r="AB160" i="1"/>
  <c r="AC160" i="1" s="1"/>
  <c r="W161" i="1"/>
  <c r="Z161" i="1"/>
  <c r="AA161" i="1"/>
  <c r="AB161" i="1" s="1"/>
  <c r="AC161" i="1" s="1"/>
  <c r="W162" i="1"/>
  <c r="Z162" i="1"/>
  <c r="AA162" i="1"/>
  <c r="AB162" i="1" s="1"/>
  <c r="AC162" i="1" s="1"/>
  <c r="W163" i="1"/>
  <c r="AA163" i="1" s="1"/>
  <c r="Z163" i="1"/>
  <c r="AB163" i="1"/>
  <c r="AC163" i="1" s="1"/>
  <c r="W164" i="1"/>
  <c r="Z164" i="1"/>
  <c r="AA164" i="1"/>
  <c r="AB164" i="1" s="1"/>
  <c r="AC164" i="1" s="1"/>
  <c r="W165" i="1"/>
  <c r="Z165" i="1"/>
  <c r="AA165" i="1"/>
  <c r="AB165" i="1" s="1"/>
  <c r="AC165" i="1" s="1"/>
  <c r="W166" i="1"/>
  <c r="Z166" i="1"/>
  <c r="AA166" i="1"/>
  <c r="AB166" i="1" s="1"/>
  <c r="AC166" i="1" s="1"/>
  <c r="W167" i="1"/>
  <c r="Z167" i="1"/>
  <c r="W168" i="1"/>
  <c r="Z168" i="1"/>
  <c r="AA168" i="1"/>
  <c r="AB168" i="1" s="1"/>
  <c r="AC168" i="1" s="1"/>
  <c r="W169" i="1"/>
  <c r="Z169" i="1"/>
  <c r="AA169" i="1" s="1"/>
  <c r="AB169" i="1" s="1"/>
  <c r="AC169" i="1" s="1"/>
  <c r="W170" i="1"/>
  <c r="AA170" i="1" s="1"/>
  <c r="AB170" i="1" s="1"/>
  <c r="AC170" i="1" s="1"/>
  <c r="Z170" i="1"/>
  <c r="W171" i="1"/>
  <c r="Z171" i="1"/>
  <c r="W172" i="1"/>
  <c r="AA172" i="1" s="1"/>
  <c r="AB172" i="1" s="1"/>
  <c r="AC172" i="1" s="1"/>
  <c r="Z172" i="1"/>
  <c r="W173" i="1"/>
  <c r="Z173" i="1"/>
  <c r="AA173" i="1" s="1"/>
  <c r="AB173" i="1" s="1"/>
  <c r="AC173" i="1" s="1"/>
  <c r="W174" i="1"/>
  <c r="AA174" i="1" s="1"/>
  <c r="AB174" i="1" s="1"/>
  <c r="Z174" i="1"/>
  <c r="AC174" i="1"/>
  <c r="W175" i="1"/>
  <c r="AA175" i="1" s="1"/>
  <c r="AB175" i="1" s="1"/>
  <c r="Z175" i="1"/>
  <c r="AC175" i="1"/>
  <c r="W176" i="1"/>
  <c r="AA176" i="1" s="1"/>
  <c r="AB176" i="1" s="1"/>
  <c r="AC176" i="1" s="1"/>
  <c r="Z176" i="1"/>
  <c r="W177" i="1"/>
  <c r="Z177" i="1"/>
  <c r="AA177" i="1"/>
  <c r="AB177" i="1"/>
  <c r="AC177" i="1" s="1"/>
  <c r="W178" i="1"/>
  <c r="Z178" i="1"/>
  <c r="AA178" i="1"/>
  <c r="AB178" i="1" s="1"/>
  <c r="AC178" i="1"/>
  <c r="W179" i="1"/>
  <c r="AA179" i="1" s="1"/>
  <c r="Z179" i="1"/>
  <c r="AB179" i="1"/>
  <c r="AC179" i="1"/>
  <c r="W180" i="1"/>
  <c r="Z180" i="1"/>
  <c r="AA180" i="1"/>
  <c r="AB180" i="1"/>
  <c r="AC180" i="1" s="1"/>
  <c r="W181" i="1"/>
  <c r="Z181" i="1"/>
  <c r="AA181" i="1"/>
  <c r="AB181" i="1" s="1"/>
  <c r="AC181" i="1" s="1"/>
  <c r="W182" i="1"/>
  <c r="Z182" i="1"/>
  <c r="AA182" i="1" s="1"/>
  <c r="AB182" i="1" s="1"/>
  <c r="AC182" i="1" s="1"/>
  <c r="W183" i="1"/>
  <c r="Z183" i="1"/>
  <c r="W184" i="1"/>
  <c r="Z184" i="1"/>
  <c r="AA184" i="1"/>
  <c r="AB184" i="1" s="1"/>
  <c r="AC184" i="1" s="1"/>
  <c r="W185" i="1"/>
  <c r="Z185" i="1"/>
  <c r="AA185" i="1" s="1"/>
  <c r="AB185" i="1" s="1"/>
  <c r="AC185" i="1" s="1"/>
  <c r="W186" i="1"/>
  <c r="Z186" i="1"/>
  <c r="W187" i="1"/>
  <c r="AA187" i="1" s="1"/>
  <c r="AB187" i="1" s="1"/>
  <c r="AC187" i="1" s="1"/>
  <c r="Z187" i="1"/>
  <c r="W188" i="1"/>
  <c r="AA188" i="1" s="1"/>
  <c r="AB188" i="1" s="1"/>
  <c r="Z188" i="1"/>
  <c r="AC188" i="1"/>
  <c r="W189" i="1"/>
  <c r="Z189" i="1"/>
  <c r="AA189" i="1" s="1"/>
  <c r="AB189" i="1"/>
  <c r="AC189" i="1" s="1"/>
  <c r="W190" i="1"/>
  <c r="AA190" i="1" s="1"/>
  <c r="AB190" i="1" s="1"/>
  <c r="AC190" i="1" s="1"/>
  <c r="Z190" i="1"/>
  <c r="W191" i="1"/>
  <c r="AA191" i="1" s="1"/>
  <c r="AB191" i="1" s="1"/>
  <c r="AC191" i="1" s="1"/>
  <c r="Z191" i="1"/>
  <c r="W192" i="1"/>
  <c r="AA192" i="1" s="1"/>
  <c r="Z192" i="1"/>
  <c r="AB192" i="1"/>
  <c r="AC192" i="1" s="1"/>
  <c r="W193" i="1"/>
  <c r="Z193" i="1"/>
  <c r="AA193" i="1"/>
  <c r="AB193" i="1" s="1"/>
  <c r="AC193" i="1" s="1"/>
  <c r="W194" i="1"/>
  <c r="Z194" i="1"/>
  <c r="AA194" i="1"/>
  <c r="AB194" i="1" s="1"/>
  <c r="AC194" i="1" s="1"/>
  <c r="W195" i="1"/>
  <c r="AA195" i="1" s="1"/>
  <c r="Z195" i="1"/>
  <c r="AB195" i="1"/>
  <c r="AC195" i="1" s="1"/>
  <c r="W196" i="1"/>
  <c r="Z196" i="1"/>
  <c r="AA196" i="1"/>
  <c r="AB196" i="1" s="1"/>
  <c r="AC196" i="1" s="1"/>
  <c r="W197" i="1"/>
  <c r="Z197" i="1"/>
  <c r="AA197" i="1"/>
  <c r="AB197" i="1" s="1"/>
  <c r="AC197" i="1" s="1"/>
  <c r="W198" i="1"/>
  <c r="Z198" i="1"/>
  <c r="AA198" i="1"/>
  <c r="AB198" i="1" s="1"/>
  <c r="AC198" i="1" s="1"/>
  <c r="W199" i="1"/>
  <c r="Z199" i="1"/>
  <c r="W200" i="1"/>
  <c r="Z200" i="1"/>
  <c r="AA200" i="1"/>
  <c r="AB200" i="1" s="1"/>
  <c r="AC200" i="1" s="1"/>
  <c r="W201" i="1"/>
  <c r="Z201" i="1"/>
  <c r="AA201" i="1" s="1"/>
  <c r="AB201" i="1" s="1"/>
  <c r="AC201" i="1" s="1"/>
  <c r="W202" i="1"/>
  <c r="AA202" i="1" s="1"/>
  <c r="AB202" i="1" s="1"/>
  <c r="AC202" i="1" s="1"/>
  <c r="Z202" i="1"/>
  <c r="W203" i="1"/>
  <c r="Z203" i="1"/>
  <c r="W204" i="1"/>
  <c r="AA204" i="1" s="1"/>
  <c r="AB204" i="1" s="1"/>
  <c r="AC204" i="1" s="1"/>
  <c r="Z204" i="1"/>
  <c r="W205" i="1"/>
  <c r="Z205" i="1"/>
  <c r="AA205" i="1" s="1"/>
  <c r="AB205" i="1" s="1"/>
  <c r="AC205" i="1" s="1"/>
  <c r="W206" i="1"/>
  <c r="AA206" i="1" s="1"/>
  <c r="AB206" i="1" s="1"/>
  <c r="Z206" i="1"/>
  <c r="AC206" i="1"/>
  <c r="W207" i="1"/>
  <c r="AA207" i="1" s="1"/>
  <c r="AB207" i="1" s="1"/>
  <c r="Z207" i="1"/>
  <c r="AC207" i="1"/>
  <c r="W208" i="1"/>
  <c r="AA208" i="1" s="1"/>
  <c r="AB208" i="1" s="1"/>
  <c r="AC208" i="1" s="1"/>
  <c r="Z208" i="1"/>
  <c r="W209" i="1"/>
  <c r="Z209" i="1"/>
  <c r="AA209" i="1"/>
  <c r="AB209" i="1"/>
  <c r="AC209" i="1" s="1"/>
  <c r="W210" i="1"/>
  <c r="Z210" i="1"/>
  <c r="AA210" i="1"/>
  <c r="AB210" i="1" s="1"/>
  <c r="AC210" i="1"/>
  <c r="W211" i="1"/>
  <c r="AA211" i="1" s="1"/>
  <c r="Z211" i="1"/>
  <c r="AB211" i="1"/>
  <c r="AC211" i="1"/>
  <c r="W212" i="1"/>
  <c r="Z212" i="1"/>
  <c r="AA212" i="1"/>
  <c r="AB212" i="1"/>
  <c r="AC212" i="1" s="1"/>
  <c r="W213" i="1"/>
  <c r="Z213" i="1"/>
  <c r="AA213" i="1"/>
  <c r="AB213" i="1" s="1"/>
  <c r="AC213" i="1" s="1"/>
  <c r="W214" i="1"/>
  <c r="Z214" i="1"/>
  <c r="AA214" i="1" s="1"/>
  <c r="AB214" i="1" s="1"/>
  <c r="AC214" i="1" s="1"/>
  <c r="W215" i="1"/>
  <c r="Z215" i="1"/>
  <c r="W216" i="1"/>
  <c r="Z216" i="1"/>
  <c r="AA216" i="1"/>
  <c r="AB216" i="1" s="1"/>
  <c r="AC216" i="1" s="1"/>
  <c r="W217" i="1"/>
  <c r="Z217" i="1"/>
  <c r="AA217" i="1" s="1"/>
  <c r="AB217" i="1" s="1"/>
  <c r="AC217" i="1" s="1"/>
  <c r="W218" i="1"/>
  <c r="Z218" i="1"/>
  <c r="W219" i="1"/>
  <c r="AA219" i="1" s="1"/>
  <c r="AB219" i="1" s="1"/>
  <c r="AC219" i="1" s="1"/>
  <c r="Z219" i="1"/>
  <c r="W220" i="1"/>
  <c r="AA220" i="1" s="1"/>
  <c r="AB220" i="1" s="1"/>
  <c r="Z220" i="1"/>
  <c r="AC220" i="1"/>
  <c r="W221" i="1"/>
  <c r="Z221" i="1"/>
  <c r="AA221" i="1" s="1"/>
  <c r="AB221" i="1"/>
  <c r="AC221" i="1" s="1"/>
  <c r="W222" i="1"/>
  <c r="AA222" i="1" s="1"/>
  <c r="AB222" i="1" s="1"/>
  <c r="AC222" i="1" s="1"/>
  <c r="Z222" i="1"/>
  <c r="W223" i="1"/>
  <c r="AA223" i="1" s="1"/>
  <c r="AB223" i="1" s="1"/>
  <c r="AC223" i="1" s="1"/>
  <c r="Z223" i="1"/>
  <c r="W224" i="1"/>
  <c r="AA224" i="1" s="1"/>
  <c r="Z224" i="1"/>
  <c r="AB224" i="1"/>
  <c r="AC224" i="1" s="1"/>
  <c r="W225" i="1"/>
  <c r="Z225" i="1"/>
  <c r="AA225" i="1"/>
  <c r="AB225" i="1" s="1"/>
  <c r="AC225" i="1" s="1"/>
  <c r="W226" i="1"/>
  <c r="Z226" i="1"/>
  <c r="AA226" i="1"/>
  <c r="AB226" i="1" s="1"/>
  <c r="AC226" i="1" s="1"/>
  <c r="W227" i="1"/>
  <c r="AA227" i="1" s="1"/>
  <c r="Z227" i="1"/>
  <c r="AB227" i="1"/>
  <c r="AC227" i="1" s="1"/>
  <c r="W228" i="1"/>
  <c r="Z228" i="1"/>
  <c r="AA228" i="1"/>
  <c r="AB228" i="1" s="1"/>
  <c r="AC228" i="1" s="1"/>
  <c r="W229" i="1"/>
  <c r="Z229" i="1"/>
  <c r="AA229" i="1"/>
  <c r="AB229" i="1" s="1"/>
  <c r="AC229" i="1" s="1"/>
  <c r="W230" i="1"/>
  <c r="Z230" i="1"/>
  <c r="AA230" i="1"/>
  <c r="AB230" i="1" s="1"/>
  <c r="AC230" i="1" s="1"/>
  <c r="W231" i="1"/>
  <c r="Z231" i="1"/>
  <c r="W232" i="1"/>
  <c r="Z232" i="1"/>
  <c r="AA232" i="1"/>
  <c r="AB232" i="1" s="1"/>
  <c r="AC232" i="1" s="1"/>
  <c r="W233" i="1"/>
  <c r="Z233" i="1"/>
  <c r="AA233" i="1" s="1"/>
  <c r="AB233" i="1" s="1"/>
  <c r="AC233" i="1" s="1"/>
  <c r="W234" i="1"/>
  <c r="AA234" i="1" s="1"/>
  <c r="AB234" i="1" s="1"/>
  <c r="AC234" i="1" s="1"/>
  <c r="Z234" i="1"/>
  <c r="W235" i="1"/>
  <c r="Z235" i="1"/>
  <c r="W236" i="1"/>
  <c r="AA236" i="1" s="1"/>
  <c r="AB236" i="1" s="1"/>
  <c r="AC236" i="1" s="1"/>
  <c r="Z236" i="1"/>
  <c r="W237" i="1"/>
  <c r="Z237" i="1"/>
  <c r="AA237" i="1" s="1"/>
  <c r="AB237" i="1" s="1"/>
  <c r="AC237" i="1" s="1"/>
  <c r="W238" i="1"/>
  <c r="AA238" i="1" s="1"/>
  <c r="AB238" i="1" s="1"/>
  <c r="Z238" i="1"/>
  <c r="AC238" i="1"/>
  <c r="W239" i="1"/>
  <c r="AA239" i="1" s="1"/>
  <c r="AB239" i="1" s="1"/>
  <c r="Z239" i="1"/>
  <c r="AC239" i="1"/>
  <c r="W240" i="1"/>
  <c r="AA240" i="1" s="1"/>
  <c r="AB240" i="1" s="1"/>
  <c r="AC240" i="1" s="1"/>
  <c r="Z240" i="1"/>
  <c r="W241" i="1"/>
  <c r="Z241" i="1"/>
  <c r="AA241" i="1"/>
  <c r="AB241" i="1"/>
  <c r="AC241" i="1" s="1"/>
  <c r="W242" i="1"/>
  <c r="Z242" i="1"/>
  <c r="AA242" i="1"/>
  <c r="AB242" i="1" s="1"/>
  <c r="AC242" i="1"/>
  <c r="W243" i="1"/>
  <c r="AA243" i="1" s="1"/>
  <c r="Z243" i="1"/>
  <c r="AB243" i="1"/>
  <c r="AC243" i="1"/>
  <c r="W244" i="1"/>
  <c r="Z244" i="1"/>
  <c r="AA244" i="1"/>
  <c r="AB244" i="1"/>
  <c r="AC244" i="1" s="1"/>
  <c r="W245" i="1"/>
  <c r="Z245" i="1"/>
  <c r="AA245" i="1"/>
  <c r="AB245" i="1" s="1"/>
  <c r="AC245" i="1" s="1"/>
  <c r="W246" i="1"/>
  <c r="Z246" i="1"/>
  <c r="AA246" i="1" s="1"/>
  <c r="AB246" i="1" s="1"/>
  <c r="AC246" i="1" s="1"/>
  <c r="W247" i="1"/>
  <c r="Z247" i="1"/>
  <c r="W248" i="1"/>
  <c r="Z248" i="1"/>
  <c r="AA248" i="1"/>
  <c r="AB248" i="1" s="1"/>
  <c r="AC248" i="1" s="1"/>
  <c r="W249" i="1"/>
  <c r="Z249" i="1"/>
  <c r="AA249" i="1" s="1"/>
  <c r="AB249" i="1" s="1"/>
  <c r="AC249" i="1" s="1"/>
  <c r="W250" i="1"/>
  <c r="Z250" i="1"/>
  <c r="W251" i="1"/>
  <c r="AA251" i="1" s="1"/>
  <c r="AB251" i="1" s="1"/>
  <c r="AC251" i="1" s="1"/>
  <c r="Z251" i="1"/>
  <c r="W252" i="1"/>
  <c r="AA252" i="1" s="1"/>
  <c r="AB252" i="1" s="1"/>
  <c r="Z252" i="1"/>
  <c r="AC252" i="1"/>
  <c r="W253" i="1"/>
  <c r="Z253" i="1"/>
  <c r="AA253" i="1" s="1"/>
  <c r="AB253" i="1"/>
  <c r="AC253" i="1" s="1"/>
  <c r="W254" i="1"/>
  <c r="AA254" i="1" s="1"/>
  <c r="AB254" i="1" s="1"/>
  <c r="AC254" i="1" s="1"/>
  <c r="Z254" i="1"/>
  <c r="W255" i="1"/>
  <c r="AA255" i="1" s="1"/>
  <c r="AB255" i="1" s="1"/>
  <c r="AC255" i="1" s="1"/>
  <c r="Z255" i="1"/>
  <c r="W256" i="1"/>
  <c r="AA256" i="1" s="1"/>
  <c r="Z256" i="1"/>
  <c r="AB256" i="1"/>
  <c r="AC256" i="1" s="1"/>
  <c r="W257" i="1"/>
  <c r="Z257" i="1"/>
  <c r="AA257" i="1"/>
  <c r="AB257" i="1" s="1"/>
  <c r="AC257" i="1" s="1"/>
  <c r="W258" i="1"/>
  <c r="Z258" i="1"/>
  <c r="AA258" i="1"/>
  <c r="AB258" i="1" s="1"/>
  <c r="AC258" i="1" s="1"/>
  <c r="W259" i="1"/>
  <c r="AA259" i="1" s="1"/>
  <c r="Z259" i="1"/>
  <c r="AB259" i="1"/>
  <c r="AC259" i="1" s="1"/>
  <c r="W260" i="1"/>
  <c r="Z260" i="1"/>
  <c r="AA260" i="1"/>
  <c r="AB260" i="1" s="1"/>
  <c r="AC260" i="1" s="1"/>
  <c r="W261" i="1"/>
  <c r="Z261" i="1"/>
  <c r="AA261" i="1"/>
  <c r="AB261" i="1" s="1"/>
  <c r="AC261" i="1" s="1"/>
  <c r="W262" i="1"/>
  <c r="Z262" i="1"/>
  <c r="AA262" i="1"/>
  <c r="AB262" i="1" s="1"/>
  <c r="AC262" i="1" s="1"/>
  <c r="W263" i="1"/>
  <c r="Z263" i="1"/>
  <c r="W264" i="1"/>
  <c r="Z264" i="1"/>
  <c r="AA264" i="1"/>
  <c r="AB264" i="1" s="1"/>
  <c r="AC264" i="1" s="1"/>
  <c r="W265" i="1"/>
  <c r="Z265" i="1"/>
  <c r="AA265" i="1" s="1"/>
  <c r="AB265" i="1" s="1"/>
  <c r="AC265" i="1" s="1"/>
  <c r="W266" i="1"/>
  <c r="AA266" i="1" s="1"/>
  <c r="AB266" i="1" s="1"/>
  <c r="AC266" i="1" s="1"/>
  <c r="Z266" i="1"/>
  <c r="W267" i="1"/>
  <c r="Z267" i="1"/>
  <c r="W268" i="1"/>
  <c r="AA268" i="1" s="1"/>
  <c r="AB268" i="1" s="1"/>
  <c r="AC268" i="1" s="1"/>
  <c r="Z268" i="1"/>
  <c r="W269" i="1"/>
  <c r="Z269" i="1"/>
  <c r="AA269" i="1" s="1"/>
  <c r="AB269" i="1" s="1"/>
  <c r="AC269" i="1" s="1"/>
  <c r="W270" i="1"/>
  <c r="AA270" i="1" s="1"/>
  <c r="AB270" i="1" s="1"/>
  <c r="Z270" i="1"/>
  <c r="AC270" i="1"/>
  <c r="W271" i="1"/>
  <c r="AA271" i="1" s="1"/>
  <c r="AB271" i="1" s="1"/>
  <c r="Z271" i="1"/>
  <c r="AC271" i="1"/>
  <c r="W272" i="1"/>
  <c r="AA272" i="1" s="1"/>
  <c r="AB272" i="1" s="1"/>
  <c r="AC272" i="1" s="1"/>
  <c r="Z272" i="1"/>
  <c r="W273" i="1"/>
  <c r="Z273" i="1"/>
  <c r="AA273" i="1"/>
  <c r="AB273" i="1"/>
  <c r="AC273" i="1" s="1"/>
  <c r="W274" i="1"/>
  <c r="Z274" i="1"/>
  <c r="AA274" i="1"/>
  <c r="AB274" i="1" s="1"/>
  <c r="AC274" i="1"/>
  <c r="W275" i="1"/>
  <c r="AA275" i="1" s="1"/>
  <c r="Z275" i="1"/>
  <c r="AB275" i="1"/>
  <c r="AC275" i="1"/>
  <c r="W276" i="1"/>
  <c r="Z276" i="1"/>
  <c r="AA276" i="1"/>
  <c r="AB276" i="1"/>
  <c r="AC276" i="1"/>
  <c r="W277" i="1"/>
  <c r="Z277" i="1"/>
  <c r="AA277" i="1"/>
  <c r="AB277" i="1"/>
  <c r="AC277" i="1" s="1"/>
  <c r="W278" i="1"/>
  <c r="Z278" i="1"/>
  <c r="AA278" i="1"/>
  <c r="AB278" i="1" s="1"/>
  <c r="AC278" i="1"/>
  <c r="W279" i="1"/>
  <c r="Z279" i="1"/>
  <c r="W280" i="1"/>
  <c r="Z280" i="1"/>
  <c r="AA280" i="1"/>
  <c r="AB280" i="1"/>
  <c r="AC280" i="1" s="1"/>
  <c r="W281" i="1"/>
  <c r="Z281" i="1"/>
  <c r="AA281" i="1"/>
  <c r="AB281" i="1" s="1"/>
  <c r="AC281" i="1" s="1"/>
  <c r="W282" i="1"/>
  <c r="AA282" i="1" s="1"/>
  <c r="AB282" i="1" s="1"/>
  <c r="AC282" i="1" s="1"/>
  <c r="Z282" i="1"/>
  <c r="W283" i="1"/>
  <c r="Z283" i="1"/>
  <c r="W284" i="1"/>
  <c r="Z284" i="1"/>
  <c r="AA284" i="1"/>
  <c r="AB284" i="1" s="1"/>
  <c r="AC284" i="1" s="1"/>
  <c r="W285" i="1"/>
  <c r="Z285" i="1"/>
  <c r="AA285" i="1" s="1"/>
  <c r="AB285" i="1"/>
  <c r="AC285" i="1" s="1"/>
  <c r="W286" i="1"/>
  <c r="Z286" i="1"/>
  <c r="W287" i="1"/>
  <c r="AA287" i="1" s="1"/>
  <c r="AB287" i="1" s="1"/>
  <c r="AC287" i="1" s="1"/>
  <c r="Z287" i="1"/>
  <c r="W288" i="1"/>
  <c r="AA288" i="1" s="1"/>
  <c r="AB288" i="1" s="1"/>
  <c r="AC288" i="1" s="1"/>
  <c r="Z288" i="1"/>
  <c r="W289" i="1"/>
  <c r="Z289" i="1"/>
  <c r="AA289" i="1"/>
  <c r="AB289" i="1"/>
  <c r="AC289" i="1" s="1"/>
  <c r="W290" i="1"/>
  <c r="AA290" i="1" s="1"/>
  <c r="AB290" i="1" s="1"/>
  <c r="AC290" i="1" s="1"/>
  <c r="Z290" i="1"/>
  <c r="W291" i="1"/>
  <c r="AA291" i="1" s="1"/>
  <c r="AB291" i="1" s="1"/>
  <c r="AC291" i="1" s="1"/>
  <c r="Z291" i="1"/>
  <c r="W292" i="1"/>
  <c r="AA292" i="1" s="1"/>
  <c r="AB292" i="1" s="1"/>
  <c r="AC292" i="1" s="1"/>
  <c r="Z292" i="1"/>
  <c r="W293" i="1"/>
  <c r="Z293" i="1"/>
  <c r="AA293" i="1"/>
  <c r="AB293" i="1"/>
  <c r="AC293" i="1" s="1"/>
  <c r="W294" i="1"/>
  <c r="Z294" i="1"/>
  <c r="AA294" i="1"/>
  <c r="AB294" i="1" s="1"/>
  <c r="AC294" i="1"/>
  <c r="W295" i="1"/>
  <c r="Z295" i="1"/>
  <c r="W296" i="1"/>
  <c r="Z296" i="1"/>
  <c r="AA296" i="1"/>
  <c r="AB296" i="1"/>
  <c r="AC296" i="1" s="1"/>
  <c r="W297" i="1"/>
  <c r="Z297" i="1"/>
  <c r="AA297" i="1"/>
  <c r="AB297" i="1" s="1"/>
  <c r="AC297" i="1" s="1"/>
  <c r="W298" i="1"/>
  <c r="Z298" i="1"/>
  <c r="W299" i="1"/>
  <c r="Z299" i="1"/>
  <c r="W300" i="1"/>
  <c r="Z300" i="1"/>
  <c r="AA300" i="1"/>
  <c r="AB300" i="1" s="1"/>
  <c r="AC300" i="1"/>
  <c r="W301" i="1"/>
  <c r="Z301" i="1"/>
  <c r="AA301" i="1" s="1"/>
  <c r="AB301" i="1"/>
  <c r="AC301" i="1" s="1"/>
  <c r="W302" i="1"/>
  <c r="AA302" i="1" s="1"/>
  <c r="AB302" i="1" s="1"/>
  <c r="AC302" i="1" s="1"/>
  <c r="Z302" i="1"/>
  <c r="W303" i="1"/>
  <c r="Z303" i="1"/>
  <c r="W304" i="1"/>
  <c r="AA304" i="1" s="1"/>
  <c r="Z304" i="1"/>
  <c r="AB304" i="1"/>
  <c r="AC304" i="1" s="1"/>
  <c r="W305" i="1"/>
  <c r="Z305" i="1"/>
  <c r="AA305" i="1"/>
  <c r="AB305" i="1" s="1"/>
  <c r="AC305" i="1" s="1"/>
  <c r="W306" i="1"/>
  <c r="Z306" i="1"/>
  <c r="AA306" i="1"/>
  <c r="AB306" i="1" s="1"/>
  <c r="AC306" i="1" s="1"/>
  <c r="W307" i="1"/>
  <c r="AA307" i="1" s="1"/>
  <c r="Z307" i="1"/>
  <c r="AB307" i="1"/>
  <c r="AC307" i="1" s="1"/>
  <c r="W308" i="1"/>
  <c r="Z308" i="1"/>
  <c r="AA308" i="1"/>
  <c r="AB308" i="1" s="1"/>
  <c r="AC308" i="1" s="1"/>
  <c r="W309" i="1"/>
  <c r="Z309" i="1"/>
  <c r="AA309" i="1" s="1"/>
  <c r="AB309" i="1" s="1"/>
  <c r="AC309" i="1" s="1"/>
  <c r="W310" i="1"/>
  <c r="Z310" i="1"/>
  <c r="AA310" i="1" s="1"/>
  <c r="AB310" i="1" s="1"/>
  <c r="AC310" i="1" s="1"/>
  <c r="W311" i="1"/>
  <c r="Z311" i="1"/>
  <c r="W312" i="1"/>
  <c r="Z312" i="1"/>
  <c r="AA312" i="1"/>
  <c r="AB312" i="1"/>
  <c r="AC312" i="1" s="1"/>
  <c r="W313" i="1"/>
  <c r="Z313" i="1"/>
  <c r="AA313" i="1" s="1"/>
  <c r="AB313" i="1" s="1"/>
  <c r="AC313" i="1" s="1"/>
  <c r="W314" i="1"/>
  <c r="Z314" i="1"/>
  <c r="AA314" i="1"/>
  <c r="AB314" i="1" s="1"/>
  <c r="AC314" i="1" s="1"/>
  <c r="W315" i="1"/>
  <c r="Z315" i="1"/>
  <c r="W316" i="1"/>
  <c r="AA316" i="1" s="1"/>
  <c r="AB316" i="1" s="1"/>
  <c r="AC316" i="1" s="1"/>
  <c r="Z316" i="1"/>
  <c r="W317" i="1"/>
  <c r="Z317" i="1"/>
  <c r="AA317" i="1" s="1"/>
  <c r="AB317" i="1"/>
  <c r="AC317" i="1" s="1"/>
  <c r="W318" i="1"/>
  <c r="Z318" i="1"/>
  <c r="W319" i="1"/>
  <c r="Z319" i="1"/>
  <c r="W320" i="1"/>
  <c r="AA320" i="1" s="1"/>
  <c r="Z320" i="1"/>
  <c r="AB320" i="1"/>
  <c r="AC320" i="1"/>
  <c r="W321" i="1"/>
  <c r="Z321" i="1"/>
  <c r="AA321" i="1"/>
  <c r="AB321" i="1"/>
  <c r="AC321" i="1" s="1"/>
  <c r="W322" i="1"/>
  <c r="Z322" i="1"/>
  <c r="AA322" i="1"/>
  <c r="AB322" i="1" s="1"/>
  <c r="AC322" i="1"/>
  <c r="W323" i="1"/>
  <c r="AA323" i="1" s="1"/>
  <c r="Z323" i="1"/>
  <c r="AB323" i="1"/>
  <c r="AC323" i="1"/>
  <c r="W324" i="1"/>
  <c r="Z324" i="1"/>
  <c r="AA324" i="1"/>
  <c r="AB324" i="1"/>
  <c r="AC324" i="1" s="1"/>
  <c r="W325" i="1"/>
  <c r="Z325" i="1"/>
  <c r="AA325" i="1"/>
  <c r="AB325" i="1" s="1"/>
  <c r="AC325" i="1" s="1"/>
  <c r="W326" i="1"/>
  <c r="Z326" i="1"/>
  <c r="AA326" i="1"/>
  <c r="AB326" i="1" s="1"/>
  <c r="AC326" i="1" s="1"/>
  <c r="W327" i="1"/>
  <c r="Z327" i="1"/>
  <c r="W328" i="1"/>
  <c r="Z328" i="1"/>
  <c r="AA328" i="1"/>
  <c r="AB328" i="1" s="1"/>
  <c r="AC328" i="1" s="1"/>
  <c r="W329" i="1"/>
  <c r="Z329" i="1"/>
  <c r="AA329" i="1"/>
  <c r="AB329" i="1" s="1"/>
  <c r="AC329" i="1" s="1"/>
  <c r="W330" i="1"/>
  <c r="Z330" i="1"/>
  <c r="AA330" i="1"/>
  <c r="AB330" i="1" s="1"/>
  <c r="AC330" i="1" s="1"/>
  <c r="W331" i="1"/>
  <c r="AA331" i="1" s="1"/>
  <c r="AB331" i="1" s="1"/>
  <c r="AC331" i="1" s="1"/>
  <c r="Z331" i="1"/>
  <c r="W332" i="1"/>
  <c r="AA332" i="1" s="1"/>
  <c r="AB332" i="1" s="1"/>
  <c r="AC332" i="1" s="1"/>
  <c r="Z332" i="1"/>
  <c r="W333" i="1"/>
  <c r="Z333" i="1"/>
  <c r="AA333" i="1" s="1"/>
  <c r="AB333" i="1" s="1"/>
  <c r="AC333" i="1" s="1"/>
  <c r="W334" i="1"/>
  <c r="Z334" i="1"/>
  <c r="W335" i="1"/>
  <c r="Z335" i="1"/>
  <c r="W336" i="1"/>
  <c r="AA336" i="1" s="1"/>
  <c r="AB336" i="1" s="1"/>
  <c r="AC336" i="1" s="1"/>
  <c r="Z336" i="1"/>
  <c r="W337" i="1"/>
  <c r="Z337" i="1"/>
  <c r="AA337" i="1"/>
  <c r="AB337" i="1"/>
  <c r="AC337" i="1" s="1"/>
  <c r="W338" i="1"/>
  <c r="AA338" i="1" s="1"/>
  <c r="AB338" i="1" s="1"/>
  <c r="AC338" i="1" s="1"/>
  <c r="Z338" i="1"/>
  <c r="W339" i="1"/>
  <c r="AA339" i="1" s="1"/>
  <c r="AB339" i="1" s="1"/>
  <c r="AC339" i="1" s="1"/>
  <c r="Z339" i="1"/>
  <c r="W340" i="1"/>
  <c r="AA340" i="1" s="1"/>
  <c r="AB340" i="1" s="1"/>
  <c r="AC340" i="1" s="1"/>
  <c r="Z340" i="1"/>
  <c r="W341" i="1"/>
  <c r="Z341" i="1"/>
  <c r="AA341" i="1"/>
  <c r="AB341" i="1"/>
  <c r="AC341" i="1" s="1"/>
  <c r="W342" i="1"/>
  <c r="Z342" i="1"/>
  <c r="AA342" i="1"/>
  <c r="AB342" i="1" s="1"/>
  <c r="AC342" i="1"/>
  <c r="W343" i="1"/>
  <c r="Z343" i="1"/>
  <c r="W344" i="1"/>
  <c r="Z344" i="1"/>
  <c r="AA344" i="1"/>
  <c r="AB344" i="1"/>
  <c r="AC344" i="1" s="1"/>
  <c r="W345" i="1"/>
  <c r="Z345" i="1"/>
  <c r="AA345" i="1"/>
  <c r="AB345" i="1" s="1"/>
  <c r="AC345" i="1" s="1"/>
  <c r="W346" i="1"/>
  <c r="AA346" i="1" s="1"/>
  <c r="AB346" i="1" s="1"/>
  <c r="AC346" i="1" s="1"/>
  <c r="Z346" i="1"/>
  <c r="W347" i="1"/>
  <c r="AA347" i="1" s="1"/>
  <c r="AB347" i="1" s="1"/>
  <c r="AC347" i="1" s="1"/>
  <c r="Z347" i="1"/>
  <c r="W348" i="1"/>
  <c r="AA348" i="1" s="1"/>
  <c r="AB348" i="1" s="1"/>
  <c r="AC348" i="1" s="1"/>
  <c r="Z348" i="1"/>
  <c r="W349" i="1"/>
  <c r="Z349" i="1"/>
  <c r="AA349" i="1"/>
  <c r="AB349" i="1"/>
  <c r="AC349" i="1" s="1"/>
  <c r="W350" i="1"/>
  <c r="Z350" i="1"/>
  <c r="AA350" i="1"/>
  <c r="AB350" i="1" s="1"/>
  <c r="AC350" i="1"/>
  <c r="W351" i="1"/>
  <c r="Z351" i="1"/>
  <c r="W352" i="1"/>
  <c r="Z352" i="1"/>
  <c r="AA352" i="1"/>
  <c r="AB352" i="1"/>
  <c r="AC352" i="1" s="1"/>
  <c r="W353" i="1"/>
  <c r="Z353" i="1"/>
  <c r="AA353" i="1"/>
  <c r="AB353" i="1" s="1"/>
  <c r="AC353" i="1" s="1"/>
  <c r="W354" i="1"/>
  <c r="Z354" i="1"/>
  <c r="AA354" i="1"/>
  <c r="AB354" i="1" s="1"/>
  <c r="AC354" i="1" s="1"/>
  <c r="W355" i="1"/>
  <c r="Z355" i="1"/>
  <c r="W356" i="1"/>
  <c r="Z356" i="1"/>
  <c r="AA356" i="1"/>
  <c r="AB356" i="1" s="1"/>
  <c r="AC356" i="1" s="1"/>
  <c r="W357" i="1"/>
  <c r="Z357" i="1"/>
  <c r="AA357" i="1" s="1"/>
  <c r="AB357" i="1" s="1"/>
  <c r="AC357" i="1" s="1"/>
  <c r="W358" i="1"/>
  <c r="AA358" i="1" s="1"/>
  <c r="AB358" i="1" s="1"/>
  <c r="AC358" i="1" s="1"/>
  <c r="Z358" i="1"/>
  <c r="W359" i="1"/>
  <c r="Z359" i="1"/>
  <c r="W360" i="1"/>
  <c r="AA360" i="1" s="1"/>
  <c r="AB360" i="1" s="1"/>
  <c r="AC360" i="1" s="1"/>
  <c r="Z360" i="1"/>
  <c r="W361" i="1"/>
  <c r="Z361" i="1"/>
  <c r="AA361" i="1"/>
  <c r="AB361" i="1"/>
  <c r="AC361" i="1" s="1"/>
  <c r="W362" i="1"/>
  <c r="AA362" i="1" s="1"/>
  <c r="AB362" i="1" s="1"/>
  <c r="AC362" i="1" s="1"/>
  <c r="Z362" i="1"/>
  <c r="W363" i="1"/>
  <c r="AA363" i="1" s="1"/>
  <c r="AB363" i="1" s="1"/>
  <c r="AC363" i="1" s="1"/>
  <c r="Z363" i="1"/>
  <c r="W364" i="1"/>
  <c r="AA364" i="1" s="1"/>
  <c r="AB364" i="1" s="1"/>
  <c r="Z364" i="1"/>
  <c r="AC364" i="1"/>
  <c r="W365" i="1"/>
  <c r="Z365" i="1"/>
  <c r="AA365" i="1"/>
  <c r="AB365" i="1"/>
  <c r="AC365" i="1" s="1"/>
  <c r="W366" i="1"/>
  <c r="Z366" i="1"/>
  <c r="AA366" i="1"/>
  <c r="AB366" i="1" s="1"/>
  <c r="AC366" i="1"/>
  <c r="W367" i="1"/>
  <c r="Z367" i="1"/>
  <c r="W368" i="1"/>
  <c r="Z368" i="1"/>
  <c r="AA368" i="1"/>
  <c r="AB368" i="1"/>
  <c r="AC368" i="1" s="1"/>
  <c r="W369" i="1"/>
  <c r="Z369" i="1"/>
  <c r="AA369" i="1"/>
  <c r="AB369" i="1" s="1"/>
  <c r="AC369" i="1" s="1"/>
  <c r="W370" i="1"/>
  <c r="Z370" i="1"/>
  <c r="AA370" i="1"/>
  <c r="AB370" i="1" s="1"/>
  <c r="AC370" i="1" s="1"/>
  <c r="W371" i="1"/>
  <c r="Z371" i="1"/>
  <c r="W372" i="1"/>
  <c r="Z372" i="1"/>
  <c r="AA372" i="1"/>
  <c r="AB372" i="1" s="1"/>
  <c r="AC372" i="1" s="1"/>
  <c r="W373" i="1"/>
  <c r="Z373" i="1"/>
  <c r="AA373" i="1" s="1"/>
  <c r="AB373" i="1" s="1"/>
  <c r="AC373" i="1" s="1"/>
  <c r="W374" i="1"/>
  <c r="Z374" i="1"/>
  <c r="W375" i="1"/>
  <c r="Z375" i="1"/>
  <c r="W376" i="1"/>
  <c r="AA376" i="1" s="1"/>
  <c r="AB376" i="1" s="1"/>
  <c r="AC376" i="1" s="1"/>
  <c r="Z376" i="1"/>
  <c r="W377" i="1"/>
  <c r="Z377" i="1"/>
  <c r="AA377" i="1"/>
  <c r="AB377" i="1"/>
  <c r="AC377" i="1" s="1"/>
  <c r="W378" i="1"/>
  <c r="AA378" i="1" s="1"/>
  <c r="AB378" i="1" s="1"/>
  <c r="AC378" i="1" s="1"/>
  <c r="Z378" i="1"/>
  <c r="W379" i="1"/>
  <c r="AA379" i="1" s="1"/>
  <c r="AB379" i="1" s="1"/>
  <c r="AC379" i="1" s="1"/>
  <c r="Z379" i="1"/>
  <c r="W380" i="1"/>
  <c r="AA380" i="1" s="1"/>
  <c r="AB380" i="1" s="1"/>
  <c r="AC380" i="1" s="1"/>
  <c r="Z380" i="1"/>
  <c r="W381" i="1"/>
  <c r="Z381" i="1"/>
  <c r="AA381" i="1"/>
  <c r="AB381" i="1"/>
  <c r="AC381" i="1" s="1"/>
  <c r="W382" i="1"/>
  <c r="Z382" i="1"/>
  <c r="AA382" i="1"/>
  <c r="AB382" i="1" s="1"/>
  <c r="AC382" i="1"/>
  <c r="W383" i="1"/>
  <c r="Z383" i="1"/>
  <c r="W384" i="1"/>
  <c r="Z384" i="1"/>
  <c r="AA384" i="1"/>
  <c r="AB384" i="1"/>
  <c r="AC384" i="1" s="1"/>
  <c r="W385" i="1"/>
  <c r="Z385" i="1"/>
  <c r="AA385" i="1"/>
  <c r="AB385" i="1" s="1"/>
  <c r="AC385" i="1" s="1"/>
  <c r="W386" i="1"/>
  <c r="Z386" i="1"/>
  <c r="AA386" i="1"/>
  <c r="AB386" i="1" s="1"/>
  <c r="AC386" i="1" s="1"/>
  <c r="W387" i="1"/>
  <c r="Z387" i="1"/>
  <c r="W388" i="1"/>
  <c r="Z388" i="1"/>
  <c r="AA388" i="1"/>
  <c r="AB388" i="1" s="1"/>
  <c r="AC388" i="1" s="1"/>
  <c r="W389" i="1"/>
  <c r="Z389" i="1"/>
  <c r="AA389" i="1" s="1"/>
  <c r="AB389" i="1" s="1"/>
  <c r="AC389" i="1" s="1"/>
  <c r="W390" i="1"/>
  <c r="AA390" i="1" s="1"/>
  <c r="AB390" i="1" s="1"/>
  <c r="AC390" i="1" s="1"/>
  <c r="Z390" i="1"/>
  <c r="W391" i="1"/>
  <c r="Z391" i="1"/>
  <c r="W392" i="1"/>
  <c r="AA392" i="1" s="1"/>
  <c r="AB392" i="1" s="1"/>
  <c r="AC392" i="1" s="1"/>
  <c r="Z392" i="1"/>
  <c r="W393" i="1"/>
  <c r="Z393" i="1"/>
  <c r="AA393" i="1"/>
  <c r="AB393" i="1"/>
  <c r="AC393" i="1" s="1"/>
  <c r="W394" i="1"/>
  <c r="AA394" i="1" s="1"/>
  <c r="AB394" i="1" s="1"/>
  <c r="AC394" i="1" s="1"/>
  <c r="Z394" i="1"/>
  <c r="W395" i="1"/>
  <c r="AA395" i="1" s="1"/>
  <c r="AB395" i="1" s="1"/>
  <c r="AC395" i="1" s="1"/>
  <c r="Z395" i="1"/>
  <c r="W396" i="1"/>
  <c r="AA396" i="1" s="1"/>
  <c r="AB396" i="1" s="1"/>
  <c r="Z396" i="1"/>
  <c r="AC396" i="1"/>
  <c r="W397" i="1"/>
  <c r="Z397" i="1"/>
  <c r="AA397" i="1"/>
  <c r="AB397" i="1"/>
  <c r="AC397" i="1" s="1"/>
  <c r="W398" i="1"/>
  <c r="Z398" i="1"/>
  <c r="AA398" i="1"/>
  <c r="AB398" i="1" s="1"/>
  <c r="AC398" i="1"/>
  <c r="W399" i="1"/>
  <c r="Z399" i="1"/>
  <c r="W400" i="1"/>
  <c r="Z400" i="1"/>
  <c r="AA400" i="1"/>
  <c r="AB400" i="1"/>
  <c r="AC400" i="1" s="1"/>
  <c r="W401" i="1"/>
  <c r="Z401" i="1"/>
  <c r="AA401" i="1"/>
  <c r="AB401" i="1" s="1"/>
  <c r="AC401" i="1" s="1"/>
  <c r="W402" i="1"/>
  <c r="Z402" i="1"/>
  <c r="AA402" i="1"/>
  <c r="AB402" i="1" s="1"/>
  <c r="AC402" i="1" s="1"/>
  <c r="W403" i="1"/>
  <c r="Z403" i="1"/>
  <c r="W404" i="1"/>
  <c r="Z404" i="1"/>
  <c r="AA404" i="1"/>
  <c r="AB404" i="1" s="1"/>
  <c r="AC404" i="1" s="1"/>
  <c r="W405" i="1"/>
  <c r="Z405" i="1"/>
  <c r="AA405" i="1" s="1"/>
  <c r="AB405" i="1" s="1"/>
  <c r="AC405" i="1" s="1"/>
  <c r="W406" i="1"/>
  <c r="Z406" i="1"/>
  <c r="W407" i="1"/>
  <c r="Z407" i="1"/>
  <c r="W408" i="1"/>
  <c r="AA408" i="1" s="1"/>
  <c r="AB408" i="1" s="1"/>
  <c r="AC408" i="1" s="1"/>
  <c r="Z408" i="1"/>
  <c r="W409" i="1"/>
  <c r="Z409" i="1"/>
  <c r="AA409" i="1"/>
  <c r="AB409" i="1"/>
  <c r="AC409" i="1" s="1"/>
  <c r="W410" i="1"/>
  <c r="AA410" i="1" s="1"/>
  <c r="AB410" i="1" s="1"/>
  <c r="AC410" i="1" s="1"/>
  <c r="Z410" i="1"/>
  <c r="W411" i="1"/>
  <c r="AA411" i="1" s="1"/>
  <c r="AB411" i="1" s="1"/>
  <c r="AC411" i="1" s="1"/>
  <c r="Z411" i="1"/>
  <c r="W412" i="1"/>
  <c r="AA412" i="1" s="1"/>
  <c r="AB412" i="1" s="1"/>
  <c r="AC412" i="1" s="1"/>
  <c r="Z412" i="1"/>
  <c r="W413" i="1"/>
  <c r="Z413" i="1"/>
  <c r="AA413" i="1"/>
  <c r="AB413" i="1"/>
  <c r="AC413" i="1" s="1"/>
  <c r="W414" i="1"/>
  <c r="Z414" i="1"/>
  <c r="AA414" i="1"/>
  <c r="AB414" i="1" s="1"/>
  <c r="AC414" i="1"/>
  <c r="W415" i="1"/>
  <c r="Z415" i="1"/>
  <c r="W416" i="1"/>
  <c r="Z416" i="1"/>
  <c r="AA416" i="1"/>
  <c r="AB416" i="1"/>
  <c r="AC416" i="1" s="1"/>
  <c r="W417" i="1"/>
  <c r="Z417" i="1"/>
  <c r="AA417" i="1"/>
  <c r="AB417" i="1" s="1"/>
  <c r="AC417" i="1" s="1"/>
  <c r="W418" i="1"/>
  <c r="Z418" i="1"/>
  <c r="AA418" i="1"/>
  <c r="AB418" i="1" s="1"/>
  <c r="AC418" i="1" s="1"/>
  <c r="W419" i="1"/>
  <c r="Z419" i="1"/>
  <c r="W420" i="1"/>
  <c r="Z420" i="1"/>
  <c r="AA420" i="1"/>
  <c r="AB420" i="1" s="1"/>
  <c r="AC420" i="1" s="1"/>
  <c r="W421" i="1"/>
  <c r="Z421" i="1"/>
  <c r="AA421" i="1" s="1"/>
  <c r="AB421" i="1" s="1"/>
  <c r="AC421" i="1" s="1"/>
  <c r="W422" i="1"/>
  <c r="AA422" i="1" s="1"/>
  <c r="AB422" i="1" s="1"/>
  <c r="AC422" i="1" s="1"/>
  <c r="Z422" i="1"/>
  <c r="W423" i="1"/>
  <c r="Z423" i="1"/>
  <c r="W424" i="1"/>
  <c r="AA424" i="1" s="1"/>
  <c r="AB424" i="1" s="1"/>
  <c r="AC424" i="1" s="1"/>
  <c r="Z424" i="1"/>
  <c r="W425" i="1"/>
  <c r="Z425" i="1"/>
  <c r="AA425" i="1"/>
  <c r="AB425" i="1"/>
  <c r="AC425" i="1" s="1"/>
  <c r="W426" i="1"/>
  <c r="AA426" i="1" s="1"/>
  <c r="AB426" i="1" s="1"/>
  <c r="AC426" i="1" s="1"/>
  <c r="Z426" i="1"/>
  <c r="W427" i="1"/>
  <c r="AA427" i="1" s="1"/>
  <c r="AB427" i="1" s="1"/>
  <c r="AC427" i="1" s="1"/>
  <c r="Z427" i="1"/>
  <c r="W428" i="1"/>
  <c r="AA428" i="1" s="1"/>
  <c r="AB428" i="1" s="1"/>
  <c r="Z428" i="1"/>
  <c r="AC428" i="1"/>
  <c r="W429" i="1"/>
  <c r="Z429" i="1"/>
  <c r="AA429" i="1"/>
  <c r="AB429" i="1"/>
  <c r="AC429" i="1" s="1"/>
  <c r="W430" i="1"/>
  <c r="Z430" i="1"/>
  <c r="AA430" i="1"/>
  <c r="AB430" i="1" s="1"/>
  <c r="AC430" i="1"/>
  <c r="W431" i="1"/>
  <c r="Z431" i="1"/>
  <c r="W432" i="1"/>
  <c r="Z432" i="1"/>
  <c r="AA432" i="1"/>
  <c r="AB432" i="1"/>
  <c r="AC432" i="1" s="1"/>
  <c r="W433" i="1"/>
  <c r="Z433" i="1"/>
  <c r="AA433" i="1"/>
  <c r="AB433" i="1" s="1"/>
  <c r="AC433" i="1" s="1"/>
  <c r="W434" i="1"/>
  <c r="Z434" i="1"/>
  <c r="AA434" i="1"/>
  <c r="AB434" i="1" s="1"/>
  <c r="AC434" i="1" s="1"/>
  <c r="W435" i="1"/>
  <c r="Z435" i="1"/>
  <c r="W436" i="1"/>
  <c r="Z436" i="1"/>
  <c r="AA436" i="1"/>
  <c r="AB436" i="1" s="1"/>
  <c r="AC436" i="1" s="1"/>
  <c r="W437" i="1"/>
  <c r="Z437" i="1"/>
  <c r="AA437" i="1" s="1"/>
  <c r="AB437" i="1" s="1"/>
  <c r="AC437" i="1" s="1"/>
  <c r="W438" i="1"/>
  <c r="Z438" i="1"/>
  <c r="W439" i="1"/>
  <c r="Z439" i="1"/>
  <c r="W440" i="1"/>
  <c r="AA440" i="1" s="1"/>
  <c r="AB440" i="1" s="1"/>
  <c r="AC440" i="1" s="1"/>
  <c r="Z440" i="1"/>
  <c r="W441" i="1"/>
  <c r="Z441" i="1"/>
  <c r="AA441" i="1"/>
  <c r="AB441" i="1"/>
  <c r="AC441" i="1" s="1"/>
  <c r="W442" i="1"/>
  <c r="AA442" i="1" s="1"/>
  <c r="AB442" i="1" s="1"/>
  <c r="AC442" i="1" s="1"/>
  <c r="Z442" i="1"/>
  <c r="W443" i="1"/>
  <c r="AA443" i="1" s="1"/>
  <c r="AB443" i="1" s="1"/>
  <c r="AC443" i="1" s="1"/>
  <c r="Z443" i="1"/>
  <c r="W444" i="1"/>
  <c r="AA444" i="1" s="1"/>
  <c r="AB444" i="1" s="1"/>
  <c r="AC444" i="1" s="1"/>
  <c r="Z444" i="1"/>
  <c r="W445" i="1"/>
  <c r="Z445" i="1"/>
  <c r="AA445" i="1"/>
  <c r="AB445" i="1"/>
  <c r="AC445" i="1" s="1"/>
  <c r="W446" i="1"/>
  <c r="Z446" i="1"/>
  <c r="AA446" i="1"/>
  <c r="AB446" i="1" s="1"/>
  <c r="AC446" i="1"/>
  <c r="W447" i="1"/>
  <c r="Z447" i="1"/>
  <c r="W448" i="1"/>
  <c r="U448" i="1"/>
  <c r="Z448" i="1"/>
  <c r="AA448" i="1"/>
  <c r="AB448" i="1" s="1"/>
  <c r="AC448" i="1" s="1"/>
  <c r="W449" i="1"/>
  <c r="Z449" i="1"/>
  <c r="AA449" i="1"/>
  <c r="AB449" i="1" s="1"/>
  <c r="AC449" i="1" s="1"/>
  <c r="W450" i="1"/>
  <c r="Z450" i="1"/>
  <c r="W451" i="1"/>
  <c r="Z451" i="1"/>
  <c r="AA451" i="1"/>
  <c r="AB451" i="1" s="1"/>
  <c r="AC451" i="1" s="1"/>
  <c r="W452" i="1"/>
  <c r="Z452" i="1"/>
  <c r="AA452" i="1" s="1"/>
  <c r="AB452" i="1" s="1"/>
  <c r="AC452" i="1" s="1"/>
  <c r="W453" i="1"/>
  <c r="U453" i="1"/>
  <c r="Z453" i="1"/>
  <c r="W454" i="1"/>
  <c r="AA454" i="1" s="1"/>
  <c r="AB454" i="1" s="1"/>
  <c r="AC454" i="1" s="1"/>
  <c r="Z454" i="1"/>
  <c r="W455" i="1"/>
  <c r="Z455" i="1"/>
  <c r="AA455" i="1"/>
  <c r="AB455" i="1"/>
  <c r="AC455" i="1" s="1"/>
  <c r="W456" i="1"/>
  <c r="U456" i="1"/>
  <c r="Z456" i="1"/>
  <c r="W457" i="1"/>
  <c r="AA457" i="1" s="1"/>
  <c r="AB457" i="1" s="1"/>
  <c r="AC457" i="1" s="1"/>
  <c r="U457" i="1"/>
  <c r="Z457" i="1"/>
  <c r="W458" i="1"/>
  <c r="U458" i="1"/>
  <c r="Z458" i="1"/>
  <c r="W459" i="1"/>
  <c r="AA459" i="1" s="1"/>
  <c r="AB459" i="1" s="1"/>
  <c r="Z459" i="1"/>
  <c r="AC459" i="1"/>
  <c r="W460" i="1"/>
  <c r="U460" i="1"/>
  <c r="Z460" i="1"/>
  <c r="AA460" i="1"/>
  <c r="AB460" i="1" s="1"/>
  <c r="AC460" i="1" s="1"/>
  <c r="W461" i="1"/>
  <c r="Z461" i="1"/>
  <c r="W462" i="1"/>
  <c r="Z462" i="1"/>
  <c r="AA462" i="1"/>
  <c r="AB462" i="1" s="1"/>
  <c r="AC462" i="1" s="1"/>
  <c r="W463" i="1"/>
  <c r="Z463" i="1"/>
  <c r="AA463" i="1" s="1"/>
  <c r="AB463" i="1" s="1"/>
  <c r="AC463" i="1" s="1"/>
  <c r="W464" i="1"/>
  <c r="AA464" i="1" s="1"/>
  <c r="AB464" i="1" s="1"/>
  <c r="AC464" i="1" s="1"/>
  <c r="Z464" i="1"/>
  <c r="W465" i="1"/>
  <c r="Z465" i="1"/>
  <c r="W466" i="1"/>
  <c r="AA466" i="1" s="1"/>
  <c r="AB466" i="1" s="1"/>
  <c r="AC466" i="1" s="1"/>
  <c r="Z466" i="1"/>
  <c r="W467" i="1"/>
  <c r="Z467" i="1"/>
  <c r="AA467" i="1"/>
  <c r="AB467" i="1"/>
  <c r="AC467" i="1" s="1"/>
  <c r="W468" i="1"/>
  <c r="AA468" i="1" s="1"/>
  <c r="AB468" i="1" s="1"/>
  <c r="AC468" i="1" s="1"/>
  <c r="Z468" i="1"/>
  <c r="W469" i="1"/>
  <c r="AA469" i="1" s="1"/>
  <c r="AB469" i="1" s="1"/>
  <c r="AC469" i="1" s="1"/>
  <c r="Z469" i="1"/>
  <c r="W470" i="1"/>
  <c r="AA470" i="1" s="1"/>
  <c r="AB470" i="1" s="1"/>
  <c r="Z470" i="1"/>
  <c r="AC470" i="1"/>
  <c r="W471" i="1"/>
  <c r="U471" i="1"/>
  <c r="Z471" i="1"/>
  <c r="AA471" i="1"/>
  <c r="AB471" i="1" s="1"/>
  <c r="AC471" i="1" s="1"/>
  <c r="W472" i="1"/>
  <c r="AA472" i="1" s="1"/>
  <c r="AB472" i="1" s="1"/>
  <c r="AC472" i="1" s="1"/>
  <c r="U472" i="1"/>
  <c r="Z472" i="1"/>
  <c r="W473" i="1"/>
  <c r="U473" i="1"/>
  <c r="Z473" i="1"/>
  <c r="AA473" i="1"/>
  <c r="AB473" i="1" s="1"/>
  <c r="AC473" i="1"/>
  <c r="W474" i="1"/>
  <c r="Z474" i="1"/>
  <c r="W475" i="1"/>
  <c r="Z475" i="1"/>
  <c r="AA475" i="1"/>
  <c r="AB475" i="1"/>
  <c r="AC475" i="1" s="1"/>
  <c r="W476" i="1"/>
  <c r="U476" i="1"/>
  <c r="Z476" i="1"/>
  <c r="W477" i="1"/>
  <c r="U477" i="1"/>
  <c r="Z477" i="1"/>
  <c r="W478" i="1"/>
  <c r="U478" i="1"/>
  <c r="Z478" i="1"/>
  <c r="AA478" i="1"/>
  <c r="AB478" i="1" s="1"/>
  <c r="AC478" i="1" s="1"/>
  <c r="W479" i="1"/>
  <c r="AA479" i="1" s="1"/>
  <c r="AB479" i="1" s="1"/>
  <c r="AC479" i="1" s="1"/>
  <c r="U479" i="1"/>
  <c r="Z479" i="1"/>
  <c r="W480" i="1"/>
  <c r="U480" i="1"/>
  <c r="Z480" i="1"/>
  <c r="AA480" i="1"/>
  <c r="AB480" i="1" s="1"/>
  <c r="AC480" i="1"/>
  <c r="W481" i="1"/>
  <c r="Z481" i="1"/>
  <c r="W482" i="1"/>
  <c r="Z482" i="1"/>
  <c r="AA482" i="1"/>
  <c r="AB482" i="1"/>
  <c r="AC482" i="1" s="1"/>
  <c r="W483" i="1"/>
  <c r="Z483" i="1"/>
  <c r="AA483" i="1"/>
  <c r="AB483" i="1" s="1"/>
  <c r="AC483" i="1" s="1"/>
  <c r="W484" i="1"/>
  <c r="U484" i="1"/>
  <c r="Z484" i="1"/>
  <c r="W485" i="1"/>
  <c r="AA485" i="1" s="1"/>
  <c r="AB485" i="1" s="1"/>
  <c r="AC485" i="1" s="1"/>
  <c r="Z485" i="1"/>
  <c r="W486" i="1"/>
  <c r="Z486" i="1"/>
  <c r="AA486" i="1"/>
  <c r="AB486" i="1"/>
  <c r="AC486" i="1" s="1"/>
  <c r="W487" i="1"/>
  <c r="AA487" i="1" s="1"/>
  <c r="AB487" i="1" s="1"/>
  <c r="AC487" i="1" s="1"/>
  <c r="Z487" i="1"/>
  <c r="W488" i="1"/>
  <c r="AA488" i="1" s="1"/>
  <c r="AB488" i="1" s="1"/>
  <c r="AC488" i="1" s="1"/>
  <c r="Z488" i="1"/>
  <c r="W489" i="1"/>
  <c r="AA489" i="1" s="1"/>
  <c r="AB489" i="1" s="1"/>
  <c r="Z489" i="1"/>
  <c r="AC489" i="1"/>
  <c r="W490" i="1"/>
  <c r="Z490" i="1"/>
  <c r="AA490" i="1"/>
  <c r="AB490" i="1"/>
  <c r="AC490" i="1" s="1"/>
  <c r="W491" i="1"/>
  <c r="Z491" i="1"/>
  <c r="AA491" i="1"/>
  <c r="AB491" i="1" s="1"/>
  <c r="AC491" i="1"/>
  <c r="W492" i="1"/>
  <c r="Z492" i="1"/>
  <c r="W493" i="1"/>
  <c r="Z493" i="1"/>
  <c r="AA493" i="1"/>
  <c r="AB493" i="1"/>
  <c r="AC493" i="1" s="1"/>
  <c r="W494" i="1"/>
  <c r="Z494" i="1"/>
  <c r="AA494" i="1"/>
  <c r="AB494" i="1" s="1"/>
  <c r="AC494" i="1" s="1"/>
  <c r="W495" i="1"/>
  <c r="Z495" i="1"/>
  <c r="AA495" i="1"/>
  <c r="AB495" i="1" s="1"/>
  <c r="AC495" i="1" s="1"/>
  <c r="W496" i="1"/>
  <c r="Z496" i="1"/>
  <c r="W497" i="1"/>
  <c r="Z497" i="1"/>
  <c r="AA497" i="1"/>
  <c r="AB497" i="1" s="1"/>
  <c r="AC497" i="1" s="1"/>
  <c r="W498" i="1"/>
  <c r="Z498" i="1"/>
  <c r="AA498" i="1" s="1"/>
  <c r="AB498" i="1" s="1"/>
  <c r="AC498" i="1" s="1"/>
  <c r="W499" i="1"/>
  <c r="U499" i="1"/>
  <c r="Z499" i="1"/>
  <c r="W500" i="1"/>
  <c r="AA500" i="1" s="1"/>
  <c r="AB500" i="1" s="1"/>
  <c r="Z500" i="1"/>
  <c r="AC500" i="1"/>
  <c r="W501" i="1"/>
  <c r="U501" i="1"/>
  <c r="Z501" i="1"/>
  <c r="AA501" i="1"/>
  <c r="AB501" i="1" s="1"/>
  <c r="AC501" i="1" s="1"/>
  <c r="W502" i="1"/>
  <c r="Z502" i="1"/>
  <c r="W503" i="1"/>
  <c r="Z503" i="1"/>
  <c r="AA503" i="1"/>
  <c r="AB503" i="1" s="1"/>
  <c r="AC503" i="1" s="1"/>
  <c r="W504" i="1"/>
  <c r="Z504" i="1"/>
  <c r="AA504" i="1" s="1"/>
  <c r="AB504" i="1" s="1"/>
  <c r="AC504" i="1" s="1"/>
  <c r="W505" i="1"/>
  <c r="AA505" i="1" s="1"/>
  <c r="AB505" i="1" s="1"/>
  <c r="AC505" i="1" s="1"/>
  <c r="Z505" i="1"/>
  <c r="W506" i="1"/>
  <c r="AA506" i="1" s="1"/>
  <c r="AB506" i="1" s="1"/>
  <c r="AC506" i="1" s="1"/>
  <c r="U506" i="1"/>
  <c r="Z506" i="1"/>
  <c r="W507" i="1"/>
  <c r="U507" i="1"/>
  <c r="Z507" i="1"/>
  <c r="AA507" i="1"/>
  <c r="AB507" i="1" s="1"/>
  <c r="AC507" i="1" s="1"/>
  <c r="W508" i="1"/>
  <c r="Z508" i="1"/>
  <c r="W509" i="1"/>
  <c r="Z509" i="1"/>
  <c r="AA509" i="1"/>
  <c r="AB509" i="1" s="1"/>
  <c r="AC509" i="1" s="1"/>
  <c r="W510" i="1"/>
  <c r="Z510" i="1"/>
  <c r="AA510" i="1" s="1"/>
  <c r="AB510" i="1" s="1"/>
  <c r="AC510" i="1" s="1"/>
  <c r="W511" i="1"/>
  <c r="AA511" i="1" s="1"/>
  <c r="AB511" i="1" s="1"/>
  <c r="AC511" i="1" s="1"/>
  <c r="Z511" i="1"/>
  <c r="W512" i="1"/>
  <c r="Z512" i="1"/>
  <c r="W513" i="1"/>
  <c r="AA513" i="1" s="1"/>
  <c r="AB513" i="1" s="1"/>
  <c r="AC513" i="1" s="1"/>
  <c r="Z513" i="1"/>
  <c r="W514" i="1"/>
  <c r="Z514" i="1"/>
  <c r="AA514" i="1"/>
  <c r="AB514" i="1"/>
  <c r="AC514" i="1" s="1"/>
  <c r="W515" i="1"/>
  <c r="AA515" i="1" s="1"/>
  <c r="AB515" i="1" s="1"/>
  <c r="AC515" i="1" s="1"/>
  <c r="Z515" i="1"/>
  <c r="W516" i="1"/>
  <c r="AA516" i="1" s="1"/>
  <c r="AB516" i="1" s="1"/>
  <c r="AC516" i="1" s="1"/>
  <c r="Z516" i="1"/>
  <c r="W517" i="1"/>
  <c r="AA517" i="1" s="1"/>
  <c r="AB517" i="1" s="1"/>
  <c r="AC517" i="1" s="1"/>
  <c r="Z517" i="1"/>
  <c r="W518" i="1"/>
  <c r="Z518" i="1"/>
  <c r="AA518" i="1"/>
  <c r="AB518" i="1"/>
  <c r="AC518" i="1" s="1"/>
  <c r="W519" i="1"/>
  <c r="Z519" i="1"/>
  <c r="AA519" i="1"/>
  <c r="AB519" i="1" s="1"/>
  <c r="AC519" i="1" s="1"/>
  <c r="W520" i="1"/>
  <c r="AA520" i="1" s="1"/>
  <c r="AB520" i="1" s="1"/>
  <c r="AC520" i="1" s="1"/>
  <c r="Z520" i="1"/>
  <c r="W521" i="1"/>
  <c r="AA521" i="1" s="1"/>
  <c r="AB521" i="1" s="1"/>
  <c r="AC521" i="1" s="1"/>
  <c r="Z521" i="1"/>
  <c r="W522" i="1"/>
  <c r="Z522" i="1"/>
  <c r="AA522" i="1"/>
  <c r="AB522" i="1"/>
  <c r="AC522" i="1" s="1"/>
  <c r="W523" i="1"/>
  <c r="Z523" i="1"/>
  <c r="AA523" i="1"/>
  <c r="AB523" i="1" s="1"/>
  <c r="AC523" i="1" s="1"/>
  <c r="W524" i="1"/>
  <c r="AA524" i="1" s="1"/>
  <c r="AB524" i="1" s="1"/>
  <c r="AC524" i="1" s="1"/>
  <c r="Z524" i="1"/>
  <c r="W525" i="1"/>
  <c r="AA525" i="1" s="1"/>
  <c r="AB525" i="1" s="1"/>
  <c r="AC525" i="1" s="1"/>
  <c r="Z525" i="1"/>
  <c r="W526" i="1"/>
  <c r="Z526" i="1"/>
  <c r="AA526" i="1"/>
  <c r="AB526" i="1"/>
  <c r="AC526" i="1" s="1"/>
  <c r="W527" i="1"/>
  <c r="Z527" i="1"/>
  <c r="AA527" i="1"/>
  <c r="AB527" i="1" s="1"/>
  <c r="AC527" i="1" s="1"/>
  <c r="W528" i="1"/>
  <c r="AA528" i="1" s="1"/>
  <c r="AB528" i="1" s="1"/>
  <c r="AC528" i="1" s="1"/>
  <c r="Z528" i="1"/>
  <c r="W529" i="1"/>
  <c r="AA529" i="1" s="1"/>
  <c r="AB529" i="1" s="1"/>
  <c r="AC529" i="1" s="1"/>
  <c r="Z529" i="1"/>
  <c r="W530" i="1"/>
  <c r="Z530" i="1"/>
  <c r="AA530" i="1"/>
  <c r="AB530" i="1"/>
  <c r="AC530" i="1" s="1"/>
  <c r="W531" i="1"/>
  <c r="Z531" i="1"/>
  <c r="AA531" i="1"/>
  <c r="AB531" i="1" s="1"/>
  <c r="AC531" i="1" s="1"/>
  <c r="W532" i="1"/>
  <c r="AA532" i="1" s="1"/>
  <c r="AB532" i="1" s="1"/>
  <c r="AC532" i="1" s="1"/>
  <c r="Z532" i="1"/>
  <c r="W533" i="1"/>
  <c r="AA533" i="1" s="1"/>
  <c r="AB533" i="1" s="1"/>
  <c r="AC533" i="1" s="1"/>
  <c r="Z533" i="1"/>
  <c r="W534" i="1"/>
  <c r="Z534" i="1"/>
  <c r="AA534" i="1"/>
  <c r="AB534" i="1"/>
  <c r="AC534" i="1" s="1"/>
  <c r="W535" i="1"/>
  <c r="Z535" i="1"/>
  <c r="AA535" i="1"/>
  <c r="AB535" i="1" s="1"/>
  <c r="AC535" i="1" s="1"/>
  <c r="W536" i="1"/>
  <c r="AA536" i="1" s="1"/>
  <c r="AB536" i="1" s="1"/>
  <c r="AC536" i="1" s="1"/>
  <c r="Z536" i="1"/>
  <c r="W537" i="1"/>
  <c r="AA537" i="1" s="1"/>
  <c r="AB537" i="1" s="1"/>
  <c r="AC537" i="1" s="1"/>
  <c r="Z537" i="1"/>
  <c r="W538" i="1"/>
  <c r="Z538" i="1"/>
  <c r="AA538" i="1"/>
  <c r="AB538" i="1"/>
  <c r="AC538" i="1" s="1"/>
  <c r="W539" i="1"/>
  <c r="Z539" i="1"/>
  <c r="AA539" i="1"/>
  <c r="AB539" i="1" s="1"/>
  <c r="AC539" i="1" s="1"/>
  <c r="W540" i="1"/>
  <c r="AA540" i="1" s="1"/>
  <c r="AB540" i="1" s="1"/>
  <c r="AC540" i="1" s="1"/>
  <c r="Z540" i="1"/>
  <c r="W541" i="1"/>
  <c r="AA541" i="1" s="1"/>
  <c r="AB541" i="1" s="1"/>
  <c r="AC541" i="1" s="1"/>
  <c r="Z541" i="1"/>
  <c r="W542" i="1"/>
  <c r="Z542" i="1"/>
  <c r="AA542" i="1"/>
  <c r="AB542" i="1"/>
  <c r="AC542" i="1" s="1"/>
  <c r="W543" i="1"/>
  <c r="Z543" i="1"/>
  <c r="AA543" i="1"/>
  <c r="AB543" i="1" s="1"/>
  <c r="AC543" i="1" s="1"/>
  <c r="W544" i="1"/>
  <c r="AA544" i="1" s="1"/>
  <c r="AB544" i="1" s="1"/>
  <c r="AC544" i="1" s="1"/>
  <c r="Z544" i="1"/>
  <c r="W545" i="1"/>
  <c r="AA545" i="1" s="1"/>
  <c r="AB545" i="1" s="1"/>
  <c r="AC545" i="1" s="1"/>
  <c r="Z545" i="1"/>
  <c r="W546" i="1"/>
  <c r="U546" i="1"/>
  <c r="Z546" i="1"/>
  <c r="AA546" i="1"/>
  <c r="AB546" i="1" s="1"/>
  <c r="AC546" i="1" s="1"/>
  <c r="W547" i="1"/>
  <c r="Z547" i="1"/>
  <c r="W548" i="1"/>
  <c r="AA548" i="1" s="1"/>
  <c r="U548" i="1"/>
  <c r="Z548" i="1"/>
  <c r="AB548" i="1"/>
  <c r="AC548" i="1" s="1"/>
  <c r="W549" i="1"/>
  <c r="AA549" i="1" s="1"/>
  <c r="AB549" i="1" s="1"/>
  <c r="AC549" i="1" s="1"/>
  <c r="U549" i="1"/>
  <c r="Z549" i="1"/>
  <c r="W550" i="1"/>
  <c r="AA550" i="1" s="1"/>
  <c r="AB550" i="1" s="1"/>
  <c r="AC550" i="1" s="1"/>
  <c r="Z550" i="1"/>
  <c r="W551" i="1"/>
  <c r="Z551" i="1"/>
  <c r="AA551" i="1"/>
  <c r="AB551" i="1"/>
  <c r="AC551" i="1" s="1"/>
  <c r="W552" i="1"/>
  <c r="Z552" i="1"/>
  <c r="AA552" i="1"/>
  <c r="AB552" i="1" s="1"/>
  <c r="AC552" i="1" s="1"/>
  <c r="W553" i="1"/>
  <c r="AA553" i="1" s="1"/>
  <c r="AB553" i="1" s="1"/>
  <c r="AC553" i="1" s="1"/>
  <c r="Z553" i="1"/>
  <c r="W554" i="1"/>
  <c r="AA554" i="1" s="1"/>
  <c r="AB554" i="1" s="1"/>
  <c r="AC554" i="1" s="1"/>
  <c r="U554" i="1"/>
  <c r="Z554" i="1"/>
  <c r="W555" i="1"/>
  <c r="AA555" i="1" s="1"/>
  <c r="AB555" i="1" s="1"/>
  <c r="AC555" i="1" s="1"/>
  <c r="U555" i="1"/>
  <c r="Z555" i="1"/>
  <c r="W556" i="1"/>
  <c r="AA556" i="1" s="1"/>
  <c r="AB556" i="1" s="1"/>
  <c r="Z556" i="1"/>
  <c r="AC556" i="1"/>
  <c r="W557" i="1"/>
  <c r="U557" i="1"/>
  <c r="Z557" i="1"/>
  <c r="AA557" i="1"/>
  <c r="AB557" i="1" s="1"/>
  <c r="AC557" i="1" s="1"/>
  <c r="W558" i="1"/>
  <c r="AA558" i="1" s="1"/>
  <c r="AB558" i="1" s="1"/>
  <c r="AC558" i="1" s="1"/>
  <c r="Z558" i="1"/>
  <c r="W559" i="1"/>
  <c r="AA559" i="1" s="1"/>
  <c r="AB559" i="1" s="1"/>
  <c r="AC559" i="1" s="1"/>
  <c r="Z559" i="1"/>
  <c r="W560" i="1"/>
  <c r="U560" i="1"/>
  <c r="Z560" i="1"/>
  <c r="AA560" i="1"/>
  <c r="AB560" i="1" s="1"/>
  <c r="AC560" i="1" s="1"/>
  <c r="W561" i="1"/>
  <c r="Z561" i="1"/>
  <c r="W562" i="1"/>
  <c r="AA562" i="1" s="1"/>
  <c r="AB562" i="1" s="1"/>
  <c r="AC562" i="1" s="1"/>
  <c r="Z562" i="1"/>
  <c r="W563" i="1"/>
  <c r="Z563" i="1"/>
  <c r="AA563" i="1"/>
  <c r="AB563" i="1"/>
  <c r="AC563" i="1" s="1"/>
  <c r="W564" i="1"/>
  <c r="Z564" i="1"/>
  <c r="AA564" i="1"/>
  <c r="AB564" i="1" s="1"/>
  <c r="AC564" i="1" s="1"/>
  <c r="W565" i="1"/>
  <c r="Z565" i="1"/>
  <c r="W566" i="1"/>
  <c r="AA566" i="1" s="1"/>
  <c r="AB566" i="1" s="1"/>
  <c r="AC566" i="1" s="1"/>
  <c r="Z566" i="1"/>
  <c r="W567" i="1"/>
  <c r="Z567" i="1"/>
  <c r="AA567" i="1"/>
  <c r="AB567" i="1"/>
  <c r="AC567" i="1" s="1"/>
  <c r="W568" i="1"/>
  <c r="Z568" i="1"/>
  <c r="AA568" i="1"/>
  <c r="AB568" i="1" s="1"/>
  <c r="AC568" i="1" s="1"/>
  <c r="W569" i="1"/>
  <c r="Z569" i="1"/>
  <c r="W570" i="1"/>
  <c r="AA570" i="1" s="1"/>
  <c r="AB570" i="1" s="1"/>
  <c r="AC570" i="1" s="1"/>
  <c r="Z570" i="1"/>
  <c r="W571" i="1"/>
  <c r="Z571" i="1"/>
  <c r="AA571" i="1"/>
  <c r="AB571" i="1"/>
  <c r="AC571" i="1" s="1"/>
  <c r="W572" i="1"/>
  <c r="Z572" i="1"/>
  <c r="AA572" i="1"/>
  <c r="AB572" i="1" s="1"/>
  <c r="AC572" i="1" s="1"/>
  <c r="W573" i="1"/>
  <c r="Z573" i="1"/>
  <c r="W574" i="1"/>
  <c r="AA574" i="1" s="1"/>
  <c r="AB574" i="1" s="1"/>
  <c r="AC574" i="1" s="1"/>
  <c r="Z574" i="1"/>
  <c r="W575" i="1"/>
  <c r="Z575" i="1"/>
  <c r="AA575" i="1"/>
  <c r="AB575" i="1"/>
  <c r="AC575" i="1" s="1"/>
  <c r="W576" i="1"/>
  <c r="Z576" i="1"/>
  <c r="AA576" i="1"/>
  <c r="AB576" i="1" s="1"/>
  <c r="AC576" i="1" s="1"/>
  <c r="W577" i="1"/>
  <c r="Z577" i="1"/>
  <c r="W578" i="1"/>
  <c r="AA578" i="1" s="1"/>
  <c r="AB578" i="1" s="1"/>
  <c r="AC578" i="1" s="1"/>
  <c r="Z578" i="1"/>
  <c r="W579" i="1"/>
  <c r="Z579" i="1"/>
  <c r="AA579" i="1"/>
  <c r="AB579" i="1"/>
  <c r="AC579" i="1" s="1"/>
  <c r="W580" i="1"/>
  <c r="Z580" i="1"/>
  <c r="AA580" i="1"/>
  <c r="AB580" i="1" s="1"/>
  <c r="AC580" i="1" s="1"/>
  <c r="W581" i="1"/>
  <c r="Z581" i="1"/>
  <c r="W582" i="1"/>
  <c r="AA582" i="1" s="1"/>
  <c r="AB582" i="1" s="1"/>
  <c r="AC582" i="1" s="1"/>
  <c r="Z582" i="1"/>
  <c r="W583" i="1"/>
  <c r="Z583" i="1"/>
  <c r="AA583" i="1"/>
  <c r="AB583" i="1"/>
  <c r="AC583" i="1" s="1"/>
  <c r="W584" i="1"/>
  <c r="Z584" i="1"/>
  <c r="AA584" i="1"/>
  <c r="AB584" i="1" s="1"/>
  <c r="AC584" i="1" s="1"/>
  <c r="W585" i="1"/>
  <c r="Z585" i="1"/>
  <c r="W586" i="1"/>
  <c r="AA586" i="1" s="1"/>
  <c r="AB586" i="1" s="1"/>
  <c r="AC586" i="1" s="1"/>
  <c r="Z586" i="1"/>
  <c r="W587" i="1"/>
  <c r="Z587" i="1"/>
  <c r="AA587" i="1"/>
  <c r="AB587" i="1"/>
  <c r="AC587" i="1" s="1"/>
  <c r="W588" i="1"/>
  <c r="Z588" i="1"/>
  <c r="AA588" i="1"/>
  <c r="AB588" i="1" s="1"/>
  <c r="AC588" i="1" s="1"/>
  <c r="W589" i="1"/>
  <c r="Z589" i="1"/>
  <c r="W590" i="1"/>
  <c r="AA590" i="1" s="1"/>
  <c r="AB590" i="1" s="1"/>
  <c r="AC590" i="1" s="1"/>
  <c r="Z590" i="1"/>
  <c r="W591" i="1"/>
  <c r="Z591" i="1"/>
  <c r="AA591" i="1"/>
  <c r="AB591" i="1"/>
  <c r="AC591" i="1" s="1"/>
  <c r="W592" i="1"/>
  <c r="Z592" i="1"/>
  <c r="AA592" i="1"/>
  <c r="AB592" i="1" s="1"/>
  <c r="AC592" i="1" s="1"/>
  <c r="W593" i="1"/>
  <c r="Z593" i="1"/>
  <c r="W594" i="1"/>
  <c r="AA594" i="1" s="1"/>
  <c r="AB594" i="1" s="1"/>
  <c r="AC594" i="1" s="1"/>
  <c r="Z594" i="1"/>
  <c r="W595" i="1"/>
  <c r="Z595" i="1"/>
  <c r="AA595" i="1"/>
  <c r="AB595" i="1"/>
  <c r="AC595" i="1" s="1"/>
  <c r="W596" i="1"/>
  <c r="Z596" i="1"/>
  <c r="AA596" i="1"/>
  <c r="AB596" i="1" s="1"/>
  <c r="AC596" i="1" s="1"/>
  <c r="W597" i="1"/>
  <c r="Z597" i="1"/>
  <c r="W598" i="1"/>
  <c r="AA598" i="1" s="1"/>
  <c r="AB598" i="1" s="1"/>
  <c r="AC598" i="1" s="1"/>
  <c r="Z598" i="1"/>
  <c r="W599" i="1"/>
  <c r="Z599" i="1"/>
  <c r="AA599" i="1"/>
  <c r="AB599" i="1" s="1"/>
  <c r="AC599" i="1" s="1"/>
  <c r="W600" i="1"/>
  <c r="Z600" i="1"/>
  <c r="AA600" i="1"/>
  <c r="AB600" i="1" s="1"/>
  <c r="AC600" i="1" s="1"/>
  <c r="W601" i="1"/>
  <c r="Z601" i="1"/>
  <c r="W602" i="1"/>
  <c r="AA602" i="1" s="1"/>
  <c r="AB602" i="1" s="1"/>
  <c r="AC602" i="1" s="1"/>
  <c r="Z602" i="1"/>
  <c r="W603" i="1"/>
  <c r="Z603" i="1"/>
  <c r="AA603" i="1"/>
  <c r="AB603" i="1" s="1"/>
  <c r="AC603" i="1" s="1"/>
  <c r="W604" i="1"/>
  <c r="Z604" i="1"/>
  <c r="AA604" i="1"/>
  <c r="AB604" i="1" s="1"/>
  <c r="AC604" i="1" s="1"/>
  <c r="W605" i="1"/>
  <c r="Z605" i="1"/>
  <c r="W606" i="1"/>
  <c r="AA606" i="1" s="1"/>
  <c r="Z606" i="1"/>
  <c r="AB606" i="1"/>
  <c r="AC606" i="1" s="1"/>
  <c r="W607" i="1"/>
  <c r="Z607" i="1"/>
  <c r="AA607" i="1"/>
  <c r="AB607" i="1" s="1"/>
  <c r="AC607" i="1" s="1"/>
  <c r="W608" i="1"/>
  <c r="U608" i="1"/>
  <c r="Z608" i="1"/>
  <c r="W609" i="1"/>
  <c r="AA609" i="1" s="1"/>
  <c r="Z609" i="1"/>
  <c r="AB609" i="1"/>
  <c r="AC609" i="1" s="1"/>
  <c r="W610" i="1"/>
  <c r="Z610" i="1"/>
  <c r="AA610" i="1"/>
  <c r="AB610" i="1" s="1"/>
  <c r="AC610" i="1" s="1"/>
  <c r="W611" i="1"/>
  <c r="Z611" i="1"/>
  <c r="AA611" i="1"/>
  <c r="AB611" i="1" s="1"/>
  <c r="AC611" i="1" s="1"/>
  <c r="W612" i="1"/>
  <c r="Z612" i="1"/>
  <c r="W613" i="1"/>
  <c r="AA613" i="1" s="1"/>
  <c r="AB613" i="1" s="1"/>
  <c r="AC613" i="1" s="1"/>
  <c r="Z613" i="1"/>
  <c r="W614" i="1"/>
  <c r="Z614" i="1"/>
  <c r="AA614" i="1"/>
  <c r="AB614" i="1" s="1"/>
  <c r="AC614" i="1" s="1"/>
  <c r="W615" i="1"/>
  <c r="Z615" i="1"/>
  <c r="AA615" i="1"/>
  <c r="AB615" i="1" s="1"/>
  <c r="AC615" i="1" s="1"/>
  <c r="W616" i="1"/>
  <c r="Z616" i="1"/>
  <c r="W617" i="1"/>
  <c r="AA617" i="1" s="1"/>
  <c r="Z617" i="1"/>
  <c r="AB617" i="1"/>
  <c r="AC617" i="1" s="1"/>
  <c r="W618" i="1"/>
  <c r="Z618" i="1"/>
  <c r="AA618" i="1"/>
  <c r="AB618" i="1" s="1"/>
  <c r="W619" i="1"/>
  <c r="Z619" i="1"/>
  <c r="AA619" i="1"/>
  <c r="AB619" i="1" s="1"/>
  <c r="AC619" i="1" s="1"/>
  <c r="W620" i="1"/>
  <c r="Z620" i="1"/>
  <c r="W621" i="1"/>
  <c r="AA621" i="1" s="1"/>
  <c r="AB621" i="1" s="1"/>
  <c r="AC621" i="1" s="1"/>
  <c r="Z621" i="1"/>
  <c r="W622" i="1"/>
  <c r="Z622" i="1"/>
  <c r="AA622" i="1"/>
  <c r="AB622" i="1" s="1"/>
  <c r="AC622" i="1" s="1"/>
  <c r="W623" i="1"/>
  <c r="Z623" i="1"/>
  <c r="AA623" i="1"/>
  <c r="AB623" i="1" s="1"/>
  <c r="AC623" i="1" s="1"/>
  <c r="W624" i="1"/>
  <c r="Z624" i="1"/>
  <c r="W625" i="1"/>
  <c r="AA625" i="1" s="1"/>
  <c r="Z625" i="1"/>
  <c r="AB625" i="1"/>
  <c r="AC625" i="1" s="1"/>
  <c r="W626" i="1"/>
  <c r="Z626" i="1"/>
  <c r="AA626" i="1"/>
  <c r="AB626" i="1" s="1"/>
  <c r="AC626" i="1" s="1"/>
  <c r="W627" i="1"/>
  <c r="Z627" i="1"/>
  <c r="AA627" i="1"/>
  <c r="AB627" i="1" s="1"/>
  <c r="AC627" i="1" s="1"/>
  <c r="W628" i="1"/>
  <c r="Z628" i="1"/>
  <c r="W629" i="1"/>
  <c r="AA629" i="1" s="1"/>
  <c r="AB629" i="1" s="1"/>
  <c r="AC629" i="1" s="1"/>
  <c r="Z629" i="1"/>
  <c r="W630" i="1"/>
  <c r="Z630" i="1"/>
  <c r="AA630" i="1"/>
  <c r="AB630" i="1" s="1"/>
  <c r="AC630" i="1" s="1"/>
  <c r="W631" i="1"/>
  <c r="Z631" i="1"/>
  <c r="AA631" i="1"/>
  <c r="AB631" i="1" s="1"/>
  <c r="AC631" i="1" s="1"/>
  <c r="W632" i="1"/>
  <c r="Z632" i="1"/>
  <c r="W633" i="1"/>
  <c r="AA633" i="1" s="1"/>
  <c r="Z633" i="1"/>
  <c r="AB633" i="1"/>
  <c r="AC633" i="1" s="1"/>
  <c r="W634" i="1"/>
  <c r="Z634" i="1"/>
  <c r="AA634" i="1"/>
  <c r="AB634" i="1" s="1"/>
  <c r="AC634" i="1" s="1"/>
  <c r="W635" i="1"/>
  <c r="Z635" i="1"/>
  <c r="AA635" i="1"/>
  <c r="AB635" i="1" s="1"/>
  <c r="AC635" i="1" s="1"/>
  <c r="W636" i="1"/>
  <c r="Z636" i="1"/>
  <c r="W637" i="1"/>
  <c r="AA637" i="1" s="1"/>
  <c r="AB637" i="1" s="1"/>
  <c r="AC637" i="1" s="1"/>
  <c r="Z637" i="1"/>
  <c r="W638" i="1"/>
  <c r="Z638" i="1"/>
  <c r="AA638" i="1"/>
  <c r="AB638" i="1" s="1"/>
  <c r="W639" i="1"/>
  <c r="Z639" i="1"/>
  <c r="AA639" i="1"/>
  <c r="AB639" i="1" s="1"/>
  <c r="AC639" i="1" s="1"/>
  <c r="W640" i="1"/>
  <c r="Z640" i="1"/>
  <c r="W641" i="1"/>
  <c r="AA641" i="1" s="1"/>
  <c r="Z641" i="1"/>
  <c r="AB641" i="1"/>
  <c r="AC641" i="1" s="1"/>
  <c r="W642" i="1"/>
  <c r="Z642" i="1"/>
  <c r="AA642" i="1"/>
  <c r="AB642" i="1" s="1"/>
  <c r="AC642" i="1" s="1"/>
  <c r="W643" i="1"/>
  <c r="Z643" i="1"/>
  <c r="AA643" i="1"/>
  <c r="AB643" i="1" s="1"/>
  <c r="AC643" i="1" s="1"/>
  <c r="W644" i="1"/>
  <c r="Z644" i="1"/>
  <c r="W645" i="1"/>
  <c r="AA645" i="1" s="1"/>
  <c r="AB645" i="1" s="1"/>
  <c r="AC645" i="1" s="1"/>
  <c r="Z645" i="1"/>
  <c r="W646" i="1"/>
  <c r="Z646" i="1"/>
  <c r="AA646" i="1"/>
  <c r="AB646" i="1" s="1"/>
  <c r="AC646" i="1" s="1"/>
  <c r="W647" i="1"/>
  <c r="Z647" i="1"/>
  <c r="AA647" i="1"/>
  <c r="AB647" i="1" s="1"/>
  <c r="AC647" i="1" s="1"/>
  <c r="W648" i="1"/>
  <c r="Z648" i="1"/>
  <c r="W649" i="1"/>
  <c r="AA649" i="1" s="1"/>
  <c r="Z649" i="1"/>
  <c r="AB649" i="1"/>
  <c r="AC649" i="1" s="1"/>
  <c r="W650" i="1"/>
  <c r="Z650" i="1"/>
  <c r="AA650" i="1"/>
  <c r="AB650" i="1" s="1"/>
  <c r="W651" i="1"/>
  <c r="Z651" i="1"/>
  <c r="AA651" i="1"/>
  <c r="AB651" i="1" s="1"/>
  <c r="AC651" i="1" s="1"/>
  <c r="W652" i="1"/>
  <c r="Z652" i="1"/>
  <c r="W653" i="1"/>
  <c r="AA653" i="1" s="1"/>
  <c r="AB653" i="1" s="1"/>
  <c r="AC653" i="1" s="1"/>
  <c r="Z653" i="1"/>
  <c r="W654" i="1"/>
  <c r="Z654" i="1"/>
  <c r="AA654" i="1"/>
  <c r="AB654" i="1" s="1"/>
  <c r="AC654" i="1" s="1"/>
  <c r="W655" i="1"/>
  <c r="Z655" i="1"/>
  <c r="AA655" i="1"/>
  <c r="AB655" i="1" s="1"/>
  <c r="AC655" i="1" s="1"/>
  <c r="W656" i="1"/>
  <c r="Z656" i="1"/>
  <c r="W657" i="1"/>
  <c r="AA657" i="1" s="1"/>
  <c r="Z657" i="1"/>
  <c r="AB657" i="1"/>
  <c r="AC657" i="1" s="1"/>
  <c r="W658" i="1"/>
  <c r="Z658" i="1"/>
  <c r="AA658" i="1"/>
  <c r="AB658" i="1" s="1"/>
  <c r="AC658" i="1" s="1"/>
  <c r="W659" i="1"/>
  <c r="Z659" i="1"/>
  <c r="AA659" i="1"/>
  <c r="AB659" i="1" s="1"/>
  <c r="AC659" i="1" s="1"/>
  <c r="W660" i="1"/>
  <c r="Z660" i="1"/>
  <c r="W661" i="1"/>
  <c r="AA661" i="1" s="1"/>
  <c r="AB661" i="1" s="1"/>
  <c r="AC661" i="1" s="1"/>
  <c r="Z661" i="1"/>
  <c r="W662" i="1"/>
  <c r="Z662" i="1"/>
  <c r="AA662" i="1"/>
  <c r="AB662" i="1" s="1"/>
  <c r="AC662" i="1" s="1"/>
  <c r="W663" i="1"/>
  <c r="Z663" i="1"/>
  <c r="AA663" i="1"/>
  <c r="AB663" i="1" s="1"/>
  <c r="AC663" i="1" s="1"/>
  <c r="W664" i="1"/>
  <c r="Z664" i="1"/>
  <c r="W665" i="1"/>
  <c r="AA665" i="1" s="1"/>
  <c r="Z665" i="1"/>
  <c r="AB665" i="1"/>
  <c r="AC665" i="1" s="1"/>
  <c r="W666" i="1"/>
  <c r="Z666" i="1"/>
  <c r="AA666" i="1"/>
  <c r="AB666" i="1" s="1"/>
  <c r="AC666" i="1" s="1"/>
  <c r="W667" i="1"/>
  <c r="Z667" i="1"/>
  <c r="AA667" i="1"/>
  <c r="AB667" i="1" s="1"/>
  <c r="AC667" i="1" s="1"/>
  <c r="W668" i="1"/>
  <c r="Z668" i="1"/>
  <c r="W669" i="1"/>
  <c r="AA669" i="1" s="1"/>
  <c r="AB669" i="1" s="1"/>
  <c r="AC669" i="1" s="1"/>
  <c r="Z669" i="1"/>
  <c r="W670" i="1"/>
  <c r="Z670" i="1"/>
  <c r="AA670" i="1"/>
  <c r="AB670" i="1" s="1"/>
  <c r="W671" i="1"/>
  <c r="Z671" i="1"/>
  <c r="AA671" i="1"/>
  <c r="AB671" i="1" s="1"/>
  <c r="AC671" i="1" s="1"/>
  <c r="W672" i="1"/>
  <c r="Z672" i="1"/>
  <c r="W673" i="1"/>
  <c r="AA673" i="1" s="1"/>
  <c r="Z673" i="1"/>
  <c r="AB673" i="1"/>
  <c r="AC673" i="1" s="1"/>
  <c r="W674" i="1"/>
  <c r="Z674" i="1"/>
  <c r="AA674" i="1"/>
  <c r="AB674" i="1" s="1"/>
  <c r="AC674" i="1" s="1"/>
  <c r="W675" i="1"/>
  <c r="Z675" i="1"/>
  <c r="AA675" i="1"/>
  <c r="AB675" i="1" s="1"/>
  <c r="AC675" i="1" s="1"/>
  <c r="W676" i="1"/>
  <c r="Z676" i="1"/>
  <c r="W677" i="1"/>
  <c r="AA677" i="1" s="1"/>
  <c r="AB677" i="1" s="1"/>
  <c r="AC677" i="1" s="1"/>
  <c r="Z677" i="1"/>
  <c r="W678" i="1"/>
  <c r="Z678" i="1"/>
  <c r="AA678" i="1"/>
  <c r="AB678" i="1" s="1"/>
  <c r="AC678" i="1" s="1"/>
  <c r="W679" i="1"/>
  <c r="Z679" i="1"/>
  <c r="AA679" i="1"/>
  <c r="AB679" i="1" s="1"/>
  <c r="AC679" i="1" s="1"/>
  <c r="W680" i="1"/>
  <c r="Z680" i="1"/>
  <c r="W681" i="1"/>
  <c r="AA681" i="1" s="1"/>
  <c r="Z681" i="1"/>
  <c r="AB681" i="1"/>
  <c r="AC681" i="1" s="1"/>
  <c r="W682" i="1"/>
  <c r="Z682" i="1"/>
  <c r="AA682" i="1"/>
  <c r="AB682" i="1" s="1"/>
  <c r="W683" i="1"/>
  <c r="Z683" i="1"/>
  <c r="AA683" i="1"/>
  <c r="AB683" i="1" s="1"/>
  <c r="AC683" i="1" s="1"/>
  <c r="W684" i="1"/>
  <c r="Z684" i="1"/>
  <c r="W685" i="1"/>
  <c r="AA685" i="1" s="1"/>
  <c r="AB685" i="1" s="1"/>
  <c r="AC685" i="1" s="1"/>
  <c r="Z685" i="1"/>
  <c r="W686" i="1"/>
  <c r="Z686" i="1"/>
  <c r="AA686" i="1"/>
  <c r="AB686" i="1" s="1"/>
  <c r="AC686" i="1" s="1"/>
  <c r="W687" i="1"/>
  <c r="Z687" i="1"/>
  <c r="AA687" i="1"/>
  <c r="AB687" i="1" s="1"/>
  <c r="AC687" i="1" s="1"/>
  <c r="W688" i="1"/>
  <c r="Z688" i="1"/>
  <c r="W689" i="1"/>
  <c r="AA689" i="1" s="1"/>
  <c r="Z689" i="1"/>
  <c r="AB689" i="1"/>
  <c r="AC689" i="1" s="1"/>
  <c r="W690" i="1"/>
  <c r="Z690" i="1"/>
  <c r="AA690" i="1"/>
  <c r="AB690" i="1" s="1"/>
  <c r="AC690" i="1" s="1"/>
  <c r="W691" i="1"/>
  <c r="Z691" i="1"/>
  <c r="AA691" i="1"/>
  <c r="AB691" i="1" s="1"/>
  <c r="AC691" i="1" s="1"/>
  <c r="W692" i="1"/>
  <c r="Z692" i="1"/>
  <c r="W693" i="1"/>
  <c r="AA693" i="1" s="1"/>
  <c r="AB693" i="1" s="1"/>
  <c r="AC693" i="1" s="1"/>
  <c r="Z693" i="1"/>
  <c r="W694" i="1"/>
  <c r="Z694" i="1"/>
  <c r="AA694" i="1"/>
  <c r="AB694" i="1" s="1"/>
  <c r="AC694" i="1" s="1"/>
  <c r="W695" i="1"/>
  <c r="Z695" i="1"/>
  <c r="AA695" i="1"/>
  <c r="AB695" i="1" s="1"/>
  <c r="AC695" i="1" s="1"/>
  <c r="W696" i="1"/>
  <c r="Z696" i="1"/>
  <c r="W697" i="1"/>
  <c r="AA697" i="1" s="1"/>
  <c r="Z697" i="1"/>
  <c r="AB697" i="1"/>
  <c r="AC697" i="1" s="1"/>
  <c r="W698" i="1"/>
  <c r="Z698" i="1"/>
  <c r="AA698" i="1"/>
  <c r="AB698" i="1" s="1"/>
  <c r="AC698" i="1" s="1"/>
  <c r="W699" i="1"/>
  <c r="Z699" i="1"/>
  <c r="AA699" i="1"/>
  <c r="AB699" i="1" s="1"/>
  <c r="AC699" i="1" s="1"/>
  <c r="W700" i="1"/>
  <c r="Z700" i="1"/>
  <c r="W701" i="1"/>
  <c r="AA701" i="1" s="1"/>
  <c r="AB701" i="1" s="1"/>
  <c r="AC701" i="1" s="1"/>
  <c r="Z701" i="1"/>
  <c r="W702" i="1"/>
  <c r="Z702" i="1"/>
  <c r="AA702" i="1"/>
  <c r="AB702" i="1" s="1"/>
  <c r="W703" i="1"/>
  <c r="Z703" i="1"/>
  <c r="AA703" i="1"/>
  <c r="AB703" i="1" s="1"/>
  <c r="AC703" i="1" s="1"/>
  <c r="W704" i="1"/>
  <c r="Z704" i="1"/>
  <c r="W705" i="1"/>
  <c r="AA705" i="1" s="1"/>
  <c r="Z705" i="1"/>
  <c r="AB705" i="1"/>
  <c r="AC705" i="1" s="1"/>
  <c r="W706" i="1"/>
  <c r="Z706" i="1"/>
  <c r="AA706" i="1"/>
  <c r="AB706" i="1" s="1"/>
  <c r="AC706" i="1" s="1"/>
  <c r="W707" i="1"/>
  <c r="Z707" i="1"/>
  <c r="AA707" i="1"/>
  <c r="AB707" i="1" s="1"/>
  <c r="AC707" i="1" s="1"/>
  <c r="W708" i="1"/>
  <c r="Z708" i="1"/>
  <c r="W709" i="1"/>
  <c r="AA709" i="1" s="1"/>
  <c r="AB709" i="1" s="1"/>
  <c r="AC709" i="1" s="1"/>
  <c r="Z709" i="1"/>
  <c r="W710" i="1"/>
  <c r="Z710" i="1"/>
  <c r="AA710" i="1"/>
  <c r="AB710" i="1" s="1"/>
  <c r="AC710" i="1" s="1"/>
  <c r="W711" i="1"/>
  <c r="Z711" i="1"/>
  <c r="AA711" i="1"/>
  <c r="AB711" i="1" s="1"/>
  <c r="AC711" i="1" s="1"/>
  <c r="W712" i="1"/>
  <c r="Z712" i="1"/>
  <c r="W713" i="1"/>
  <c r="AA713" i="1" s="1"/>
  <c r="Z713" i="1"/>
  <c r="AB713" i="1"/>
  <c r="AC713" i="1" s="1"/>
  <c r="W714" i="1"/>
  <c r="Z714" i="1"/>
  <c r="AA714" i="1"/>
  <c r="AB714" i="1" s="1"/>
  <c r="W715" i="1"/>
  <c r="Z715" i="1"/>
  <c r="AA715" i="1"/>
  <c r="AB715" i="1" s="1"/>
  <c r="AC715" i="1" s="1"/>
  <c r="W716" i="1"/>
  <c r="Z716" i="1"/>
  <c r="W717" i="1"/>
  <c r="AA717" i="1" s="1"/>
  <c r="AB717" i="1" s="1"/>
  <c r="AC717" i="1" s="1"/>
  <c r="Z717" i="1"/>
  <c r="W718" i="1"/>
  <c r="Z718" i="1"/>
  <c r="AA718" i="1"/>
  <c r="AB718" i="1" s="1"/>
  <c r="AC718" i="1" s="1"/>
  <c r="W719" i="1"/>
  <c r="Z719" i="1"/>
  <c r="AA719" i="1"/>
  <c r="AB719" i="1" s="1"/>
  <c r="AC719" i="1" s="1"/>
  <c r="W720" i="1"/>
  <c r="Z720" i="1"/>
  <c r="W721" i="1"/>
  <c r="AA721" i="1" s="1"/>
  <c r="Z721" i="1"/>
  <c r="AB721" i="1"/>
  <c r="AC721" i="1" s="1"/>
  <c r="W722" i="1"/>
  <c r="Z722" i="1"/>
  <c r="AA722" i="1"/>
  <c r="AB722" i="1" s="1"/>
  <c r="AC722" i="1" s="1"/>
  <c r="W723" i="1"/>
  <c r="Z723" i="1"/>
  <c r="AA723" i="1"/>
  <c r="AB723" i="1" s="1"/>
  <c r="AC723" i="1" s="1"/>
  <c r="W724" i="1"/>
  <c r="Z724" i="1"/>
  <c r="W725" i="1"/>
  <c r="AA725" i="1" s="1"/>
  <c r="AB725" i="1" s="1"/>
  <c r="AC725" i="1" s="1"/>
  <c r="Z725" i="1"/>
  <c r="W726" i="1"/>
  <c r="Z726" i="1"/>
  <c r="AA726" i="1"/>
  <c r="AB726" i="1" s="1"/>
  <c r="AC726" i="1" s="1"/>
  <c r="W727" i="1"/>
  <c r="Z727" i="1"/>
  <c r="AA727" i="1"/>
  <c r="AB727" i="1" s="1"/>
  <c r="AC727" i="1" s="1"/>
  <c r="W728" i="1"/>
  <c r="Z728" i="1"/>
  <c r="W729" i="1"/>
  <c r="AA729" i="1" s="1"/>
  <c r="Z729" i="1"/>
  <c r="AB729" i="1"/>
  <c r="AC729" i="1" s="1"/>
  <c r="W730" i="1"/>
  <c r="Z730" i="1"/>
  <c r="AA730" i="1"/>
  <c r="AB730" i="1" s="1"/>
  <c r="AC730" i="1" s="1"/>
  <c r="W731" i="1"/>
  <c r="Z731" i="1"/>
  <c r="AA731" i="1"/>
  <c r="AB731" i="1" s="1"/>
  <c r="AC731" i="1" s="1"/>
  <c r="W732" i="1"/>
  <c r="Z732" i="1"/>
  <c r="W733" i="1"/>
  <c r="AA733" i="1" s="1"/>
  <c r="AB733" i="1" s="1"/>
  <c r="AC733" i="1" s="1"/>
  <c r="Z733" i="1"/>
  <c r="W734" i="1"/>
  <c r="Z734" i="1"/>
  <c r="AA734" i="1"/>
  <c r="AB734" i="1" s="1"/>
  <c r="W735" i="1"/>
  <c r="Z735" i="1"/>
  <c r="AA735" i="1"/>
  <c r="AB735" i="1" s="1"/>
  <c r="AC735" i="1" s="1"/>
  <c r="W736" i="1"/>
  <c r="Z736" i="1"/>
  <c r="W737" i="1"/>
  <c r="AA737" i="1" s="1"/>
  <c r="Z737" i="1"/>
  <c r="AB737" i="1"/>
  <c r="AC737" i="1" s="1"/>
  <c r="W738" i="1"/>
  <c r="Z738" i="1"/>
  <c r="AA738" i="1"/>
  <c r="AB738" i="1" s="1"/>
  <c r="AC738" i="1" s="1"/>
  <c r="W739" i="1"/>
  <c r="Z739" i="1"/>
  <c r="AA739" i="1"/>
  <c r="AB739" i="1" s="1"/>
  <c r="AC739" i="1" s="1"/>
  <c r="W740" i="1"/>
  <c r="Z740" i="1"/>
  <c r="W741" i="1"/>
  <c r="AA741" i="1" s="1"/>
  <c r="AB741" i="1" s="1"/>
  <c r="AC741" i="1" s="1"/>
  <c r="Z741" i="1"/>
  <c r="W742" i="1"/>
  <c r="Z742" i="1"/>
  <c r="AA742" i="1"/>
  <c r="AB742" i="1" s="1"/>
  <c r="AC742" i="1" s="1"/>
  <c r="W743" i="1"/>
  <c r="Z743" i="1"/>
  <c r="AA743" i="1"/>
  <c r="AB743" i="1" s="1"/>
  <c r="AC743" i="1" s="1"/>
  <c r="W744" i="1"/>
  <c r="Z744" i="1"/>
  <c r="W745" i="1"/>
  <c r="AA745" i="1" s="1"/>
  <c r="Z745" i="1"/>
  <c r="AB745" i="1"/>
  <c r="AC745" i="1" s="1"/>
  <c r="W746" i="1"/>
  <c r="Z746" i="1"/>
  <c r="AA746" i="1"/>
  <c r="AB746" i="1" s="1"/>
  <c r="W747" i="1"/>
  <c r="Z747" i="1"/>
  <c r="AA747" i="1"/>
  <c r="AB747" i="1" s="1"/>
  <c r="AC747" i="1" s="1"/>
  <c r="W748" i="1"/>
  <c r="Z748" i="1"/>
  <c r="W749" i="1"/>
  <c r="AA749" i="1" s="1"/>
  <c r="AB749" i="1" s="1"/>
  <c r="AC749" i="1" s="1"/>
  <c r="Z749" i="1"/>
  <c r="W750" i="1"/>
  <c r="Z750" i="1"/>
  <c r="AA750" i="1"/>
  <c r="AB750" i="1" s="1"/>
  <c r="AC750" i="1" s="1"/>
  <c r="W751" i="1"/>
  <c r="Z751" i="1"/>
  <c r="AA751" i="1"/>
  <c r="AB751" i="1" s="1"/>
  <c r="AC751" i="1" s="1"/>
  <c r="W752" i="1"/>
  <c r="Z752" i="1"/>
  <c r="W753" i="1"/>
  <c r="AA753" i="1" s="1"/>
  <c r="Z753" i="1"/>
  <c r="AB753" i="1"/>
  <c r="AC753" i="1" s="1"/>
  <c r="W754" i="1"/>
  <c r="Z754" i="1"/>
  <c r="AA754" i="1"/>
  <c r="AB754" i="1" s="1"/>
  <c r="AC754" i="1" s="1"/>
  <c r="W755" i="1"/>
  <c r="Z755" i="1"/>
  <c r="AA755" i="1"/>
  <c r="AB755" i="1" s="1"/>
  <c r="AC755" i="1" s="1"/>
  <c r="W756" i="1"/>
  <c r="Z756" i="1"/>
  <c r="W757" i="1"/>
  <c r="AA757" i="1" s="1"/>
  <c r="AB757" i="1" s="1"/>
  <c r="AC757" i="1" s="1"/>
  <c r="Z757" i="1"/>
  <c r="W758" i="1"/>
  <c r="Z758" i="1"/>
  <c r="AA758" i="1"/>
  <c r="AB758" i="1" s="1"/>
  <c r="AC758" i="1" s="1"/>
  <c r="W759" i="1"/>
  <c r="AA759" i="1" s="1"/>
  <c r="AB759" i="1" s="1"/>
  <c r="Z759" i="1"/>
  <c r="W760" i="1"/>
  <c r="AA760" i="1" s="1"/>
  <c r="AB760" i="1" s="1"/>
  <c r="AC760" i="1" s="1"/>
  <c r="Z760" i="1"/>
  <c r="W761" i="1"/>
  <c r="AA761" i="1" s="1"/>
  <c r="AB761" i="1" s="1"/>
  <c r="AC761" i="1" s="1"/>
  <c r="Z761" i="1"/>
  <c r="W762" i="1"/>
  <c r="Z762" i="1"/>
  <c r="AA762" i="1" s="1"/>
  <c r="AB762" i="1" s="1"/>
  <c r="AC762" i="1" s="1"/>
  <c r="W763" i="1"/>
  <c r="Z763" i="1"/>
  <c r="AA763" i="1"/>
  <c r="AB763" i="1" s="1"/>
  <c r="AC763" i="1" s="1"/>
  <c r="W764" i="1"/>
  <c r="AA764" i="1" s="1"/>
  <c r="AB764" i="1" s="1"/>
  <c r="AC764" i="1" s="1"/>
  <c r="Z764" i="1"/>
  <c r="W765" i="1"/>
  <c r="AA765" i="1" s="1"/>
  <c r="AB765" i="1" s="1"/>
  <c r="AC765" i="1" s="1"/>
  <c r="Z765" i="1"/>
  <c r="W766" i="1"/>
  <c r="Z766" i="1"/>
  <c r="AA766" i="1" s="1"/>
  <c r="AB766" i="1" s="1"/>
  <c r="W767" i="1"/>
  <c r="Z767" i="1"/>
  <c r="AA767" i="1"/>
  <c r="AB767" i="1" s="1"/>
  <c r="AC767" i="1" s="1"/>
  <c r="W768" i="1"/>
  <c r="AA768" i="1" s="1"/>
  <c r="AB768" i="1" s="1"/>
  <c r="Z768" i="1"/>
  <c r="W769" i="1"/>
  <c r="AA769" i="1" s="1"/>
  <c r="AB769" i="1" s="1"/>
  <c r="AC769" i="1" s="1"/>
  <c r="Z769" i="1"/>
  <c r="W770" i="1"/>
  <c r="Z770" i="1"/>
  <c r="AA770" i="1" s="1"/>
  <c r="AB770" i="1" s="1"/>
  <c r="AC770" i="1" s="1"/>
  <c r="W771" i="1"/>
  <c r="Z771" i="1"/>
  <c r="AA771" i="1"/>
  <c r="AB771" i="1" s="1"/>
  <c r="W772" i="1"/>
  <c r="AA772" i="1" s="1"/>
  <c r="AB772" i="1" s="1"/>
  <c r="AC772" i="1" s="1"/>
  <c r="Z772" i="1"/>
  <c r="W773" i="1"/>
  <c r="AA773" i="1" s="1"/>
  <c r="AB773" i="1" s="1"/>
  <c r="AC773" i="1" s="1"/>
  <c r="Z773" i="1"/>
  <c r="W774" i="1"/>
  <c r="Z774" i="1"/>
  <c r="AA774" i="1" s="1"/>
  <c r="AB774" i="1" s="1"/>
  <c r="AC774" i="1" s="1"/>
  <c r="W775" i="1"/>
  <c r="Z775" i="1"/>
  <c r="AA775" i="1"/>
  <c r="AB775" i="1" s="1"/>
  <c r="AC775" i="1" s="1"/>
  <c r="W776" i="1"/>
  <c r="AA776" i="1" s="1"/>
  <c r="AB776" i="1" s="1"/>
  <c r="AC776" i="1" s="1"/>
  <c r="Z776" i="1"/>
  <c r="W777" i="1"/>
  <c r="AA777" i="1" s="1"/>
  <c r="AB777" i="1" s="1"/>
  <c r="AC777" i="1" s="1"/>
  <c r="Z777" i="1"/>
  <c r="W778" i="1"/>
  <c r="Z778" i="1"/>
  <c r="AA778" i="1" s="1"/>
  <c r="AB778" i="1" s="1"/>
  <c r="AC778" i="1" s="1"/>
  <c r="W779" i="1"/>
  <c r="Z779" i="1"/>
  <c r="AA779" i="1"/>
  <c r="AB779" i="1" s="1"/>
  <c r="AC779" i="1" s="1"/>
  <c r="W780" i="1"/>
  <c r="AA780" i="1" s="1"/>
  <c r="AB780" i="1" s="1"/>
  <c r="AC780" i="1" s="1"/>
  <c r="Z780" i="1"/>
  <c r="W781" i="1"/>
  <c r="AA781" i="1" s="1"/>
  <c r="AB781" i="1" s="1"/>
  <c r="AC781" i="1" s="1"/>
  <c r="Z781" i="1"/>
  <c r="W782" i="1"/>
  <c r="Z782" i="1"/>
  <c r="AA782" i="1" s="1"/>
  <c r="AB782" i="1" s="1"/>
  <c r="W783" i="1"/>
  <c r="Z783" i="1"/>
  <c r="AA783" i="1"/>
  <c r="AB783" i="1" s="1"/>
  <c r="AC783" i="1" s="1"/>
  <c r="W784" i="1"/>
  <c r="AA784" i="1" s="1"/>
  <c r="AB784" i="1" s="1"/>
  <c r="Z784" i="1"/>
  <c r="W785" i="1"/>
  <c r="AA785" i="1" s="1"/>
  <c r="AB785" i="1" s="1"/>
  <c r="AC785" i="1" s="1"/>
  <c r="Z785" i="1"/>
  <c r="W786" i="1"/>
  <c r="Z786" i="1"/>
  <c r="AA786" i="1" s="1"/>
  <c r="AB786" i="1" s="1"/>
  <c r="AC786" i="1" s="1"/>
  <c r="W787" i="1"/>
  <c r="Z787" i="1"/>
  <c r="AA787" i="1"/>
  <c r="AB787" i="1" s="1"/>
  <c r="W788" i="1"/>
  <c r="AA788" i="1" s="1"/>
  <c r="AB788" i="1" s="1"/>
  <c r="AC788" i="1" s="1"/>
  <c r="Z788" i="1"/>
  <c r="W789" i="1"/>
  <c r="AA789" i="1" s="1"/>
  <c r="AB789" i="1" s="1"/>
  <c r="AC789" i="1" s="1"/>
  <c r="Z789" i="1"/>
  <c r="W790" i="1"/>
  <c r="Z790" i="1"/>
  <c r="AA790" i="1" s="1"/>
  <c r="AB790" i="1" s="1"/>
  <c r="AC790" i="1" s="1"/>
  <c r="W791" i="1"/>
  <c r="Z791" i="1"/>
  <c r="AA791" i="1"/>
  <c r="AB791" i="1" s="1"/>
  <c r="AC791" i="1" s="1"/>
  <c r="W792" i="1"/>
  <c r="AA792" i="1" s="1"/>
  <c r="AB792" i="1" s="1"/>
  <c r="AC792" i="1" s="1"/>
  <c r="Z792" i="1"/>
  <c r="W793" i="1"/>
  <c r="AA793" i="1" s="1"/>
  <c r="AB793" i="1" s="1"/>
  <c r="AC793" i="1" s="1"/>
  <c r="Z793" i="1"/>
  <c r="W794" i="1"/>
  <c r="Z794" i="1"/>
  <c r="AA794" i="1" s="1"/>
  <c r="AB794" i="1" s="1"/>
  <c r="AC794" i="1" s="1"/>
  <c r="W795" i="1"/>
  <c r="Z795" i="1"/>
  <c r="AA795" i="1"/>
  <c r="AB795" i="1" s="1"/>
  <c r="AC795" i="1" s="1"/>
  <c r="W796" i="1"/>
  <c r="AA796" i="1" s="1"/>
  <c r="AB796" i="1" s="1"/>
  <c r="AC796" i="1" s="1"/>
  <c r="Z796" i="1"/>
  <c r="W797" i="1"/>
  <c r="AA797" i="1" s="1"/>
  <c r="AB797" i="1" s="1"/>
  <c r="AC797" i="1" s="1"/>
  <c r="Z797" i="1"/>
  <c r="W798" i="1"/>
  <c r="Z798" i="1"/>
  <c r="AA798" i="1" s="1"/>
  <c r="AB798" i="1" s="1"/>
  <c r="W799" i="1"/>
  <c r="Z799" i="1"/>
  <c r="AA799" i="1"/>
  <c r="AB799" i="1" s="1"/>
  <c r="AC799" i="1" s="1"/>
  <c r="W800" i="1"/>
  <c r="AA800" i="1" s="1"/>
  <c r="AB800" i="1" s="1"/>
  <c r="Z800" i="1"/>
  <c r="W801" i="1"/>
  <c r="AA801" i="1" s="1"/>
  <c r="AB801" i="1" s="1"/>
  <c r="AC801" i="1" s="1"/>
  <c r="Z801" i="1"/>
  <c r="W802" i="1"/>
  <c r="Z802" i="1"/>
  <c r="AA802" i="1" s="1"/>
  <c r="AB802" i="1" s="1"/>
  <c r="AC802" i="1" s="1"/>
  <c r="W803" i="1"/>
  <c r="Z803" i="1"/>
  <c r="AA803" i="1"/>
  <c r="AB803" i="1" s="1"/>
  <c r="W804" i="1"/>
  <c r="AA804" i="1" s="1"/>
  <c r="AB804" i="1" s="1"/>
  <c r="AC804" i="1" s="1"/>
  <c r="Z804" i="1"/>
  <c r="W805" i="1"/>
  <c r="AA805" i="1" s="1"/>
  <c r="AB805" i="1" s="1"/>
  <c r="AC805" i="1" s="1"/>
  <c r="Z805" i="1"/>
  <c r="W806" i="1"/>
  <c r="Z806" i="1"/>
  <c r="AA806" i="1" s="1"/>
  <c r="AB806" i="1" s="1"/>
  <c r="AC806" i="1" s="1"/>
  <c r="W807" i="1"/>
  <c r="Z807" i="1"/>
  <c r="AA807" i="1"/>
  <c r="AB807" i="1" s="1"/>
  <c r="AC807" i="1" s="1"/>
  <c r="W808" i="1"/>
  <c r="AA808" i="1" s="1"/>
  <c r="AB808" i="1" s="1"/>
  <c r="AC808" i="1" s="1"/>
  <c r="Z808" i="1"/>
  <c r="W809" i="1"/>
  <c r="AA809" i="1" s="1"/>
  <c r="AB809" i="1" s="1"/>
  <c r="AC809" i="1" s="1"/>
  <c r="Z809" i="1"/>
  <c r="W810" i="1"/>
  <c r="Z810" i="1"/>
  <c r="AA810" i="1" s="1"/>
  <c r="AB810" i="1" s="1"/>
  <c r="AC810" i="1" s="1"/>
  <c r="W811" i="1"/>
  <c r="Z811" i="1"/>
  <c r="AA811" i="1"/>
  <c r="AB811" i="1" s="1"/>
  <c r="AC811" i="1" s="1"/>
  <c r="W812" i="1"/>
  <c r="AA812" i="1" s="1"/>
  <c r="AB812" i="1" s="1"/>
  <c r="AC812" i="1" s="1"/>
  <c r="Z812" i="1"/>
  <c r="W813" i="1"/>
  <c r="AA813" i="1" s="1"/>
  <c r="AB813" i="1" s="1"/>
  <c r="AC813" i="1" s="1"/>
  <c r="Z813" i="1"/>
  <c r="W814" i="1"/>
  <c r="Z814" i="1"/>
  <c r="AA814" i="1" s="1"/>
  <c r="AB814" i="1" s="1"/>
  <c r="W815" i="1"/>
  <c r="Z815" i="1"/>
  <c r="AA815" i="1"/>
  <c r="AB815" i="1" s="1"/>
  <c r="AC815" i="1" s="1"/>
  <c r="W816" i="1"/>
  <c r="AA816" i="1" s="1"/>
  <c r="AB816" i="1" s="1"/>
  <c r="Z816" i="1"/>
  <c r="W817" i="1"/>
  <c r="AA817" i="1" s="1"/>
  <c r="AB817" i="1" s="1"/>
  <c r="AC817" i="1" s="1"/>
  <c r="Z817" i="1"/>
  <c r="W818" i="1"/>
  <c r="Z818" i="1"/>
  <c r="AA818" i="1" s="1"/>
  <c r="AB818" i="1" s="1"/>
  <c r="AC818" i="1" s="1"/>
  <c r="W819" i="1"/>
  <c r="Z819" i="1"/>
  <c r="AA819" i="1"/>
  <c r="AB819" i="1" s="1"/>
  <c r="W820" i="1"/>
  <c r="AA820" i="1" s="1"/>
  <c r="AB820" i="1" s="1"/>
  <c r="AC820" i="1" s="1"/>
  <c r="Z820" i="1"/>
  <c r="W821" i="1"/>
  <c r="AA821" i="1" s="1"/>
  <c r="AB821" i="1" s="1"/>
  <c r="AC821" i="1" s="1"/>
  <c r="Z821" i="1"/>
  <c r="W822" i="1"/>
  <c r="Z822" i="1"/>
  <c r="AA822" i="1" s="1"/>
  <c r="AB822" i="1" s="1"/>
  <c r="AC822" i="1" s="1"/>
  <c r="W823" i="1"/>
  <c r="Z823" i="1"/>
  <c r="AA823" i="1"/>
  <c r="AB823" i="1" s="1"/>
  <c r="AC823" i="1" s="1"/>
  <c r="W824" i="1"/>
  <c r="AA824" i="1" s="1"/>
  <c r="AB824" i="1" s="1"/>
  <c r="AC824" i="1" s="1"/>
  <c r="Z824" i="1"/>
  <c r="W825" i="1"/>
  <c r="AA825" i="1" s="1"/>
  <c r="AB825" i="1" s="1"/>
  <c r="AC825" i="1" s="1"/>
  <c r="Z825" i="1"/>
  <c r="W826" i="1"/>
  <c r="Z826" i="1"/>
  <c r="AA826" i="1" s="1"/>
  <c r="AB826" i="1" s="1"/>
  <c r="AC826" i="1" s="1"/>
  <c r="W827" i="1"/>
  <c r="Z827" i="1"/>
  <c r="AA827" i="1"/>
  <c r="AB827" i="1" s="1"/>
  <c r="AC827" i="1" s="1"/>
  <c r="W828" i="1"/>
  <c r="AA828" i="1" s="1"/>
  <c r="AB828" i="1" s="1"/>
  <c r="AC828" i="1" s="1"/>
  <c r="Z828" i="1"/>
  <c r="W829" i="1"/>
  <c r="AA829" i="1" s="1"/>
  <c r="AB829" i="1" s="1"/>
  <c r="AC829" i="1" s="1"/>
  <c r="Z829" i="1"/>
  <c r="W830" i="1"/>
  <c r="Z830" i="1"/>
  <c r="AA830" i="1" s="1"/>
  <c r="AB830" i="1" s="1"/>
  <c r="W831" i="1"/>
  <c r="Z831" i="1"/>
  <c r="AA831" i="1"/>
  <c r="AB831" i="1" s="1"/>
  <c r="AC831" i="1" s="1"/>
  <c r="W832" i="1"/>
  <c r="AA832" i="1" s="1"/>
  <c r="AB832" i="1" s="1"/>
  <c r="Z832" i="1"/>
  <c r="W833" i="1"/>
  <c r="AA833" i="1" s="1"/>
  <c r="AB833" i="1" s="1"/>
  <c r="AC833" i="1" s="1"/>
  <c r="Z833" i="1"/>
  <c r="W834" i="1"/>
  <c r="Z834" i="1"/>
  <c r="AA834" i="1" s="1"/>
  <c r="AB834" i="1" s="1"/>
  <c r="AC834" i="1" s="1"/>
  <c r="W835" i="1"/>
  <c r="Z835" i="1"/>
  <c r="AA835" i="1"/>
  <c r="AB835" i="1" s="1"/>
  <c r="W836" i="1"/>
  <c r="AA836" i="1" s="1"/>
  <c r="AB836" i="1" s="1"/>
  <c r="AC836" i="1" s="1"/>
  <c r="Z836" i="1"/>
  <c r="W837" i="1"/>
  <c r="AA837" i="1" s="1"/>
  <c r="AB837" i="1" s="1"/>
  <c r="AC837" i="1" s="1"/>
  <c r="Z837" i="1"/>
  <c r="W838" i="1"/>
  <c r="Z838" i="1"/>
  <c r="AA838" i="1" s="1"/>
  <c r="AB838" i="1" s="1"/>
  <c r="AC838" i="1" s="1"/>
  <c r="W839" i="1"/>
  <c r="Z839" i="1"/>
  <c r="AA839" i="1"/>
  <c r="AB839" i="1" s="1"/>
  <c r="AC839" i="1" s="1"/>
  <c r="W840" i="1"/>
  <c r="AA840" i="1" s="1"/>
  <c r="AB840" i="1" s="1"/>
  <c r="AC840" i="1" s="1"/>
  <c r="Z840" i="1"/>
  <c r="W841" i="1"/>
  <c r="AA841" i="1" s="1"/>
  <c r="AB841" i="1" s="1"/>
  <c r="AC841" i="1" s="1"/>
  <c r="Z841" i="1"/>
  <c r="W842" i="1"/>
  <c r="Z842" i="1"/>
  <c r="AA842" i="1" s="1"/>
  <c r="AB842" i="1" s="1"/>
  <c r="W843" i="1"/>
  <c r="Z843" i="1"/>
  <c r="AA843" i="1"/>
  <c r="AB843" i="1" s="1"/>
  <c r="W844" i="1"/>
  <c r="Z844" i="1"/>
  <c r="W845" i="1"/>
  <c r="AA845" i="1" s="1"/>
  <c r="AB845" i="1" s="1"/>
  <c r="AC845" i="1" s="1"/>
  <c r="Z845" i="1"/>
  <c r="W846" i="1"/>
  <c r="Z846" i="1"/>
  <c r="AA846" i="1" s="1"/>
  <c r="AB846" i="1"/>
  <c r="W847" i="1"/>
  <c r="Z847" i="1"/>
  <c r="AA847" i="1"/>
  <c r="AB847" i="1" s="1"/>
  <c r="AC847" i="1" s="1"/>
  <c r="W848" i="1"/>
  <c r="AA848" i="1" s="1"/>
  <c r="AB848" i="1" s="1"/>
  <c r="Z848" i="1"/>
  <c r="W849" i="1"/>
  <c r="AA849" i="1" s="1"/>
  <c r="AB849" i="1" s="1"/>
  <c r="Z849" i="1"/>
  <c r="AC849" i="1"/>
  <c r="W850" i="1"/>
  <c r="Z850" i="1"/>
  <c r="AA850" i="1" s="1"/>
  <c r="AB850" i="1"/>
  <c r="AC850" i="1" s="1"/>
  <c r="W851" i="1"/>
  <c r="Z851" i="1"/>
  <c r="AA851" i="1"/>
  <c r="AB851" i="1" s="1"/>
  <c r="AC851" i="1" s="1"/>
  <c r="W852" i="1"/>
  <c r="Z852" i="1"/>
  <c r="W853" i="1"/>
  <c r="AA853" i="1" s="1"/>
  <c r="AB853" i="1" s="1"/>
  <c r="Z853" i="1"/>
  <c r="AC853" i="1"/>
  <c r="W854" i="1"/>
  <c r="Z854" i="1"/>
  <c r="AA854" i="1" s="1"/>
  <c r="AB854" i="1"/>
  <c r="AC854" i="1" s="1"/>
  <c r="W855" i="1"/>
  <c r="Z855" i="1"/>
  <c r="AA855" i="1"/>
  <c r="AB855" i="1" s="1"/>
  <c r="AC855" i="1" s="1"/>
  <c r="W856" i="1"/>
  <c r="Z856" i="1"/>
  <c r="W857" i="1"/>
  <c r="AA857" i="1" s="1"/>
  <c r="AB857" i="1" s="1"/>
  <c r="AC857" i="1" s="1"/>
  <c r="Z857" i="1"/>
  <c r="W858" i="1"/>
  <c r="Z858" i="1"/>
  <c r="AA858" i="1" s="1"/>
  <c r="AB858" i="1" s="1"/>
  <c r="W859" i="1"/>
  <c r="Z859" i="1"/>
  <c r="AA859" i="1"/>
  <c r="AB859" i="1" s="1"/>
  <c r="W860" i="1"/>
  <c r="Z860" i="1"/>
  <c r="W861" i="1"/>
  <c r="AA861" i="1" s="1"/>
  <c r="AB861" i="1" s="1"/>
  <c r="AC861" i="1" s="1"/>
  <c r="Z861" i="1"/>
  <c r="W862" i="1"/>
  <c r="Z862" i="1"/>
  <c r="AA862" i="1" s="1"/>
  <c r="AB862" i="1"/>
  <c r="W863" i="1"/>
  <c r="Z863" i="1"/>
  <c r="AA863" i="1"/>
  <c r="AB863" i="1" s="1"/>
  <c r="AC863" i="1" s="1"/>
  <c r="W864" i="1"/>
  <c r="AA864" i="1" s="1"/>
  <c r="AB864" i="1" s="1"/>
  <c r="Z864" i="1"/>
  <c r="W865" i="1"/>
  <c r="AA865" i="1" s="1"/>
  <c r="AB865" i="1" s="1"/>
  <c r="Z865" i="1"/>
  <c r="AC865" i="1"/>
  <c r="W866" i="1"/>
  <c r="Z866" i="1"/>
  <c r="AA866" i="1" s="1"/>
  <c r="AB866" i="1"/>
  <c r="AC866" i="1" s="1"/>
  <c r="W867" i="1"/>
  <c r="Z867" i="1"/>
  <c r="AA867" i="1"/>
  <c r="AB867" i="1" s="1"/>
  <c r="AC867" i="1" s="1"/>
  <c r="W868" i="1"/>
  <c r="Z868" i="1"/>
  <c r="W869" i="1"/>
  <c r="AA869" i="1" s="1"/>
  <c r="AB869" i="1" s="1"/>
  <c r="Z869" i="1"/>
  <c r="AC869" i="1"/>
  <c r="W870" i="1"/>
  <c r="Z870" i="1"/>
  <c r="AA870" i="1" s="1"/>
  <c r="AB870" i="1"/>
  <c r="AC870" i="1" s="1"/>
  <c r="W871" i="1"/>
  <c r="Z871" i="1"/>
  <c r="AA871" i="1"/>
  <c r="AB871" i="1" s="1"/>
  <c r="AC871" i="1" s="1"/>
  <c r="W872" i="1"/>
  <c r="Z872" i="1"/>
  <c r="W873" i="1"/>
  <c r="AA873" i="1" s="1"/>
  <c r="AB873" i="1" s="1"/>
  <c r="AC873" i="1" s="1"/>
  <c r="Z873" i="1"/>
  <c r="W874" i="1"/>
  <c r="Z874" i="1"/>
  <c r="AA874" i="1" s="1"/>
  <c r="AB874" i="1" s="1"/>
  <c r="W875" i="1"/>
  <c r="Z875" i="1"/>
  <c r="AA875" i="1"/>
  <c r="AB875" i="1" s="1"/>
  <c r="W876" i="1"/>
  <c r="Z876" i="1"/>
  <c r="W877" i="1"/>
  <c r="AA877" i="1" s="1"/>
  <c r="AB877" i="1" s="1"/>
  <c r="AC877" i="1" s="1"/>
  <c r="Z877" i="1"/>
  <c r="W878" i="1"/>
  <c r="Z878" i="1"/>
  <c r="AA878" i="1" s="1"/>
  <c r="AB878" i="1"/>
  <c r="W879" i="1"/>
  <c r="Z879" i="1"/>
  <c r="AA879" i="1"/>
  <c r="AB879" i="1" s="1"/>
  <c r="AC879" i="1" s="1"/>
  <c r="W880" i="1"/>
  <c r="AA880" i="1" s="1"/>
  <c r="AB880" i="1" s="1"/>
  <c r="Z880" i="1"/>
  <c r="W881" i="1"/>
  <c r="AA881" i="1" s="1"/>
  <c r="AB881" i="1" s="1"/>
  <c r="Z881" i="1"/>
  <c r="AC881" i="1"/>
  <c r="W882" i="1"/>
  <c r="Z882" i="1"/>
  <c r="AA882" i="1" s="1"/>
  <c r="AB882" i="1"/>
  <c r="AC882" i="1" s="1"/>
  <c r="W883" i="1"/>
  <c r="Z883" i="1"/>
  <c r="AA883" i="1"/>
  <c r="AB883" i="1" s="1"/>
  <c r="AC883" i="1" s="1"/>
  <c r="W884" i="1"/>
  <c r="Z884" i="1"/>
  <c r="W885" i="1"/>
  <c r="Z885" i="1"/>
  <c r="AA885" i="1"/>
  <c r="AB885" i="1" s="1"/>
  <c r="AC885" i="1" s="1"/>
  <c r="W886" i="1"/>
  <c r="Z886" i="1"/>
  <c r="AA886" i="1" s="1"/>
  <c r="AB886" i="1"/>
  <c r="W887" i="1"/>
  <c r="Z887" i="1"/>
  <c r="AA887" i="1"/>
  <c r="AB887" i="1" s="1"/>
  <c r="AC887" i="1"/>
  <c r="W888" i="1"/>
  <c r="U888" i="1"/>
  <c r="Z888" i="1"/>
  <c r="AA888" i="1"/>
  <c r="AB888" i="1" s="1"/>
  <c r="W889" i="1"/>
  <c r="Z889" i="1"/>
  <c r="AA889" i="1" s="1"/>
  <c r="AB889" i="1"/>
  <c r="AC889" i="1" s="1"/>
  <c r="W890" i="1"/>
  <c r="Z890" i="1"/>
  <c r="AA890" i="1"/>
  <c r="AB890" i="1" s="1"/>
  <c r="AC890" i="1"/>
  <c r="W891" i="1"/>
  <c r="Z891" i="1"/>
  <c r="W892" i="1"/>
  <c r="AA892" i="1" s="1"/>
  <c r="AB892" i="1" s="1"/>
  <c r="Z892" i="1"/>
  <c r="W893" i="1"/>
  <c r="Z893" i="1"/>
  <c r="AA893" i="1" s="1"/>
  <c r="AB893" i="1"/>
  <c r="AC893" i="1" s="1"/>
  <c r="W894" i="1"/>
  <c r="AA894" i="1" s="1"/>
  <c r="AB894" i="1" s="1"/>
  <c r="Z894" i="1"/>
  <c r="W895" i="1"/>
  <c r="Z895" i="1"/>
  <c r="W896" i="1"/>
  <c r="Z896" i="1"/>
  <c r="AA896" i="1"/>
  <c r="AB896" i="1" s="1"/>
  <c r="W897" i="1"/>
  <c r="Z897" i="1"/>
  <c r="W898" i="1"/>
  <c r="Z898" i="1"/>
  <c r="AA898" i="1"/>
  <c r="AB898" i="1" s="1"/>
  <c r="AC898" i="1"/>
  <c r="W899" i="1"/>
  <c r="Z899" i="1"/>
  <c r="W900" i="1"/>
  <c r="AA900" i="1" s="1"/>
  <c r="AB900" i="1" s="1"/>
  <c r="Z900" i="1"/>
  <c r="W901" i="1"/>
  <c r="U901" i="1"/>
  <c r="Z901" i="1"/>
  <c r="AA901" i="1"/>
  <c r="AB901" i="1" s="1"/>
  <c r="AC901" i="1"/>
  <c r="W902" i="1"/>
  <c r="Z902" i="1"/>
  <c r="AA902" i="1" s="1"/>
  <c r="AB902" i="1"/>
  <c r="AC902" i="1" s="1"/>
  <c r="W903" i="1"/>
  <c r="AA903" i="1" s="1"/>
  <c r="AB903" i="1" s="1"/>
  <c r="Z903" i="1"/>
  <c r="W904" i="1"/>
  <c r="AA904" i="1" s="1"/>
  <c r="AB904" i="1" s="1"/>
  <c r="Z904" i="1"/>
  <c r="W905" i="1"/>
  <c r="AA905" i="1" s="1"/>
  <c r="AB905" i="1" s="1"/>
  <c r="AC905" i="1" s="1"/>
  <c r="Z905" i="1"/>
  <c r="W906" i="1"/>
  <c r="Z906" i="1"/>
  <c r="AA906" i="1" s="1"/>
  <c r="AB906" i="1" s="1"/>
  <c r="W907" i="1"/>
  <c r="Z907" i="1"/>
  <c r="AA907" i="1"/>
  <c r="AB907" i="1" s="1"/>
  <c r="W908" i="1"/>
  <c r="Z908" i="1"/>
  <c r="W909" i="1"/>
  <c r="Z909" i="1"/>
  <c r="AA909" i="1"/>
  <c r="AB909" i="1" s="1"/>
  <c r="AC909" i="1"/>
  <c r="W910" i="1"/>
  <c r="Z910" i="1"/>
  <c r="AA910" i="1" s="1"/>
  <c r="AB910" i="1"/>
  <c r="AC910" i="1" s="1"/>
  <c r="W911" i="1"/>
  <c r="AA911" i="1" s="1"/>
  <c r="AB911" i="1" s="1"/>
  <c r="Z911" i="1"/>
  <c r="W912" i="1"/>
  <c r="AA912" i="1" s="1"/>
  <c r="AB912" i="1" s="1"/>
  <c r="Z912" i="1"/>
  <c r="W913" i="1"/>
  <c r="AA913" i="1" s="1"/>
  <c r="AB913" i="1" s="1"/>
  <c r="AC913" i="1" s="1"/>
  <c r="Z913" i="1"/>
  <c r="W914" i="1"/>
  <c r="Z914" i="1"/>
  <c r="AA914" i="1" s="1"/>
  <c r="AB914" i="1" s="1"/>
  <c r="W915" i="1"/>
  <c r="Z915" i="1"/>
  <c r="AA915" i="1"/>
  <c r="AB915" i="1" s="1"/>
  <c r="W916" i="1"/>
  <c r="Z916" i="1"/>
  <c r="W917" i="1"/>
  <c r="Z917" i="1"/>
  <c r="AA917" i="1"/>
  <c r="AB917" i="1" s="1"/>
  <c r="AC917" i="1"/>
  <c r="W918" i="1"/>
  <c r="Z918" i="1"/>
  <c r="W919" i="1"/>
  <c r="AA919" i="1" s="1"/>
  <c r="AB919" i="1" s="1"/>
  <c r="Z919" i="1"/>
  <c r="W920" i="1"/>
  <c r="Z920" i="1"/>
  <c r="AA920" i="1" s="1"/>
  <c r="AB920" i="1"/>
  <c r="AC920" i="1" s="1"/>
  <c r="W921" i="1"/>
  <c r="AA921" i="1" s="1"/>
  <c r="AB921" i="1" s="1"/>
  <c r="AC921" i="1" s="1"/>
  <c r="Z921" i="1"/>
  <c r="W922" i="1"/>
  <c r="Z922" i="1"/>
  <c r="W923" i="1"/>
  <c r="Z923" i="1"/>
  <c r="AA923" i="1"/>
  <c r="AB923" i="1" s="1"/>
  <c r="W924" i="1"/>
  <c r="Z924" i="1"/>
  <c r="W925" i="1"/>
  <c r="Z925" i="1"/>
  <c r="AA925" i="1"/>
  <c r="AB925" i="1" s="1"/>
  <c r="AC925" i="1"/>
  <c r="W926" i="1"/>
  <c r="Z926" i="1"/>
  <c r="W927" i="1"/>
  <c r="AA927" i="1" s="1"/>
  <c r="AB927" i="1" s="1"/>
  <c r="Z927" i="1"/>
  <c r="W928" i="1"/>
  <c r="AA928" i="1" s="1"/>
  <c r="AB928" i="1" s="1"/>
  <c r="Z928" i="1"/>
  <c r="W929" i="1"/>
  <c r="AA929" i="1" s="1"/>
  <c r="AB929" i="1" s="1"/>
  <c r="AC929" i="1" s="1"/>
  <c r="Z929" i="1"/>
  <c r="W930" i="1"/>
  <c r="Z930" i="1"/>
  <c r="W931" i="1"/>
  <c r="Z931" i="1"/>
  <c r="AA931" i="1"/>
  <c r="AB931" i="1" s="1"/>
  <c r="W932" i="1"/>
  <c r="Z932" i="1"/>
  <c r="W933" i="1"/>
  <c r="Z933" i="1"/>
  <c r="AA933" i="1"/>
  <c r="AB933" i="1" s="1"/>
  <c r="AC933" i="1"/>
  <c r="W934" i="1"/>
  <c r="Z934" i="1"/>
  <c r="W935" i="1"/>
  <c r="AA935" i="1" s="1"/>
  <c r="AB935" i="1" s="1"/>
  <c r="Z935" i="1"/>
  <c r="W936" i="1"/>
  <c r="AA936" i="1" s="1"/>
  <c r="AB936" i="1" s="1"/>
  <c r="Z936" i="1"/>
  <c r="W937" i="1"/>
  <c r="AA937" i="1" s="1"/>
  <c r="AB937" i="1" s="1"/>
  <c r="AC937" i="1" s="1"/>
  <c r="Z937" i="1"/>
  <c r="W938" i="1"/>
  <c r="Z938" i="1"/>
  <c r="W939" i="1"/>
  <c r="Z939" i="1"/>
  <c r="AA939" i="1"/>
  <c r="AB939" i="1" s="1"/>
  <c r="W940" i="1"/>
  <c r="Z940" i="1"/>
  <c r="W941" i="1"/>
  <c r="Z941" i="1"/>
  <c r="AA941" i="1"/>
  <c r="AB941" i="1" s="1"/>
  <c r="AC941" i="1"/>
  <c r="W942" i="1"/>
  <c r="Z942" i="1"/>
  <c r="W943" i="1"/>
  <c r="AA943" i="1" s="1"/>
  <c r="AB943" i="1" s="1"/>
  <c r="Z943" i="1"/>
  <c r="W944" i="1"/>
  <c r="Z944" i="1"/>
  <c r="AA944" i="1" s="1"/>
  <c r="AB944" i="1"/>
  <c r="AC944" i="1" s="1"/>
  <c r="W945" i="1"/>
  <c r="AA945" i="1" s="1"/>
  <c r="AB945" i="1" s="1"/>
  <c r="AC945" i="1" s="1"/>
  <c r="Z945" i="1"/>
  <c r="W946" i="1"/>
  <c r="Z946" i="1"/>
  <c r="W947" i="1"/>
  <c r="Z947" i="1"/>
  <c r="AA947" i="1"/>
  <c r="AB947" i="1" s="1"/>
  <c r="W948" i="1"/>
  <c r="Z948" i="1"/>
  <c r="W949" i="1"/>
  <c r="Z949" i="1"/>
  <c r="AA949" i="1"/>
  <c r="AB949" i="1" s="1"/>
  <c r="AC949" i="1"/>
  <c r="W950" i="1"/>
  <c r="Z950" i="1"/>
  <c r="W951" i="1"/>
  <c r="AA951" i="1" s="1"/>
  <c r="AB951" i="1" s="1"/>
  <c r="Z951" i="1"/>
  <c r="W952" i="1"/>
  <c r="AA952" i="1" s="1"/>
  <c r="AB952" i="1" s="1"/>
  <c r="Z952" i="1"/>
  <c r="W953" i="1"/>
  <c r="AA953" i="1" s="1"/>
  <c r="AB953" i="1" s="1"/>
  <c r="AC953" i="1" s="1"/>
  <c r="Z953" i="1"/>
  <c r="W954" i="1"/>
  <c r="Z954" i="1"/>
  <c r="W955" i="1"/>
  <c r="Z955" i="1"/>
  <c r="AA955" i="1"/>
  <c r="AB955" i="1" s="1"/>
  <c r="W956" i="1"/>
  <c r="Z956" i="1"/>
  <c r="AA956" i="1" s="1"/>
  <c r="AB956" i="1"/>
  <c r="W957" i="1"/>
  <c r="Z957" i="1"/>
  <c r="AA957" i="1"/>
  <c r="AB957" i="1" s="1"/>
  <c r="AC957" i="1"/>
  <c r="W958" i="1"/>
  <c r="Z958" i="1"/>
  <c r="W959" i="1"/>
  <c r="AA959" i="1" s="1"/>
  <c r="AB959" i="1" s="1"/>
  <c r="Z959" i="1"/>
  <c r="W960" i="1"/>
  <c r="AA960" i="1" s="1"/>
  <c r="AB960" i="1" s="1"/>
  <c r="Z960" i="1"/>
  <c r="W961" i="1"/>
  <c r="AA961" i="1" s="1"/>
  <c r="AB961" i="1" s="1"/>
  <c r="AC961" i="1" s="1"/>
  <c r="Z961" i="1"/>
  <c r="W962" i="1"/>
  <c r="Z962" i="1"/>
  <c r="W963" i="1"/>
  <c r="Z963" i="1"/>
  <c r="AA963" i="1"/>
  <c r="AB963" i="1" s="1"/>
  <c r="W964" i="1"/>
  <c r="Z964" i="1"/>
  <c r="W965" i="1"/>
  <c r="Z965" i="1"/>
  <c r="AA965" i="1"/>
  <c r="AB965" i="1" s="1"/>
  <c r="AC965" i="1"/>
  <c r="W966" i="1"/>
  <c r="Z966" i="1"/>
  <c r="W967" i="1"/>
  <c r="AA967" i="1" s="1"/>
  <c r="AB967" i="1" s="1"/>
  <c r="Z967" i="1"/>
  <c r="W968" i="1"/>
  <c r="AA968" i="1" s="1"/>
  <c r="AB968" i="1" s="1"/>
  <c r="Z968" i="1"/>
  <c r="W969" i="1"/>
  <c r="AA969" i="1" s="1"/>
  <c r="AB969" i="1" s="1"/>
  <c r="AC969" i="1" s="1"/>
  <c r="Z969" i="1"/>
  <c r="W970" i="1"/>
  <c r="Z970" i="1"/>
  <c r="W971" i="1"/>
  <c r="Z971" i="1"/>
  <c r="AA971" i="1"/>
  <c r="AB971" i="1" s="1"/>
  <c r="W972" i="1"/>
  <c r="Z972" i="1"/>
  <c r="W973" i="1"/>
  <c r="Z973" i="1"/>
  <c r="AA973" i="1"/>
  <c r="AB973" i="1" s="1"/>
  <c r="AC973" i="1"/>
  <c r="W974" i="1"/>
  <c r="Z974" i="1"/>
  <c r="W975" i="1"/>
  <c r="AA975" i="1" s="1"/>
  <c r="AB975" i="1" s="1"/>
  <c r="Z975" i="1"/>
  <c r="W976" i="1"/>
  <c r="AA976" i="1" s="1"/>
  <c r="AB976" i="1" s="1"/>
  <c r="Z976" i="1"/>
  <c r="W977" i="1"/>
  <c r="AA977" i="1" s="1"/>
  <c r="AB977" i="1" s="1"/>
  <c r="AC977" i="1" s="1"/>
  <c r="Z977" i="1"/>
  <c r="W978" i="1"/>
  <c r="Z978" i="1"/>
  <c r="W979" i="1"/>
  <c r="Z979" i="1"/>
  <c r="AA979" i="1"/>
  <c r="AB979" i="1" s="1"/>
  <c r="W980" i="1"/>
  <c r="Z980" i="1"/>
  <c r="W981" i="1"/>
  <c r="Z981" i="1"/>
  <c r="AA981" i="1"/>
  <c r="AB981" i="1" s="1"/>
  <c r="AC981" i="1"/>
  <c r="W982" i="1"/>
  <c r="Z982" i="1"/>
  <c r="W983" i="1"/>
  <c r="AA983" i="1" s="1"/>
  <c r="AB983" i="1" s="1"/>
  <c r="Z983" i="1"/>
  <c r="W984" i="1"/>
  <c r="AA984" i="1" s="1"/>
  <c r="AB984" i="1" s="1"/>
  <c r="Z984" i="1"/>
  <c r="W985" i="1"/>
  <c r="AA985" i="1" s="1"/>
  <c r="AB985" i="1" s="1"/>
  <c r="AC985" i="1" s="1"/>
  <c r="Z985" i="1"/>
  <c r="W986" i="1"/>
  <c r="Z986" i="1"/>
  <c r="AA986" i="1" s="1"/>
  <c r="AB986" i="1" s="1"/>
  <c r="W987" i="1"/>
  <c r="Z987" i="1"/>
  <c r="AA987" i="1"/>
  <c r="AB987" i="1" s="1"/>
  <c r="W988" i="1"/>
  <c r="Z988" i="1"/>
  <c r="W989" i="1"/>
  <c r="Z989" i="1"/>
  <c r="AA989" i="1"/>
  <c r="AB989" i="1" s="1"/>
  <c r="AC989" i="1"/>
  <c r="W990" i="1"/>
  <c r="Z990" i="1"/>
  <c r="AA990" i="1" s="1"/>
  <c r="AB990" i="1"/>
  <c r="AC990" i="1" s="1"/>
  <c r="W991" i="1"/>
  <c r="AA991" i="1" s="1"/>
  <c r="AB991" i="1" s="1"/>
  <c r="Z991" i="1"/>
  <c r="W992" i="1"/>
  <c r="AA992" i="1" s="1"/>
  <c r="AB992" i="1" s="1"/>
  <c r="Z992" i="1"/>
  <c r="W993" i="1"/>
  <c r="AA993" i="1" s="1"/>
  <c r="AB993" i="1" s="1"/>
  <c r="AC993" i="1" s="1"/>
  <c r="Z993" i="1"/>
  <c r="W994" i="1"/>
  <c r="Z994" i="1"/>
  <c r="W995" i="1"/>
  <c r="Z995" i="1"/>
  <c r="AA995" i="1"/>
  <c r="AB995" i="1" s="1"/>
  <c r="W996" i="1"/>
  <c r="Z996" i="1"/>
  <c r="W997" i="1"/>
  <c r="Z997" i="1"/>
  <c r="AA997" i="1"/>
  <c r="AB997" i="1" s="1"/>
  <c r="AC997" i="1"/>
  <c r="W998" i="1"/>
  <c r="Z998" i="1"/>
  <c r="W999" i="1"/>
  <c r="AA999" i="1" s="1"/>
  <c r="AB999" i="1" s="1"/>
  <c r="Z999" i="1"/>
  <c r="W1000" i="1"/>
  <c r="AA1000" i="1" s="1"/>
  <c r="AB1000" i="1" s="1"/>
  <c r="Z1000" i="1"/>
  <c r="W1001" i="1"/>
  <c r="AA1001" i="1" s="1"/>
  <c r="AB1001" i="1" s="1"/>
  <c r="AC1001" i="1" s="1"/>
  <c r="Z1001" i="1"/>
  <c r="W1002" i="1"/>
  <c r="Z1002" i="1"/>
  <c r="W1003" i="1"/>
  <c r="Z1003" i="1"/>
  <c r="AA1003" i="1"/>
  <c r="AB1003" i="1" s="1"/>
  <c r="W1004" i="1"/>
  <c r="Z1004" i="1"/>
  <c r="W1005" i="1"/>
  <c r="Z1005" i="1"/>
  <c r="AA1005" i="1"/>
  <c r="AB1005" i="1" s="1"/>
  <c r="AC1005" i="1"/>
  <c r="W1006" i="1"/>
  <c r="Z1006" i="1"/>
  <c r="W1007" i="1"/>
  <c r="AA1007" i="1" s="1"/>
  <c r="AB1007" i="1" s="1"/>
  <c r="Z1007" i="1"/>
  <c r="W1008" i="1"/>
  <c r="AA1008" i="1" s="1"/>
  <c r="AB1008" i="1" s="1"/>
  <c r="Z1008" i="1"/>
  <c r="W1009" i="1"/>
  <c r="AA1009" i="1" s="1"/>
  <c r="AB1009" i="1" s="1"/>
  <c r="AC1009" i="1" s="1"/>
  <c r="Z1009" i="1"/>
  <c r="W1010" i="1"/>
  <c r="Z1010" i="1"/>
  <c r="W1011" i="1"/>
  <c r="Z1011" i="1"/>
  <c r="AA1011" i="1"/>
  <c r="AB1011" i="1" s="1"/>
  <c r="W1012" i="1"/>
  <c r="Z1012" i="1"/>
  <c r="W1013" i="1"/>
  <c r="Z1013" i="1"/>
  <c r="AA1013" i="1"/>
  <c r="AB1013" i="1" s="1"/>
  <c r="AC1013" i="1"/>
  <c r="W1014" i="1"/>
  <c r="Z1014" i="1"/>
  <c r="W1015" i="1"/>
  <c r="AA1015" i="1" s="1"/>
  <c r="AB1015" i="1" s="1"/>
  <c r="Z1015" i="1"/>
  <c r="W1016" i="1"/>
  <c r="AA1016" i="1" s="1"/>
  <c r="AB1016" i="1" s="1"/>
  <c r="Z1016" i="1"/>
  <c r="W1017" i="1"/>
  <c r="AA1017" i="1" s="1"/>
  <c r="AB1017" i="1" s="1"/>
  <c r="AC1017" i="1" s="1"/>
  <c r="Z1017" i="1"/>
  <c r="W1018" i="1"/>
  <c r="Z1018" i="1"/>
  <c r="AA1018" i="1" s="1"/>
  <c r="AB1018" i="1" s="1"/>
  <c r="W1019" i="1"/>
  <c r="Z1019" i="1"/>
  <c r="AA1019" i="1"/>
  <c r="AB1019" i="1" s="1"/>
  <c r="W1020" i="1"/>
  <c r="Z1020" i="1"/>
  <c r="W1021" i="1"/>
  <c r="Z1021" i="1"/>
  <c r="AA1021" i="1"/>
  <c r="AB1021" i="1" s="1"/>
  <c r="AC1021" i="1"/>
  <c r="W1022" i="1"/>
  <c r="Z1022" i="1"/>
  <c r="AA1022" i="1" s="1"/>
  <c r="AB1022" i="1"/>
  <c r="AC1022" i="1" s="1"/>
  <c r="W1023" i="1"/>
  <c r="AA1023" i="1" s="1"/>
  <c r="AB1023" i="1" s="1"/>
  <c r="Z1023" i="1"/>
  <c r="W1024" i="1"/>
  <c r="AA1024" i="1" s="1"/>
  <c r="AB1024" i="1" s="1"/>
  <c r="Z1024" i="1"/>
  <c r="W1025" i="1"/>
  <c r="AA1025" i="1" s="1"/>
  <c r="AB1025" i="1" s="1"/>
  <c r="AC1025" i="1" s="1"/>
  <c r="Z1025" i="1"/>
  <c r="W1026" i="1"/>
  <c r="Z1026" i="1"/>
  <c r="AA1026" i="1" s="1"/>
  <c r="AB1026" i="1" s="1"/>
  <c r="W1027" i="1"/>
  <c r="Z1027" i="1"/>
  <c r="AA1027" i="1"/>
  <c r="AB1027" i="1" s="1"/>
  <c r="W1028" i="1"/>
  <c r="Z1028" i="1"/>
  <c r="W1029" i="1"/>
  <c r="Z1029" i="1"/>
  <c r="AA1029" i="1"/>
  <c r="AB1029" i="1" s="1"/>
  <c r="AC1029" i="1"/>
  <c r="W1030" i="1"/>
  <c r="Z1030" i="1"/>
  <c r="AA1030" i="1" s="1"/>
  <c r="AB1030" i="1"/>
  <c r="AC1030" i="1" s="1"/>
  <c r="W1031" i="1"/>
  <c r="AA1031" i="1" s="1"/>
  <c r="AB1031" i="1" s="1"/>
  <c r="Z1031" i="1"/>
  <c r="W1032" i="1"/>
  <c r="AA1032" i="1" s="1"/>
  <c r="AB1032" i="1" s="1"/>
  <c r="Z1032" i="1"/>
  <c r="W1033" i="1"/>
  <c r="AA1033" i="1" s="1"/>
  <c r="AB1033" i="1" s="1"/>
  <c r="AC1033" i="1" s="1"/>
  <c r="Z1033" i="1"/>
  <c r="W1034" i="1"/>
  <c r="Z1034" i="1"/>
  <c r="AA1034" i="1" s="1"/>
  <c r="AB1034" i="1" s="1"/>
  <c r="W1035" i="1"/>
  <c r="Z1035" i="1"/>
  <c r="AA1035" i="1"/>
  <c r="AB1035" i="1" s="1"/>
  <c r="W1036" i="1"/>
  <c r="Z1036" i="1"/>
  <c r="W1037" i="1"/>
  <c r="Z1037" i="1"/>
  <c r="AA1037" i="1"/>
  <c r="AB1037" i="1" s="1"/>
  <c r="AC1037" i="1"/>
  <c r="W1038" i="1"/>
  <c r="Z1038" i="1"/>
  <c r="AA1038" i="1" s="1"/>
  <c r="AB1038" i="1"/>
  <c r="AC1038" i="1" s="1"/>
  <c r="W1039" i="1"/>
  <c r="AA1039" i="1" s="1"/>
  <c r="AB1039" i="1" s="1"/>
  <c r="Z1039" i="1"/>
  <c r="W1040" i="1"/>
  <c r="AA1040" i="1" s="1"/>
  <c r="AB1040" i="1" s="1"/>
  <c r="Z1040" i="1"/>
  <c r="W1041" i="1"/>
  <c r="AA1041" i="1" s="1"/>
  <c r="AB1041" i="1" s="1"/>
  <c r="AC1041" i="1" s="1"/>
  <c r="Z1041" i="1"/>
  <c r="W1042" i="1"/>
  <c r="Z1042" i="1"/>
  <c r="W1043" i="1"/>
  <c r="Z1043" i="1"/>
  <c r="AA1043" i="1"/>
  <c r="AB1043" i="1" s="1"/>
  <c r="W1044" i="1"/>
  <c r="Z1044" i="1"/>
  <c r="W1045" i="1"/>
  <c r="Z1045" i="1"/>
  <c r="AA1045" i="1"/>
  <c r="AB1045" i="1" s="1"/>
  <c r="AC1045" i="1"/>
  <c r="W1046" i="1"/>
  <c r="Z1046" i="1"/>
  <c r="W1047" i="1"/>
  <c r="AA1047" i="1" s="1"/>
  <c r="AB1047" i="1" s="1"/>
  <c r="Z1047" i="1"/>
  <c r="W1048" i="1"/>
  <c r="AA1048" i="1" s="1"/>
  <c r="AB1048" i="1" s="1"/>
  <c r="Z1048" i="1"/>
  <c r="W1049" i="1"/>
  <c r="AA1049" i="1" s="1"/>
  <c r="AB1049" i="1" s="1"/>
  <c r="AC1049" i="1" s="1"/>
  <c r="Z1049" i="1"/>
  <c r="W1050" i="1"/>
  <c r="Z1050" i="1"/>
  <c r="W1051" i="1"/>
  <c r="Z1051" i="1"/>
  <c r="AA1051" i="1"/>
  <c r="AB1051" i="1" s="1"/>
  <c r="W1052" i="1"/>
  <c r="Z1052" i="1"/>
  <c r="W1053" i="1"/>
  <c r="Z1053" i="1"/>
  <c r="AA1053" i="1"/>
  <c r="AB1053" i="1" s="1"/>
  <c r="AC1053" i="1"/>
  <c r="W1054" i="1"/>
  <c r="Z1054" i="1"/>
  <c r="W1055" i="1"/>
  <c r="AA1055" i="1" s="1"/>
  <c r="AB1055" i="1" s="1"/>
  <c r="Z1055" i="1"/>
  <c r="W1056" i="1"/>
  <c r="AA1056" i="1" s="1"/>
  <c r="AB1056" i="1" s="1"/>
  <c r="Z1056" i="1"/>
  <c r="W1057" i="1"/>
  <c r="AA1057" i="1" s="1"/>
  <c r="AB1057" i="1" s="1"/>
  <c r="AC1057" i="1" s="1"/>
  <c r="Z1057" i="1"/>
  <c r="W1058" i="1"/>
  <c r="Z1058" i="1"/>
  <c r="W1059" i="1"/>
  <c r="Z1059" i="1"/>
  <c r="AA1059" i="1"/>
  <c r="AB1059" i="1" s="1"/>
  <c r="W1060" i="1"/>
  <c r="Z1060" i="1"/>
  <c r="W1061" i="1"/>
  <c r="Z1061" i="1"/>
  <c r="AA1061" i="1"/>
  <c r="AB1061" i="1" s="1"/>
  <c r="AC1061" i="1"/>
  <c r="W1062" i="1"/>
  <c r="Z1062" i="1"/>
  <c r="W1063" i="1"/>
  <c r="AA1063" i="1" s="1"/>
  <c r="AB1063" i="1" s="1"/>
  <c r="Z1063" i="1"/>
  <c r="W1064" i="1"/>
  <c r="AA1064" i="1" s="1"/>
  <c r="AB1064" i="1" s="1"/>
  <c r="Z1064" i="1"/>
  <c r="W1065" i="1"/>
  <c r="AA1065" i="1" s="1"/>
  <c r="AB1065" i="1" s="1"/>
  <c r="AC1065" i="1" s="1"/>
  <c r="Z1065" i="1"/>
  <c r="W1066" i="1"/>
  <c r="Z1066" i="1"/>
  <c r="W1067" i="1"/>
  <c r="Z1067" i="1"/>
  <c r="AA1067" i="1"/>
  <c r="AB1067" i="1" s="1"/>
  <c r="W1068" i="1"/>
  <c r="Z1068" i="1"/>
  <c r="W1069" i="1"/>
  <c r="Z1069" i="1"/>
  <c r="AA1069" i="1"/>
  <c r="AB1069" i="1" s="1"/>
  <c r="AC1069" i="1"/>
  <c r="W1070" i="1"/>
  <c r="Z1070" i="1"/>
  <c r="W1071" i="1"/>
  <c r="AA1071" i="1" s="1"/>
  <c r="AB1071" i="1" s="1"/>
  <c r="Z1071" i="1"/>
  <c r="W1072" i="1"/>
  <c r="AA1072" i="1" s="1"/>
  <c r="AB1072" i="1" s="1"/>
  <c r="Z1072" i="1"/>
  <c r="W1073" i="1"/>
  <c r="AA1073" i="1" s="1"/>
  <c r="AB1073" i="1" s="1"/>
  <c r="AC1073" i="1" s="1"/>
  <c r="Z1073" i="1"/>
  <c r="W1074" i="1"/>
  <c r="Z1074" i="1"/>
  <c r="AA1074" i="1" s="1"/>
  <c r="AB1074" i="1" s="1"/>
  <c r="W1075" i="1"/>
  <c r="Z1075" i="1"/>
  <c r="AA1075" i="1"/>
  <c r="AB1075" i="1" s="1"/>
  <c r="W1076" i="1"/>
  <c r="Z1076" i="1"/>
  <c r="W1077" i="1"/>
  <c r="Z1077" i="1"/>
  <c r="AA1077" i="1"/>
  <c r="AB1077" i="1" s="1"/>
  <c r="AC1077" i="1"/>
  <c r="W1078" i="1"/>
  <c r="Z1078" i="1"/>
  <c r="AA1078" i="1" s="1"/>
  <c r="AB1078" i="1"/>
  <c r="AC1078" i="1" s="1"/>
  <c r="W1079" i="1"/>
  <c r="AA1079" i="1" s="1"/>
  <c r="AB1079" i="1" s="1"/>
  <c r="Z1079" i="1"/>
  <c r="W1080" i="1"/>
  <c r="AA1080" i="1" s="1"/>
  <c r="AB1080" i="1" s="1"/>
  <c r="Z1080" i="1"/>
  <c r="W1081" i="1"/>
  <c r="AA1081" i="1" s="1"/>
  <c r="AB1081" i="1" s="1"/>
  <c r="AC1081" i="1" s="1"/>
  <c r="Z1081" i="1"/>
  <c r="W1082" i="1"/>
  <c r="Z1082" i="1"/>
  <c r="AA1082" i="1" s="1"/>
  <c r="AB1082" i="1" s="1"/>
  <c r="W1083" i="1"/>
  <c r="Z1083" i="1"/>
  <c r="AA1083" i="1"/>
  <c r="AB1083" i="1" s="1"/>
  <c r="W1084" i="1"/>
  <c r="Z1084" i="1"/>
  <c r="W1085" i="1"/>
  <c r="Z1085" i="1"/>
  <c r="AA1085" i="1"/>
  <c r="AB1085" i="1" s="1"/>
  <c r="AC1085" i="1"/>
  <c r="W1086" i="1"/>
  <c r="Z1086" i="1"/>
  <c r="AA1086" i="1" s="1"/>
  <c r="AB1086" i="1"/>
  <c r="AC1086" i="1" s="1"/>
  <c r="W1087" i="1"/>
  <c r="AA1087" i="1" s="1"/>
  <c r="AB1087" i="1" s="1"/>
  <c r="Z1087" i="1"/>
  <c r="W1088" i="1"/>
  <c r="AA1088" i="1" s="1"/>
  <c r="AB1088" i="1" s="1"/>
  <c r="Z1088" i="1"/>
  <c r="W1089" i="1"/>
  <c r="AA1089" i="1" s="1"/>
  <c r="AB1089" i="1" s="1"/>
  <c r="AC1089" i="1" s="1"/>
  <c r="Z1089" i="1"/>
  <c r="W1090" i="1"/>
  <c r="Z1090" i="1"/>
  <c r="W1091" i="1"/>
  <c r="Z1091" i="1"/>
  <c r="AA1091" i="1"/>
  <c r="AB1091" i="1" s="1"/>
  <c r="W1092" i="1"/>
  <c r="Z1092" i="1"/>
  <c r="W1093" i="1"/>
  <c r="Z1093" i="1"/>
  <c r="AA1093" i="1"/>
  <c r="AB1093" i="1" s="1"/>
  <c r="AC1093" i="1"/>
  <c r="W1094" i="1"/>
  <c r="Z1094" i="1"/>
  <c r="W1095" i="1"/>
  <c r="AA1095" i="1" s="1"/>
  <c r="AB1095" i="1" s="1"/>
  <c r="Z1095" i="1"/>
  <c r="W1096" i="1"/>
  <c r="Z1096" i="1"/>
  <c r="AA1096" i="1"/>
  <c r="AB1096" i="1"/>
  <c r="AC1096" i="1"/>
  <c r="W1097" i="1"/>
  <c r="Z1097" i="1"/>
  <c r="AA1097" i="1"/>
  <c r="AB1097" i="1"/>
  <c r="AC1097" i="1" s="1"/>
  <c r="W1098" i="1"/>
  <c r="Z1098" i="1"/>
  <c r="AA1098" i="1"/>
  <c r="AB1098" i="1" s="1"/>
  <c r="W1099" i="1"/>
  <c r="AA1099" i="1" s="1"/>
  <c r="AB1099" i="1" s="1"/>
  <c r="Z1099" i="1"/>
  <c r="W1100" i="1"/>
  <c r="AA1100" i="1" s="1"/>
  <c r="AB1100" i="1" s="1"/>
  <c r="AD1100" i="1" s="1"/>
  <c r="Z1100" i="1"/>
  <c r="AC1100" i="1"/>
  <c r="W1101" i="1"/>
  <c r="Z1101" i="1"/>
  <c r="AA1101" i="1"/>
  <c r="AB1101" i="1"/>
  <c r="AC1101" i="1" s="1"/>
  <c r="W1102" i="1"/>
  <c r="Z1102" i="1"/>
  <c r="AA1102" i="1"/>
  <c r="AB1102" i="1" s="1"/>
  <c r="W1103" i="1"/>
  <c r="AA1103" i="1" s="1"/>
  <c r="AB1103" i="1" s="1"/>
  <c r="Z1103" i="1"/>
  <c r="W1104" i="1"/>
  <c r="AA1104" i="1" s="1"/>
  <c r="AB1104" i="1" s="1"/>
  <c r="AD1104" i="1" s="1"/>
  <c r="Z1104" i="1"/>
  <c r="AC1104" i="1"/>
  <c r="W1105" i="1"/>
  <c r="Z1105" i="1"/>
  <c r="AA1105" i="1"/>
  <c r="AB1105" i="1"/>
  <c r="AC1105" i="1" s="1"/>
  <c r="W1106" i="1"/>
  <c r="Z1106" i="1"/>
  <c r="AA1106" i="1"/>
  <c r="AB1106" i="1" s="1"/>
  <c r="W1107" i="1"/>
  <c r="AA1107" i="1" s="1"/>
  <c r="AB1107" i="1" s="1"/>
  <c r="Z1107" i="1"/>
  <c r="W1108" i="1"/>
  <c r="AA1108" i="1" s="1"/>
  <c r="AB1108" i="1" s="1"/>
  <c r="AD1108" i="1" s="1"/>
  <c r="Z1108" i="1"/>
  <c r="AC1108" i="1"/>
  <c r="W1109" i="1"/>
  <c r="Z1109" i="1"/>
  <c r="AA1109" i="1"/>
  <c r="AB1109" i="1"/>
  <c r="AC1109" i="1" s="1"/>
  <c r="W1110" i="1"/>
  <c r="Z1110" i="1"/>
  <c r="AA1110" i="1"/>
  <c r="AB1110" i="1" s="1"/>
  <c r="W1111" i="1"/>
  <c r="AA1111" i="1" s="1"/>
  <c r="AB1111" i="1" s="1"/>
  <c r="Z1111" i="1"/>
  <c r="W1112" i="1"/>
  <c r="AA1112" i="1" s="1"/>
  <c r="AB1112" i="1" s="1"/>
  <c r="AD1112" i="1" s="1"/>
  <c r="Z1112" i="1"/>
  <c r="AC1112" i="1"/>
  <c r="W1113" i="1"/>
  <c r="Z1113" i="1"/>
  <c r="AA1113" i="1"/>
  <c r="AB1113" i="1"/>
  <c r="AC1113" i="1" s="1"/>
  <c r="W1114" i="1"/>
  <c r="Z1114" i="1"/>
  <c r="AA1114" i="1"/>
  <c r="AB1114" i="1" s="1"/>
  <c r="W1115" i="1"/>
  <c r="AA1115" i="1" s="1"/>
  <c r="AB1115" i="1" s="1"/>
  <c r="Z1115" i="1"/>
  <c r="W1116" i="1"/>
  <c r="AA1116" i="1" s="1"/>
  <c r="AB1116" i="1" s="1"/>
  <c r="AD1116" i="1" s="1"/>
  <c r="Z1116" i="1"/>
  <c r="AC1116" i="1"/>
  <c r="W1117" i="1"/>
  <c r="Z1117" i="1"/>
  <c r="AA1117" i="1"/>
  <c r="AB1117" i="1"/>
  <c r="AC1117" i="1" s="1"/>
  <c r="W1118" i="1"/>
  <c r="Z1118" i="1"/>
  <c r="AA1118" i="1"/>
  <c r="AB1118" i="1" s="1"/>
  <c r="W1119" i="1"/>
  <c r="AA1119" i="1" s="1"/>
  <c r="AB1119" i="1" s="1"/>
  <c r="Z1119" i="1"/>
  <c r="W1120" i="1"/>
  <c r="AA1120" i="1" s="1"/>
  <c r="AB1120" i="1" s="1"/>
  <c r="AD1120" i="1" s="1"/>
  <c r="Z1120" i="1"/>
  <c r="AC1120" i="1"/>
  <c r="W1121" i="1"/>
  <c r="Z1121" i="1"/>
  <c r="AA1121" i="1"/>
  <c r="AB1121" i="1"/>
  <c r="AC1121" i="1" s="1"/>
  <c r="W1122" i="1"/>
  <c r="Z1122" i="1"/>
  <c r="AA1122" i="1"/>
  <c r="AB1122" i="1" s="1"/>
  <c r="W1123" i="1"/>
  <c r="AA1123" i="1" s="1"/>
  <c r="AB1123" i="1" s="1"/>
  <c r="Z1123" i="1"/>
  <c r="W1124" i="1"/>
  <c r="AA1124" i="1" s="1"/>
  <c r="AB1124" i="1" s="1"/>
  <c r="AD1124" i="1" s="1"/>
  <c r="Z1124" i="1"/>
  <c r="AC1124" i="1"/>
  <c r="W1125" i="1"/>
  <c r="Z1125" i="1"/>
  <c r="AA1125" i="1"/>
  <c r="AB1125" i="1"/>
  <c r="AC1125" i="1" s="1"/>
  <c r="W1126" i="1"/>
  <c r="Z1126" i="1"/>
  <c r="AA1126" i="1"/>
  <c r="AB1126" i="1" s="1"/>
  <c r="W1127" i="1"/>
  <c r="AA1127" i="1" s="1"/>
  <c r="AB1127" i="1" s="1"/>
  <c r="Z1127" i="1"/>
  <c r="W1128" i="1"/>
  <c r="AA1128" i="1" s="1"/>
  <c r="AB1128" i="1" s="1"/>
  <c r="AD1128" i="1" s="1"/>
  <c r="Z1128" i="1"/>
  <c r="AC1128" i="1"/>
  <c r="W1129" i="1"/>
  <c r="Z1129" i="1"/>
  <c r="AA1129" i="1"/>
  <c r="AB1129" i="1"/>
  <c r="AC1129" i="1" s="1"/>
  <c r="W1130" i="1"/>
  <c r="Z1130" i="1"/>
  <c r="AA1130" i="1"/>
  <c r="AB1130" i="1" s="1"/>
  <c r="W1131" i="1"/>
  <c r="AA1131" i="1" s="1"/>
  <c r="AB1131" i="1" s="1"/>
  <c r="Z1131" i="1"/>
  <c r="W1132" i="1"/>
  <c r="AA1132" i="1" s="1"/>
  <c r="AB1132" i="1" s="1"/>
  <c r="AD1132" i="1" s="1"/>
  <c r="Z1132" i="1"/>
  <c r="AC1132" i="1"/>
  <c r="W1133" i="1"/>
  <c r="Z1133" i="1"/>
  <c r="AA1133" i="1"/>
  <c r="AB1133" i="1"/>
  <c r="AC1133" i="1" s="1"/>
  <c r="W1134" i="1"/>
  <c r="Z1134" i="1"/>
  <c r="AA1134" i="1"/>
  <c r="AB1134" i="1" s="1"/>
  <c r="W1135" i="1"/>
  <c r="AA1135" i="1" s="1"/>
  <c r="AB1135" i="1" s="1"/>
  <c r="Z1135" i="1"/>
  <c r="W1136" i="1"/>
  <c r="AA1136" i="1" s="1"/>
  <c r="AB1136" i="1" s="1"/>
  <c r="AD1136" i="1" s="1"/>
  <c r="Z1136" i="1"/>
  <c r="AC1136" i="1"/>
  <c r="W1137" i="1"/>
  <c r="Z1137" i="1"/>
  <c r="AA1137" i="1"/>
  <c r="AB1137" i="1"/>
  <c r="AC1137" i="1" s="1"/>
  <c r="W1138" i="1"/>
  <c r="Z1138" i="1"/>
  <c r="AA1138" i="1"/>
  <c r="AB1138" i="1" s="1"/>
  <c r="W1139" i="1"/>
  <c r="AA1139" i="1" s="1"/>
  <c r="AB1139" i="1" s="1"/>
  <c r="Z1139" i="1"/>
  <c r="W1140" i="1"/>
  <c r="AA1140" i="1" s="1"/>
  <c r="AB1140" i="1" s="1"/>
  <c r="AD1140" i="1" s="1"/>
  <c r="Z1140" i="1"/>
  <c r="AC1140" i="1"/>
  <c r="W1141" i="1"/>
  <c r="Z1141" i="1"/>
  <c r="AA1141" i="1"/>
  <c r="AB1141" i="1"/>
  <c r="AC1141" i="1" s="1"/>
  <c r="W1142" i="1"/>
  <c r="Z1142" i="1"/>
  <c r="AA1142" i="1"/>
  <c r="AB1142" i="1" s="1"/>
  <c r="W1143" i="1"/>
  <c r="AA1143" i="1" s="1"/>
  <c r="AB1143" i="1" s="1"/>
  <c r="Z1143" i="1"/>
  <c r="W1144" i="1"/>
  <c r="AA1144" i="1" s="1"/>
  <c r="AB1144" i="1" s="1"/>
  <c r="AD1144" i="1" s="1"/>
  <c r="Z1144" i="1"/>
  <c r="AC1144" i="1"/>
  <c r="W1145" i="1"/>
  <c r="Z1145" i="1"/>
  <c r="AA1145" i="1"/>
  <c r="AB1145" i="1"/>
  <c r="AC1145" i="1" s="1"/>
  <c r="W1146" i="1"/>
  <c r="Z1146" i="1"/>
  <c r="AA1146" i="1"/>
  <c r="AB1146" i="1" s="1"/>
  <c r="W1147" i="1"/>
  <c r="AA1147" i="1" s="1"/>
  <c r="AB1147" i="1" s="1"/>
  <c r="Z1147" i="1"/>
  <c r="W1148" i="1"/>
  <c r="AA1148" i="1" s="1"/>
  <c r="AB1148" i="1" s="1"/>
  <c r="AD1148" i="1" s="1"/>
  <c r="Z1148" i="1"/>
  <c r="AC1148" i="1"/>
  <c r="W1149" i="1"/>
  <c r="Z1149" i="1"/>
  <c r="AA1149" i="1"/>
  <c r="AB1149" i="1"/>
  <c r="AC1149" i="1" s="1"/>
  <c r="W1150" i="1"/>
  <c r="Z1150" i="1"/>
  <c r="AA1150" i="1"/>
  <c r="AB1150" i="1" s="1"/>
  <c r="W1151" i="1"/>
  <c r="AA1151" i="1" s="1"/>
  <c r="AB1151" i="1" s="1"/>
  <c r="Z1151" i="1"/>
  <c r="W1152" i="1"/>
  <c r="AA1152" i="1" s="1"/>
  <c r="AB1152" i="1" s="1"/>
  <c r="AD1152" i="1" s="1"/>
  <c r="Z1152" i="1"/>
  <c r="AC1152" i="1"/>
  <c r="W1153" i="1"/>
  <c r="Z1153" i="1"/>
  <c r="AA1153" i="1"/>
  <c r="AB1153" i="1"/>
  <c r="AC1153" i="1" s="1"/>
  <c r="W1154" i="1"/>
  <c r="Z1154" i="1"/>
  <c r="AA1154" i="1"/>
  <c r="AB1154" i="1" s="1"/>
  <c r="W1155" i="1"/>
  <c r="AA1155" i="1" s="1"/>
  <c r="AB1155" i="1" s="1"/>
  <c r="Z1155" i="1"/>
  <c r="W1156" i="1"/>
  <c r="AA1156" i="1" s="1"/>
  <c r="AB1156" i="1" s="1"/>
  <c r="AD1156" i="1" s="1"/>
  <c r="Z1156" i="1"/>
  <c r="AC1156" i="1"/>
  <c r="W1157" i="1"/>
  <c r="Z1157" i="1"/>
  <c r="AA1157" i="1"/>
  <c r="AB1157" i="1"/>
  <c r="AC1157" i="1" s="1"/>
  <c r="W1158" i="1"/>
  <c r="Z1158" i="1"/>
  <c r="AA1158" i="1"/>
  <c r="AB1158" i="1" s="1"/>
  <c r="W1159" i="1"/>
  <c r="AA1159" i="1" s="1"/>
  <c r="AB1159" i="1" s="1"/>
  <c r="Z1159" i="1"/>
  <c r="W1160" i="1"/>
  <c r="AA1160" i="1" s="1"/>
  <c r="AB1160" i="1" s="1"/>
  <c r="AD1160" i="1" s="1"/>
  <c r="Z1160" i="1"/>
  <c r="AC1160" i="1"/>
  <c r="W1161" i="1"/>
  <c r="Z1161" i="1"/>
  <c r="AA1161" i="1"/>
  <c r="AB1161" i="1"/>
  <c r="AC1161" i="1" s="1"/>
  <c r="W1162" i="1"/>
  <c r="Z1162" i="1"/>
  <c r="AA1162" i="1"/>
  <c r="AB1162" i="1" s="1"/>
  <c r="W1163" i="1"/>
  <c r="AA1163" i="1" s="1"/>
  <c r="AB1163" i="1" s="1"/>
  <c r="Z1163" i="1"/>
  <c r="W1164" i="1"/>
  <c r="AA1164" i="1" s="1"/>
  <c r="AB1164" i="1" s="1"/>
  <c r="AD1164" i="1" s="1"/>
  <c r="Z1164" i="1"/>
  <c r="AC1164" i="1"/>
  <c r="W1165" i="1"/>
  <c r="Z1165" i="1"/>
  <c r="AA1165" i="1"/>
  <c r="AB1165" i="1"/>
  <c r="AC1165" i="1" s="1"/>
  <c r="W1166" i="1"/>
  <c r="Z1166" i="1"/>
  <c r="AA1166" i="1"/>
  <c r="AB1166" i="1" s="1"/>
  <c r="W1167" i="1"/>
  <c r="AA1167" i="1" s="1"/>
  <c r="AB1167" i="1" s="1"/>
  <c r="Z1167" i="1"/>
  <c r="W1168" i="1"/>
  <c r="AA1168" i="1" s="1"/>
  <c r="AB1168" i="1" s="1"/>
  <c r="AD1168" i="1" s="1"/>
  <c r="Z1168" i="1"/>
  <c r="AC1168" i="1"/>
  <c r="W1169" i="1"/>
  <c r="Z1169" i="1"/>
  <c r="AA1169" i="1"/>
  <c r="AB1169" i="1"/>
  <c r="AC1169" i="1" s="1"/>
  <c r="W1170" i="1"/>
  <c r="Z1170" i="1"/>
  <c r="AA1170" i="1"/>
  <c r="AB1170" i="1" s="1"/>
  <c r="W1171" i="1"/>
  <c r="AA1171" i="1" s="1"/>
  <c r="AB1171" i="1" s="1"/>
  <c r="Z1171" i="1"/>
  <c r="W1172" i="1"/>
  <c r="AA1172" i="1" s="1"/>
  <c r="AB1172" i="1" s="1"/>
  <c r="AD1172" i="1" s="1"/>
  <c r="Z1172" i="1"/>
  <c r="AC1172" i="1"/>
  <c r="W1173" i="1"/>
  <c r="Z1173" i="1"/>
  <c r="AA1173" i="1"/>
  <c r="AB1173" i="1"/>
  <c r="AC1173" i="1" s="1"/>
  <c r="W1174" i="1"/>
  <c r="Z1174" i="1"/>
  <c r="AA1174" i="1"/>
  <c r="AB1174" i="1" s="1"/>
  <c r="W1175" i="1"/>
  <c r="AA1175" i="1" s="1"/>
  <c r="AB1175" i="1" s="1"/>
  <c r="Z1175" i="1"/>
  <c r="W1176" i="1"/>
  <c r="AA1176" i="1" s="1"/>
  <c r="AB1176" i="1" s="1"/>
  <c r="AD1176" i="1" s="1"/>
  <c r="Z1176" i="1"/>
  <c r="AC1176" i="1"/>
  <c r="W1177" i="1"/>
  <c r="Z1177" i="1"/>
  <c r="AA1177" i="1"/>
  <c r="AB1177" i="1"/>
  <c r="AC1177" i="1" s="1"/>
  <c r="W1178" i="1"/>
  <c r="Z1178" i="1"/>
  <c r="AA1178" i="1"/>
  <c r="AB1178" i="1" s="1"/>
  <c r="W1179" i="1"/>
  <c r="AA1179" i="1" s="1"/>
  <c r="AB1179" i="1" s="1"/>
  <c r="Z1179" i="1"/>
  <c r="W1180" i="1"/>
  <c r="AA1180" i="1" s="1"/>
  <c r="AB1180" i="1" s="1"/>
  <c r="AD1180" i="1" s="1"/>
  <c r="Z1180" i="1"/>
  <c r="AC1180" i="1"/>
  <c r="W1181" i="1"/>
  <c r="Z1181" i="1"/>
  <c r="AA1181" i="1"/>
  <c r="AB1181" i="1"/>
  <c r="AC1181" i="1" s="1"/>
  <c r="W1182" i="1"/>
  <c r="Z1182" i="1"/>
  <c r="AA1182" i="1"/>
  <c r="AB1182" i="1" s="1"/>
  <c r="W1183" i="1"/>
  <c r="AA1183" i="1" s="1"/>
  <c r="AB1183" i="1" s="1"/>
  <c r="Z1183" i="1"/>
  <c r="W1184" i="1"/>
  <c r="AA1184" i="1" s="1"/>
  <c r="AB1184" i="1" s="1"/>
  <c r="AD1184" i="1" s="1"/>
  <c r="Z1184" i="1"/>
  <c r="AC1184" i="1"/>
  <c r="W1185" i="1"/>
  <c r="Z1185" i="1"/>
  <c r="AA1185" i="1"/>
  <c r="AB1185" i="1"/>
  <c r="AC1185" i="1" s="1"/>
  <c r="W1186" i="1"/>
  <c r="Z1186" i="1"/>
  <c r="AA1186" i="1"/>
  <c r="AB1186" i="1" s="1"/>
  <c r="W1187" i="1"/>
  <c r="AA1187" i="1" s="1"/>
  <c r="AB1187" i="1" s="1"/>
  <c r="Z1187" i="1"/>
  <c r="W1188" i="1"/>
  <c r="AA1188" i="1" s="1"/>
  <c r="AB1188" i="1" s="1"/>
  <c r="AD1188" i="1" s="1"/>
  <c r="Z1188" i="1"/>
  <c r="AC1188" i="1"/>
  <c r="W1189" i="1"/>
  <c r="Z1189" i="1"/>
  <c r="AA1189" i="1"/>
  <c r="AB1189" i="1"/>
  <c r="AC1189" i="1" s="1"/>
  <c r="W1190" i="1"/>
  <c r="Z1190" i="1"/>
  <c r="AA1190" i="1"/>
  <c r="AB1190" i="1" s="1"/>
  <c r="W1191" i="1"/>
  <c r="AA1191" i="1" s="1"/>
  <c r="AB1191" i="1" s="1"/>
  <c r="Z1191" i="1"/>
  <c r="W1192" i="1"/>
  <c r="AA1192" i="1" s="1"/>
  <c r="AB1192" i="1" s="1"/>
  <c r="AD1192" i="1" s="1"/>
  <c r="Z1192" i="1"/>
  <c r="AC1192" i="1"/>
  <c r="W1193" i="1"/>
  <c r="Z1193" i="1"/>
  <c r="AA1193" i="1"/>
  <c r="AB1193" i="1"/>
  <c r="AC1193" i="1" s="1"/>
  <c r="W1194" i="1"/>
  <c r="Z1194" i="1"/>
  <c r="AA1194" i="1"/>
  <c r="AB1194" i="1" s="1"/>
  <c r="W1195" i="1"/>
  <c r="AA1195" i="1" s="1"/>
  <c r="AB1195" i="1" s="1"/>
  <c r="Z1195" i="1"/>
  <c r="W1196" i="1"/>
  <c r="AA1196" i="1" s="1"/>
  <c r="AB1196" i="1" s="1"/>
  <c r="AD1196" i="1" s="1"/>
  <c r="Z1196" i="1"/>
  <c r="AC1196" i="1"/>
  <c r="W1197" i="1"/>
  <c r="Z1197" i="1"/>
  <c r="AA1197" i="1"/>
  <c r="AB1197" i="1"/>
  <c r="AC1197" i="1" s="1"/>
  <c r="W1198" i="1"/>
  <c r="Z1198" i="1"/>
  <c r="AA1198" i="1"/>
  <c r="AB1198" i="1" s="1"/>
  <c r="W1199" i="1"/>
  <c r="AA1199" i="1" s="1"/>
  <c r="AB1199" i="1" s="1"/>
  <c r="Z1199" i="1"/>
  <c r="W1200" i="1"/>
  <c r="AA1200" i="1" s="1"/>
  <c r="AB1200" i="1" s="1"/>
  <c r="AD1200" i="1" s="1"/>
  <c r="Z1200" i="1"/>
  <c r="AC1200" i="1"/>
  <c r="W1201" i="1"/>
  <c r="Z1201" i="1"/>
  <c r="AA1201" i="1"/>
  <c r="AB1201" i="1"/>
  <c r="AC1201" i="1" s="1"/>
  <c r="W1202" i="1"/>
  <c r="Z1202" i="1"/>
  <c r="AA1202" i="1"/>
  <c r="AB1202" i="1" s="1"/>
  <c r="W1203" i="1"/>
  <c r="AA1203" i="1" s="1"/>
  <c r="AB1203" i="1" s="1"/>
  <c r="Z1203" i="1"/>
  <c r="W1204" i="1"/>
  <c r="AA1204" i="1" s="1"/>
  <c r="AB1204" i="1" s="1"/>
  <c r="AD1204" i="1" s="1"/>
  <c r="Z1204" i="1"/>
  <c r="AC1204" i="1"/>
  <c r="W1205" i="1"/>
  <c r="Z1205" i="1"/>
  <c r="AA1205" i="1"/>
  <c r="AB1205" i="1"/>
  <c r="AC1205" i="1" s="1"/>
  <c r="W1206" i="1"/>
  <c r="Z1206" i="1"/>
  <c r="AA1206" i="1"/>
  <c r="AB1206" i="1" s="1"/>
  <c r="W1207" i="1"/>
  <c r="AA1207" i="1" s="1"/>
  <c r="AB1207" i="1" s="1"/>
  <c r="Z1207" i="1"/>
  <c r="W1208" i="1"/>
  <c r="AA1208" i="1" s="1"/>
  <c r="AB1208" i="1" s="1"/>
  <c r="AD1208" i="1" s="1"/>
  <c r="Z1208" i="1"/>
  <c r="AC1208" i="1"/>
  <c r="W1209" i="1"/>
  <c r="Z1209" i="1"/>
  <c r="AA1209" i="1"/>
  <c r="AB1209" i="1"/>
  <c r="AC1209" i="1" s="1"/>
  <c r="W1210" i="1"/>
  <c r="Z1210" i="1"/>
  <c r="AA1210" i="1"/>
  <c r="AB1210" i="1" s="1"/>
  <c r="W1211" i="1"/>
  <c r="AA1211" i="1" s="1"/>
  <c r="AB1211" i="1" s="1"/>
  <c r="Z1211" i="1"/>
  <c r="W1212" i="1"/>
  <c r="AA1212" i="1" s="1"/>
  <c r="AB1212" i="1" s="1"/>
  <c r="AD1212" i="1" s="1"/>
  <c r="Z1212" i="1"/>
  <c r="AC1212" i="1"/>
  <c r="W1213" i="1"/>
  <c r="Z1213" i="1"/>
  <c r="AA1213" i="1"/>
  <c r="AB1213" i="1"/>
  <c r="AC1213" i="1" s="1"/>
  <c r="W1214" i="1"/>
  <c r="Z1214" i="1"/>
  <c r="AA1214" i="1"/>
  <c r="AB1214" i="1" s="1"/>
  <c r="W1215" i="1"/>
  <c r="AA1215" i="1" s="1"/>
  <c r="AB1215" i="1" s="1"/>
  <c r="Z1215" i="1"/>
  <c r="W1216" i="1"/>
  <c r="AA1216" i="1" s="1"/>
  <c r="AB1216" i="1" s="1"/>
  <c r="AD1216" i="1" s="1"/>
  <c r="Z1216" i="1"/>
  <c r="AC1216" i="1"/>
  <c r="W1217" i="1"/>
  <c r="Z1217" i="1"/>
  <c r="AA1217" i="1"/>
  <c r="AB1217" i="1"/>
  <c r="AC1217" i="1" s="1"/>
  <c r="W1218" i="1"/>
  <c r="Z1218" i="1"/>
  <c r="AA1218" i="1"/>
  <c r="AB1218" i="1" s="1"/>
  <c r="W1219" i="1"/>
  <c r="AA1219" i="1" s="1"/>
  <c r="AB1219" i="1" s="1"/>
  <c r="Z1219" i="1"/>
  <c r="W1220" i="1"/>
  <c r="AA1220" i="1" s="1"/>
  <c r="AB1220" i="1" s="1"/>
  <c r="AD1220" i="1" s="1"/>
  <c r="Z1220" i="1"/>
  <c r="AC1220" i="1"/>
  <c r="W1221" i="1"/>
  <c r="Z1221" i="1"/>
  <c r="AA1221" i="1"/>
  <c r="AB1221" i="1"/>
  <c r="AC1221" i="1" s="1"/>
  <c r="W1222" i="1"/>
  <c r="Z1222" i="1"/>
  <c r="AA1222" i="1"/>
  <c r="AB1222" i="1" s="1"/>
  <c r="W1223" i="1"/>
  <c r="AA1223" i="1" s="1"/>
  <c r="AB1223" i="1" s="1"/>
  <c r="Z1223" i="1"/>
  <c r="W1224" i="1"/>
  <c r="AA1224" i="1" s="1"/>
  <c r="AB1224" i="1" s="1"/>
  <c r="AD1224" i="1" s="1"/>
  <c r="Z1224" i="1"/>
  <c r="AC1224" i="1"/>
  <c r="W1225" i="1"/>
  <c r="Z1225" i="1"/>
  <c r="AA1225" i="1"/>
  <c r="AB1225" i="1"/>
  <c r="AC1225" i="1" s="1"/>
  <c r="W1226" i="1"/>
  <c r="Z1226" i="1"/>
  <c r="AA1226" i="1"/>
  <c r="AB1226" i="1" s="1"/>
  <c r="W1227" i="1"/>
  <c r="AA1227" i="1" s="1"/>
  <c r="AB1227" i="1" s="1"/>
  <c r="Z1227" i="1"/>
  <c r="W1228" i="1"/>
  <c r="AA1228" i="1" s="1"/>
  <c r="AB1228" i="1" s="1"/>
  <c r="AD1228" i="1" s="1"/>
  <c r="Z1228" i="1"/>
  <c r="AC1228" i="1"/>
  <c r="W1229" i="1"/>
  <c r="Z1229" i="1"/>
  <c r="AA1229" i="1"/>
  <c r="AB1229" i="1"/>
  <c r="AC1229" i="1" s="1"/>
  <c r="W1230" i="1"/>
  <c r="Z1230" i="1"/>
  <c r="AA1230" i="1"/>
  <c r="AB1230" i="1" s="1"/>
  <c r="W1231" i="1"/>
  <c r="AA1231" i="1" s="1"/>
  <c r="AB1231" i="1" s="1"/>
  <c r="Z1231" i="1"/>
  <c r="W1232" i="1"/>
  <c r="AA1232" i="1" s="1"/>
  <c r="AB1232" i="1" s="1"/>
  <c r="AD1232" i="1" s="1"/>
  <c r="Z1232" i="1"/>
  <c r="AC1232" i="1"/>
  <c r="W1233" i="1"/>
  <c r="Z1233" i="1"/>
  <c r="AA1233" i="1"/>
  <c r="AB1233" i="1"/>
  <c r="AC1233" i="1" s="1"/>
  <c r="W1234" i="1"/>
  <c r="Z1234" i="1"/>
  <c r="AA1234" i="1"/>
  <c r="AB1234" i="1" s="1"/>
  <c r="W1235" i="1"/>
  <c r="AA1235" i="1" s="1"/>
  <c r="AB1235" i="1" s="1"/>
  <c r="Z1235" i="1"/>
  <c r="W1236" i="1"/>
  <c r="AA1236" i="1" s="1"/>
  <c r="AB1236" i="1" s="1"/>
  <c r="AD1236" i="1" s="1"/>
  <c r="Z1236" i="1"/>
  <c r="AC1236" i="1"/>
  <c r="W1237" i="1"/>
  <c r="Z1237" i="1"/>
  <c r="AA1237" i="1"/>
  <c r="AB1237" i="1"/>
  <c r="AC1237" i="1" s="1"/>
  <c r="W1238" i="1"/>
  <c r="Z1238" i="1"/>
  <c r="AA1238" i="1"/>
  <c r="AB1238" i="1" s="1"/>
  <c r="W1239" i="1"/>
  <c r="AA1239" i="1" s="1"/>
  <c r="AB1239" i="1" s="1"/>
  <c r="Z1239" i="1"/>
  <c r="W1240" i="1"/>
  <c r="AA1240" i="1" s="1"/>
  <c r="AB1240" i="1" s="1"/>
  <c r="AD1240" i="1" s="1"/>
  <c r="Z1240" i="1"/>
  <c r="AC1240" i="1"/>
  <c r="W1241" i="1"/>
  <c r="Z1241" i="1"/>
  <c r="AA1241" i="1"/>
  <c r="AB1241" i="1"/>
  <c r="AC1241" i="1" s="1"/>
  <c r="W1242" i="1"/>
  <c r="Z1242" i="1"/>
  <c r="AA1242" i="1"/>
  <c r="AB1242" i="1" s="1"/>
  <c r="W1243" i="1"/>
  <c r="AA1243" i="1" s="1"/>
  <c r="AB1243" i="1" s="1"/>
  <c r="Z1243" i="1"/>
  <c r="W1244" i="1"/>
  <c r="AA1244" i="1" s="1"/>
  <c r="AB1244" i="1" s="1"/>
  <c r="AD1244" i="1" s="1"/>
  <c r="Z1244" i="1"/>
  <c r="AC1244" i="1"/>
  <c r="W1245" i="1"/>
  <c r="Z1245" i="1"/>
  <c r="AA1245" i="1"/>
  <c r="AB1245" i="1"/>
  <c r="AC1245" i="1" s="1"/>
  <c r="W1246" i="1"/>
  <c r="Z1246" i="1"/>
  <c r="AA1246" i="1"/>
  <c r="AB1246" i="1" s="1"/>
  <c r="W1247" i="1"/>
  <c r="AA1247" i="1" s="1"/>
  <c r="AB1247" i="1" s="1"/>
  <c r="Z1247" i="1"/>
  <c r="W1248" i="1"/>
  <c r="AA1248" i="1" s="1"/>
  <c r="AB1248" i="1" s="1"/>
  <c r="AD1248" i="1" s="1"/>
  <c r="Z1248" i="1"/>
  <c r="AC1248" i="1"/>
  <c r="AG7" i="1"/>
  <c r="AC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4" i="1"/>
  <c r="AH246" i="1"/>
  <c r="AH247" i="1"/>
  <c r="AH248" i="1"/>
  <c r="AH250" i="1"/>
  <c r="AH251" i="1"/>
  <c r="AH252" i="1"/>
  <c r="AH254" i="1"/>
  <c r="AH255" i="1"/>
  <c r="AH256" i="1"/>
  <c r="AH258" i="1"/>
  <c r="AH259" i="1"/>
  <c r="AH260" i="1"/>
  <c r="AH262" i="1"/>
  <c r="AH263" i="1"/>
  <c r="AH264" i="1"/>
  <c r="AH266" i="1"/>
  <c r="AH267" i="1"/>
  <c r="AH268" i="1"/>
  <c r="AH270" i="1"/>
  <c r="AH271" i="1"/>
  <c r="AH272" i="1"/>
  <c r="AH274" i="1"/>
  <c r="AH275" i="1"/>
  <c r="AH276" i="1"/>
  <c r="AH278" i="1"/>
  <c r="AH279" i="1"/>
  <c r="AH280" i="1"/>
  <c r="AH282" i="1"/>
  <c r="AH283" i="1"/>
  <c r="AH284" i="1"/>
  <c r="AH285" i="1"/>
  <c r="AH286" i="1"/>
  <c r="AH287" i="1"/>
  <c r="AH289" i="1"/>
  <c r="AH290" i="1"/>
  <c r="AH291" i="1"/>
  <c r="AH293" i="1"/>
  <c r="AH294" i="1"/>
  <c r="AH295" i="1"/>
  <c r="AH297" i="1"/>
  <c r="AH298" i="1"/>
  <c r="AH299" i="1"/>
  <c r="AH301" i="1"/>
  <c r="AH302" i="1"/>
  <c r="AH303" i="1"/>
  <c r="AH305" i="1"/>
  <c r="AH306" i="1"/>
  <c r="AH307" i="1"/>
  <c r="AH309" i="1"/>
  <c r="AH310" i="1"/>
  <c r="AH311" i="1"/>
  <c r="AH312" i="1"/>
  <c r="AH313" i="1"/>
  <c r="AH314" i="1"/>
  <c r="AH316" i="1"/>
  <c r="AH317" i="1"/>
  <c r="AH318" i="1"/>
  <c r="AH320" i="1"/>
  <c r="AH321" i="1"/>
  <c r="AH322" i="1"/>
  <c r="AH324" i="1"/>
  <c r="AH325" i="1"/>
  <c r="AH326" i="1"/>
  <c r="AH328" i="1"/>
  <c r="AH329" i="1"/>
  <c r="AH330" i="1"/>
  <c r="AH332" i="1"/>
  <c r="AH333" i="1"/>
  <c r="AH334" i="1"/>
  <c r="AH336" i="1"/>
  <c r="AH337" i="1"/>
  <c r="AH338" i="1"/>
  <c r="AH340" i="1"/>
  <c r="AH341" i="1"/>
  <c r="AH342" i="1"/>
  <c r="AH344" i="1"/>
  <c r="AH345" i="1"/>
  <c r="AH346" i="1"/>
  <c r="AH348" i="1"/>
  <c r="AH349" i="1"/>
  <c r="AH350" i="1"/>
  <c r="AH352" i="1"/>
  <c r="AH353" i="1"/>
  <c r="AH354" i="1"/>
  <c r="AH356" i="1"/>
  <c r="AH357" i="1"/>
  <c r="AH358" i="1"/>
  <c r="AH360" i="1"/>
  <c r="AH361" i="1"/>
  <c r="AH362" i="1"/>
  <c r="AH364" i="1"/>
  <c r="AH365" i="1"/>
  <c r="AH366" i="1"/>
  <c r="AH368" i="1"/>
  <c r="AH369" i="1"/>
  <c r="AH370" i="1"/>
  <c r="AH372" i="1"/>
  <c r="AH373" i="1"/>
  <c r="AH374" i="1"/>
  <c r="AH376" i="1"/>
  <c r="AH377" i="1"/>
  <c r="AH378" i="1"/>
  <c r="AH380" i="1"/>
  <c r="AH381" i="1"/>
  <c r="AH382" i="1"/>
  <c r="AH384" i="1"/>
  <c r="AH385" i="1"/>
  <c r="AH386" i="1"/>
  <c r="AH388" i="1"/>
  <c r="AH389" i="1"/>
  <c r="AH390" i="1"/>
  <c r="AH392" i="1"/>
  <c r="AH393" i="1"/>
  <c r="AH394" i="1"/>
  <c r="AH396" i="1"/>
  <c r="AH397" i="1"/>
  <c r="AH398" i="1"/>
  <c r="AH400" i="1"/>
  <c r="AH401" i="1"/>
  <c r="AH402" i="1"/>
  <c r="AH404" i="1"/>
  <c r="AH405" i="1"/>
  <c r="AH406" i="1"/>
  <c r="AH408" i="1"/>
  <c r="AH409" i="1"/>
  <c r="AH410" i="1"/>
  <c r="AH412" i="1"/>
  <c r="AH413" i="1"/>
  <c r="AH414" i="1"/>
  <c r="AH416" i="1"/>
  <c r="AH417" i="1"/>
  <c r="AH418" i="1"/>
  <c r="AH420" i="1"/>
  <c r="AH421" i="1"/>
  <c r="AH422" i="1"/>
  <c r="AH424" i="1"/>
  <c r="AH425" i="1"/>
  <c r="AH426" i="1"/>
  <c r="AH428" i="1"/>
  <c r="AH429" i="1"/>
  <c r="AH430" i="1"/>
  <c r="AH432" i="1"/>
  <c r="AH433" i="1"/>
  <c r="AH434" i="1"/>
  <c r="AH437" i="1"/>
  <c r="AH438" i="1"/>
  <c r="AH440" i="1"/>
  <c r="AH441" i="1"/>
  <c r="AH442" i="1"/>
  <c r="AH445" i="1"/>
  <c r="AH446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9" i="1"/>
  <c r="AH641" i="1"/>
  <c r="AH643" i="1"/>
  <c r="AH645" i="1"/>
  <c r="AH647" i="1"/>
  <c r="AH649" i="1"/>
  <c r="AH651" i="1"/>
  <c r="AH653" i="1"/>
  <c r="AH655" i="1"/>
  <c r="AH657" i="1"/>
  <c r="AH659" i="1"/>
  <c r="AH661" i="1"/>
  <c r="AH663" i="1"/>
  <c r="AH665" i="1"/>
  <c r="AH667" i="1"/>
  <c r="AH669" i="1"/>
  <c r="AH671" i="1"/>
  <c r="AH673" i="1"/>
  <c r="AH675" i="1"/>
  <c r="AH677" i="1"/>
  <c r="AH679" i="1"/>
  <c r="AH681" i="1"/>
  <c r="AH683" i="1"/>
  <c r="AH685" i="1"/>
  <c r="AH687" i="1"/>
  <c r="AH689" i="1"/>
  <c r="AH691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7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510" i="1"/>
  <c r="AJ511" i="1"/>
  <c r="AJ512" i="1"/>
  <c r="AL512" i="1" s="1"/>
  <c r="AJ513" i="1"/>
  <c r="AJ514" i="1"/>
  <c r="AJ515" i="1"/>
  <c r="AJ516" i="1"/>
  <c r="AL516" i="1" s="1"/>
  <c r="AJ517" i="1"/>
  <c r="AJ518" i="1"/>
  <c r="AJ519" i="1"/>
  <c r="AJ520" i="1"/>
  <c r="AL520" i="1" s="1"/>
  <c r="AJ521" i="1"/>
  <c r="AJ522" i="1"/>
  <c r="AJ523" i="1"/>
  <c r="AJ524" i="1"/>
  <c r="AL524" i="1" s="1"/>
  <c r="AJ525" i="1"/>
  <c r="AJ526" i="1"/>
  <c r="AJ527" i="1"/>
  <c r="AJ528" i="1"/>
  <c r="AL528" i="1" s="1"/>
  <c r="AJ529" i="1"/>
  <c r="AJ530" i="1"/>
  <c r="AJ531" i="1"/>
  <c r="AJ532" i="1"/>
  <c r="AL532" i="1" s="1"/>
  <c r="AJ533" i="1"/>
  <c r="AJ534" i="1"/>
  <c r="AJ535" i="1"/>
  <c r="AJ536" i="1"/>
  <c r="AL536" i="1" s="1"/>
  <c r="AJ537" i="1"/>
  <c r="AJ538" i="1"/>
  <c r="AJ539" i="1"/>
  <c r="AJ540" i="1"/>
  <c r="AL540" i="1" s="1"/>
  <c r="AJ541" i="1"/>
  <c r="AJ542" i="1"/>
  <c r="AJ585" i="1"/>
  <c r="AJ586" i="1"/>
  <c r="AL586" i="1" s="1"/>
  <c r="AJ587" i="1"/>
  <c r="AJ588" i="1"/>
  <c r="AJ589" i="1"/>
  <c r="AJ590" i="1"/>
  <c r="AL590" i="1" s="1"/>
  <c r="AJ591" i="1"/>
  <c r="AJ592" i="1"/>
  <c r="AJ593" i="1"/>
  <c r="AJ594" i="1"/>
  <c r="AL594" i="1" s="1"/>
  <c r="AJ595" i="1"/>
  <c r="AJ596" i="1"/>
  <c r="AJ597" i="1"/>
  <c r="AJ598" i="1"/>
  <c r="AL598" i="1" s="1"/>
  <c r="AJ599" i="1"/>
  <c r="AJ600" i="1"/>
  <c r="AJ601" i="1"/>
  <c r="AJ602" i="1"/>
  <c r="AL602" i="1" s="1"/>
  <c r="AJ603" i="1"/>
  <c r="AJ604" i="1"/>
  <c r="AJ605" i="1"/>
  <c r="AJ606" i="1"/>
  <c r="AL606" i="1" s="1"/>
  <c r="AJ607" i="1"/>
  <c r="AJ608" i="1"/>
  <c r="AJ609" i="1"/>
  <c r="AJ610" i="1"/>
  <c r="AL610" i="1" s="1"/>
  <c r="AJ611" i="1"/>
  <c r="AJ612" i="1"/>
  <c r="AJ613" i="1"/>
  <c r="AJ614" i="1"/>
  <c r="AL614" i="1" s="1"/>
  <c r="AJ615" i="1"/>
  <c r="AJ616" i="1"/>
  <c r="AJ617" i="1"/>
  <c r="AJ618" i="1"/>
  <c r="AL618" i="1" s="1"/>
  <c r="AJ619" i="1"/>
  <c r="AJ620" i="1"/>
  <c r="AJ621" i="1"/>
  <c r="AJ622" i="1"/>
  <c r="AL622" i="1" s="1"/>
  <c r="AJ623" i="1"/>
  <c r="AJ624" i="1"/>
  <c r="AJ625" i="1"/>
  <c r="AJ626" i="1"/>
  <c r="AL626" i="1" s="1"/>
  <c r="AJ627" i="1"/>
  <c r="AJ628" i="1"/>
  <c r="AJ629" i="1"/>
  <c r="AJ630" i="1"/>
  <c r="AL630" i="1" s="1"/>
  <c r="AJ631" i="1"/>
  <c r="AJ632" i="1"/>
  <c r="AJ633" i="1"/>
  <c r="AJ634" i="1"/>
  <c r="AL634" i="1" s="1"/>
  <c r="AJ635" i="1"/>
  <c r="AJ636" i="1"/>
  <c r="AJ637" i="1"/>
  <c r="AJ694" i="1"/>
  <c r="AL694" i="1" s="1"/>
  <c r="AJ695" i="1"/>
  <c r="AJ696" i="1"/>
  <c r="AJ697" i="1"/>
  <c r="AJ698" i="1"/>
  <c r="AL698" i="1" s="1"/>
  <c r="AJ699" i="1"/>
  <c r="AJ700" i="1"/>
  <c r="AJ701" i="1"/>
  <c r="AJ702" i="1"/>
  <c r="AL702" i="1" s="1"/>
  <c r="AJ703" i="1"/>
  <c r="AJ704" i="1"/>
  <c r="AJ705" i="1"/>
  <c r="AJ706" i="1"/>
  <c r="AL706" i="1" s="1"/>
  <c r="AJ707" i="1"/>
  <c r="AJ708" i="1"/>
  <c r="AJ709" i="1"/>
  <c r="AJ710" i="1"/>
  <c r="AL710" i="1" s="1"/>
  <c r="AJ711" i="1"/>
  <c r="AJ712" i="1"/>
  <c r="AJ713" i="1"/>
  <c r="AJ714" i="1"/>
  <c r="AL714" i="1" s="1"/>
  <c r="AJ715" i="1"/>
  <c r="AJ716" i="1"/>
  <c r="AJ717" i="1"/>
  <c r="AJ718" i="1"/>
  <c r="AL718" i="1" s="1"/>
  <c r="AJ719" i="1"/>
  <c r="AJ720" i="1"/>
  <c r="AJ721" i="1"/>
  <c r="AJ722" i="1"/>
  <c r="AL722" i="1" s="1"/>
  <c r="AJ723" i="1"/>
  <c r="AJ724" i="1"/>
  <c r="AJ725" i="1"/>
  <c r="AJ726" i="1"/>
  <c r="AL726" i="1" s="1"/>
  <c r="AJ727" i="1"/>
  <c r="AJ728" i="1"/>
  <c r="AJ729" i="1"/>
  <c r="AJ730" i="1"/>
  <c r="AL730" i="1" s="1"/>
  <c r="AJ731" i="1"/>
  <c r="AJ732" i="1"/>
  <c r="AJ733" i="1"/>
  <c r="AJ734" i="1"/>
  <c r="AL734" i="1" s="1"/>
  <c r="AJ735" i="1"/>
  <c r="AJ736" i="1"/>
  <c r="AJ737" i="1"/>
  <c r="AJ738" i="1"/>
  <c r="AL738" i="1" s="1"/>
  <c r="AJ739" i="1"/>
  <c r="AJ740" i="1"/>
  <c r="AJ741" i="1"/>
  <c r="AJ742" i="1"/>
  <c r="AL742" i="1" s="1"/>
  <c r="AJ743" i="1"/>
  <c r="AJ744" i="1"/>
  <c r="AJ745" i="1"/>
  <c r="AJ746" i="1"/>
  <c r="AL746" i="1" s="1"/>
  <c r="AJ747" i="1"/>
  <c r="AJ748" i="1"/>
  <c r="AJ749" i="1"/>
  <c r="AJ750" i="1"/>
  <c r="AL750" i="1" s="1"/>
  <c r="AJ751" i="1"/>
  <c r="AJ752" i="1"/>
  <c r="AJ753" i="1"/>
  <c r="AJ754" i="1"/>
  <c r="AL754" i="1" s="1"/>
  <c r="AJ755" i="1"/>
  <c r="AJ756" i="1"/>
  <c r="AJ757" i="1"/>
  <c r="AJ758" i="1"/>
  <c r="AL758" i="1" s="1"/>
  <c r="AJ759" i="1"/>
  <c r="AJ760" i="1"/>
  <c r="AJ761" i="1"/>
  <c r="AJ762" i="1"/>
  <c r="AL762" i="1" s="1"/>
  <c r="AJ763" i="1"/>
  <c r="AJ764" i="1"/>
  <c r="AJ765" i="1"/>
  <c r="AJ766" i="1"/>
  <c r="AL766" i="1" s="1"/>
  <c r="AJ767" i="1"/>
  <c r="AJ768" i="1"/>
  <c r="AJ769" i="1"/>
  <c r="AJ770" i="1"/>
  <c r="AL770" i="1" s="1"/>
  <c r="AJ771" i="1"/>
  <c r="AJ772" i="1"/>
  <c r="AJ773" i="1"/>
  <c r="AJ774" i="1"/>
  <c r="AL774" i="1" s="1"/>
  <c r="AJ775" i="1"/>
  <c r="AJ776" i="1"/>
  <c r="AJ777" i="1"/>
  <c r="AJ828" i="1"/>
  <c r="AL828" i="1" s="1"/>
  <c r="AJ829" i="1"/>
  <c r="AJ830" i="1"/>
  <c r="AJ831" i="1"/>
  <c r="AJ832" i="1"/>
  <c r="AL832" i="1" s="1"/>
  <c r="AJ833" i="1"/>
  <c r="AJ834" i="1"/>
  <c r="AJ835" i="1"/>
  <c r="AJ836" i="1"/>
  <c r="AL836" i="1" s="1"/>
  <c r="AJ837" i="1"/>
  <c r="AJ838" i="1"/>
  <c r="AJ839" i="1"/>
  <c r="AJ840" i="1"/>
  <c r="AL840" i="1" s="1"/>
  <c r="AJ841" i="1"/>
  <c r="AJ842" i="1"/>
  <c r="AJ843" i="1"/>
  <c r="AJ844" i="1"/>
  <c r="AL844" i="1" s="1"/>
  <c r="AJ845" i="1"/>
  <c r="AJ846" i="1"/>
  <c r="AJ847" i="1"/>
  <c r="AJ848" i="1"/>
  <c r="AL848" i="1" s="1"/>
  <c r="AJ849" i="1"/>
  <c r="AJ850" i="1"/>
  <c r="AJ851" i="1"/>
  <c r="AJ852" i="1"/>
  <c r="AL852" i="1" s="1"/>
  <c r="AJ853" i="1"/>
  <c r="AJ854" i="1"/>
  <c r="AJ855" i="1"/>
  <c r="AJ856" i="1"/>
  <c r="AL856" i="1" s="1"/>
  <c r="AJ857" i="1"/>
  <c r="AJ858" i="1"/>
  <c r="AJ859" i="1"/>
  <c r="AJ860" i="1"/>
  <c r="AL860" i="1" s="1"/>
  <c r="AJ861" i="1"/>
  <c r="AJ862" i="1"/>
  <c r="AJ863" i="1"/>
  <c r="AJ864" i="1"/>
  <c r="AL864" i="1" s="1"/>
  <c r="AJ865" i="1"/>
  <c r="AJ866" i="1"/>
  <c r="AJ867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1047" i="1"/>
  <c r="AJ1048" i="1"/>
  <c r="AL1048" i="1" s="1"/>
  <c r="AJ1049" i="1"/>
  <c r="AJ1050" i="1"/>
  <c r="AJ1051" i="1"/>
  <c r="AJ1052" i="1"/>
  <c r="AL1052" i="1" s="1"/>
  <c r="AJ1053" i="1"/>
  <c r="AJ1054" i="1"/>
  <c r="AJ1055" i="1"/>
  <c r="AJ1056" i="1"/>
  <c r="AL1056" i="1" s="1"/>
  <c r="AJ1057" i="1"/>
  <c r="AJ1058" i="1"/>
  <c r="AJ1059" i="1"/>
  <c r="AJ1060" i="1"/>
  <c r="AL1060" i="1" s="1"/>
  <c r="AJ1061" i="1"/>
  <c r="AJ1062" i="1"/>
  <c r="AJ1063" i="1"/>
  <c r="AJ1064" i="1"/>
  <c r="AL1064" i="1" s="1"/>
  <c r="AJ1065" i="1"/>
  <c r="AJ1066" i="1"/>
  <c r="AJ1067" i="1"/>
  <c r="AJ1068" i="1"/>
  <c r="AL1068" i="1" s="1"/>
  <c r="AJ1069" i="1"/>
  <c r="AJ1070" i="1"/>
  <c r="AJ1071" i="1"/>
  <c r="AJ1072" i="1"/>
  <c r="AL1072" i="1" s="1"/>
  <c r="AJ1073" i="1"/>
  <c r="AJ1074" i="1"/>
  <c r="AJ1075" i="1"/>
  <c r="AJ1076" i="1"/>
  <c r="AL1076" i="1" s="1"/>
  <c r="AJ1077" i="1"/>
  <c r="AJ1078" i="1"/>
  <c r="AJ1079" i="1"/>
  <c r="AJ1080" i="1"/>
  <c r="AL1080" i="1" s="1"/>
  <c r="AJ1081" i="1"/>
  <c r="AJ1082" i="1"/>
  <c r="AJ1083" i="1"/>
  <c r="AJ1084" i="1"/>
  <c r="AL1084" i="1" s="1"/>
  <c r="AJ1085" i="1"/>
  <c r="AJ1086" i="1"/>
  <c r="AJ1087" i="1"/>
  <c r="AJ1088" i="1"/>
  <c r="AL1088" i="1" s="1"/>
  <c r="AJ1089" i="1"/>
  <c r="AJ1090" i="1"/>
  <c r="AJ1091" i="1"/>
  <c r="AJ1092" i="1"/>
  <c r="AL1092" i="1" s="1"/>
  <c r="AJ1093" i="1"/>
  <c r="AJ1094" i="1"/>
  <c r="AJ1095" i="1"/>
  <c r="AJ1096" i="1"/>
  <c r="AL1096" i="1" s="1"/>
  <c r="AJ1097" i="1"/>
  <c r="AJ1098" i="1"/>
  <c r="AJ1099" i="1"/>
  <c r="AJ1100" i="1"/>
  <c r="AL1100" i="1" s="1"/>
  <c r="AJ1101" i="1"/>
  <c r="AJ1102" i="1"/>
  <c r="AJ1103" i="1"/>
  <c r="AJ1104" i="1"/>
  <c r="AL1104" i="1" s="1"/>
  <c r="AJ1105" i="1"/>
  <c r="AJ1106" i="1"/>
  <c r="AJ1107" i="1"/>
  <c r="AJ1108" i="1"/>
  <c r="AL1108" i="1" s="1"/>
  <c r="AJ1109" i="1"/>
  <c r="AJ1110" i="1"/>
  <c r="AJ1111" i="1"/>
  <c r="AJ1112" i="1"/>
  <c r="AL1112" i="1" s="1"/>
  <c r="AJ1113" i="1"/>
  <c r="AJ1114" i="1"/>
  <c r="AJ1115" i="1"/>
  <c r="AJ1116" i="1"/>
  <c r="AL1116" i="1" s="1"/>
  <c r="AJ1117" i="1"/>
  <c r="AJ1118" i="1"/>
  <c r="AJ1119" i="1"/>
  <c r="AJ1120" i="1"/>
  <c r="AL1120" i="1" s="1"/>
  <c r="AJ1121" i="1"/>
  <c r="AJ1188" i="1"/>
  <c r="AJ1189" i="1"/>
  <c r="AJ1190" i="1"/>
  <c r="AL1190" i="1" s="1"/>
  <c r="AJ1191" i="1"/>
  <c r="AJ1192" i="1"/>
  <c r="AJ1193" i="1"/>
  <c r="AJ1194" i="1"/>
  <c r="AL1194" i="1" s="1"/>
  <c r="AJ1195" i="1"/>
  <c r="AJ1196" i="1"/>
  <c r="AJ1197" i="1"/>
  <c r="AJ1198" i="1"/>
  <c r="AL1198" i="1" s="1"/>
  <c r="AJ1199" i="1"/>
  <c r="AJ1200" i="1"/>
  <c r="AJ1201" i="1"/>
  <c r="AJ1202" i="1"/>
  <c r="AL1202" i="1" s="1"/>
  <c r="AJ1203" i="1"/>
  <c r="AJ1204" i="1"/>
  <c r="AJ1205" i="1"/>
  <c r="AJ1206" i="1"/>
  <c r="AL1206" i="1" s="1"/>
  <c r="AJ1207" i="1"/>
  <c r="AJ1208" i="1"/>
  <c r="AJ1209" i="1"/>
  <c r="AJ1210" i="1"/>
  <c r="AL1210" i="1" s="1"/>
  <c r="AJ1211" i="1"/>
  <c r="AJ1212" i="1"/>
  <c r="AJ1213" i="1"/>
  <c r="AJ1214" i="1"/>
  <c r="AL1214" i="1" s="1"/>
  <c r="AJ1215" i="1"/>
  <c r="AJ1216" i="1"/>
  <c r="AJ1217" i="1"/>
  <c r="AJ1218" i="1"/>
  <c r="AL1218" i="1" s="1"/>
  <c r="AJ1219" i="1"/>
  <c r="AJ1220" i="1"/>
  <c r="AJ1221" i="1"/>
  <c r="AJ1222" i="1"/>
  <c r="AL1222" i="1" s="1"/>
  <c r="AJ1223" i="1"/>
  <c r="AJ1224" i="1"/>
  <c r="AJ1225" i="1"/>
  <c r="AJ1226" i="1"/>
  <c r="AL1226" i="1" s="1"/>
  <c r="AJ1227" i="1"/>
  <c r="AJ1228" i="1"/>
  <c r="AJ1229" i="1"/>
  <c r="AJ1230" i="1"/>
  <c r="AL1230" i="1" s="1"/>
  <c r="AJ1231" i="1"/>
  <c r="AJ1232" i="1"/>
  <c r="AJ1233" i="1"/>
  <c r="AJ1234" i="1"/>
  <c r="AL1234" i="1" s="1"/>
  <c r="AJ1235" i="1"/>
  <c r="AJ1236" i="1"/>
  <c r="AJ1237" i="1"/>
  <c r="AJ1238" i="1"/>
  <c r="AL1238" i="1" s="1"/>
  <c r="AJ1239" i="1"/>
  <c r="AJ1240" i="1"/>
  <c r="AJ1241" i="1"/>
  <c r="AJ1242" i="1"/>
  <c r="AL1242" i="1" s="1"/>
  <c r="AJ1243" i="1"/>
  <c r="AJ1244" i="1"/>
  <c r="AJ1245" i="1"/>
  <c r="AJ1246" i="1"/>
  <c r="AL1246" i="1" s="1"/>
  <c r="AJ1247" i="1"/>
  <c r="AJ1248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J243" i="1"/>
  <c r="AL243" i="1" s="1"/>
  <c r="AJ244" i="1"/>
  <c r="AL244" i="1" s="1"/>
  <c r="AJ245" i="1"/>
  <c r="AL245" i="1" s="1"/>
  <c r="AJ246" i="1"/>
  <c r="AL246" i="1" s="1"/>
  <c r="AJ247" i="1"/>
  <c r="AL247" i="1" s="1"/>
  <c r="AJ248" i="1"/>
  <c r="AL248" i="1" s="1"/>
  <c r="AJ249" i="1"/>
  <c r="AL249" i="1" s="1"/>
  <c r="AJ250" i="1"/>
  <c r="AL250" i="1" s="1"/>
  <c r="AJ251" i="1"/>
  <c r="AL251" i="1" s="1"/>
  <c r="AJ252" i="1"/>
  <c r="AL252" i="1" s="1"/>
  <c r="AJ253" i="1"/>
  <c r="AL253" i="1" s="1"/>
  <c r="AJ254" i="1"/>
  <c r="AL254" i="1" s="1"/>
  <c r="AJ255" i="1"/>
  <c r="AL255" i="1" s="1"/>
  <c r="AJ256" i="1"/>
  <c r="AL256" i="1" s="1"/>
  <c r="AJ257" i="1"/>
  <c r="AL257" i="1" s="1"/>
  <c r="AJ258" i="1"/>
  <c r="AL258" i="1" s="1"/>
  <c r="AJ259" i="1"/>
  <c r="AL259" i="1" s="1"/>
  <c r="AJ260" i="1"/>
  <c r="AL260" i="1" s="1"/>
  <c r="AJ261" i="1"/>
  <c r="AL261" i="1" s="1"/>
  <c r="AJ262" i="1"/>
  <c r="AL262" i="1" s="1"/>
  <c r="AJ263" i="1"/>
  <c r="AL263" i="1" s="1"/>
  <c r="AJ264" i="1"/>
  <c r="AL264" i="1" s="1"/>
  <c r="AJ265" i="1"/>
  <c r="AL265" i="1" s="1"/>
  <c r="AJ266" i="1"/>
  <c r="AL266" i="1" s="1"/>
  <c r="AJ267" i="1"/>
  <c r="AL267" i="1" s="1"/>
  <c r="AJ268" i="1"/>
  <c r="AL268" i="1" s="1"/>
  <c r="AJ269" i="1"/>
  <c r="AL269" i="1" s="1"/>
  <c r="AJ270" i="1"/>
  <c r="AL270" i="1" s="1"/>
  <c r="AJ271" i="1"/>
  <c r="AL271" i="1" s="1"/>
  <c r="AJ272" i="1"/>
  <c r="AL272" i="1" s="1"/>
  <c r="AJ273" i="1"/>
  <c r="AL273" i="1" s="1"/>
  <c r="AJ274" i="1"/>
  <c r="AL274" i="1" s="1"/>
  <c r="AJ275" i="1"/>
  <c r="AL275" i="1" s="1"/>
  <c r="AJ276" i="1"/>
  <c r="AL276" i="1" s="1"/>
  <c r="AJ277" i="1"/>
  <c r="AL277" i="1" s="1"/>
  <c r="AJ278" i="1"/>
  <c r="AL278" i="1" s="1"/>
  <c r="AJ279" i="1"/>
  <c r="AL279" i="1" s="1"/>
  <c r="AJ280" i="1"/>
  <c r="AL280" i="1" s="1"/>
  <c r="AJ281" i="1"/>
  <c r="AL281" i="1" s="1"/>
  <c r="AJ282" i="1"/>
  <c r="AL282" i="1" s="1"/>
  <c r="AJ283" i="1"/>
  <c r="AL283" i="1" s="1"/>
  <c r="AJ284" i="1"/>
  <c r="AL284" i="1" s="1"/>
  <c r="AJ285" i="1"/>
  <c r="AL285" i="1" s="1"/>
  <c r="AJ286" i="1"/>
  <c r="AL286" i="1" s="1"/>
  <c r="AJ287" i="1"/>
  <c r="AL287" i="1" s="1"/>
  <c r="AJ288" i="1"/>
  <c r="AL288" i="1" s="1"/>
  <c r="AJ289" i="1"/>
  <c r="AL289" i="1" s="1"/>
  <c r="AJ290" i="1"/>
  <c r="AL290" i="1" s="1"/>
  <c r="AJ291" i="1"/>
  <c r="AL291" i="1" s="1"/>
  <c r="AJ292" i="1"/>
  <c r="AL292" i="1" s="1"/>
  <c r="AJ293" i="1"/>
  <c r="AL293" i="1" s="1"/>
  <c r="AJ294" i="1"/>
  <c r="AL294" i="1" s="1"/>
  <c r="AJ295" i="1"/>
  <c r="AL295" i="1" s="1"/>
  <c r="AJ296" i="1"/>
  <c r="AL296" i="1" s="1"/>
  <c r="AJ297" i="1"/>
  <c r="AL297" i="1" s="1"/>
  <c r="AJ298" i="1"/>
  <c r="AL298" i="1" s="1"/>
  <c r="AJ299" i="1"/>
  <c r="AL299" i="1" s="1"/>
  <c r="AJ300" i="1"/>
  <c r="AL300" i="1" s="1"/>
  <c r="AJ301" i="1"/>
  <c r="AL301" i="1" s="1"/>
  <c r="AJ302" i="1"/>
  <c r="AL302" i="1" s="1"/>
  <c r="AJ303" i="1"/>
  <c r="AL303" i="1" s="1"/>
  <c r="AJ304" i="1"/>
  <c r="AL304" i="1" s="1"/>
  <c r="AJ305" i="1"/>
  <c r="AL305" i="1" s="1"/>
  <c r="AJ306" i="1"/>
  <c r="AL306" i="1" s="1"/>
  <c r="AJ307" i="1"/>
  <c r="AL307" i="1" s="1"/>
  <c r="AJ308" i="1"/>
  <c r="AL308" i="1" s="1"/>
  <c r="AJ309" i="1"/>
  <c r="AL309" i="1" s="1"/>
  <c r="AJ310" i="1"/>
  <c r="AL310" i="1" s="1"/>
  <c r="AJ311" i="1"/>
  <c r="AL311" i="1" s="1"/>
  <c r="AJ312" i="1"/>
  <c r="AL312" i="1" s="1"/>
  <c r="AJ313" i="1"/>
  <c r="AL313" i="1" s="1"/>
  <c r="AJ314" i="1"/>
  <c r="AL314" i="1" s="1"/>
  <c r="AJ315" i="1"/>
  <c r="AL315" i="1" s="1"/>
  <c r="AJ316" i="1"/>
  <c r="AL316" i="1" s="1"/>
  <c r="AJ317" i="1"/>
  <c r="AL317" i="1" s="1"/>
  <c r="AJ318" i="1"/>
  <c r="AL318" i="1" s="1"/>
  <c r="AJ319" i="1"/>
  <c r="AL319" i="1" s="1"/>
  <c r="AJ320" i="1"/>
  <c r="AL320" i="1" s="1"/>
  <c r="AJ321" i="1"/>
  <c r="AL321" i="1" s="1"/>
  <c r="AJ322" i="1"/>
  <c r="AL322" i="1" s="1"/>
  <c r="AJ323" i="1"/>
  <c r="AL323" i="1" s="1"/>
  <c r="AJ324" i="1"/>
  <c r="AL324" i="1" s="1"/>
  <c r="AJ325" i="1"/>
  <c r="AL325" i="1" s="1"/>
  <c r="AJ326" i="1"/>
  <c r="AL326" i="1" s="1"/>
  <c r="AJ327" i="1"/>
  <c r="AL327" i="1" s="1"/>
  <c r="AJ328" i="1"/>
  <c r="AL328" i="1" s="1"/>
  <c r="AJ329" i="1"/>
  <c r="AL329" i="1" s="1"/>
  <c r="AJ330" i="1"/>
  <c r="AL330" i="1" s="1"/>
  <c r="AJ331" i="1"/>
  <c r="AL331" i="1" s="1"/>
  <c r="AJ332" i="1"/>
  <c r="AL332" i="1" s="1"/>
  <c r="AJ333" i="1"/>
  <c r="AL333" i="1" s="1"/>
  <c r="AJ334" i="1"/>
  <c r="AL334" i="1" s="1"/>
  <c r="AJ335" i="1"/>
  <c r="AL335" i="1" s="1"/>
  <c r="AJ336" i="1"/>
  <c r="AL336" i="1" s="1"/>
  <c r="AJ337" i="1"/>
  <c r="AL337" i="1" s="1"/>
  <c r="AJ338" i="1"/>
  <c r="AL338" i="1" s="1"/>
  <c r="AJ339" i="1"/>
  <c r="AL339" i="1" s="1"/>
  <c r="AJ340" i="1"/>
  <c r="AL340" i="1" s="1"/>
  <c r="AJ341" i="1"/>
  <c r="AL341" i="1" s="1"/>
  <c r="AJ342" i="1"/>
  <c r="AL342" i="1" s="1"/>
  <c r="AJ343" i="1"/>
  <c r="AL343" i="1" s="1"/>
  <c r="AJ344" i="1"/>
  <c r="AL344" i="1" s="1"/>
  <c r="AJ345" i="1"/>
  <c r="AL345" i="1" s="1"/>
  <c r="AJ346" i="1"/>
  <c r="AL346" i="1" s="1"/>
  <c r="AJ347" i="1"/>
  <c r="AL347" i="1" s="1"/>
  <c r="AJ348" i="1"/>
  <c r="AL348" i="1" s="1"/>
  <c r="AJ349" i="1"/>
  <c r="AL349" i="1" s="1"/>
  <c r="AJ350" i="1"/>
  <c r="AL350" i="1" s="1"/>
  <c r="AJ351" i="1"/>
  <c r="AL351" i="1" s="1"/>
  <c r="AJ352" i="1"/>
  <c r="AL352" i="1" s="1"/>
  <c r="AJ353" i="1"/>
  <c r="AL353" i="1" s="1"/>
  <c r="AJ354" i="1"/>
  <c r="AL354" i="1" s="1"/>
  <c r="AJ355" i="1"/>
  <c r="AL355" i="1" s="1"/>
  <c r="AJ356" i="1"/>
  <c r="AL356" i="1" s="1"/>
  <c r="AJ357" i="1"/>
  <c r="AL357" i="1" s="1"/>
  <c r="AJ358" i="1"/>
  <c r="AL358" i="1" s="1"/>
  <c r="AJ359" i="1"/>
  <c r="AL359" i="1" s="1"/>
  <c r="AJ360" i="1"/>
  <c r="AL360" i="1" s="1"/>
  <c r="AJ361" i="1"/>
  <c r="AL361" i="1" s="1"/>
  <c r="AJ362" i="1"/>
  <c r="AL362" i="1" s="1"/>
  <c r="AJ363" i="1"/>
  <c r="AL363" i="1" s="1"/>
  <c r="AJ364" i="1"/>
  <c r="AL364" i="1" s="1"/>
  <c r="AJ365" i="1"/>
  <c r="AL365" i="1" s="1"/>
  <c r="AJ366" i="1"/>
  <c r="AL366" i="1" s="1"/>
  <c r="AJ367" i="1"/>
  <c r="AL367" i="1" s="1"/>
  <c r="AJ368" i="1"/>
  <c r="AL368" i="1" s="1"/>
  <c r="AJ369" i="1"/>
  <c r="AL369" i="1" s="1"/>
  <c r="AJ370" i="1"/>
  <c r="AL370" i="1" s="1"/>
  <c r="AJ371" i="1"/>
  <c r="AL371" i="1" s="1"/>
  <c r="AJ372" i="1"/>
  <c r="AL372" i="1" s="1"/>
  <c r="AJ373" i="1"/>
  <c r="AL373" i="1" s="1"/>
  <c r="AJ374" i="1"/>
  <c r="AL374" i="1" s="1"/>
  <c r="AJ375" i="1"/>
  <c r="AL375" i="1" s="1"/>
  <c r="AJ376" i="1"/>
  <c r="AL376" i="1" s="1"/>
  <c r="AJ377" i="1"/>
  <c r="AL377" i="1" s="1"/>
  <c r="AJ378" i="1"/>
  <c r="AL378" i="1" s="1"/>
  <c r="AJ379" i="1"/>
  <c r="AL379" i="1" s="1"/>
  <c r="AJ380" i="1"/>
  <c r="AL380" i="1" s="1"/>
  <c r="AJ381" i="1"/>
  <c r="AL381" i="1" s="1"/>
  <c r="AJ382" i="1"/>
  <c r="AL382" i="1" s="1"/>
  <c r="AJ383" i="1"/>
  <c r="AL383" i="1" s="1"/>
  <c r="AJ384" i="1"/>
  <c r="AL384" i="1" s="1"/>
  <c r="AJ385" i="1"/>
  <c r="AL385" i="1" s="1"/>
  <c r="AJ386" i="1"/>
  <c r="AL386" i="1" s="1"/>
  <c r="AJ387" i="1"/>
  <c r="AL387" i="1" s="1"/>
  <c r="AJ388" i="1"/>
  <c r="AL388" i="1" s="1"/>
  <c r="AJ389" i="1"/>
  <c r="AL389" i="1" s="1"/>
  <c r="AJ390" i="1"/>
  <c r="AL390" i="1" s="1"/>
  <c r="AJ391" i="1"/>
  <c r="AL391" i="1" s="1"/>
  <c r="AJ392" i="1"/>
  <c r="AL392" i="1" s="1"/>
  <c r="AJ393" i="1"/>
  <c r="AL393" i="1" s="1"/>
  <c r="AJ394" i="1"/>
  <c r="AL394" i="1" s="1"/>
  <c r="AJ395" i="1"/>
  <c r="AL395" i="1" s="1"/>
  <c r="AJ396" i="1"/>
  <c r="AL396" i="1" s="1"/>
  <c r="AJ397" i="1"/>
  <c r="AL397" i="1" s="1"/>
  <c r="AJ398" i="1"/>
  <c r="AL398" i="1" s="1"/>
  <c r="AJ399" i="1"/>
  <c r="AL399" i="1" s="1"/>
  <c r="AJ400" i="1"/>
  <c r="AL400" i="1" s="1"/>
  <c r="AJ401" i="1"/>
  <c r="AL401" i="1" s="1"/>
  <c r="AJ402" i="1"/>
  <c r="AL402" i="1" s="1"/>
  <c r="AJ403" i="1"/>
  <c r="AL403" i="1" s="1"/>
  <c r="AJ404" i="1"/>
  <c r="AL404" i="1" s="1"/>
  <c r="AJ405" i="1"/>
  <c r="AL405" i="1" s="1"/>
  <c r="AJ406" i="1"/>
  <c r="AL406" i="1" s="1"/>
  <c r="AJ407" i="1"/>
  <c r="AL407" i="1" s="1"/>
  <c r="AJ408" i="1"/>
  <c r="AL408" i="1" s="1"/>
  <c r="AJ409" i="1"/>
  <c r="AL409" i="1" s="1"/>
  <c r="AJ410" i="1"/>
  <c r="AL410" i="1" s="1"/>
  <c r="AJ411" i="1"/>
  <c r="AL411" i="1" s="1"/>
  <c r="AJ412" i="1"/>
  <c r="AL412" i="1" s="1"/>
  <c r="AJ413" i="1"/>
  <c r="AL413" i="1" s="1"/>
  <c r="AJ414" i="1"/>
  <c r="AL414" i="1" s="1"/>
  <c r="AJ415" i="1"/>
  <c r="AL415" i="1" s="1"/>
  <c r="AJ416" i="1"/>
  <c r="AL416" i="1" s="1"/>
  <c r="AJ417" i="1"/>
  <c r="AL417" i="1" s="1"/>
  <c r="AJ418" i="1"/>
  <c r="AL418" i="1" s="1"/>
  <c r="AJ419" i="1"/>
  <c r="AL419" i="1" s="1"/>
  <c r="AJ420" i="1"/>
  <c r="AL420" i="1" s="1"/>
  <c r="AJ421" i="1"/>
  <c r="AL421" i="1" s="1"/>
  <c r="AJ422" i="1"/>
  <c r="AL422" i="1" s="1"/>
  <c r="AJ423" i="1"/>
  <c r="AL423" i="1" s="1"/>
  <c r="AJ424" i="1"/>
  <c r="AL424" i="1" s="1"/>
  <c r="AJ425" i="1"/>
  <c r="AL425" i="1" s="1"/>
  <c r="AJ426" i="1"/>
  <c r="AL426" i="1" s="1"/>
  <c r="AJ427" i="1"/>
  <c r="AL427" i="1" s="1"/>
  <c r="AJ428" i="1"/>
  <c r="AL428" i="1" s="1"/>
  <c r="AJ429" i="1"/>
  <c r="AL429" i="1" s="1"/>
  <c r="AJ430" i="1"/>
  <c r="AL430" i="1" s="1"/>
  <c r="AJ431" i="1"/>
  <c r="AL431" i="1" s="1"/>
  <c r="AJ432" i="1"/>
  <c r="AL432" i="1" s="1"/>
  <c r="AJ433" i="1"/>
  <c r="AL433" i="1" s="1"/>
  <c r="AJ434" i="1"/>
  <c r="AL434" i="1" s="1"/>
  <c r="AJ435" i="1"/>
  <c r="AL435" i="1" s="1"/>
  <c r="AJ436" i="1"/>
  <c r="AL436" i="1" s="1"/>
  <c r="AJ437" i="1"/>
  <c r="AL437" i="1" s="1"/>
  <c r="AJ438" i="1"/>
  <c r="AL438" i="1" s="1"/>
  <c r="AJ439" i="1"/>
  <c r="AL439" i="1" s="1"/>
  <c r="AJ440" i="1"/>
  <c r="AL440" i="1" s="1"/>
  <c r="AJ441" i="1"/>
  <c r="AL441" i="1" s="1"/>
  <c r="AJ442" i="1"/>
  <c r="AL442" i="1" s="1"/>
  <c r="AJ443" i="1"/>
  <c r="AL443" i="1" s="1"/>
  <c r="AJ444" i="1"/>
  <c r="AL444" i="1" s="1"/>
  <c r="AJ445" i="1"/>
  <c r="AL445" i="1" s="1"/>
  <c r="AJ446" i="1"/>
  <c r="AL446" i="1" s="1"/>
  <c r="AJ447" i="1"/>
  <c r="AL447" i="1" s="1"/>
  <c r="AJ448" i="1"/>
  <c r="AL448" i="1" s="1"/>
  <c r="AJ449" i="1"/>
  <c r="AL449" i="1" s="1"/>
  <c r="AJ450" i="1"/>
  <c r="AL450" i="1" s="1"/>
  <c r="AJ451" i="1"/>
  <c r="AL451" i="1" s="1"/>
  <c r="AJ452" i="1"/>
  <c r="AL452" i="1" s="1"/>
  <c r="AJ453" i="1"/>
  <c r="AL453" i="1" s="1"/>
  <c r="AJ454" i="1"/>
  <c r="AL454" i="1" s="1"/>
  <c r="AJ455" i="1"/>
  <c r="AL455" i="1" s="1"/>
  <c r="AJ456" i="1"/>
  <c r="AL456" i="1" s="1"/>
  <c r="AJ457" i="1"/>
  <c r="AL457" i="1" s="1"/>
  <c r="AJ458" i="1"/>
  <c r="AL458" i="1" s="1"/>
  <c r="AJ459" i="1"/>
  <c r="AL459" i="1" s="1"/>
  <c r="AJ460" i="1"/>
  <c r="AL460" i="1" s="1"/>
  <c r="AJ461" i="1"/>
  <c r="AL461" i="1" s="1"/>
  <c r="AJ462" i="1"/>
  <c r="AL462" i="1" s="1"/>
  <c r="AJ463" i="1"/>
  <c r="AL463" i="1" s="1"/>
  <c r="AJ464" i="1"/>
  <c r="AL464" i="1" s="1"/>
  <c r="AJ465" i="1"/>
  <c r="AL465" i="1" s="1"/>
  <c r="AJ466" i="1"/>
  <c r="AL466" i="1" s="1"/>
  <c r="AJ467" i="1"/>
  <c r="AL467" i="1" s="1"/>
  <c r="AJ468" i="1"/>
  <c r="AL468" i="1" s="1"/>
  <c r="AJ469" i="1"/>
  <c r="AL469" i="1" s="1"/>
  <c r="AJ470" i="1"/>
  <c r="AL470" i="1" s="1"/>
  <c r="AJ471" i="1"/>
  <c r="AL471" i="1" s="1"/>
  <c r="AJ472" i="1"/>
  <c r="AL472" i="1" s="1"/>
  <c r="AJ473" i="1"/>
  <c r="AL473" i="1" s="1"/>
  <c r="AJ474" i="1"/>
  <c r="AL474" i="1" s="1"/>
  <c r="AJ475" i="1"/>
  <c r="AL475" i="1" s="1"/>
  <c r="AJ476" i="1"/>
  <c r="AL476" i="1" s="1"/>
  <c r="AJ477" i="1"/>
  <c r="AL477" i="1" s="1"/>
  <c r="AJ478" i="1"/>
  <c r="AL478" i="1" s="1"/>
  <c r="AJ479" i="1"/>
  <c r="AL479" i="1" s="1"/>
  <c r="AJ480" i="1"/>
  <c r="AL480" i="1" s="1"/>
  <c r="AJ481" i="1"/>
  <c r="AL481" i="1" s="1"/>
  <c r="AJ482" i="1"/>
  <c r="AL482" i="1" s="1"/>
  <c r="AJ483" i="1"/>
  <c r="AL483" i="1" s="1"/>
  <c r="AJ484" i="1"/>
  <c r="AL484" i="1" s="1"/>
  <c r="AJ485" i="1"/>
  <c r="AL485" i="1" s="1"/>
  <c r="AJ486" i="1"/>
  <c r="AL486" i="1" s="1"/>
  <c r="AJ487" i="1"/>
  <c r="AL487" i="1" s="1"/>
  <c r="AJ488" i="1"/>
  <c r="AL488" i="1" s="1"/>
  <c r="AJ489" i="1"/>
  <c r="AL489" i="1" s="1"/>
  <c r="AJ490" i="1"/>
  <c r="AL490" i="1" s="1"/>
  <c r="AJ491" i="1"/>
  <c r="AL491" i="1" s="1"/>
  <c r="AJ492" i="1"/>
  <c r="AL492" i="1" s="1"/>
  <c r="AJ493" i="1"/>
  <c r="AL493" i="1" s="1"/>
  <c r="AJ494" i="1"/>
  <c r="AL494" i="1" s="1"/>
  <c r="AJ495" i="1"/>
  <c r="AL495" i="1" s="1"/>
  <c r="AJ496" i="1"/>
  <c r="AL496" i="1" s="1"/>
  <c r="AJ497" i="1"/>
  <c r="AL497" i="1" s="1"/>
  <c r="AJ498" i="1"/>
  <c r="AL498" i="1" s="1"/>
  <c r="AJ499" i="1"/>
  <c r="AL499" i="1" s="1"/>
  <c r="AJ500" i="1"/>
  <c r="AL500" i="1" s="1"/>
  <c r="AJ501" i="1"/>
  <c r="AL501" i="1" s="1"/>
  <c r="AJ502" i="1"/>
  <c r="AL502" i="1" s="1"/>
  <c r="AJ503" i="1"/>
  <c r="AL503" i="1" s="1"/>
  <c r="AJ504" i="1"/>
  <c r="AL504" i="1" s="1"/>
  <c r="AJ505" i="1"/>
  <c r="AL505" i="1" s="1"/>
  <c r="AJ506" i="1"/>
  <c r="AL506" i="1" s="1"/>
  <c r="AJ507" i="1"/>
  <c r="AL507" i="1" s="1"/>
  <c r="AJ508" i="1"/>
  <c r="AL508" i="1" s="1"/>
  <c r="AJ509" i="1"/>
  <c r="AL509" i="1" s="1"/>
  <c r="AL510" i="1"/>
  <c r="AL511" i="1"/>
  <c r="AL513" i="1"/>
  <c r="AL514" i="1"/>
  <c r="AL515" i="1"/>
  <c r="AL517" i="1"/>
  <c r="AL518" i="1"/>
  <c r="AL519" i="1"/>
  <c r="AL521" i="1"/>
  <c r="AL522" i="1"/>
  <c r="AL523" i="1"/>
  <c r="AL525" i="1"/>
  <c r="AL526" i="1"/>
  <c r="AL527" i="1"/>
  <c r="AL529" i="1"/>
  <c r="AL530" i="1"/>
  <c r="AL531" i="1"/>
  <c r="AL533" i="1"/>
  <c r="AL534" i="1"/>
  <c r="AL535" i="1"/>
  <c r="AL537" i="1"/>
  <c r="AL538" i="1"/>
  <c r="AL539" i="1"/>
  <c r="AL541" i="1"/>
  <c r="AL542" i="1"/>
  <c r="AJ543" i="1"/>
  <c r="AL543" i="1"/>
  <c r="AJ544" i="1"/>
  <c r="AL544" i="1"/>
  <c r="AJ545" i="1"/>
  <c r="AL545" i="1"/>
  <c r="AJ546" i="1"/>
  <c r="AL546" i="1"/>
  <c r="AJ547" i="1"/>
  <c r="AL547" i="1"/>
  <c r="AJ548" i="1"/>
  <c r="AL548" i="1"/>
  <c r="AJ549" i="1"/>
  <c r="AL549" i="1"/>
  <c r="AJ550" i="1"/>
  <c r="AL550" i="1"/>
  <c r="AJ551" i="1"/>
  <c r="AL551" i="1"/>
  <c r="AJ552" i="1"/>
  <c r="AL552" i="1"/>
  <c r="AJ553" i="1"/>
  <c r="AL553" i="1"/>
  <c r="AJ554" i="1"/>
  <c r="AL554" i="1"/>
  <c r="AJ555" i="1"/>
  <c r="AL555" i="1"/>
  <c r="AJ556" i="1"/>
  <c r="AL556" i="1"/>
  <c r="AJ557" i="1"/>
  <c r="AL557" i="1"/>
  <c r="AJ558" i="1"/>
  <c r="AL558" i="1"/>
  <c r="AJ559" i="1"/>
  <c r="AL559" i="1"/>
  <c r="AJ560" i="1"/>
  <c r="AL560" i="1"/>
  <c r="AJ561" i="1"/>
  <c r="AL561" i="1"/>
  <c r="AJ562" i="1"/>
  <c r="AL562" i="1"/>
  <c r="AJ563" i="1"/>
  <c r="AL563" i="1"/>
  <c r="AJ564" i="1"/>
  <c r="AL564" i="1"/>
  <c r="AJ565" i="1"/>
  <c r="AL565" i="1"/>
  <c r="AJ566" i="1"/>
  <c r="AL566" i="1"/>
  <c r="AJ567" i="1"/>
  <c r="AL567" i="1"/>
  <c r="AJ568" i="1"/>
  <c r="AL568" i="1"/>
  <c r="AJ569" i="1"/>
  <c r="AL569" i="1"/>
  <c r="AJ570" i="1"/>
  <c r="AL570" i="1"/>
  <c r="AJ571" i="1"/>
  <c r="AL571" i="1"/>
  <c r="AJ572" i="1"/>
  <c r="AL572" i="1"/>
  <c r="AJ573" i="1"/>
  <c r="AL573" i="1"/>
  <c r="AJ574" i="1"/>
  <c r="AL574" i="1"/>
  <c r="AJ575" i="1"/>
  <c r="AL575" i="1"/>
  <c r="AJ576" i="1"/>
  <c r="AL576" i="1"/>
  <c r="AJ577" i="1"/>
  <c r="AL577" i="1"/>
  <c r="AJ578" i="1"/>
  <c r="AL578" i="1"/>
  <c r="AJ579" i="1"/>
  <c r="AL579" i="1"/>
  <c r="AJ580" i="1"/>
  <c r="AL580" i="1"/>
  <c r="AJ581" i="1"/>
  <c r="AL581" i="1"/>
  <c r="AJ582" i="1"/>
  <c r="AL582" i="1"/>
  <c r="AJ583" i="1"/>
  <c r="AL583" i="1"/>
  <c r="AJ584" i="1"/>
  <c r="AL584" i="1"/>
  <c r="AL585" i="1"/>
  <c r="AL587" i="1"/>
  <c r="AL588" i="1"/>
  <c r="AL589" i="1"/>
  <c r="AL591" i="1"/>
  <c r="AL592" i="1"/>
  <c r="AL593" i="1"/>
  <c r="AL595" i="1"/>
  <c r="AL596" i="1"/>
  <c r="AL597" i="1"/>
  <c r="AL599" i="1"/>
  <c r="AL600" i="1"/>
  <c r="AL601" i="1"/>
  <c r="AL603" i="1"/>
  <c r="AL604" i="1"/>
  <c r="AL605" i="1"/>
  <c r="AL607" i="1"/>
  <c r="AL608" i="1"/>
  <c r="AL609" i="1"/>
  <c r="AL611" i="1"/>
  <c r="AL612" i="1"/>
  <c r="AL613" i="1"/>
  <c r="AL615" i="1"/>
  <c r="AL616" i="1"/>
  <c r="AL617" i="1"/>
  <c r="AL619" i="1"/>
  <c r="AL620" i="1"/>
  <c r="AL621" i="1"/>
  <c r="AL623" i="1"/>
  <c r="AL624" i="1"/>
  <c r="AL625" i="1"/>
  <c r="AL627" i="1"/>
  <c r="AL628" i="1"/>
  <c r="AL629" i="1"/>
  <c r="AL631" i="1"/>
  <c r="AL632" i="1"/>
  <c r="AL633" i="1"/>
  <c r="AL635" i="1"/>
  <c r="AL636" i="1"/>
  <c r="AL637" i="1"/>
  <c r="AJ638" i="1"/>
  <c r="AL638" i="1" s="1"/>
  <c r="AJ639" i="1"/>
  <c r="AL639" i="1" s="1"/>
  <c r="AJ640" i="1"/>
  <c r="AL640" i="1" s="1"/>
  <c r="AJ641" i="1"/>
  <c r="AL641" i="1" s="1"/>
  <c r="AJ642" i="1"/>
  <c r="AL642" i="1" s="1"/>
  <c r="AJ643" i="1"/>
  <c r="AL643" i="1" s="1"/>
  <c r="AJ644" i="1"/>
  <c r="AL644" i="1" s="1"/>
  <c r="AJ645" i="1"/>
  <c r="AL645" i="1" s="1"/>
  <c r="AJ646" i="1"/>
  <c r="AL646" i="1" s="1"/>
  <c r="AJ647" i="1"/>
  <c r="AL647" i="1" s="1"/>
  <c r="AJ648" i="1"/>
  <c r="AL648" i="1" s="1"/>
  <c r="AJ649" i="1"/>
  <c r="AL649" i="1" s="1"/>
  <c r="AJ650" i="1"/>
  <c r="AL650" i="1" s="1"/>
  <c r="AJ651" i="1"/>
  <c r="AL651" i="1" s="1"/>
  <c r="AJ652" i="1"/>
  <c r="AL652" i="1" s="1"/>
  <c r="AJ653" i="1"/>
  <c r="AL653" i="1" s="1"/>
  <c r="AJ654" i="1"/>
  <c r="AL654" i="1" s="1"/>
  <c r="AJ655" i="1"/>
  <c r="AL655" i="1" s="1"/>
  <c r="AJ656" i="1"/>
  <c r="AL656" i="1" s="1"/>
  <c r="AJ657" i="1"/>
  <c r="AL657" i="1" s="1"/>
  <c r="AJ658" i="1"/>
  <c r="AL658" i="1" s="1"/>
  <c r="AJ659" i="1"/>
  <c r="AL659" i="1" s="1"/>
  <c r="AJ660" i="1"/>
  <c r="AL660" i="1" s="1"/>
  <c r="AJ661" i="1"/>
  <c r="AL661" i="1" s="1"/>
  <c r="AJ662" i="1"/>
  <c r="AL662" i="1" s="1"/>
  <c r="AJ663" i="1"/>
  <c r="AL663" i="1" s="1"/>
  <c r="AJ664" i="1"/>
  <c r="AL664" i="1" s="1"/>
  <c r="AJ665" i="1"/>
  <c r="AL665" i="1" s="1"/>
  <c r="AJ666" i="1"/>
  <c r="AL666" i="1" s="1"/>
  <c r="AJ667" i="1"/>
  <c r="AL667" i="1" s="1"/>
  <c r="AJ668" i="1"/>
  <c r="AL668" i="1" s="1"/>
  <c r="AJ669" i="1"/>
  <c r="AL669" i="1" s="1"/>
  <c r="AJ670" i="1"/>
  <c r="AL670" i="1" s="1"/>
  <c r="AJ671" i="1"/>
  <c r="AL671" i="1" s="1"/>
  <c r="AJ672" i="1"/>
  <c r="AL672" i="1" s="1"/>
  <c r="AJ673" i="1"/>
  <c r="AL673" i="1" s="1"/>
  <c r="AJ674" i="1"/>
  <c r="AL674" i="1" s="1"/>
  <c r="AJ675" i="1"/>
  <c r="AL675" i="1" s="1"/>
  <c r="AJ676" i="1"/>
  <c r="AL676" i="1" s="1"/>
  <c r="AJ677" i="1"/>
  <c r="AL677" i="1" s="1"/>
  <c r="AJ678" i="1"/>
  <c r="AL678" i="1" s="1"/>
  <c r="AJ679" i="1"/>
  <c r="AL679" i="1" s="1"/>
  <c r="AJ680" i="1"/>
  <c r="AL680" i="1" s="1"/>
  <c r="AJ681" i="1"/>
  <c r="AL681" i="1" s="1"/>
  <c r="AJ682" i="1"/>
  <c r="AL682" i="1" s="1"/>
  <c r="AJ683" i="1"/>
  <c r="AL683" i="1" s="1"/>
  <c r="AJ684" i="1"/>
  <c r="AL684" i="1" s="1"/>
  <c r="AJ685" i="1"/>
  <c r="AL685" i="1" s="1"/>
  <c r="AJ686" i="1"/>
  <c r="AL686" i="1" s="1"/>
  <c r="AJ687" i="1"/>
  <c r="AL687" i="1" s="1"/>
  <c r="AJ688" i="1"/>
  <c r="AL688" i="1" s="1"/>
  <c r="AJ689" i="1"/>
  <c r="AL689" i="1" s="1"/>
  <c r="AJ690" i="1"/>
  <c r="AL690" i="1" s="1"/>
  <c r="AJ691" i="1"/>
  <c r="AL691" i="1" s="1"/>
  <c r="AJ692" i="1"/>
  <c r="AL692" i="1" s="1"/>
  <c r="AJ693" i="1"/>
  <c r="AL693" i="1" s="1"/>
  <c r="AL695" i="1"/>
  <c r="AL696" i="1"/>
  <c r="AL697" i="1"/>
  <c r="AL699" i="1"/>
  <c r="AL700" i="1"/>
  <c r="AL701" i="1"/>
  <c r="AL703" i="1"/>
  <c r="AL704" i="1"/>
  <c r="AL705" i="1"/>
  <c r="AL707" i="1"/>
  <c r="AL708" i="1"/>
  <c r="AL709" i="1"/>
  <c r="AL711" i="1"/>
  <c r="AL712" i="1"/>
  <c r="AL713" i="1"/>
  <c r="AL715" i="1"/>
  <c r="AL716" i="1"/>
  <c r="AL717" i="1"/>
  <c r="AL719" i="1"/>
  <c r="AL720" i="1"/>
  <c r="AL721" i="1"/>
  <c r="AL723" i="1"/>
  <c r="AL724" i="1"/>
  <c r="AL725" i="1"/>
  <c r="AL727" i="1"/>
  <c r="AL728" i="1"/>
  <c r="AL729" i="1"/>
  <c r="AL731" i="1"/>
  <c r="AL732" i="1"/>
  <c r="AL733" i="1"/>
  <c r="AL735" i="1"/>
  <c r="AL736" i="1"/>
  <c r="AL737" i="1"/>
  <c r="AL739" i="1"/>
  <c r="AL740" i="1"/>
  <c r="AL741" i="1"/>
  <c r="AL743" i="1"/>
  <c r="AL744" i="1"/>
  <c r="AL745" i="1"/>
  <c r="AL747" i="1"/>
  <c r="AL748" i="1"/>
  <c r="AL749" i="1"/>
  <c r="AL751" i="1"/>
  <c r="AL752" i="1"/>
  <c r="AL753" i="1"/>
  <c r="AL755" i="1"/>
  <c r="AL756" i="1"/>
  <c r="AL757" i="1"/>
  <c r="AL759" i="1"/>
  <c r="AL760" i="1"/>
  <c r="AL761" i="1"/>
  <c r="AL763" i="1"/>
  <c r="AL764" i="1"/>
  <c r="AL765" i="1"/>
  <c r="AL767" i="1"/>
  <c r="AL768" i="1"/>
  <c r="AL769" i="1"/>
  <c r="AL771" i="1"/>
  <c r="AL772" i="1"/>
  <c r="AL773" i="1"/>
  <c r="AL775" i="1"/>
  <c r="AL776" i="1"/>
  <c r="AL777" i="1"/>
  <c r="AJ778" i="1"/>
  <c r="AL778" i="1" s="1"/>
  <c r="AJ779" i="1"/>
  <c r="AL779" i="1" s="1"/>
  <c r="AJ780" i="1"/>
  <c r="AL780" i="1" s="1"/>
  <c r="AJ781" i="1"/>
  <c r="AL781" i="1" s="1"/>
  <c r="AJ782" i="1"/>
  <c r="AL782" i="1" s="1"/>
  <c r="AJ783" i="1"/>
  <c r="AL783" i="1" s="1"/>
  <c r="AJ784" i="1"/>
  <c r="AL784" i="1" s="1"/>
  <c r="AJ785" i="1"/>
  <c r="AL785" i="1" s="1"/>
  <c r="AJ786" i="1"/>
  <c r="AL786" i="1" s="1"/>
  <c r="AJ787" i="1"/>
  <c r="AL787" i="1" s="1"/>
  <c r="AJ788" i="1"/>
  <c r="AL788" i="1" s="1"/>
  <c r="AJ789" i="1"/>
  <c r="AL789" i="1" s="1"/>
  <c r="AJ790" i="1"/>
  <c r="AL790" i="1" s="1"/>
  <c r="AJ791" i="1"/>
  <c r="AL791" i="1" s="1"/>
  <c r="AJ792" i="1"/>
  <c r="AL792" i="1" s="1"/>
  <c r="AJ793" i="1"/>
  <c r="AL793" i="1" s="1"/>
  <c r="AJ794" i="1"/>
  <c r="AL794" i="1" s="1"/>
  <c r="AJ795" i="1"/>
  <c r="AL795" i="1" s="1"/>
  <c r="AJ796" i="1"/>
  <c r="AL796" i="1" s="1"/>
  <c r="AJ797" i="1"/>
  <c r="AL797" i="1" s="1"/>
  <c r="AJ798" i="1"/>
  <c r="AL798" i="1" s="1"/>
  <c r="AJ799" i="1"/>
  <c r="AL799" i="1" s="1"/>
  <c r="AJ800" i="1"/>
  <c r="AL800" i="1" s="1"/>
  <c r="AJ801" i="1"/>
  <c r="AL801" i="1" s="1"/>
  <c r="AJ802" i="1"/>
  <c r="AL802" i="1" s="1"/>
  <c r="AJ803" i="1"/>
  <c r="AL803" i="1" s="1"/>
  <c r="AJ804" i="1"/>
  <c r="AL804" i="1" s="1"/>
  <c r="AJ805" i="1"/>
  <c r="AL805" i="1" s="1"/>
  <c r="AJ806" i="1"/>
  <c r="AL806" i="1" s="1"/>
  <c r="AJ807" i="1"/>
  <c r="AL807" i="1" s="1"/>
  <c r="AJ808" i="1"/>
  <c r="AL808" i="1" s="1"/>
  <c r="AJ809" i="1"/>
  <c r="AL809" i="1" s="1"/>
  <c r="AJ810" i="1"/>
  <c r="AL810" i="1" s="1"/>
  <c r="AJ811" i="1"/>
  <c r="AL811" i="1" s="1"/>
  <c r="AJ812" i="1"/>
  <c r="AL812" i="1" s="1"/>
  <c r="AJ813" i="1"/>
  <c r="AL813" i="1" s="1"/>
  <c r="AJ814" i="1"/>
  <c r="AL814" i="1" s="1"/>
  <c r="AJ815" i="1"/>
  <c r="AL815" i="1" s="1"/>
  <c r="AJ816" i="1"/>
  <c r="AL816" i="1" s="1"/>
  <c r="AJ817" i="1"/>
  <c r="AL817" i="1" s="1"/>
  <c r="AJ818" i="1"/>
  <c r="AL818" i="1" s="1"/>
  <c r="AJ819" i="1"/>
  <c r="AL819" i="1" s="1"/>
  <c r="AJ820" i="1"/>
  <c r="AL820" i="1" s="1"/>
  <c r="AJ821" i="1"/>
  <c r="AL821" i="1" s="1"/>
  <c r="AJ822" i="1"/>
  <c r="AL822" i="1" s="1"/>
  <c r="AJ823" i="1"/>
  <c r="AL823" i="1" s="1"/>
  <c r="AJ824" i="1"/>
  <c r="AL824" i="1" s="1"/>
  <c r="AJ825" i="1"/>
  <c r="AL825" i="1" s="1"/>
  <c r="AJ826" i="1"/>
  <c r="AL826" i="1" s="1"/>
  <c r="AJ827" i="1"/>
  <c r="AL827" i="1" s="1"/>
  <c r="AL829" i="1"/>
  <c r="AL830" i="1"/>
  <c r="AL831" i="1"/>
  <c r="AL833" i="1"/>
  <c r="AL834" i="1"/>
  <c r="AL835" i="1"/>
  <c r="AL837" i="1"/>
  <c r="AL838" i="1"/>
  <c r="AL839" i="1"/>
  <c r="AL841" i="1"/>
  <c r="AL842" i="1"/>
  <c r="AL843" i="1"/>
  <c r="AL845" i="1"/>
  <c r="AL846" i="1"/>
  <c r="AL847" i="1"/>
  <c r="AL849" i="1"/>
  <c r="AL850" i="1"/>
  <c r="AL851" i="1"/>
  <c r="AL853" i="1"/>
  <c r="AL854" i="1"/>
  <c r="AL855" i="1"/>
  <c r="AL857" i="1"/>
  <c r="AL858" i="1"/>
  <c r="AL859" i="1"/>
  <c r="AL861" i="1"/>
  <c r="AL862" i="1"/>
  <c r="AL863" i="1"/>
  <c r="AL865" i="1"/>
  <c r="AL866" i="1"/>
  <c r="AL867" i="1"/>
  <c r="AJ868" i="1"/>
  <c r="AL868" i="1" s="1"/>
  <c r="AJ869" i="1"/>
  <c r="AL869" i="1" s="1"/>
  <c r="AJ870" i="1"/>
  <c r="AL870" i="1" s="1"/>
  <c r="AJ871" i="1"/>
  <c r="AL871" i="1" s="1"/>
  <c r="AJ872" i="1"/>
  <c r="AL872" i="1" s="1"/>
  <c r="AJ873" i="1"/>
  <c r="AL873" i="1" s="1"/>
  <c r="AJ874" i="1"/>
  <c r="AL874" i="1" s="1"/>
  <c r="AJ875" i="1"/>
  <c r="AL875" i="1" s="1"/>
  <c r="AJ876" i="1"/>
  <c r="AL876" i="1" s="1"/>
  <c r="AJ877" i="1"/>
  <c r="AL877" i="1" s="1"/>
  <c r="AJ878" i="1"/>
  <c r="AL878" i="1" s="1"/>
  <c r="AJ879" i="1"/>
  <c r="AL879" i="1" s="1"/>
  <c r="AJ880" i="1"/>
  <c r="AL880" i="1" s="1"/>
  <c r="AJ881" i="1"/>
  <c r="AL881" i="1" s="1"/>
  <c r="AJ882" i="1"/>
  <c r="AL882" i="1" s="1"/>
  <c r="AJ883" i="1"/>
  <c r="AL883" i="1" s="1"/>
  <c r="AJ884" i="1"/>
  <c r="AL884" i="1" s="1"/>
  <c r="AJ885" i="1"/>
  <c r="AL885" i="1" s="1"/>
  <c r="AJ886" i="1"/>
  <c r="AL886" i="1" s="1"/>
  <c r="AJ887" i="1"/>
  <c r="AL887" i="1" s="1"/>
  <c r="AJ888" i="1"/>
  <c r="AL888" i="1" s="1"/>
  <c r="AJ889" i="1"/>
  <c r="AL889" i="1" s="1"/>
  <c r="AJ890" i="1"/>
  <c r="AL890" i="1" s="1"/>
  <c r="AJ891" i="1"/>
  <c r="AL891" i="1" s="1"/>
  <c r="AJ892" i="1"/>
  <c r="AL892" i="1" s="1"/>
  <c r="AJ893" i="1"/>
  <c r="AL893" i="1" s="1"/>
  <c r="AJ894" i="1"/>
  <c r="AL894" i="1" s="1"/>
  <c r="AJ895" i="1"/>
  <c r="AL895" i="1" s="1"/>
  <c r="AJ896" i="1"/>
  <c r="AL896" i="1" s="1"/>
  <c r="AJ897" i="1"/>
  <c r="AL897" i="1" s="1"/>
  <c r="AJ898" i="1"/>
  <c r="AL898" i="1" s="1"/>
  <c r="AJ899" i="1"/>
  <c r="AL899" i="1" s="1"/>
  <c r="AJ900" i="1"/>
  <c r="AL900" i="1" s="1"/>
  <c r="AJ901" i="1"/>
  <c r="AL901" i="1" s="1"/>
  <c r="AJ902" i="1"/>
  <c r="AL902" i="1" s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J962" i="1"/>
  <c r="AL962" i="1"/>
  <c r="AJ963" i="1"/>
  <c r="AL963" i="1"/>
  <c r="AJ964" i="1"/>
  <c r="AL964" i="1"/>
  <c r="AJ965" i="1"/>
  <c r="AL965" i="1"/>
  <c r="AJ966" i="1"/>
  <c r="AL966" i="1"/>
  <c r="AJ967" i="1"/>
  <c r="AL967" i="1"/>
  <c r="AJ968" i="1"/>
  <c r="AL968" i="1"/>
  <c r="AJ969" i="1"/>
  <c r="AL969" i="1"/>
  <c r="AJ970" i="1"/>
  <c r="AL970" i="1"/>
  <c r="AJ971" i="1"/>
  <c r="AL971" i="1"/>
  <c r="AJ972" i="1"/>
  <c r="AL972" i="1"/>
  <c r="AJ973" i="1"/>
  <c r="AL973" i="1"/>
  <c r="AJ974" i="1"/>
  <c r="AL974" i="1"/>
  <c r="AJ975" i="1"/>
  <c r="AL975" i="1"/>
  <c r="AJ976" i="1"/>
  <c r="AL976" i="1"/>
  <c r="AJ977" i="1"/>
  <c r="AL977" i="1"/>
  <c r="AJ978" i="1"/>
  <c r="AL978" i="1"/>
  <c r="AJ979" i="1"/>
  <c r="AL979" i="1"/>
  <c r="AJ980" i="1"/>
  <c r="AL980" i="1"/>
  <c r="AJ981" i="1"/>
  <c r="AL981" i="1"/>
  <c r="AJ982" i="1"/>
  <c r="AL982" i="1"/>
  <c r="AJ983" i="1"/>
  <c r="AL983" i="1"/>
  <c r="AJ984" i="1"/>
  <c r="AL984" i="1"/>
  <c r="AJ985" i="1"/>
  <c r="AL985" i="1"/>
  <c r="AJ986" i="1"/>
  <c r="AL986" i="1"/>
  <c r="AJ987" i="1"/>
  <c r="AL987" i="1"/>
  <c r="AJ988" i="1"/>
  <c r="AL988" i="1"/>
  <c r="AJ989" i="1"/>
  <c r="AL989" i="1"/>
  <c r="AJ990" i="1"/>
  <c r="AL990" i="1"/>
  <c r="AJ991" i="1"/>
  <c r="AL991" i="1"/>
  <c r="AJ992" i="1"/>
  <c r="AL992" i="1"/>
  <c r="AJ993" i="1"/>
  <c r="AL993" i="1"/>
  <c r="AJ994" i="1"/>
  <c r="AL994" i="1"/>
  <c r="AJ995" i="1"/>
  <c r="AL995" i="1"/>
  <c r="AJ996" i="1"/>
  <c r="AL996" i="1"/>
  <c r="AJ997" i="1"/>
  <c r="AL997" i="1"/>
  <c r="AJ998" i="1"/>
  <c r="AL998" i="1"/>
  <c r="AJ999" i="1"/>
  <c r="AL999" i="1"/>
  <c r="AJ1000" i="1"/>
  <c r="AL1000" i="1"/>
  <c r="AJ1001" i="1"/>
  <c r="AL1001" i="1"/>
  <c r="AJ1002" i="1"/>
  <c r="AL1002" i="1"/>
  <c r="AJ1003" i="1"/>
  <c r="AL1003" i="1"/>
  <c r="AJ1004" i="1"/>
  <c r="AL1004" i="1"/>
  <c r="AJ1005" i="1"/>
  <c r="AL1005" i="1"/>
  <c r="AJ1006" i="1"/>
  <c r="AL1006" i="1"/>
  <c r="AJ1007" i="1"/>
  <c r="AL1007" i="1"/>
  <c r="AJ1008" i="1"/>
  <c r="AL1008" i="1"/>
  <c r="AJ1009" i="1"/>
  <c r="AL1009" i="1"/>
  <c r="AJ1010" i="1"/>
  <c r="AL1010" i="1"/>
  <c r="AJ1011" i="1"/>
  <c r="AL1011" i="1"/>
  <c r="AJ1012" i="1"/>
  <c r="AL1012" i="1"/>
  <c r="AJ1013" i="1"/>
  <c r="AL1013" i="1"/>
  <c r="AJ1014" i="1"/>
  <c r="AL1014" i="1"/>
  <c r="AJ1015" i="1"/>
  <c r="AL1015" i="1"/>
  <c r="AJ1016" i="1"/>
  <c r="AL1016" i="1"/>
  <c r="AJ1017" i="1"/>
  <c r="AL1017" i="1"/>
  <c r="AJ1018" i="1"/>
  <c r="AL1018" i="1"/>
  <c r="AJ1019" i="1"/>
  <c r="AL1019" i="1"/>
  <c r="AJ1020" i="1"/>
  <c r="AL1020" i="1"/>
  <c r="AJ1021" i="1"/>
  <c r="AL1021" i="1"/>
  <c r="AJ1022" i="1"/>
  <c r="AL1022" i="1"/>
  <c r="AJ1023" i="1"/>
  <c r="AL1023" i="1"/>
  <c r="AJ1024" i="1"/>
  <c r="AL1024" i="1"/>
  <c r="AJ1025" i="1"/>
  <c r="AL1025" i="1"/>
  <c r="AJ1026" i="1"/>
  <c r="AL1026" i="1"/>
  <c r="AJ1027" i="1"/>
  <c r="AL1027" i="1"/>
  <c r="AJ1028" i="1"/>
  <c r="AL1028" i="1"/>
  <c r="AJ1029" i="1"/>
  <c r="AL1029" i="1"/>
  <c r="AJ1030" i="1"/>
  <c r="AL1030" i="1"/>
  <c r="AJ1031" i="1"/>
  <c r="AL1031" i="1"/>
  <c r="AJ1032" i="1"/>
  <c r="AL1032" i="1"/>
  <c r="AJ1033" i="1"/>
  <c r="AL1033" i="1"/>
  <c r="AJ1034" i="1"/>
  <c r="AL1034" i="1"/>
  <c r="AJ1035" i="1"/>
  <c r="AL1035" i="1"/>
  <c r="AJ1036" i="1"/>
  <c r="AL1036" i="1"/>
  <c r="AJ1037" i="1"/>
  <c r="AL1037" i="1"/>
  <c r="AJ1038" i="1"/>
  <c r="AL1038" i="1"/>
  <c r="AJ1039" i="1"/>
  <c r="AL1039" i="1"/>
  <c r="AJ1040" i="1"/>
  <c r="AL1040" i="1"/>
  <c r="AJ1041" i="1"/>
  <c r="AL1041" i="1"/>
  <c r="AJ1042" i="1"/>
  <c r="AL1042" i="1"/>
  <c r="AJ1043" i="1"/>
  <c r="AL1043" i="1"/>
  <c r="AJ1044" i="1"/>
  <c r="AL1044" i="1"/>
  <c r="AJ1045" i="1"/>
  <c r="AL1045" i="1"/>
  <c r="AJ1046" i="1"/>
  <c r="AL1046" i="1"/>
  <c r="AL1047" i="1"/>
  <c r="AL1049" i="1"/>
  <c r="AL1050" i="1"/>
  <c r="AL1051" i="1"/>
  <c r="AL1053" i="1"/>
  <c r="AL1054" i="1"/>
  <c r="AL1055" i="1"/>
  <c r="AL1057" i="1"/>
  <c r="AL1058" i="1"/>
  <c r="AL1059" i="1"/>
  <c r="AL1061" i="1"/>
  <c r="AL1062" i="1"/>
  <c r="AL1063" i="1"/>
  <c r="AL1065" i="1"/>
  <c r="AL1066" i="1"/>
  <c r="AL1067" i="1"/>
  <c r="AL1069" i="1"/>
  <c r="AL1070" i="1"/>
  <c r="AL1071" i="1"/>
  <c r="AL1073" i="1"/>
  <c r="AL1074" i="1"/>
  <c r="AL1075" i="1"/>
  <c r="AL1077" i="1"/>
  <c r="AL1078" i="1"/>
  <c r="AL1079" i="1"/>
  <c r="AL1081" i="1"/>
  <c r="AL1082" i="1"/>
  <c r="AL1083" i="1"/>
  <c r="AL1085" i="1"/>
  <c r="AL1086" i="1"/>
  <c r="AL1087" i="1"/>
  <c r="AL1089" i="1"/>
  <c r="AL1090" i="1"/>
  <c r="AL1091" i="1"/>
  <c r="AL1093" i="1"/>
  <c r="AL1094" i="1"/>
  <c r="AL1095" i="1"/>
  <c r="AL1097" i="1"/>
  <c r="AL1098" i="1"/>
  <c r="AL1099" i="1"/>
  <c r="AL1101" i="1"/>
  <c r="AL1102" i="1"/>
  <c r="AL1103" i="1"/>
  <c r="AL1105" i="1"/>
  <c r="AL1106" i="1"/>
  <c r="AL1107" i="1"/>
  <c r="AL1109" i="1"/>
  <c r="AL1110" i="1"/>
  <c r="AL1111" i="1"/>
  <c r="AL1113" i="1"/>
  <c r="AL1114" i="1"/>
  <c r="AL1115" i="1"/>
  <c r="AL1117" i="1"/>
  <c r="AL1118" i="1"/>
  <c r="AL1119" i="1"/>
  <c r="AL1121" i="1"/>
  <c r="AJ1122" i="1"/>
  <c r="AL1122" i="1" s="1"/>
  <c r="AJ1123" i="1"/>
  <c r="AL1123" i="1" s="1"/>
  <c r="AJ1124" i="1"/>
  <c r="AL1124" i="1" s="1"/>
  <c r="AJ1125" i="1"/>
  <c r="AL1125" i="1" s="1"/>
  <c r="AJ1126" i="1"/>
  <c r="AL1126" i="1" s="1"/>
  <c r="AJ1127" i="1"/>
  <c r="AL1127" i="1" s="1"/>
  <c r="AJ1128" i="1"/>
  <c r="AL1128" i="1" s="1"/>
  <c r="AJ1129" i="1"/>
  <c r="AL1129" i="1" s="1"/>
  <c r="AJ1130" i="1"/>
  <c r="AL1130" i="1" s="1"/>
  <c r="AJ1131" i="1"/>
  <c r="AL1131" i="1" s="1"/>
  <c r="AJ1132" i="1"/>
  <c r="AL1132" i="1" s="1"/>
  <c r="AJ1133" i="1"/>
  <c r="AL1133" i="1" s="1"/>
  <c r="AJ1134" i="1"/>
  <c r="AL1134" i="1" s="1"/>
  <c r="AJ1135" i="1"/>
  <c r="AL1135" i="1" s="1"/>
  <c r="AJ1136" i="1"/>
  <c r="AL1136" i="1" s="1"/>
  <c r="AJ1137" i="1"/>
  <c r="AL1137" i="1" s="1"/>
  <c r="AJ1138" i="1"/>
  <c r="AL1138" i="1" s="1"/>
  <c r="AJ1139" i="1"/>
  <c r="AL1139" i="1" s="1"/>
  <c r="AJ1140" i="1"/>
  <c r="AL1140" i="1" s="1"/>
  <c r="AJ1141" i="1"/>
  <c r="AL1141" i="1" s="1"/>
  <c r="AJ1142" i="1"/>
  <c r="AL1142" i="1" s="1"/>
  <c r="AJ1143" i="1"/>
  <c r="AL1143" i="1" s="1"/>
  <c r="AJ1144" i="1"/>
  <c r="AL1144" i="1" s="1"/>
  <c r="AJ1145" i="1"/>
  <c r="AL1145" i="1" s="1"/>
  <c r="AJ1146" i="1"/>
  <c r="AL1146" i="1" s="1"/>
  <c r="AJ1147" i="1"/>
  <c r="AL1147" i="1" s="1"/>
  <c r="AJ1148" i="1"/>
  <c r="AL1148" i="1" s="1"/>
  <c r="AJ1149" i="1"/>
  <c r="AL1149" i="1" s="1"/>
  <c r="AJ1150" i="1"/>
  <c r="AL1150" i="1" s="1"/>
  <c r="AJ1151" i="1"/>
  <c r="AL1151" i="1" s="1"/>
  <c r="AJ1152" i="1"/>
  <c r="AL1152" i="1" s="1"/>
  <c r="AJ1153" i="1"/>
  <c r="AL1153" i="1" s="1"/>
  <c r="AJ1154" i="1"/>
  <c r="AL1154" i="1" s="1"/>
  <c r="AJ1155" i="1"/>
  <c r="AL1155" i="1" s="1"/>
  <c r="AJ1156" i="1"/>
  <c r="AL1156" i="1" s="1"/>
  <c r="AJ1157" i="1"/>
  <c r="AL1157" i="1" s="1"/>
  <c r="AJ1158" i="1"/>
  <c r="AL1158" i="1" s="1"/>
  <c r="AJ1159" i="1"/>
  <c r="AL1159" i="1" s="1"/>
  <c r="AJ1160" i="1"/>
  <c r="AL1160" i="1" s="1"/>
  <c r="AJ1161" i="1"/>
  <c r="AL1161" i="1" s="1"/>
  <c r="AJ1162" i="1"/>
  <c r="AL1162" i="1" s="1"/>
  <c r="AJ1163" i="1"/>
  <c r="AL1163" i="1" s="1"/>
  <c r="AJ1164" i="1"/>
  <c r="AL1164" i="1" s="1"/>
  <c r="AJ1165" i="1"/>
  <c r="AL1165" i="1" s="1"/>
  <c r="AJ1166" i="1"/>
  <c r="AL1166" i="1" s="1"/>
  <c r="AJ1167" i="1"/>
  <c r="AL1167" i="1" s="1"/>
  <c r="AJ1168" i="1"/>
  <c r="AL1168" i="1" s="1"/>
  <c r="AJ1169" i="1"/>
  <c r="AL1169" i="1" s="1"/>
  <c r="AJ1170" i="1"/>
  <c r="AL1170" i="1" s="1"/>
  <c r="AJ1171" i="1"/>
  <c r="AL1171" i="1" s="1"/>
  <c r="AJ1172" i="1"/>
  <c r="AL1172" i="1" s="1"/>
  <c r="AJ1173" i="1"/>
  <c r="AL1173" i="1" s="1"/>
  <c r="AJ1174" i="1"/>
  <c r="AL1174" i="1" s="1"/>
  <c r="AJ1175" i="1"/>
  <c r="AL1175" i="1" s="1"/>
  <c r="AJ1176" i="1"/>
  <c r="AL1176" i="1" s="1"/>
  <c r="AJ1177" i="1"/>
  <c r="AL1177" i="1" s="1"/>
  <c r="AJ1178" i="1"/>
  <c r="AL1178" i="1" s="1"/>
  <c r="AJ1179" i="1"/>
  <c r="AL1179" i="1" s="1"/>
  <c r="AJ1180" i="1"/>
  <c r="AL1180" i="1" s="1"/>
  <c r="AJ1181" i="1"/>
  <c r="AL1181" i="1" s="1"/>
  <c r="AJ1182" i="1"/>
  <c r="AL1182" i="1" s="1"/>
  <c r="AJ1183" i="1"/>
  <c r="AL1183" i="1" s="1"/>
  <c r="AJ1184" i="1"/>
  <c r="AL1184" i="1" s="1"/>
  <c r="AJ1185" i="1"/>
  <c r="AL1185" i="1" s="1"/>
  <c r="AJ1186" i="1"/>
  <c r="AL1186" i="1" s="1"/>
  <c r="AJ1187" i="1"/>
  <c r="AL1187" i="1" s="1"/>
  <c r="AL1188" i="1"/>
  <c r="AL1189" i="1"/>
  <c r="AL1191" i="1"/>
  <c r="AL1192" i="1"/>
  <c r="AL1193" i="1"/>
  <c r="AL1195" i="1"/>
  <c r="AL1196" i="1"/>
  <c r="AL1197" i="1"/>
  <c r="AL1199" i="1"/>
  <c r="AL1200" i="1"/>
  <c r="AL1201" i="1"/>
  <c r="AL1203" i="1"/>
  <c r="AL1204" i="1"/>
  <c r="AL1205" i="1"/>
  <c r="AL1207" i="1"/>
  <c r="AL1208" i="1"/>
  <c r="AL1209" i="1"/>
  <c r="AL1211" i="1"/>
  <c r="AL1212" i="1"/>
  <c r="AL1213" i="1"/>
  <c r="AL1215" i="1"/>
  <c r="AL1216" i="1"/>
  <c r="AL1217" i="1"/>
  <c r="AL1219" i="1"/>
  <c r="AL1220" i="1"/>
  <c r="AL1221" i="1"/>
  <c r="AL1223" i="1"/>
  <c r="AL1224" i="1"/>
  <c r="AL1225" i="1"/>
  <c r="AL1227" i="1"/>
  <c r="AL1228" i="1"/>
  <c r="AL1229" i="1"/>
  <c r="AL1231" i="1"/>
  <c r="AL1232" i="1"/>
  <c r="AL1233" i="1"/>
  <c r="AL1235" i="1"/>
  <c r="AL1236" i="1"/>
  <c r="AL1237" i="1"/>
  <c r="AL1239" i="1"/>
  <c r="AL1240" i="1"/>
  <c r="AL1241" i="1"/>
  <c r="AL1243" i="1"/>
  <c r="AL1244" i="1"/>
  <c r="AL1245" i="1"/>
  <c r="AL1247" i="1"/>
  <c r="AL1248" i="1"/>
  <c r="AD11" i="1"/>
  <c r="AD12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3" i="1"/>
  <c r="AD54" i="1"/>
  <c r="AD55" i="1"/>
  <c r="AD57" i="1"/>
  <c r="AD58" i="1"/>
  <c r="AD59" i="1"/>
  <c r="AD60" i="1"/>
  <c r="AD61" i="1"/>
  <c r="AD62" i="1"/>
  <c r="AD63" i="1"/>
  <c r="AD65" i="1"/>
  <c r="AD66" i="1"/>
  <c r="AD67" i="1"/>
  <c r="AD69" i="1"/>
  <c r="AD70" i="1"/>
  <c r="AD71" i="1"/>
  <c r="AD73" i="1"/>
  <c r="AD74" i="1"/>
  <c r="AD75" i="1"/>
  <c r="AD77" i="1"/>
  <c r="AD78" i="1"/>
  <c r="AD79" i="1"/>
  <c r="AD80" i="1"/>
  <c r="AD81" i="1"/>
  <c r="AD82" i="1"/>
  <c r="AD83" i="1"/>
  <c r="AD85" i="1"/>
  <c r="AD86" i="1"/>
  <c r="AD87" i="1"/>
  <c r="AD88" i="1"/>
  <c r="AD89" i="1"/>
  <c r="AD90" i="1"/>
  <c r="AD93" i="1"/>
  <c r="AD94" i="1"/>
  <c r="AD95" i="1"/>
  <c r="AD96" i="1"/>
  <c r="AD97" i="1"/>
  <c r="AD98" i="1"/>
  <c r="AD99" i="1"/>
  <c r="AD101" i="1"/>
  <c r="AD102" i="1"/>
  <c r="AD104" i="1"/>
  <c r="AD105" i="1"/>
  <c r="AD106" i="1"/>
  <c r="AD108" i="1"/>
  <c r="AD109" i="1"/>
  <c r="AD110" i="1"/>
  <c r="AD111" i="1"/>
  <c r="AD112" i="1"/>
  <c r="AD113" i="1"/>
  <c r="AD114" i="1"/>
  <c r="AD115" i="1"/>
  <c r="AD116" i="1"/>
  <c r="AD117" i="1"/>
  <c r="AD118" i="1"/>
  <c r="AD120" i="1"/>
  <c r="AD121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6" i="1"/>
  <c r="AD137" i="1"/>
  <c r="AD138" i="1"/>
  <c r="AD140" i="1"/>
  <c r="AD141" i="1"/>
  <c r="AD142" i="1"/>
  <c r="AD143" i="1"/>
  <c r="AD144" i="1"/>
  <c r="AD145" i="1"/>
  <c r="AD146" i="1"/>
  <c r="AD147" i="1"/>
  <c r="AD148" i="1"/>
  <c r="AD149" i="1"/>
  <c r="AD150" i="1"/>
  <c r="AD152" i="1"/>
  <c r="AD153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8" i="1"/>
  <c r="AD169" i="1"/>
  <c r="AD170" i="1"/>
  <c r="AD172" i="1"/>
  <c r="AD173" i="1"/>
  <c r="AD174" i="1"/>
  <c r="AD175" i="1"/>
  <c r="AD176" i="1"/>
  <c r="AD177" i="1"/>
  <c r="AD178" i="1"/>
  <c r="AD179" i="1"/>
  <c r="AD180" i="1"/>
  <c r="AD181" i="1"/>
  <c r="AD182" i="1"/>
  <c r="AD184" i="1"/>
  <c r="AD185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200" i="1"/>
  <c r="AD201" i="1"/>
  <c r="AD202" i="1"/>
  <c r="AD204" i="1"/>
  <c r="AD205" i="1"/>
  <c r="AD206" i="1"/>
  <c r="AD207" i="1"/>
  <c r="AD208" i="1"/>
  <c r="AD209" i="1"/>
  <c r="AD210" i="1"/>
  <c r="AD211" i="1"/>
  <c r="AD212" i="1"/>
  <c r="AD213" i="1"/>
  <c r="AD214" i="1"/>
  <c r="AD216" i="1"/>
  <c r="AD217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2" i="1"/>
  <c r="AD233" i="1"/>
  <c r="AD234" i="1"/>
  <c r="AD236" i="1"/>
  <c r="AD237" i="1"/>
  <c r="AD238" i="1"/>
  <c r="AD239" i="1"/>
  <c r="AD240" i="1"/>
  <c r="AD241" i="1"/>
  <c r="AD242" i="1"/>
  <c r="AD243" i="1"/>
  <c r="AD244" i="1"/>
  <c r="AD245" i="1"/>
  <c r="AD246" i="1"/>
  <c r="AD248" i="1"/>
  <c r="AD249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4" i="1"/>
  <c r="AD265" i="1"/>
  <c r="AD266" i="1"/>
  <c r="AD268" i="1"/>
  <c r="AD269" i="1"/>
  <c r="AD270" i="1"/>
  <c r="AD271" i="1"/>
  <c r="AD272" i="1"/>
  <c r="AD273" i="1"/>
  <c r="AD274" i="1"/>
  <c r="AD275" i="1"/>
  <c r="AD276" i="1"/>
  <c r="AD277" i="1"/>
  <c r="AD278" i="1"/>
  <c r="AD280" i="1"/>
  <c r="AD281" i="1"/>
  <c r="AD282" i="1"/>
  <c r="AD284" i="1"/>
  <c r="AD285" i="1"/>
  <c r="AD287" i="1"/>
  <c r="AD288" i="1"/>
  <c r="AD289" i="1"/>
  <c r="AD290" i="1"/>
  <c r="AD291" i="1"/>
  <c r="AD292" i="1"/>
  <c r="AD293" i="1"/>
  <c r="AD294" i="1"/>
  <c r="AD296" i="1"/>
  <c r="AD297" i="1"/>
  <c r="AD300" i="1"/>
  <c r="AD301" i="1"/>
  <c r="AD302" i="1"/>
  <c r="AD304" i="1"/>
  <c r="AD305" i="1"/>
  <c r="AD306" i="1"/>
  <c r="AD307" i="1"/>
  <c r="AD308" i="1"/>
  <c r="AD309" i="1"/>
  <c r="AD310" i="1"/>
  <c r="AD312" i="1"/>
  <c r="AD313" i="1"/>
  <c r="AD314" i="1"/>
  <c r="AD316" i="1"/>
  <c r="AD317" i="1"/>
  <c r="AD320" i="1"/>
  <c r="AD321" i="1"/>
  <c r="AD322" i="1"/>
  <c r="AD323" i="1"/>
  <c r="AD324" i="1"/>
  <c r="AD325" i="1"/>
  <c r="AD326" i="1"/>
  <c r="AD328" i="1"/>
  <c r="AD329" i="1"/>
  <c r="AD330" i="1"/>
  <c r="AD331" i="1"/>
  <c r="AD332" i="1"/>
  <c r="AD333" i="1"/>
  <c r="AD336" i="1"/>
  <c r="AD337" i="1"/>
  <c r="AD338" i="1"/>
  <c r="AD339" i="1"/>
  <c r="AD340" i="1"/>
  <c r="AD341" i="1"/>
  <c r="AD342" i="1"/>
  <c r="AD344" i="1"/>
  <c r="AD345" i="1"/>
  <c r="AD346" i="1"/>
  <c r="AD347" i="1"/>
  <c r="AD348" i="1"/>
  <c r="AD349" i="1"/>
  <c r="AD350" i="1"/>
  <c r="AD352" i="1"/>
  <c r="AD353" i="1"/>
  <c r="AD354" i="1"/>
  <c r="AD356" i="1"/>
  <c r="AD357" i="1"/>
  <c r="AD358" i="1"/>
  <c r="AD360" i="1"/>
  <c r="AD361" i="1"/>
  <c r="AD362" i="1"/>
  <c r="AD363" i="1"/>
  <c r="AD364" i="1"/>
  <c r="AD365" i="1"/>
  <c r="AD366" i="1"/>
  <c r="AD368" i="1"/>
  <c r="AD369" i="1"/>
  <c r="AD370" i="1"/>
  <c r="AD372" i="1"/>
  <c r="AD373" i="1"/>
  <c r="AD376" i="1"/>
  <c r="AD377" i="1"/>
  <c r="AD378" i="1"/>
  <c r="AD379" i="1"/>
  <c r="AD380" i="1"/>
  <c r="AD381" i="1"/>
  <c r="AD382" i="1"/>
  <c r="AD384" i="1"/>
  <c r="AD385" i="1"/>
  <c r="AD386" i="1"/>
  <c r="AD388" i="1"/>
  <c r="AD389" i="1"/>
  <c r="AD390" i="1"/>
  <c r="AD392" i="1"/>
  <c r="AD393" i="1"/>
  <c r="AD394" i="1"/>
  <c r="AD395" i="1"/>
  <c r="AD396" i="1"/>
  <c r="AD397" i="1"/>
  <c r="AD398" i="1"/>
  <c r="AD400" i="1"/>
  <c r="AD401" i="1"/>
  <c r="AD402" i="1"/>
  <c r="AD404" i="1"/>
  <c r="AD405" i="1"/>
  <c r="AD408" i="1"/>
  <c r="AD409" i="1"/>
  <c r="AD410" i="1"/>
  <c r="AD411" i="1"/>
  <c r="AD412" i="1"/>
  <c r="AD413" i="1"/>
  <c r="AD414" i="1"/>
  <c r="AD416" i="1"/>
  <c r="AD417" i="1"/>
  <c r="AD418" i="1"/>
  <c r="AD420" i="1"/>
  <c r="AD421" i="1"/>
  <c r="AD422" i="1"/>
  <c r="AD424" i="1"/>
  <c r="AD425" i="1"/>
  <c r="AD426" i="1"/>
  <c r="AD427" i="1"/>
  <c r="AD428" i="1"/>
  <c r="AD429" i="1"/>
  <c r="AD430" i="1"/>
  <c r="AD432" i="1"/>
  <c r="AD433" i="1"/>
  <c r="AD434" i="1"/>
  <c r="AD436" i="1"/>
  <c r="AD437" i="1"/>
  <c r="AD440" i="1"/>
  <c r="AD441" i="1"/>
  <c r="AD442" i="1"/>
  <c r="AD443" i="1"/>
  <c r="AD444" i="1"/>
  <c r="AD445" i="1"/>
  <c r="AD446" i="1"/>
  <c r="AD448" i="1"/>
  <c r="AD449" i="1"/>
  <c r="AD451" i="1"/>
  <c r="AD452" i="1"/>
  <c r="AD454" i="1"/>
  <c r="AD455" i="1"/>
  <c r="AD457" i="1"/>
  <c r="AD459" i="1"/>
  <c r="AD460" i="1"/>
  <c r="AD462" i="1"/>
  <c r="AD463" i="1"/>
  <c r="AD464" i="1"/>
  <c r="AD466" i="1"/>
  <c r="AD467" i="1"/>
  <c r="AD468" i="1"/>
  <c r="AD469" i="1"/>
  <c r="AD470" i="1"/>
  <c r="AD471" i="1"/>
  <c r="AD472" i="1"/>
  <c r="AD473" i="1"/>
  <c r="AD475" i="1"/>
  <c r="AD478" i="1"/>
  <c r="AD479" i="1"/>
  <c r="AD480" i="1"/>
  <c r="AD482" i="1"/>
  <c r="AD483" i="1"/>
  <c r="AD485" i="1"/>
  <c r="AD486" i="1"/>
  <c r="AD487" i="1"/>
  <c r="AD488" i="1"/>
  <c r="AD489" i="1"/>
  <c r="AD490" i="1"/>
  <c r="AD491" i="1"/>
  <c r="AD493" i="1"/>
  <c r="AD494" i="1"/>
  <c r="AD495" i="1"/>
  <c r="AD497" i="1"/>
  <c r="AD498" i="1"/>
  <c r="AD500" i="1"/>
  <c r="AD501" i="1"/>
  <c r="AD503" i="1"/>
  <c r="AD504" i="1"/>
  <c r="AD505" i="1"/>
  <c r="AD506" i="1"/>
  <c r="AD507" i="1"/>
  <c r="AD509" i="1"/>
  <c r="AD510" i="1"/>
  <c r="AD511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2" i="1"/>
  <c r="AD563" i="1"/>
  <c r="AD564" i="1"/>
  <c r="AD566" i="1"/>
  <c r="AD567" i="1"/>
  <c r="AD568" i="1"/>
  <c r="AD570" i="1"/>
  <c r="AD571" i="1"/>
  <c r="AD572" i="1"/>
  <c r="AD574" i="1"/>
  <c r="AD575" i="1"/>
  <c r="AD576" i="1"/>
  <c r="AD578" i="1"/>
  <c r="AD579" i="1"/>
  <c r="AD580" i="1"/>
  <c r="AD582" i="1"/>
  <c r="AD583" i="1"/>
  <c r="AD584" i="1"/>
  <c r="AD586" i="1"/>
  <c r="AD587" i="1"/>
  <c r="AD588" i="1"/>
  <c r="AD590" i="1"/>
  <c r="AD591" i="1"/>
  <c r="AD592" i="1"/>
  <c r="AD594" i="1"/>
  <c r="AD595" i="1"/>
  <c r="AD596" i="1"/>
  <c r="AD598" i="1"/>
  <c r="AD599" i="1"/>
  <c r="AD600" i="1"/>
  <c r="AD602" i="1"/>
  <c r="AD603" i="1"/>
  <c r="AD604" i="1"/>
  <c r="AD606" i="1"/>
  <c r="AD607" i="1"/>
  <c r="AD609" i="1"/>
  <c r="AD610" i="1"/>
  <c r="AD611" i="1"/>
  <c r="AD613" i="1"/>
  <c r="AD614" i="1"/>
  <c r="AD615" i="1"/>
  <c r="AD617" i="1"/>
  <c r="AD619" i="1"/>
  <c r="AD621" i="1"/>
  <c r="AD622" i="1"/>
  <c r="AD623" i="1"/>
  <c r="AD625" i="1"/>
  <c r="AD626" i="1"/>
  <c r="AD627" i="1"/>
  <c r="AD629" i="1"/>
  <c r="AD630" i="1"/>
  <c r="AD631" i="1"/>
  <c r="AD633" i="1"/>
  <c r="AD634" i="1"/>
  <c r="AD635" i="1"/>
  <c r="AD637" i="1"/>
  <c r="AD639" i="1"/>
  <c r="AD641" i="1"/>
  <c r="AD642" i="1"/>
  <c r="AD643" i="1"/>
  <c r="AD645" i="1"/>
  <c r="AD646" i="1"/>
  <c r="AD647" i="1"/>
  <c r="AD649" i="1"/>
  <c r="AD651" i="1"/>
  <c r="AD653" i="1"/>
  <c r="AD654" i="1"/>
  <c r="AD655" i="1"/>
  <c r="AD657" i="1"/>
  <c r="AD658" i="1"/>
  <c r="AD659" i="1"/>
  <c r="AD661" i="1"/>
  <c r="AD662" i="1"/>
  <c r="AD663" i="1"/>
  <c r="AD665" i="1"/>
  <c r="AD666" i="1"/>
  <c r="AD667" i="1"/>
  <c r="AD669" i="1"/>
  <c r="AD671" i="1"/>
  <c r="AD673" i="1"/>
  <c r="AD674" i="1"/>
  <c r="AD675" i="1"/>
  <c r="AD677" i="1"/>
  <c r="AD678" i="1"/>
  <c r="AD679" i="1"/>
  <c r="AD681" i="1"/>
  <c r="AD683" i="1"/>
  <c r="AD685" i="1"/>
  <c r="AD686" i="1"/>
  <c r="AD687" i="1"/>
  <c r="AD689" i="1"/>
  <c r="AD690" i="1"/>
  <c r="AD691" i="1"/>
  <c r="AD693" i="1"/>
  <c r="AD694" i="1"/>
  <c r="AD695" i="1"/>
  <c r="AD697" i="1"/>
  <c r="AD698" i="1"/>
  <c r="AD699" i="1"/>
  <c r="AD701" i="1"/>
  <c r="AD703" i="1"/>
  <c r="AD705" i="1"/>
  <c r="AD706" i="1"/>
  <c r="AD707" i="1"/>
  <c r="AD709" i="1"/>
  <c r="AD710" i="1"/>
  <c r="AD711" i="1"/>
  <c r="AD713" i="1"/>
  <c r="AD715" i="1"/>
  <c r="AD717" i="1"/>
  <c r="AD718" i="1"/>
  <c r="AD719" i="1"/>
  <c r="AD721" i="1"/>
  <c r="AD722" i="1"/>
  <c r="AD723" i="1"/>
  <c r="AD725" i="1"/>
  <c r="AD726" i="1"/>
  <c r="AD727" i="1"/>
  <c r="AD729" i="1"/>
  <c r="AD730" i="1"/>
  <c r="AD731" i="1"/>
  <c r="AD733" i="1"/>
  <c r="AD735" i="1"/>
  <c r="AD737" i="1"/>
  <c r="AD738" i="1"/>
  <c r="AD739" i="1"/>
  <c r="AD741" i="1"/>
  <c r="AD742" i="1"/>
  <c r="AD743" i="1"/>
  <c r="AD745" i="1"/>
  <c r="AD747" i="1"/>
  <c r="AD749" i="1"/>
  <c r="AD750" i="1"/>
  <c r="AD751" i="1"/>
  <c r="AD753" i="1"/>
  <c r="AD754" i="1"/>
  <c r="AD755" i="1"/>
  <c r="AD757" i="1"/>
  <c r="AD758" i="1"/>
  <c r="AD760" i="1"/>
  <c r="AD761" i="1"/>
  <c r="AD762" i="1"/>
  <c r="AD763" i="1"/>
  <c r="AD764" i="1"/>
  <c r="AD765" i="1"/>
  <c r="AD767" i="1"/>
  <c r="AD769" i="1"/>
  <c r="AD770" i="1"/>
  <c r="AD772" i="1"/>
  <c r="AD773" i="1"/>
  <c r="AD774" i="1"/>
  <c r="AD775" i="1"/>
  <c r="AD776" i="1"/>
  <c r="AD777" i="1"/>
  <c r="AD778" i="1"/>
  <c r="AD779" i="1"/>
  <c r="AD780" i="1"/>
  <c r="AD781" i="1"/>
  <c r="AD783" i="1"/>
  <c r="AD785" i="1"/>
  <c r="AD786" i="1"/>
  <c r="AD788" i="1"/>
  <c r="AD789" i="1"/>
  <c r="AD790" i="1"/>
  <c r="AD791" i="1"/>
  <c r="AD792" i="1"/>
  <c r="AD793" i="1"/>
  <c r="AD794" i="1"/>
  <c r="AD795" i="1"/>
  <c r="AD796" i="1"/>
  <c r="AD797" i="1"/>
  <c r="AD799" i="1"/>
  <c r="AD801" i="1"/>
  <c r="AD802" i="1"/>
  <c r="AD804" i="1"/>
  <c r="AD805" i="1"/>
  <c r="AD806" i="1"/>
  <c r="AD807" i="1"/>
  <c r="AD808" i="1"/>
  <c r="AD809" i="1"/>
  <c r="AD810" i="1"/>
  <c r="AD811" i="1"/>
  <c r="AD812" i="1"/>
  <c r="AD813" i="1"/>
  <c r="AD815" i="1"/>
  <c r="AD817" i="1"/>
  <c r="AD818" i="1"/>
  <c r="AD820" i="1"/>
  <c r="AD821" i="1"/>
  <c r="AD822" i="1"/>
  <c r="AD823" i="1"/>
  <c r="AD824" i="1"/>
  <c r="AD825" i="1"/>
  <c r="AD826" i="1"/>
  <c r="AD827" i="1"/>
  <c r="AD828" i="1"/>
  <c r="AD829" i="1"/>
  <c r="AD831" i="1"/>
  <c r="AD833" i="1"/>
  <c r="AD834" i="1"/>
  <c r="AD836" i="1"/>
  <c r="AD837" i="1"/>
  <c r="AD838" i="1"/>
  <c r="AD839" i="1"/>
  <c r="AD840" i="1"/>
  <c r="AD841" i="1"/>
  <c r="AD845" i="1"/>
  <c r="AD847" i="1"/>
  <c r="AD849" i="1"/>
  <c r="AD850" i="1"/>
  <c r="AD851" i="1"/>
  <c r="AD853" i="1"/>
  <c r="AD854" i="1"/>
  <c r="AD855" i="1"/>
  <c r="AD857" i="1"/>
  <c r="AD861" i="1"/>
  <c r="AD863" i="1"/>
  <c r="AD865" i="1"/>
  <c r="AD866" i="1"/>
  <c r="AD867" i="1"/>
  <c r="AD869" i="1"/>
  <c r="AD870" i="1"/>
  <c r="AD871" i="1"/>
  <c r="AD873" i="1"/>
  <c r="AD877" i="1"/>
  <c r="AD879" i="1"/>
  <c r="AD881" i="1"/>
  <c r="AD882" i="1"/>
  <c r="AD883" i="1"/>
  <c r="AD885" i="1"/>
  <c r="AD887" i="1"/>
  <c r="AD889" i="1"/>
  <c r="AD890" i="1"/>
  <c r="AD893" i="1"/>
  <c r="AD898" i="1"/>
  <c r="AD901" i="1"/>
  <c r="AD902" i="1"/>
  <c r="AD905" i="1"/>
  <c r="AD909" i="1"/>
  <c r="AD910" i="1"/>
  <c r="AD913" i="1"/>
  <c r="AD917" i="1"/>
  <c r="AD920" i="1"/>
  <c r="AD921" i="1"/>
  <c r="AD925" i="1"/>
  <c r="AD929" i="1"/>
  <c r="AD933" i="1"/>
  <c r="AD937" i="1"/>
  <c r="AD941" i="1"/>
  <c r="AD944" i="1"/>
  <c r="AD945" i="1"/>
  <c r="AD949" i="1"/>
  <c r="AD953" i="1"/>
  <c r="AD957" i="1"/>
  <c r="AD961" i="1"/>
  <c r="AD965" i="1"/>
  <c r="AD969" i="1"/>
  <c r="AD973" i="1"/>
  <c r="AD977" i="1"/>
  <c r="AD981" i="1"/>
  <c r="AD985" i="1"/>
  <c r="AD989" i="1"/>
  <c r="AD990" i="1"/>
  <c r="AD993" i="1"/>
  <c r="AD997" i="1"/>
  <c r="AD1001" i="1"/>
  <c r="AD1005" i="1"/>
  <c r="AD1009" i="1"/>
  <c r="AD1013" i="1"/>
  <c r="AD1017" i="1"/>
  <c r="AD1021" i="1"/>
  <c r="AD1022" i="1"/>
  <c r="AD1025" i="1"/>
  <c r="AD1029" i="1"/>
  <c r="AD1030" i="1"/>
  <c r="AD1033" i="1"/>
  <c r="AD1037" i="1"/>
  <c r="AD1038" i="1"/>
  <c r="AD1041" i="1"/>
  <c r="AD1045" i="1"/>
  <c r="AD1049" i="1"/>
  <c r="AD1053" i="1"/>
  <c r="AD1057" i="1"/>
  <c r="AD1061" i="1"/>
  <c r="AD1065" i="1"/>
  <c r="AD1069" i="1"/>
  <c r="AD1073" i="1"/>
  <c r="AD1077" i="1"/>
  <c r="AD1078" i="1"/>
  <c r="AD1081" i="1"/>
  <c r="AD1085" i="1"/>
  <c r="AD1086" i="1"/>
  <c r="AD1089" i="1"/>
  <c r="AD1093" i="1"/>
  <c r="AD1096" i="1"/>
  <c r="AD1097" i="1"/>
  <c r="AD1101" i="1"/>
  <c r="AD1105" i="1"/>
  <c r="AD1109" i="1"/>
  <c r="AD1113" i="1"/>
  <c r="AD1117" i="1"/>
  <c r="AD1121" i="1"/>
  <c r="AD1125" i="1"/>
  <c r="AD1129" i="1"/>
  <c r="AD1133" i="1"/>
  <c r="AD1137" i="1"/>
  <c r="AD1141" i="1"/>
  <c r="AD1145" i="1"/>
  <c r="AD1149" i="1"/>
  <c r="AD1153" i="1"/>
  <c r="AD1157" i="1"/>
  <c r="AD1161" i="1"/>
  <c r="AD1165" i="1"/>
  <c r="AD1169" i="1"/>
  <c r="AD1173" i="1"/>
  <c r="AD1177" i="1"/>
  <c r="AD1181" i="1"/>
  <c r="AD1185" i="1"/>
  <c r="AD1189" i="1"/>
  <c r="AD1193" i="1"/>
  <c r="AD1197" i="1"/>
  <c r="AD1201" i="1"/>
  <c r="AD1205" i="1"/>
  <c r="AD1209" i="1"/>
  <c r="AD1213" i="1"/>
  <c r="AD1217" i="1"/>
  <c r="AD1221" i="1"/>
  <c r="AD1225" i="1"/>
  <c r="AD1229" i="1"/>
  <c r="AD1233" i="1"/>
  <c r="AD1237" i="1"/>
  <c r="AD1241" i="1"/>
  <c r="AD1245" i="1"/>
  <c r="AD8" i="1"/>
  <c r="AL7" i="1"/>
  <c r="AD7" i="1"/>
  <c r="I827" i="1"/>
  <c r="J827" i="1" s="1"/>
  <c r="K827" i="1" s="1"/>
  <c r="I779" i="1"/>
  <c r="J779" i="1"/>
  <c r="K779" i="1" s="1"/>
  <c r="I780" i="1"/>
  <c r="J780" i="1" s="1"/>
  <c r="K780" i="1" s="1"/>
  <c r="I781" i="1"/>
  <c r="J781" i="1"/>
  <c r="K781" i="1" s="1"/>
  <c r="I782" i="1"/>
  <c r="J782" i="1" s="1"/>
  <c r="K782" i="1" s="1"/>
  <c r="I783" i="1"/>
  <c r="J783" i="1"/>
  <c r="K783" i="1" s="1"/>
  <c r="I784" i="1"/>
  <c r="J784" i="1" s="1"/>
  <c r="K784" i="1" s="1"/>
  <c r="I785" i="1"/>
  <c r="J785" i="1"/>
  <c r="K785" i="1" s="1"/>
  <c r="I786" i="1"/>
  <c r="J786" i="1" s="1"/>
  <c r="K786" i="1" s="1"/>
  <c r="I787" i="1"/>
  <c r="J787" i="1"/>
  <c r="K787" i="1" s="1"/>
  <c r="I788" i="1"/>
  <c r="J788" i="1" s="1"/>
  <c r="K788" i="1"/>
  <c r="I789" i="1"/>
  <c r="J789" i="1"/>
  <c r="K789" i="1" s="1"/>
  <c r="I790" i="1"/>
  <c r="J790" i="1" s="1"/>
  <c r="K790" i="1" s="1"/>
  <c r="I791" i="1"/>
  <c r="J791" i="1"/>
  <c r="K791" i="1" s="1"/>
  <c r="I792" i="1"/>
  <c r="J792" i="1" s="1"/>
  <c r="K792" i="1" s="1"/>
  <c r="I793" i="1"/>
  <c r="J793" i="1"/>
  <c r="K793" i="1" s="1"/>
  <c r="I794" i="1"/>
  <c r="J794" i="1" s="1"/>
  <c r="K794" i="1" s="1"/>
  <c r="I795" i="1"/>
  <c r="J795" i="1"/>
  <c r="K795" i="1" s="1"/>
  <c r="I796" i="1"/>
  <c r="J796" i="1" s="1"/>
  <c r="K796" i="1" s="1"/>
  <c r="I797" i="1"/>
  <c r="J797" i="1"/>
  <c r="K797" i="1" s="1"/>
  <c r="I798" i="1"/>
  <c r="J798" i="1" s="1"/>
  <c r="K798" i="1" s="1"/>
  <c r="I799" i="1"/>
  <c r="J799" i="1"/>
  <c r="K799" i="1" s="1"/>
  <c r="I800" i="1"/>
  <c r="J800" i="1" s="1"/>
  <c r="K800" i="1" s="1"/>
  <c r="I801" i="1"/>
  <c r="J801" i="1"/>
  <c r="K801" i="1" s="1"/>
  <c r="I802" i="1"/>
  <c r="J802" i="1" s="1"/>
  <c r="K802" i="1" s="1"/>
  <c r="I803" i="1"/>
  <c r="J803" i="1"/>
  <c r="K803" i="1" s="1"/>
  <c r="I804" i="1"/>
  <c r="J804" i="1" s="1"/>
  <c r="K804" i="1"/>
  <c r="I805" i="1"/>
  <c r="J805" i="1"/>
  <c r="K805" i="1" s="1"/>
  <c r="I806" i="1"/>
  <c r="J806" i="1" s="1"/>
  <c r="K806" i="1" s="1"/>
  <c r="I807" i="1"/>
  <c r="J807" i="1"/>
  <c r="K807" i="1" s="1"/>
  <c r="I808" i="1"/>
  <c r="J808" i="1" s="1"/>
  <c r="K808" i="1" s="1"/>
  <c r="I809" i="1"/>
  <c r="J809" i="1"/>
  <c r="K809" i="1" s="1"/>
  <c r="I810" i="1"/>
  <c r="J810" i="1" s="1"/>
  <c r="K810" i="1" s="1"/>
  <c r="I811" i="1"/>
  <c r="J811" i="1"/>
  <c r="K811" i="1" s="1"/>
  <c r="I812" i="1"/>
  <c r="J812" i="1" s="1"/>
  <c r="K812" i="1" s="1"/>
  <c r="I813" i="1"/>
  <c r="J813" i="1"/>
  <c r="K813" i="1" s="1"/>
  <c r="I814" i="1"/>
  <c r="J814" i="1" s="1"/>
  <c r="K814" i="1" s="1"/>
  <c r="I815" i="1"/>
  <c r="J815" i="1"/>
  <c r="K815" i="1" s="1"/>
  <c r="I816" i="1"/>
  <c r="J816" i="1" s="1"/>
  <c r="K816" i="1" s="1"/>
  <c r="I817" i="1"/>
  <c r="J817" i="1"/>
  <c r="K817" i="1" s="1"/>
  <c r="I818" i="1"/>
  <c r="J818" i="1" s="1"/>
  <c r="K818" i="1" s="1"/>
  <c r="I819" i="1"/>
  <c r="J819" i="1"/>
  <c r="K819" i="1" s="1"/>
  <c r="I820" i="1"/>
  <c r="J820" i="1" s="1"/>
  <c r="K820" i="1"/>
  <c r="I821" i="1"/>
  <c r="J821" i="1"/>
  <c r="K821" i="1" s="1"/>
  <c r="I822" i="1"/>
  <c r="J822" i="1" s="1"/>
  <c r="K822" i="1" s="1"/>
  <c r="I823" i="1"/>
  <c r="J823" i="1"/>
  <c r="K823" i="1" s="1"/>
  <c r="I824" i="1"/>
  <c r="J824" i="1" s="1"/>
  <c r="K824" i="1" s="1"/>
  <c r="I825" i="1"/>
  <c r="J825" i="1"/>
  <c r="K825" i="1" s="1"/>
  <c r="I826" i="1"/>
  <c r="J826" i="1" s="1"/>
  <c r="K826" i="1" s="1"/>
  <c r="I778" i="1"/>
  <c r="J778" i="1"/>
  <c r="K778" i="1" s="1"/>
  <c r="K31" i="3"/>
  <c r="Q31" i="3" s="1"/>
  <c r="L31" i="3"/>
  <c r="R31" i="3" s="1"/>
  <c r="M31" i="3"/>
  <c r="S31" i="3" s="1"/>
  <c r="N31" i="3"/>
  <c r="T31" i="3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1004" i="1"/>
  <c r="J1004" i="1" s="1"/>
  <c r="K1004" i="1" s="1"/>
  <c r="I1003" i="1"/>
  <c r="J1003" i="1"/>
  <c r="K1003" i="1" s="1"/>
  <c r="I1002" i="1"/>
  <c r="J1002" i="1" s="1"/>
  <c r="K1002" i="1" s="1"/>
  <c r="I1001" i="1"/>
  <c r="J1001" i="1"/>
  <c r="K1001" i="1" s="1"/>
  <c r="I1000" i="1"/>
  <c r="J1000" i="1" s="1"/>
  <c r="K1000" i="1" s="1"/>
  <c r="I999" i="1"/>
  <c r="J999" i="1"/>
  <c r="K999" i="1" s="1"/>
  <c r="I998" i="1"/>
  <c r="J998" i="1" s="1"/>
  <c r="K998" i="1"/>
  <c r="I997" i="1"/>
  <c r="J997" i="1"/>
  <c r="K997" i="1" s="1"/>
  <c r="I996" i="1"/>
  <c r="J996" i="1" s="1"/>
  <c r="K996" i="1" s="1"/>
  <c r="I995" i="1"/>
  <c r="J995" i="1"/>
  <c r="K995" i="1" s="1"/>
  <c r="I994" i="1"/>
  <c r="J994" i="1" s="1"/>
  <c r="K994" i="1" s="1"/>
  <c r="I993" i="1"/>
  <c r="J993" i="1"/>
  <c r="K993" i="1" s="1"/>
  <c r="I992" i="1"/>
  <c r="J992" i="1" s="1"/>
  <c r="K992" i="1" s="1"/>
  <c r="I991" i="1"/>
  <c r="J991" i="1"/>
  <c r="K991" i="1" s="1"/>
  <c r="I990" i="1"/>
  <c r="J990" i="1" s="1"/>
  <c r="K990" i="1"/>
  <c r="I989" i="1"/>
  <c r="J989" i="1"/>
  <c r="K989" i="1" s="1"/>
  <c r="I988" i="1"/>
  <c r="J988" i="1" s="1"/>
  <c r="K988" i="1"/>
  <c r="I987" i="1"/>
  <c r="J987" i="1"/>
  <c r="K987" i="1" s="1"/>
  <c r="I986" i="1"/>
  <c r="J986" i="1" s="1"/>
  <c r="K986" i="1"/>
  <c r="I985" i="1"/>
  <c r="J985" i="1"/>
  <c r="K985" i="1" s="1"/>
  <c r="I984" i="1"/>
  <c r="J984" i="1" s="1"/>
  <c r="K984" i="1"/>
  <c r="I983" i="1"/>
  <c r="J983" i="1"/>
  <c r="K983" i="1" s="1"/>
  <c r="I982" i="1"/>
  <c r="J982" i="1" s="1"/>
  <c r="K982" i="1"/>
  <c r="I981" i="1"/>
  <c r="J981" i="1"/>
  <c r="K981" i="1" s="1"/>
  <c r="I980" i="1"/>
  <c r="J980" i="1" s="1"/>
  <c r="K980" i="1"/>
  <c r="I979" i="1"/>
  <c r="J979" i="1"/>
  <c r="K979" i="1" s="1"/>
  <c r="I978" i="1"/>
  <c r="J978" i="1" s="1"/>
  <c r="K978" i="1"/>
  <c r="I743" i="1"/>
  <c r="J743" i="1"/>
  <c r="K743" i="1" s="1"/>
  <c r="I742" i="1"/>
  <c r="J742" i="1"/>
  <c r="K742" i="1" s="1"/>
  <c r="I741" i="1"/>
  <c r="J741" i="1"/>
  <c r="K741" i="1"/>
  <c r="I740" i="1"/>
  <c r="J740" i="1" s="1"/>
  <c r="K740" i="1"/>
  <c r="I739" i="1"/>
  <c r="J739" i="1"/>
  <c r="K739" i="1" s="1"/>
  <c r="I738" i="1"/>
  <c r="J738" i="1"/>
  <c r="K738" i="1" s="1"/>
  <c r="I737" i="1"/>
  <c r="J737" i="1"/>
  <c r="K737" i="1"/>
  <c r="I736" i="1"/>
  <c r="J736" i="1" s="1"/>
  <c r="K736" i="1"/>
  <c r="I735" i="1"/>
  <c r="J735" i="1"/>
  <c r="K735" i="1" s="1"/>
  <c r="I734" i="1"/>
  <c r="J734" i="1"/>
  <c r="K734" i="1" s="1"/>
  <c r="I733" i="1"/>
  <c r="J733" i="1"/>
  <c r="K733" i="1"/>
  <c r="I732" i="1"/>
  <c r="J732" i="1" s="1"/>
  <c r="K732" i="1"/>
  <c r="I731" i="1"/>
  <c r="J731" i="1"/>
  <c r="K731" i="1" s="1"/>
  <c r="I730" i="1"/>
  <c r="J730" i="1"/>
  <c r="K730" i="1" s="1"/>
  <c r="I729" i="1"/>
  <c r="J729" i="1"/>
  <c r="K729" i="1"/>
  <c r="I728" i="1"/>
  <c r="J728" i="1" s="1"/>
  <c r="K728" i="1"/>
  <c r="I727" i="1"/>
  <c r="J727" i="1"/>
  <c r="K727" i="1" s="1"/>
  <c r="I726" i="1"/>
  <c r="J726" i="1"/>
  <c r="K726" i="1" s="1"/>
  <c r="I725" i="1"/>
  <c r="J725" i="1"/>
  <c r="K725" i="1"/>
  <c r="I724" i="1"/>
  <c r="J724" i="1" s="1"/>
  <c r="K724" i="1"/>
  <c r="I723" i="1"/>
  <c r="J723" i="1"/>
  <c r="K723" i="1" s="1"/>
  <c r="I722" i="1"/>
  <c r="J722" i="1"/>
  <c r="K722" i="1" s="1"/>
  <c r="I721" i="1"/>
  <c r="J721" i="1"/>
  <c r="K721" i="1"/>
  <c r="I720" i="1"/>
  <c r="J720" i="1" s="1"/>
  <c r="K720" i="1"/>
  <c r="I719" i="1"/>
  <c r="J719" i="1"/>
  <c r="K719" i="1" s="1"/>
  <c r="I718" i="1"/>
  <c r="J718" i="1"/>
  <c r="K718" i="1" s="1"/>
  <c r="I717" i="1"/>
  <c r="J717" i="1"/>
  <c r="K717" i="1"/>
  <c r="I716" i="1"/>
  <c r="J716" i="1" s="1"/>
  <c r="K716" i="1"/>
  <c r="I715" i="1"/>
  <c r="J715" i="1"/>
  <c r="K715" i="1" s="1"/>
  <c r="I200" i="1"/>
  <c r="J200" i="1"/>
  <c r="K200" i="1" s="1"/>
  <c r="I199" i="1"/>
  <c r="J199" i="1"/>
  <c r="K199" i="1"/>
  <c r="I198" i="1"/>
  <c r="J198" i="1" s="1"/>
  <c r="K198" i="1"/>
  <c r="I197" i="1"/>
  <c r="J197" i="1"/>
  <c r="K197" i="1" s="1"/>
  <c r="I196" i="1"/>
  <c r="J196" i="1"/>
  <c r="K196" i="1" s="1"/>
  <c r="I195" i="1"/>
  <c r="J195" i="1"/>
  <c r="K195" i="1"/>
  <c r="I194" i="1"/>
  <c r="J194" i="1" s="1"/>
  <c r="K194" i="1"/>
  <c r="I193" i="1"/>
  <c r="J193" i="1"/>
  <c r="K193" i="1" s="1"/>
  <c r="I192" i="1"/>
  <c r="J192" i="1"/>
  <c r="K192" i="1" s="1"/>
  <c r="I191" i="1"/>
  <c r="J191" i="1"/>
  <c r="K191" i="1"/>
  <c r="I190" i="1"/>
  <c r="J190" i="1" s="1"/>
  <c r="K190" i="1"/>
  <c r="I189" i="1"/>
  <c r="J189" i="1"/>
  <c r="K189" i="1" s="1"/>
  <c r="I188" i="1"/>
  <c r="J188" i="1"/>
  <c r="K188" i="1" s="1"/>
  <c r="I187" i="1"/>
  <c r="J187" i="1"/>
  <c r="K187" i="1"/>
  <c r="I186" i="1"/>
  <c r="J186" i="1" s="1"/>
  <c r="K186" i="1"/>
  <c r="I185" i="1"/>
  <c r="J185" i="1"/>
  <c r="K185" i="1" s="1"/>
  <c r="I184" i="1"/>
  <c r="J184" i="1"/>
  <c r="K184" i="1" s="1"/>
  <c r="I183" i="1"/>
  <c r="J183" i="1"/>
  <c r="K183" i="1"/>
  <c r="I182" i="1"/>
  <c r="J182" i="1" s="1"/>
  <c r="K182" i="1"/>
  <c r="I181" i="1"/>
  <c r="J181" i="1"/>
  <c r="K181" i="1" s="1"/>
  <c r="I180" i="1"/>
  <c r="J180" i="1"/>
  <c r="K180" i="1" s="1"/>
  <c r="I179" i="1"/>
  <c r="J179" i="1"/>
  <c r="K179" i="1"/>
  <c r="I178" i="1"/>
  <c r="J178" i="1" s="1"/>
  <c r="K178" i="1"/>
  <c r="I177" i="1"/>
  <c r="J177" i="1"/>
  <c r="K177" i="1" s="1"/>
  <c r="I176" i="1"/>
  <c r="J176" i="1"/>
  <c r="K176" i="1" s="1"/>
  <c r="I175" i="1"/>
  <c r="J175" i="1"/>
  <c r="K175" i="1"/>
  <c r="I174" i="1"/>
  <c r="J174" i="1" s="1"/>
  <c r="K174" i="1"/>
  <c r="I173" i="1"/>
  <c r="J173" i="1"/>
  <c r="K173" i="1" s="1"/>
  <c r="I172" i="1"/>
  <c r="J172" i="1"/>
  <c r="K172" i="1" s="1"/>
  <c r="I171" i="1"/>
  <c r="J171" i="1"/>
  <c r="K171" i="1"/>
  <c r="I170" i="1"/>
  <c r="J170" i="1" s="1"/>
  <c r="K170" i="1"/>
  <c r="I169" i="1"/>
  <c r="J169" i="1"/>
  <c r="K169" i="1" s="1"/>
  <c r="I168" i="1"/>
  <c r="J168" i="1"/>
  <c r="K168" i="1" s="1"/>
  <c r="I167" i="1"/>
  <c r="J167" i="1"/>
  <c r="K167" i="1"/>
  <c r="I166" i="1"/>
  <c r="J166" i="1" s="1"/>
  <c r="K166" i="1"/>
  <c r="I165" i="1"/>
  <c r="J165" i="1"/>
  <c r="K165" i="1" s="1"/>
  <c r="I164" i="1"/>
  <c r="J164" i="1"/>
  <c r="K164" i="1" s="1"/>
  <c r="I163" i="1"/>
  <c r="J163" i="1"/>
  <c r="K163" i="1"/>
  <c r="I162" i="1"/>
  <c r="J162" i="1" s="1"/>
  <c r="K162" i="1"/>
  <c r="I161" i="1"/>
  <c r="J161" i="1"/>
  <c r="K161" i="1" s="1"/>
  <c r="I160" i="1"/>
  <c r="J160" i="1"/>
  <c r="K160" i="1" s="1"/>
  <c r="I159" i="1"/>
  <c r="J159" i="1"/>
  <c r="K159" i="1"/>
  <c r="I158" i="1"/>
  <c r="J158" i="1" s="1"/>
  <c r="K158" i="1"/>
  <c r="I157" i="1"/>
  <c r="J157" i="1"/>
  <c r="K157" i="1" s="1"/>
  <c r="I156" i="1"/>
  <c r="J156" i="1"/>
  <c r="K156" i="1" s="1"/>
  <c r="I155" i="1"/>
  <c r="J155" i="1"/>
  <c r="K155" i="1"/>
  <c r="I601" i="1"/>
  <c r="J601" i="1" s="1"/>
  <c r="K601" i="1"/>
  <c r="I608" i="1"/>
  <c r="J608" i="1"/>
  <c r="K608" i="1" s="1"/>
  <c r="I607" i="1"/>
  <c r="J607" i="1"/>
  <c r="K607" i="1" s="1"/>
  <c r="I606" i="1"/>
  <c r="J606" i="1"/>
  <c r="K606" i="1"/>
  <c r="I605" i="1"/>
  <c r="J605" i="1" s="1"/>
  <c r="K605" i="1"/>
  <c r="I604" i="1"/>
  <c r="J604" i="1"/>
  <c r="K604" i="1" s="1"/>
  <c r="I603" i="1"/>
  <c r="J603" i="1"/>
  <c r="K603" i="1" s="1"/>
  <c r="I602" i="1"/>
  <c r="J602" i="1"/>
  <c r="K602" i="1"/>
  <c r="I600" i="1"/>
  <c r="J600" i="1" s="1"/>
  <c r="K600" i="1"/>
  <c r="I599" i="1"/>
  <c r="J599" i="1"/>
  <c r="K599" i="1" s="1"/>
  <c r="I598" i="1"/>
  <c r="J598" i="1"/>
  <c r="K598" i="1" s="1"/>
  <c r="I597" i="1"/>
  <c r="J597" i="1"/>
  <c r="K597" i="1"/>
  <c r="I596" i="1"/>
  <c r="J596" i="1" s="1"/>
  <c r="K596" i="1"/>
  <c r="I595" i="1"/>
  <c r="J595" i="1"/>
  <c r="K595" i="1" s="1"/>
  <c r="I594" i="1"/>
  <c r="J594" i="1"/>
  <c r="K594" i="1" s="1"/>
  <c r="I593" i="1"/>
  <c r="J593" i="1"/>
  <c r="K593" i="1"/>
  <c r="I592" i="1"/>
  <c r="J592" i="1" s="1"/>
  <c r="K592" i="1"/>
  <c r="I591" i="1"/>
  <c r="J591" i="1"/>
  <c r="K591" i="1" s="1"/>
  <c r="I590" i="1"/>
  <c r="J590" i="1"/>
  <c r="K590" i="1" s="1"/>
  <c r="I589" i="1"/>
  <c r="J589" i="1"/>
  <c r="K589" i="1"/>
  <c r="I588" i="1"/>
  <c r="J588" i="1" s="1"/>
  <c r="K588" i="1"/>
  <c r="I587" i="1"/>
  <c r="J587" i="1"/>
  <c r="K587" i="1" s="1"/>
  <c r="I586" i="1"/>
  <c r="J586" i="1"/>
  <c r="K586" i="1" s="1"/>
  <c r="I585" i="1"/>
  <c r="J585" i="1"/>
  <c r="K585" i="1"/>
  <c r="I867" i="1"/>
  <c r="J867" i="1" s="1"/>
  <c r="K867" i="1"/>
  <c r="I866" i="1"/>
  <c r="J866" i="1"/>
  <c r="K866" i="1" s="1"/>
  <c r="I865" i="1"/>
  <c r="J865" i="1"/>
  <c r="K865" i="1" s="1"/>
  <c r="I864" i="1"/>
  <c r="J864" i="1"/>
  <c r="K864" i="1"/>
  <c r="I863" i="1"/>
  <c r="J863" i="1" s="1"/>
  <c r="K863" i="1"/>
  <c r="I862" i="1"/>
  <c r="J862" i="1"/>
  <c r="K862" i="1" s="1"/>
  <c r="I861" i="1"/>
  <c r="J861" i="1"/>
  <c r="K861" i="1" s="1"/>
  <c r="I860" i="1"/>
  <c r="J860" i="1"/>
  <c r="K860" i="1"/>
  <c r="I859" i="1"/>
  <c r="J859" i="1" s="1"/>
  <c r="K859" i="1"/>
  <c r="I858" i="1"/>
  <c r="J858" i="1"/>
  <c r="K858" i="1" s="1"/>
  <c r="I857" i="1"/>
  <c r="J857" i="1"/>
  <c r="K857" i="1" s="1"/>
  <c r="I856" i="1"/>
  <c r="J856" i="1"/>
  <c r="K856" i="1"/>
  <c r="I855" i="1"/>
  <c r="J855" i="1" s="1"/>
  <c r="K855" i="1"/>
  <c r="I854" i="1"/>
  <c r="J854" i="1"/>
  <c r="K854" i="1" s="1"/>
  <c r="I853" i="1"/>
  <c r="J853" i="1"/>
  <c r="K853" i="1" s="1"/>
  <c r="I852" i="1"/>
  <c r="J852" i="1"/>
  <c r="K852" i="1"/>
  <c r="I851" i="1"/>
  <c r="J851" i="1" s="1"/>
  <c r="K851" i="1"/>
  <c r="I850" i="1"/>
  <c r="J850" i="1"/>
  <c r="K850" i="1" s="1"/>
  <c r="I849" i="1"/>
  <c r="J849" i="1"/>
  <c r="K849" i="1" s="1"/>
  <c r="I848" i="1"/>
  <c r="J848" i="1"/>
  <c r="K848" i="1"/>
  <c r="I847" i="1"/>
  <c r="J847" i="1" s="1"/>
  <c r="K847" i="1"/>
  <c r="I846" i="1"/>
  <c r="J846" i="1"/>
  <c r="K846" i="1" s="1"/>
  <c r="I845" i="1"/>
  <c r="J845" i="1"/>
  <c r="K845" i="1" s="1"/>
  <c r="I844" i="1"/>
  <c r="J844" i="1"/>
  <c r="K844" i="1"/>
  <c r="I843" i="1"/>
  <c r="J843" i="1" s="1"/>
  <c r="K843" i="1"/>
  <c r="I842" i="1"/>
  <c r="J842" i="1"/>
  <c r="K842" i="1" s="1"/>
  <c r="I841" i="1"/>
  <c r="J841" i="1"/>
  <c r="K841" i="1" s="1"/>
  <c r="I840" i="1"/>
  <c r="J840" i="1"/>
  <c r="K840" i="1"/>
  <c r="I839" i="1"/>
  <c r="J839" i="1" s="1"/>
  <c r="K839" i="1"/>
  <c r="I838" i="1"/>
  <c r="J838" i="1"/>
  <c r="K838" i="1" s="1"/>
  <c r="I837" i="1"/>
  <c r="J837" i="1"/>
  <c r="K837" i="1" s="1"/>
  <c r="I836" i="1"/>
  <c r="J836" i="1"/>
  <c r="K836" i="1"/>
  <c r="I835" i="1"/>
  <c r="J835" i="1" s="1"/>
  <c r="K835" i="1"/>
  <c r="I834" i="1"/>
  <c r="J834" i="1"/>
  <c r="K834" i="1" s="1"/>
  <c r="I833" i="1"/>
  <c r="J833" i="1"/>
  <c r="K833" i="1" s="1"/>
  <c r="I832" i="1"/>
  <c r="J832" i="1"/>
  <c r="K832" i="1"/>
  <c r="I831" i="1"/>
  <c r="J831" i="1" s="1"/>
  <c r="K831" i="1"/>
  <c r="I830" i="1"/>
  <c r="J830" i="1"/>
  <c r="K830" i="1" s="1"/>
  <c r="I829" i="1"/>
  <c r="J829" i="1"/>
  <c r="K829" i="1" s="1"/>
  <c r="I828" i="1"/>
  <c r="J828" i="1"/>
  <c r="K828" i="1"/>
  <c r="I1248" i="1"/>
  <c r="J1248" i="1" s="1"/>
  <c r="K1248" i="1"/>
  <c r="I1247" i="1"/>
  <c r="J1247" i="1"/>
  <c r="K1247" i="1" s="1"/>
  <c r="I1246" i="1"/>
  <c r="J1246" i="1" s="1"/>
  <c r="K1246" i="1" s="1"/>
  <c r="I1245" i="1"/>
  <c r="J1245" i="1"/>
  <c r="K1245" i="1" s="1"/>
  <c r="I1244" i="1"/>
  <c r="J1244" i="1" s="1"/>
  <c r="K1244" i="1" s="1"/>
  <c r="I1243" i="1"/>
  <c r="J1243" i="1"/>
  <c r="K1243" i="1" s="1"/>
  <c r="I1242" i="1"/>
  <c r="J1242" i="1" s="1"/>
  <c r="K1242" i="1" s="1"/>
  <c r="I1241" i="1"/>
  <c r="J1241" i="1"/>
  <c r="K1241" i="1" s="1"/>
  <c r="I1240" i="1"/>
  <c r="J1240" i="1" s="1"/>
  <c r="K1240" i="1" s="1"/>
  <c r="I1239" i="1"/>
  <c r="J1239" i="1"/>
  <c r="K1239" i="1" s="1"/>
  <c r="I1238" i="1"/>
  <c r="J1238" i="1" s="1"/>
  <c r="K1238" i="1" s="1"/>
  <c r="I1237" i="1"/>
  <c r="J1237" i="1"/>
  <c r="K1237" i="1" s="1"/>
  <c r="I1236" i="1"/>
  <c r="J1236" i="1" s="1"/>
  <c r="K1236" i="1" s="1"/>
  <c r="I1235" i="1"/>
  <c r="J1235" i="1"/>
  <c r="K1235" i="1" s="1"/>
  <c r="I1234" i="1"/>
  <c r="J1234" i="1" s="1"/>
  <c r="K1234" i="1" s="1"/>
  <c r="I1233" i="1"/>
  <c r="J1233" i="1"/>
  <c r="K1233" i="1" s="1"/>
  <c r="I1232" i="1"/>
  <c r="J1232" i="1" s="1"/>
  <c r="K1232" i="1" s="1"/>
  <c r="I1231" i="1"/>
  <c r="J1231" i="1"/>
  <c r="K1231" i="1" s="1"/>
  <c r="I1230" i="1"/>
  <c r="J1230" i="1" s="1"/>
  <c r="K1230" i="1" s="1"/>
  <c r="I1229" i="1"/>
  <c r="J1229" i="1"/>
  <c r="K1229" i="1" s="1"/>
  <c r="I1228" i="1"/>
  <c r="J1228" i="1" s="1"/>
  <c r="K1228" i="1" s="1"/>
  <c r="I1227" i="1"/>
  <c r="J1227" i="1"/>
  <c r="K1227" i="1" s="1"/>
  <c r="I1226" i="1"/>
  <c r="J1226" i="1" s="1"/>
  <c r="K1226" i="1" s="1"/>
  <c r="I1225" i="1"/>
  <c r="J1225" i="1"/>
  <c r="K1225" i="1" s="1"/>
  <c r="I1224" i="1"/>
  <c r="J1224" i="1" s="1"/>
  <c r="K1224" i="1" s="1"/>
  <c r="I1223" i="1"/>
  <c r="J1223" i="1"/>
  <c r="K1223" i="1" s="1"/>
  <c r="I1222" i="1"/>
  <c r="J1222" i="1" s="1"/>
  <c r="K1222" i="1" s="1"/>
  <c r="I1221" i="1"/>
  <c r="J1221" i="1"/>
  <c r="K1221" i="1" s="1"/>
  <c r="I1220" i="1"/>
  <c r="J1220" i="1" s="1"/>
  <c r="K1220" i="1" s="1"/>
  <c r="I1219" i="1"/>
  <c r="J1219" i="1"/>
  <c r="K1219" i="1" s="1"/>
  <c r="I1218" i="1"/>
  <c r="J1218" i="1" s="1"/>
  <c r="K1218" i="1" s="1"/>
  <c r="I1217" i="1"/>
  <c r="J1217" i="1"/>
  <c r="K1217" i="1" s="1"/>
  <c r="I1216" i="1"/>
  <c r="J1216" i="1" s="1"/>
  <c r="K1216" i="1" s="1"/>
  <c r="I1215" i="1"/>
  <c r="J1215" i="1"/>
  <c r="K1215" i="1" s="1"/>
  <c r="I1214" i="1"/>
  <c r="J1214" i="1" s="1"/>
  <c r="K1214" i="1" s="1"/>
  <c r="I1213" i="1"/>
  <c r="J1213" i="1"/>
  <c r="K1213" i="1" s="1"/>
  <c r="I1212" i="1"/>
  <c r="J1212" i="1" s="1"/>
  <c r="K1212" i="1" s="1"/>
  <c r="I1211" i="1"/>
  <c r="J1211" i="1"/>
  <c r="K1211" i="1" s="1"/>
  <c r="I1210" i="1"/>
  <c r="J1210" i="1" s="1"/>
  <c r="K1210" i="1" s="1"/>
  <c r="I1209" i="1"/>
  <c r="J1209" i="1"/>
  <c r="K1209" i="1" s="1"/>
  <c r="I1208" i="1"/>
  <c r="J1208" i="1" s="1"/>
  <c r="K1208" i="1" s="1"/>
  <c r="I1207" i="1"/>
  <c r="J1207" i="1"/>
  <c r="K1207" i="1" s="1"/>
  <c r="I1206" i="1"/>
  <c r="J1206" i="1" s="1"/>
  <c r="K1206" i="1" s="1"/>
  <c r="I1205" i="1"/>
  <c r="J1205" i="1"/>
  <c r="K1205" i="1" s="1"/>
  <c r="I1204" i="1"/>
  <c r="J1204" i="1" s="1"/>
  <c r="K1204" i="1" s="1"/>
  <c r="I1203" i="1"/>
  <c r="J1203" i="1"/>
  <c r="K1203" i="1" s="1"/>
  <c r="I1202" i="1"/>
  <c r="J1202" i="1" s="1"/>
  <c r="K1202" i="1"/>
  <c r="I1201" i="1"/>
  <c r="J1201" i="1" s="1"/>
  <c r="K1201" i="1" s="1"/>
  <c r="I1200" i="1"/>
  <c r="J1200" i="1"/>
  <c r="K1200" i="1"/>
  <c r="I1199" i="1"/>
  <c r="J1199" i="1"/>
  <c r="K1199" i="1"/>
  <c r="I1198" i="1"/>
  <c r="J1198" i="1" s="1"/>
  <c r="K1198" i="1" s="1"/>
  <c r="I1197" i="1"/>
  <c r="J1197" i="1"/>
  <c r="K1197" i="1" s="1"/>
  <c r="I1196" i="1"/>
  <c r="J1196" i="1" s="1"/>
  <c r="K1196" i="1" s="1"/>
  <c r="I1195" i="1"/>
  <c r="J1195" i="1"/>
  <c r="K1195" i="1" s="1"/>
  <c r="I1194" i="1"/>
  <c r="J1194" i="1" s="1"/>
  <c r="K1194" i="1"/>
  <c r="I1193" i="1"/>
  <c r="J1193" i="1" s="1"/>
  <c r="K1193" i="1" s="1"/>
  <c r="I1192" i="1"/>
  <c r="J1192" i="1"/>
  <c r="K1192" i="1"/>
  <c r="I1191" i="1"/>
  <c r="J1191" i="1"/>
  <c r="K1191" i="1"/>
  <c r="I1190" i="1"/>
  <c r="J1190" i="1" s="1"/>
  <c r="K1190" i="1" s="1"/>
  <c r="I1189" i="1"/>
  <c r="J1189" i="1"/>
  <c r="K1189" i="1" s="1"/>
  <c r="I1188" i="1"/>
  <c r="J1188" i="1" s="1"/>
  <c r="K1188" i="1" s="1"/>
  <c r="I118" i="1"/>
  <c r="J118" i="1"/>
  <c r="K118" i="1" s="1"/>
  <c r="I117" i="1"/>
  <c r="J117" i="1" s="1"/>
  <c r="K117" i="1"/>
  <c r="I116" i="1"/>
  <c r="J116" i="1" s="1"/>
  <c r="K116" i="1" s="1"/>
  <c r="I115" i="1"/>
  <c r="J115" i="1"/>
  <c r="K115" i="1"/>
  <c r="I114" i="1"/>
  <c r="J114" i="1"/>
  <c r="K114" i="1"/>
  <c r="I113" i="1"/>
  <c r="J113" i="1" s="1"/>
  <c r="K113" i="1" s="1"/>
  <c r="I112" i="1"/>
  <c r="J112" i="1"/>
  <c r="K112" i="1" s="1"/>
  <c r="I111" i="1"/>
  <c r="J111" i="1" s="1"/>
  <c r="K111" i="1" s="1"/>
  <c r="I110" i="1"/>
  <c r="J110" i="1"/>
  <c r="K110" i="1" s="1"/>
  <c r="I109" i="1"/>
  <c r="J109" i="1" s="1"/>
  <c r="K109" i="1"/>
  <c r="I108" i="1"/>
  <c r="J108" i="1" s="1"/>
  <c r="K108" i="1" s="1"/>
  <c r="I107" i="1"/>
  <c r="J107" i="1"/>
  <c r="K107" i="1"/>
  <c r="I106" i="1"/>
  <c r="J106" i="1"/>
  <c r="K106" i="1"/>
  <c r="I105" i="1"/>
  <c r="J105" i="1" s="1"/>
  <c r="K105" i="1" s="1"/>
  <c r="I104" i="1"/>
  <c r="J104" i="1"/>
  <c r="K104" i="1" s="1"/>
  <c r="I103" i="1"/>
  <c r="J103" i="1" s="1"/>
  <c r="K103" i="1" s="1"/>
  <c r="I102" i="1"/>
  <c r="J102" i="1"/>
  <c r="K102" i="1" s="1"/>
  <c r="I101" i="1"/>
  <c r="J101" i="1" s="1"/>
  <c r="K101" i="1"/>
  <c r="I100" i="1"/>
  <c r="J100" i="1" s="1"/>
  <c r="K100" i="1" s="1"/>
  <c r="I99" i="1"/>
  <c r="J99" i="1"/>
  <c r="K99" i="1"/>
  <c r="I98" i="1"/>
  <c r="J98" i="1"/>
  <c r="K98" i="1"/>
  <c r="I97" i="1"/>
  <c r="J97" i="1" s="1"/>
  <c r="K97" i="1" s="1"/>
  <c r="I96" i="1"/>
  <c r="J96" i="1"/>
  <c r="K96" i="1" s="1"/>
  <c r="I95" i="1"/>
  <c r="J95" i="1" s="1"/>
  <c r="K95" i="1" s="1"/>
  <c r="I94" i="1"/>
  <c r="J94" i="1"/>
  <c r="K94" i="1" s="1"/>
  <c r="I93" i="1"/>
  <c r="J93" i="1" s="1"/>
  <c r="K93" i="1"/>
  <c r="I92" i="1"/>
  <c r="J92" i="1" s="1"/>
  <c r="K92" i="1" s="1"/>
  <c r="I91" i="1"/>
  <c r="J91" i="1"/>
  <c r="K91" i="1"/>
  <c r="I90" i="1"/>
  <c r="J90" i="1"/>
  <c r="K90" i="1"/>
  <c r="I89" i="1"/>
  <c r="J89" i="1" s="1"/>
  <c r="K89" i="1" s="1"/>
  <c r="I88" i="1"/>
  <c r="J88" i="1"/>
  <c r="K88" i="1" s="1"/>
  <c r="I87" i="1"/>
  <c r="J87" i="1" s="1"/>
  <c r="K87" i="1" s="1"/>
  <c r="I86" i="1"/>
  <c r="J86" i="1"/>
  <c r="K86" i="1" s="1"/>
  <c r="I85" i="1"/>
  <c r="J85" i="1" s="1"/>
  <c r="K85" i="1"/>
  <c r="I84" i="1"/>
  <c r="J84" i="1" s="1"/>
  <c r="K84" i="1" s="1"/>
  <c r="I83" i="1"/>
  <c r="J83" i="1"/>
  <c r="K83" i="1"/>
  <c r="I82" i="1"/>
  <c r="J82" i="1"/>
  <c r="K82" i="1"/>
  <c r="I81" i="1"/>
  <c r="J81" i="1" s="1"/>
  <c r="K81" i="1" s="1"/>
  <c r="I80" i="1"/>
  <c r="J80" i="1"/>
  <c r="K80" i="1" s="1"/>
  <c r="I79" i="1"/>
  <c r="J79" i="1" s="1"/>
  <c r="K79" i="1" s="1"/>
  <c r="I78" i="1"/>
  <c r="J78" i="1"/>
  <c r="K78" i="1" s="1"/>
  <c r="I77" i="1"/>
  <c r="J77" i="1" s="1"/>
  <c r="K77" i="1"/>
  <c r="I76" i="1"/>
  <c r="J76" i="1" s="1"/>
  <c r="K76" i="1" s="1"/>
  <c r="I75" i="1"/>
  <c r="J75" i="1"/>
  <c r="K75" i="1"/>
  <c r="I74" i="1"/>
  <c r="J74" i="1"/>
  <c r="K74" i="1"/>
  <c r="I73" i="1"/>
  <c r="J73" i="1" s="1"/>
  <c r="K73" i="1" s="1"/>
  <c r="I72" i="1"/>
  <c r="J72" i="1"/>
  <c r="K72" i="1" s="1"/>
  <c r="I71" i="1"/>
  <c r="J71" i="1" s="1"/>
  <c r="K71" i="1" s="1"/>
  <c r="I70" i="1"/>
  <c r="J70" i="1"/>
  <c r="K70" i="1" s="1"/>
  <c r="I69" i="1"/>
  <c r="J69" i="1" s="1"/>
  <c r="K69" i="1"/>
  <c r="I68" i="1"/>
  <c r="J68" i="1" s="1"/>
  <c r="K68" i="1" s="1"/>
  <c r="I67" i="1"/>
  <c r="J67" i="1"/>
  <c r="K67" i="1"/>
  <c r="I66" i="1"/>
  <c r="J66" i="1"/>
  <c r="K66" i="1"/>
  <c r="I65" i="1"/>
  <c r="J65" i="1" s="1"/>
  <c r="K65" i="1" s="1"/>
  <c r="I64" i="1"/>
  <c r="J64" i="1"/>
  <c r="K64" i="1" s="1"/>
  <c r="I63" i="1"/>
  <c r="J63" i="1" s="1"/>
  <c r="K63" i="1" s="1"/>
  <c r="I62" i="1"/>
  <c r="J62" i="1"/>
  <c r="K62" i="1" s="1"/>
  <c r="I61" i="1"/>
  <c r="J61" i="1" s="1"/>
  <c r="K61" i="1"/>
  <c r="I60" i="1"/>
  <c r="J60" i="1" s="1"/>
  <c r="K60" i="1" s="1"/>
  <c r="I59" i="1"/>
  <c r="J59" i="1"/>
  <c r="K59" i="1"/>
  <c r="I58" i="1"/>
  <c r="J58" i="1"/>
  <c r="K58" i="1"/>
  <c r="I57" i="1"/>
  <c r="J57" i="1" s="1"/>
  <c r="K57" i="1" s="1"/>
  <c r="I56" i="1"/>
  <c r="J56" i="1"/>
  <c r="K56" i="1" s="1"/>
  <c r="I55" i="1"/>
  <c r="J55" i="1" s="1"/>
  <c r="K55" i="1" s="1"/>
  <c r="I54" i="1"/>
  <c r="J54" i="1"/>
  <c r="K54" i="1" s="1"/>
  <c r="I53" i="1"/>
  <c r="J53" i="1" s="1"/>
  <c r="K53" i="1"/>
  <c r="I52" i="1"/>
  <c r="J52" i="1" s="1"/>
  <c r="K52" i="1" s="1"/>
  <c r="I51" i="1"/>
  <c r="J51" i="1"/>
  <c r="K51" i="1"/>
  <c r="I50" i="1"/>
  <c r="J50" i="1"/>
  <c r="K50" i="1"/>
  <c r="I154" i="1"/>
  <c r="J154" i="1" s="1"/>
  <c r="K154" i="1" s="1"/>
  <c r="I153" i="1"/>
  <c r="J153" i="1"/>
  <c r="K153" i="1" s="1"/>
  <c r="I152" i="1"/>
  <c r="J152" i="1" s="1"/>
  <c r="K152" i="1" s="1"/>
  <c r="I151" i="1"/>
  <c r="J151" i="1"/>
  <c r="K151" i="1" s="1"/>
  <c r="I150" i="1"/>
  <c r="J150" i="1" s="1"/>
  <c r="K150" i="1"/>
  <c r="I149" i="1"/>
  <c r="J149" i="1" s="1"/>
  <c r="K149" i="1" s="1"/>
  <c r="I148" i="1"/>
  <c r="J148" i="1"/>
  <c r="K148" i="1"/>
  <c r="I147" i="1"/>
  <c r="J147" i="1"/>
  <c r="K147" i="1"/>
  <c r="I146" i="1"/>
  <c r="J146" i="1" s="1"/>
  <c r="K146" i="1" s="1"/>
  <c r="I145" i="1"/>
  <c r="J145" i="1"/>
  <c r="K145" i="1" s="1"/>
  <c r="I144" i="1"/>
  <c r="J144" i="1" s="1"/>
  <c r="K144" i="1" s="1"/>
  <c r="I143" i="1"/>
  <c r="J143" i="1"/>
  <c r="K143" i="1" s="1"/>
  <c r="I142" i="1"/>
  <c r="J142" i="1" s="1"/>
  <c r="K142" i="1"/>
  <c r="I141" i="1"/>
  <c r="J141" i="1" s="1"/>
  <c r="K141" i="1" s="1"/>
  <c r="I140" i="1"/>
  <c r="J140" i="1"/>
  <c r="K140" i="1"/>
  <c r="I139" i="1"/>
  <c r="J139" i="1"/>
  <c r="K139" i="1"/>
  <c r="I138" i="1"/>
  <c r="J138" i="1" s="1"/>
  <c r="K138" i="1" s="1"/>
  <c r="I137" i="1"/>
  <c r="J137" i="1"/>
  <c r="K137" i="1" s="1"/>
  <c r="I136" i="1"/>
  <c r="J136" i="1" s="1"/>
  <c r="K136" i="1" s="1"/>
  <c r="I135" i="1"/>
  <c r="J135" i="1"/>
  <c r="K135" i="1" s="1"/>
  <c r="I134" i="1"/>
  <c r="J134" i="1" s="1"/>
  <c r="K134" i="1"/>
  <c r="I133" i="1"/>
  <c r="J133" i="1" s="1"/>
  <c r="K133" i="1" s="1"/>
  <c r="I132" i="1"/>
  <c r="J132" i="1"/>
  <c r="K132" i="1"/>
  <c r="I131" i="1"/>
  <c r="J131" i="1"/>
  <c r="K131" i="1"/>
  <c r="I130" i="1"/>
  <c r="J130" i="1" s="1"/>
  <c r="K130" i="1" s="1"/>
  <c r="I129" i="1"/>
  <c r="J129" i="1"/>
  <c r="K129" i="1" s="1"/>
  <c r="I128" i="1"/>
  <c r="J128" i="1" s="1"/>
  <c r="K128" i="1" s="1"/>
  <c r="I127" i="1"/>
  <c r="J127" i="1"/>
  <c r="K127" i="1" s="1"/>
  <c r="I126" i="1"/>
  <c r="J126" i="1" s="1"/>
  <c r="K126" i="1"/>
  <c r="I125" i="1"/>
  <c r="J125" i="1" s="1"/>
  <c r="K125" i="1" s="1"/>
  <c r="I124" i="1"/>
  <c r="J124" i="1"/>
  <c r="K124" i="1"/>
  <c r="I123" i="1"/>
  <c r="J123" i="1"/>
  <c r="K123" i="1"/>
  <c r="I122" i="1"/>
  <c r="J122" i="1" s="1"/>
  <c r="K122" i="1" s="1"/>
  <c r="I121" i="1"/>
  <c r="J121" i="1"/>
  <c r="K121" i="1" s="1"/>
  <c r="I120" i="1"/>
  <c r="J120" i="1" s="1"/>
  <c r="K120" i="1" s="1"/>
  <c r="I119" i="1"/>
  <c r="J119" i="1"/>
  <c r="K119" i="1" s="1"/>
  <c r="I242" i="1"/>
  <c r="J242" i="1" s="1"/>
  <c r="K242" i="1"/>
  <c r="I241" i="1"/>
  <c r="J241" i="1" s="1"/>
  <c r="K241" i="1" s="1"/>
  <c r="I240" i="1"/>
  <c r="J240" i="1"/>
  <c r="K240" i="1"/>
  <c r="I239" i="1"/>
  <c r="J239" i="1"/>
  <c r="K239" i="1"/>
  <c r="I238" i="1"/>
  <c r="J238" i="1" s="1"/>
  <c r="K238" i="1" s="1"/>
  <c r="I237" i="1"/>
  <c r="J237" i="1"/>
  <c r="K237" i="1" s="1"/>
  <c r="I236" i="1"/>
  <c r="J236" i="1" s="1"/>
  <c r="K236" i="1" s="1"/>
  <c r="I235" i="1"/>
  <c r="J235" i="1"/>
  <c r="K235" i="1" s="1"/>
  <c r="I234" i="1"/>
  <c r="J234" i="1" s="1"/>
  <c r="K234" i="1"/>
  <c r="I233" i="1"/>
  <c r="J233" i="1" s="1"/>
  <c r="K233" i="1" s="1"/>
  <c r="I232" i="1"/>
  <c r="J232" i="1"/>
  <c r="K232" i="1"/>
  <c r="I231" i="1"/>
  <c r="J231" i="1"/>
  <c r="K231" i="1"/>
  <c r="I230" i="1"/>
  <c r="J230" i="1" s="1"/>
  <c r="K230" i="1" s="1"/>
  <c r="I229" i="1"/>
  <c r="J229" i="1"/>
  <c r="K229" i="1" s="1"/>
  <c r="I228" i="1"/>
  <c r="J228" i="1" s="1"/>
  <c r="K228" i="1" s="1"/>
  <c r="I227" i="1"/>
  <c r="J227" i="1"/>
  <c r="K227" i="1" s="1"/>
  <c r="I226" i="1"/>
  <c r="J226" i="1" s="1"/>
  <c r="K226" i="1"/>
  <c r="I225" i="1"/>
  <c r="J225" i="1" s="1"/>
  <c r="K225" i="1" s="1"/>
  <c r="I224" i="1"/>
  <c r="J224" i="1"/>
  <c r="K224" i="1"/>
  <c r="I223" i="1"/>
  <c r="J223" i="1"/>
  <c r="K223" i="1"/>
  <c r="I222" i="1"/>
  <c r="J222" i="1" s="1"/>
  <c r="K222" i="1" s="1"/>
  <c r="I221" i="1"/>
  <c r="J221" i="1"/>
  <c r="K221" i="1" s="1"/>
  <c r="I220" i="1"/>
  <c r="J220" i="1" s="1"/>
  <c r="K220" i="1" s="1"/>
  <c r="I219" i="1"/>
  <c r="J219" i="1"/>
  <c r="K219" i="1" s="1"/>
  <c r="I218" i="1"/>
  <c r="J218" i="1" s="1"/>
  <c r="K218" i="1"/>
  <c r="I217" i="1"/>
  <c r="J217" i="1" s="1"/>
  <c r="K217" i="1" s="1"/>
  <c r="I216" i="1"/>
  <c r="J216" i="1"/>
  <c r="K216" i="1"/>
  <c r="I215" i="1"/>
  <c r="J215" i="1"/>
  <c r="K215" i="1"/>
  <c r="I214" i="1"/>
  <c r="J214" i="1" s="1"/>
  <c r="K214" i="1" s="1"/>
  <c r="I213" i="1"/>
  <c r="J213" i="1"/>
  <c r="K213" i="1" s="1"/>
  <c r="I212" i="1"/>
  <c r="J212" i="1" s="1"/>
  <c r="K212" i="1" s="1"/>
  <c r="I211" i="1"/>
  <c r="J211" i="1"/>
  <c r="K211" i="1" s="1"/>
  <c r="I210" i="1"/>
  <c r="J210" i="1" s="1"/>
  <c r="K210" i="1"/>
  <c r="I209" i="1"/>
  <c r="J209" i="1" s="1"/>
  <c r="K209" i="1" s="1"/>
  <c r="I208" i="1"/>
  <c r="J208" i="1"/>
  <c r="K208" i="1"/>
  <c r="I207" i="1"/>
  <c r="J207" i="1"/>
  <c r="K207" i="1"/>
  <c r="I206" i="1"/>
  <c r="J206" i="1" s="1"/>
  <c r="K206" i="1" s="1"/>
  <c r="I205" i="1"/>
  <c r="J205" i="1"/>
  <c r="K205" i="1" s="1"/>
  <c r="I204" i="1"/>
  <c r="J204" i="1" s="1"/>
  <c r="K204" i="1" s="1"/>
  <c r="I203" i="1"/>
  <c r="J203" i="1"/>
  <c r="K203" i="1" s="1"/>
  <c r="I202" i="1"/>
  <c r="J202" i="1" s="1"/>
  <c r="K202" i="1"/>
  <c r="I201" i="1"/>
  <c r="J201" i="1" s="1"/>
  <c r="K201" i="1" s="1"/>
  <c r="I49" i="1"/>
  <c r="J49" i="1"/>
  <c r="K49" i="1"/>
  <c r="I48" i="1"/>
  <c r="J48" i="1"/>
  <c r="K48" i="1"/>
  <c r="I47" i="1"/>
  <c r="J47" i="1" s="1"/>
  <c r="K47" i="1" s="1"/>
  <c r="I46" i="1"/>
  <c r="J46" i="1"/>
  <c r="K46" i="1" s="1"/>
  <c r="I45" i="1"/>
  <c r="J45" i="1" s="1"/>
  <c r="K45" i="1" s="1"/>
  <c r="I44" i="1"/>
  <c r="J44" i="1"/>
  <c r="K44" i="1" s="1"/>
  <c r="I43" i="1"/>
  <c r="J43" i="1"/>
  <c r="K43" i="1"/>
  <c r="I42" i="1"/>
  <c r="J42" i="1" s="1"/>
  <c r="K42" i="1" s="1"/>
  <c r="I41" i="1"/>
  <c r="J41" i="1" s="1"/>
  <c r="K41" i="1" s="1"/>
  <c r="I40" i="1"/>
  <c r="J40" i="1"/>
  <c r="K40" i="1" s="1"/>
  <c r="I39" i="1"/>
  <c r="J39" i="1"/>
  <c r="K39" i="1"/>
  <c r="I38" i="1"/>
  <c r="J38" i="1" s="1"/>
  <c r="K38" i="1" s="1"/>
  <c r="I37" i="1"/>
  <c r="J37" i="1" s="1"/>
  <c r="K37" i="1" s="1"/>
  <c r="I36" i="1"/>
  <c r="J36" i="1"/>
  <c r="K36" i="1" s="1"/>
  <c r="I35" i="1"/>
  <c r="J35" i="1"/>
  <c r="K35" i="1"/>
  <c r="I34" i="1"/>
  <c r="J34" i="1" s="1"/>
  <c r="K34" i="1" s="1"/>
  <c r="I33" i="1"/>
  <c r="J33" i="1" s="1"/>
  <c r="K33" i="1" s="1"/>
  <c r="I32" i="1"/>
  <c r="J32" i="1"/>
  <c r="K32" i="1" s="1"/>
  <c r="I31" i="1"/>
  <c r="J31" i="1"/>
  <c r="K31" i="1"/>
  <c r="I30" i="1"/>
  <c r="J30" i="1" s="1"/>
  <c r="K30" i="1" s="1"/>
  <c r="I29" i="1"/>
  <c r="J29" i="1" s="1"/>
  <c r="K29" i="1" s="1"/>
  <c r="I28" i="1"/>
  <c r="J28" i="1"/>
  <c r="K28" i="1" s="1"/>
  <c r="I27" i="1"/>
  <c r="J27" i="1"/>
  <c r="K27" i="1"/>
  <c r="I26" i="1"/>
  <c r="J26" i="1" s="1"/>
  <c r="K26" i="1" s="1"/>
  <c r="I25" i="1"/>
  <c r="J25" i="1" s="1"/>
  <c r="K25" i="1" s="1"/>
  <c r="I24" i="1"/>
  <c r="J24" i="1"/>
  <c r="K24" i="1" s="1"/>
  <c r="I23" i="1"/>
  <c r="J23" i="1"/>
  <c r="K23" i="1"/>
  <c r="I22" i="1"/>
  <c r="J22" i="1" s="1"/>
  <c r="K22" i="1" s="1"/>
  <c r="I21" i="1"/>
  <c r="J21" i="1" s="1"/>
  <c r="K21" i="1" s="1"/>
  <c r="I20" i="1"/>
  <c r="J20" i="1"/>
  <c r="K20" i="1" s="1"/>
  <c r="I19" i="1"/>
  <c r="J19" i="1"/>
  <c r="K19" i="1"/>
  <c r="I18" i="1"/>
  <c r="J18" i="1" s="1"/>
  <c r="K18" i="1" s="1"/>
  <c r="I17" i="1"/>
  <c r="J17" i="1" s="1"/>
  <c r="K17" i="1" s="1"/>
  <c r="I16" i="1"/>
  <c r="J16" i="1"/>
  <c r="K16" i="1" s="1"/>
  <c r="I15" i="1"/>
  <c r="J15" i="1"/>
  <c r="K15" i="1"/>
  <c r="I14" i="1"/>
  <c r="J14" i="1" s="1"/>
  <c r="K14" i="1" s="1"/>
  <c r="I13" i="1"/>
  <c r="J13" i="1" s="1"/>
  <c r="K13" i="1" s="1"/>
  <c r="I12" i="1"/>
  <c r="J12" i="1"/>
  <c r="K12" i="1" s="1"/>
  <c r="I11" i="1"/>
  <c r="J11" i="1"/>
  <c r="K11" i="1"/>
  <c r="I10" i="1"/>
  <c r="J10" i="1" s="1"/>
  <c r="K10" i="1" s="1"/>
  <c r="I9" i="1"/>
  <c r="J9" i="1" s="1"/>
  <c r="K9" i="1" s="1"/>
  <c r="I8" i="1"/>
  <c r="J8" i="1"/>
  <c r="K8" i="1" s="1"/>
  <c r="I7" i="1"/>
  <c r="J7" i="1"/>
  <c r="K7" i="1"/>
  <c r="I714" i="1"/>
  <c r="J714" i="1" s="1"/>
  <c r="K714" i="1" s="1"/>
  <c r="I713" i="1"/>
  <c r="J713" i="1" s="1"/>
  <c r="K713" i="1" s="1"/>
  <c r="I712" i="1"/>
  <c r="J712" i="1"/>
  <c r="K712" i="1" s="1"/>
  <c r="I711" i="1"/>
  <c r="J711" i="1"/>
  <c r="K711" i="1"/>
  <c r="I710" i="1"/>
  <c r="J710" i="1" s="1"/>
  <c r="K710" i="1" s="1"/>
  <c r="I709" i="1"/>
  <c r="J709" i="1" s="1"/>
  <c r="K709" i="1" s="1"/>
  <c r="I708" i="1"/>
  <c r="J708" i="1"/>
  <c r="K708" i="1" s="1"/>
  <c r="I707" i="1"/>
  <c r="J707" i="1"/>
  <c r="K707" i="1"/>
  <c r="I706" i="1"/>
  <c r="J706" i="1" s="1"/>
  <c r="K706" i="1" s="1"/>
  <c r="I705" i="1"/>
  <c r="J705" i="1" s="1"/>
  <c r="K705" i="1" s="1"/>
  <c r="I704" i="1"/>
  <c r="J704" i="1"/>
  <c r="K704" i="1" s="1"/>
  <c r="I703" i="1"/>
  <c r="J703" i="1"/>
  <c r="K703" i="1"/>
  <c r="I702" i="1"/>
  <c r="J702" i="1" s="1"/>
  <c r="K702" i="1" s="1"/>
  <c r="I701" i="1"/>
  <c r="J701" i="1" s="1"/>
  <c r="K701" i="1" s="1"/>
  <c r="I700" i="1"/>
  <c r="J700" i="1"/>
  <c r="K700" i="1" s="1"/>
  <c r="I699" i="1"/>
  <c r="J699" i="1"/>
  <c r="K699" i="1"/>
  <c r="I698" i="1"/>
  <c r="J698" i="1" s="1"/>
  <c r="K698" i="1" s="1"/>
  <c r="I697" i="1"/>
  <c r="J697" i="1" s="1"/>
  <c r="K697" i="1" s="1"/>
  <c r="I696" i="1"/>
  <c r="J696" i="1"/>
  <c r="K696" i="1" s="1"/>
  <c r="I695" i="1"/>
  <c r="J695" i="1"/>
  <c r="K695" i="1"/>
  <c r="I694" i="1"/>
  <c r="J694" i="1" s="1"/>
  <c r="K694" i="1" s="1"/>
  <c r="I542" i="1"/>
  <c r="J542" i="1" s="1"/>
  <c r="I541" i="1"/>
  <c r="J541" i="1"/>
  <c r="I540" i="1"/>
  <c r="J540" i="1" s="1"/>
  <c r="I539" i="1"/>
  <c r="J539" i="1"/>
  <c r="I538" i="1"/>
  <c r="J538" i="1" s="1"/>
  <c r="I537" i="1"/>
  <c r="J537" i="1"/>
  <c r="I536" i="1"/>
  <c r="J536" i="1" s="1"/>
  <c r="I535" i="1"/>
  <c r="J535" i="1"/>
  <c r="I534" i="1"/>
  <c r="J534" i="1" s="1"/>
  <c r="I533" i="1"/>
  <c r="J533" i="1"/>
  <c r="I532" i="1"/>
  <c r="J532" i="1" s="1"/>
  <c r="I531" i="1"/>
  <c r="J531" i="1"/>
  <c r="I530" i="1"/>
  <c r="J530" i="1" s="1"/>
  <c r="I529" i="1"/>
  <c r="J529" i="1"/>
  <c r="I528" i="1"/>
  <c r="J528" i="1" s="1"/>
  <c r="I527" i="1"/>
  <c r="J527" i="1"/>
  <c r="I526" i="1"/>
  <c r="J526" i="1" s="1"/>
  <c r="I525" i="1"/>
  <c r="J525" i="1"/>
  <c r="I524" i="1"/>
  <c r="J524" i="1" s="1"/>
  <c r="I523" i="1"/>
  <c r="J523" i="1"/>
  <c r="I522" i="1"/>
  <c r="J522" i="1" s="1"/>
  <c r="I521" i="1"/>
  <c r="J521" i="1"/>
  <c r="I520" i="1"/>
  <c r="J520" i="1" s="1"/>
  <c r="I519" i="1"/>
  <c r="J519" i="1"/>
  <c r="I518" i="1"/>
  <c r="J518" i="1" s="1"/>
  <c r="I517" i="1"/>
  <c r="J517" i="1"/>
  <c r="I516" i="1"/>
  <c r="J516" i="1" s="1"/>
  <c r="I515" i="1"/>
  <c r="J515" i="1"/>
  <c r="I514" i="1"/>
  <c r="J514" i="1" s="1"/>
  <c r="I513" i="1"/>
  <c r="J513" i="1"/>
  <c r="I512" i="1"/>
  <c r="J512" i="1" s="1"/>
  <c r="I511" i="1"/>
  <c r="J511" i="1"/>
  <c r="I637" i="1"/>
  <c r="J637" i="1" s="1"/>
  <c r="I636" i="1"/>
  <c r="J636" i="1"/>
  <c r="I635" i="1"/>
  <c r="J635" i="1" s="1"/>
  <c r="I634" i="1"/>
  <c r="J634" i="1"/>
  <c r="I633" i="1"/>
  <c r="J633" i="1" s="1"/>
  <c r="I632" i="1"/>
  <c r="J632" i="1"/>
  <c r="I631" i="1"/>
  <c r="J631" i="1" s="1"/>
  <c r="I630" i="1"/>
  <c r="J630" i="1"/>
  <c r="I629" i="1"/>
  <c r="J629" i="1" s="1"/>
  <c r="I628" i="1"/>
  <c r="J628" i="1"/>
  <c r="I627" i="1"/>
  <c r="J627" i="1" s="1"/>
  <c r="I626" i="1"/>
  <c r="J626" i="1"/>
  <c r="I625" i="1"/>
  <c r="J625" i="1" s="1"/>
  <c r="I624" i="1"/>
  <c r="J624" i="1"/>
  <c r="I623" i="1"/>
  <c r="J623" i="1" s="1"/>
  <c r="I622" i="1"/>
  <c r="J622" i="1"/>
  <c r="I621" i="1"/>
  <c r="J621" i="1" s="1"/>
  <c r="I620" i="1"/>
  <c r="J620" i="1"/>
  <c r="I619" i="1"/>
  <c r="J619" i="1" s="1"/>
  <c r="I618" i="1"/>
  <c r="J618" i="1"/>
  <c r="I617" i="1"/>
  <c r="J617" i="1" s="1"/>
  <c r="I616" i="1"/>
  <c r="J616" i="1"/>
  <c r="I615" i="1"/>
  <c r="J615" i="1" s="1"/>
  <c r="I614" i="1"/>
  <c r="J614" i="1"/>
  <c r="I613" i="1"/>
  <c r="J613" i="1" s="1"/>
  <c r="I612" i="1"/>
  <c r="J612" i="1"/>
  <c r="I611" i="1"/>
  <c r="J611" i="1" s="1"/>
  <c r="I610" i="1"/>
  <c r="J610" i="1"/>
  <c r="I961" i="1"/>
  <c r="J961" i="1" s="1"/>
  <c r="K961" i="1" s="1"/>
  <c r="I960" i="1"/>
  <c r="J960" i="1"/>
  <c r="K960" i="1" s="1"/>
  <c r="I959" i="1"/>
  <c r="J959" i="1"/>
  <c r="K959" i="1"/>
  <c r="I958" i="1"/>
  <c r="J958" i="1" s="1"/>
  <c r="K958" i="1" s="1"/>
  <c r="I957" i="1"/>
  <c r="J957" i="1" s="1"/>
  <c r="K957" i="1" s="1"/>
  <c r="I956" i="1"/>
  <c r="J956" i="1"/>
  <c r="K956" i="1" s="1"/>
  <c r="I955" i="1"/>
  <c r="J955" i="1"/>
  <c r="K955" i="1"/>
  <c r="I954" i="1"/>
  <c r="J954" i="1" s="1"/>
  <c r="K954" i="1" s="1"/>
  <c r="I953" i="1"/>
  <c r="J953" i="1" s="1"/>
  <c r="K953" i="1" s="1"/>
  <c r="I952" i="1"/>
  <c r="J952" i="1"/>
  <c r="K952" i="1" s="1"/>
  <c r="I951" i="1"/>
  <c r="J951" i="1"/>
  <c r="K951" i="1"/>
  <c r="I950" i="1"/>
  <c r="J950" i="1"/>
  <c r="K950" i="1"/>
  <c r="I949" i="1"/>
  <c r="J949" i="1" s="1"/>
  <c r="K949" i="1" s="1"/>
  <c r="I948" i="1"/>
  <c r="J948" i="1"/>
  <c r="K948" i="1" s="1"/>
  <c r="I947" i="1"/>
  <c r="J947" i="1"/>
  <c r="K947" i="1"/>
  <c r="I946" i="1"/>
  <c r="J946" i="1" s="1"/>
  <c r="K946" i="1" s="1"/>
  <c r="I945" i="1"/>
  <c r="J945" i="1" s="1"/>
  <c r="K945" i="1" s="1"/>
  <c r="I944" i="1"/>
  <c r="J944" i="1"/>
  <c r="K944" i="1" s="1"/>
  <c r="I943" i="1"/>
  <c r="J943" i="1"/>
  <c r="K943" i="1"/>
  <c r="I942" i="1"/>
  <c r="J942" i="1" s="1"/>
  <c r="K942" i="1" s="1"/>
  <c r="I941" i="1"/>
  <c r="J941" i="1" s="1"/>
  <c r="K941" i="1" s="1"/>
  <c r="I940" i="1"/>
  <c r="J940" i="1"/>
  <c r="K940" i="1" s="1"/>
  <c r="I939" i="1"/>
  <c r="J939" i="1"/>
  <c r="K939" i="1"/>
  <c r="I938" i="1"/>
  <c r="J938" i="1" s="1"/>
  <c r="K938" i="1" s="1"/>
  <c r="I937" i="1"/>
  <c r="J937" i="1" s="1"/>
  <c r="K937" i="1" s="1"/>
  <c r="I936" i="1"/>
  <c r="J936" i="1"/>
  <c r="K936" i="1" s="1"/>
  <c r="I935" i="1"/>
  <c r="J935" i="1"/>
  <c r="K935" i="1"/>
  <c r="I934" i="1"/>
  <c r="J934" i="1" s="1"/>
  <c r="K934" i="1" s="1"/>
  <c r="I933" i="1"/>
  <c r="J933" i="1" s="1"/>
  <c r="K933" i="1" s="1"/>
  <c r="I932" i="1"/>
  <c r="J932" i="1"/>
  <c r="K932" i="1" s="1"/>
  <c r="I931" i="1"/>
  <c r="J931" i="1"/>
  <c r="K931" i="1"/>
  <c r="I930" i="1"/>
  <c r="J930" i="1" s="1"/>
  <c r="K930" i="1" s="1"/>
  <c r="I929" i="1"/>
  <c r="J929" i="1" s="1"/>
  <c r="K929" i="1" s="1"/>
  <c r="I928" i="1"/>
  <c r="J928" i="1"/>
  <c r="K928" i="1" s="1"/>
  <c r="I927" i="1"/>
  <c r="J927" i="1"/>
  <c r="K927" i="1"/>
  <c r="I926" i="1"/>
  <c r="J926" i="1" s="1"/>
  <c r="K926" i="1" s="1"/>
  <c r="I925" i="1"/>
  <c r="J925" i="1" s="1"/>
  <c r="K925" i="1" s="1"/>
  <c r="I924" i="1"/>
  <c r="J924" i="1"/>
  <c r="K924" i="1" s="1"/>
  <c r="I923" i="1"/>
  <c r="J923" i="1"/>
  <c r="K923" i="1"/>
  <c r="I922" i="1"/>
  <c r="J922" i="1" s="1"/>
  <c r="K922" i="1" s="1"/>
  <c r="I921" i="1"/>
  <c r="J921" i="1" s="1"/>
  <c r="K921" i="1" s="1"/>
  <c r="I920" i="1"/>
  <c r="J920" i="1"/>
  <c r="K920" i="1" s="1"/>
  <c r="I919" i="1"/>
  <c r="J919" i="1"/>
  <c r="K919" i="1"/>
  <c r="I918" i="1"/>
  <c r="J918" i="1" s="1"/>
  <c r="K918" i="1" s="1"/>
  <c r="I917" i="1"/>
  <c r="J917" i="1" s="1"/>
  <c r="K917" i="1" s="1"/>
  <c r="I916" i="1"/>
  <c r="J916" i="1"/>
  <c r="K916" i="1" s="1"/>
  <c r="I915" i="1"/>
  <c r="J915" i="1"/>
  <c r="K915" i="1"/>
  <c r="I914" i="1"/>
  <c r="J914" i="1" s="1"/>
  <c r="K914" i="1" s="1"/>
  <c r="I913" i="1"/>
  <c r="J913" i="1" s="1"/>
  <c r="K913" i="1" s="1"/>
  <c r="I912" i="1"/>
  <c r="J912" i="1"/>
  <c r="K912" i="1" s="1"/>
  <c r="I911" i="1"/>
  <c r="J911" i="1"/>
  <c r="K911" i="1"/>
  <c r="I910" i="1"/>
  <c r="J910" i="1" s="1"/>
  <c r="K910" i="1" s="1"/>
  <c r="I909" i="1"/>
  <c r="J909" i="1" s="1"/>
  <c r="K909" i="1" s="1"/>
  <c r="I908" i="1"/>
  <c r="J908" i="1"/>
  <c r="K908" i="1" s="1"/>
  <c r="I907" i="1"/>
  <c r="J907" i="1"/>
  <c r="K907" i="1"/>
  <c r="I906" i="1"/>
  <c r="J906" i="1" s="1"/>
  <c r="K906" i="1" s="1"/>
  <c r="I905" i="1"/>
  <c r="J905" i="1" s="1"/>
  <c r="K905" i="1" s="1"/>
  <c r="I904" i="1"/>
  <c r="J904" i="1"/>
  <c r="K904" i="1" s="1"/>
  <c r="I903" i="1"/>
  <c r="J903" i="1"/>
  <c r="K903" i="1"/>
  <c r="I777" i="1"/>
  <c r="J777" i="1" s="1"/>
  <c r="K777" i="1" s="1"/>
  <c r="I776" i="1"/>
  <c r="J776" i="1" s="1"/>
  <c r="K776" i="1" s="1"/>
  <c r="I775" i="1"/>
  <c r="J775" i="1"/>
  <c r="K775" i="1" s="1"/>
  <c r="I774" i="1"/>
  <c r="J774" i="1"/>
  <c r="K774" i="1"/>
  <c r="I773" i="1"/>
  <c r="J773" i="1" s="1"/>
  <c r="K773" i="1" s="1"/>
  <c r="I772" i="1"/>
  <c r="J772" i="1" s="1"/>
  <c r="K772" i="1" s="1"/>
  <c r="I771" i="1"/>
  <c r="J771" i="1"/>
  <c r="K771" i="1" s="1"/>
  <c r="I770" i="1"/>
  <c r="J770" i="1"/>
  <c r="K770" i="1"/>
  <c r="I769" i="1"/>
  <c r="J769" i="1" s="1"/>
  <c r="K769" i="1" s="1"/>
  <c r="I768" i="1"/>
  <c r="J768" i="1" s="1"/>
  <c r="K768" i="1" s="1"/>
  <c r="I767" i="1"/>
  <c r="J767" i="1"/>
  <c r="K767" i="1" s="1"/>
  <c r="I766" i="1"/>
  <c r="J766" i="1"/>
  <c r="K766" i="1"/>
  <c r="I765" i="1"/>
  <c r="J765" i="1" s="1"/>
  <c r="K765" i="1" s="1"/>
  <c r="I764" i="1"/>
  <c r="J764" i="1" s="1"/>
  <c r="K764" i="1" s="1"/>
  <c r="I763" i="1"/>
  <c r="J763" i="1"/>
  <c r="K763" i="1" s="1"/>
  <c r="I762" i="1"/>
  <c r="J762" i="1"/>
  <c r="K762" i="1"/>
  <c r="I761" i="1"/>
  <c r="J761" i="1" s="1"/>
  <c r="K761" i="1" s="1"/>
  <c r="I760" i="1"/>
  <c r="J760" i="1" s="1"/>
  <c r="K760" i="1" s="1"/>
  <c r="I759" i="1"/>
  <c r="J759" i="1"/>
  <c r="K759" i="1" s="1"/>
  <c r="I758" i="1"/>
  <c r="J758" i="1"/>
  <c r="K758" i="1"/>
  <c r="I757" i="1"/>
  <c r="J757" i="1" s="1"/>
  <c r="K757" i="1" s="1"/>
  <c r="I756" i="1"/>
  <c r="J756" i="1" s="1"/>
  <c r="K756" i="1" s="1"/>
  <c r="I755" i="1"/>
  <c r="J755" i="1"/>
  <c r="K755" i="1" s="1"/>
  <c r="I754" i="1"/>
  <c r="J754" i="1"/>
  <c r="K754" i="1"/>
  <c r="I753" i="1"/>
  <c r="J753" i="1" s="1"/>
  <c r="K753" i="1" s="1"/>
  <c r="I752" i="1"/>
  <c r="J752" i="1" s="1"/>
  <c r="K752" i="1" s="1"/>
  <c r="I751" i="1"/>
  <c r="J751" i="1"/>
  <c r="K751" i="1" s="1"/>
  <c r="I750" i="1"/>
  <c r="J750" i="1"/>
  <c r="K750" i="1"/>
  <c r="I749" i="1"/>
  <c r="J749" i="1" s="1"/>
  <c r="K749" i="1" s="1"/>
  <c r="I748" i="1"/>
  <c r="J748" i="1" s="1"/>
  <c r="K748" i="1" s="1"/>
  <c r="I747" i="1"/>
  <c r="J747" i="1"/>
  <c r="K747" i="1" s="1"/>
  <c r="I746" i="1"/>
  <c r="J746" i="1"/>
  <c r="K746" i="1"/>
  <c r="I745" i="1"/>
  <c r="J745" i="1" s="1"/>
  <c r="K745" i="1" s="1"/>
  <c r="I744" i="1"/>
  <c r="J744" i="1" s="1"/>
  <c r="K744" i="1" s="1"/>
  <c r="I1093" i="1"/>
  <c r="J1093" i="1"/>
  <c r="I1092" i="1"/>
  <c r="J1092" i="1" s="1"/>
  <c r="I1091" i="1"/>
  <c r="J1091" i="1"/>
  <c r="I1090" i="1"/>
  <c r="J1090" i="1" s="1"/>
  <c r="I1089" i="1"/>
  <c r="J1089" i="1"/>
  <c r="I1088" i="1"/>
  <c r="J1088" i="1" s="1"/>
  <c r="I1087" i="1"/>
  <c r="J1087" i="1"/>
  <c r="I1086" i="1"/>
  <c r="J1086" i="1" s="1"/>
  <c r="I1085" i="1"/>
  <c r="J1085" i="1"/>
  <c r="I1084" i="1"/>
  <c r="J1084" i="1" s="1"/>
  <c r="I1083" i="1"/>
  <c r="J1083" i="1"/>
  <c r="I1082" i="1"/>
  <c r="J1082" i="1" s="1"/>
  <c r="I1081" i="1"/>
  <c r="J1081" i="1"/>
  <c r="I1080" i="1"/>
  <c r="J1080" i="1" s="1"/>
  <c r="I1079" i="1"/>
  <c r="J1079" i="1"/>
  <c r="I1078" i="1"/>
  <c r="J1078" i="1" s="1"/>
  <c r="I1077" i="1"/>
  <c r="J1077" i="1"/>
  <c r="I1076" i="1"/>
  <c r="J1076" i="1" s="1"/>
  <c r="I1075" i="1"/>
  <c r="J1075" i="1"/>
  <c r="I1074" i="1"/>
  <c r="J1074" i="1" s="1"/>
  <c r="I1073" i="1"/>
  <c r="J1073" i="1"/>
  <c r="I1072" i="1"/>
  <c r="J1072" i="1" s="1"/>
  <c r="I1071" i="1"/>
  <c r="J1071" i="1"/>
  <c r="I1070" i="1"/>
  <c r="J1070" i="1" s="1"/>
  <c r="I1069" i="1"/>
  <c r="J1069" i="1"/>
  <c r="I1068" i="1"/>
  <c r="J1068" i="1" s="1"/>
  <c r="I1067" i="1"/>
  <c r="J1067" i="1"/>
  <c r="I1066" i="1"/>
  <c r="J1066" i="1" s="1"/>
  <c r="I1065" i="1"/>
  <c r="J1065" i="1"/>
  <c r="I1064" i="1"/>
  <c r="J1064" i="1" s="1"/>
  <c r="I1063" i="1"/>
  <c r="J1063" i="1"/>
  <c r="I1062" i="1"/>
  <c r="J1062" i="1" s="1"/>
  <c r="I1061" i="1"/>
  <c r="J1061" i="1"/>
  <c r="I1060" i="1"/>
  <c r="J1060" i="1" s="1"/>
  <c r="I1059" i="1"/>
  <c r="J1059" i="1"/>
  <c r="I1058" i="1"/>
  <c r="J1058" i="1" s="1"/>
  <c r="I1057" i="1"/>
  <c r="J1057" i="1"/>
  <c r="I1056" i="1"/>
  <c r="J1056" i="1" s="1"/>
  <c r="I1055" i="1"/>
  <c r="J1055" i="1"/>
  <c r="I1054" i="1"/>
  <c r="J1054" i="1" s="1"/>
  <c r="I1053" i="1"/>
  <c r="J1053" i="1"/>
  <c r="I1052" i="1"/>
  <c r="J1052" i="1" s="1"/>
  <c r="I1051" i="1"/>
  <c r="J1051" i="1"/>
  <c r="I1050" i="1"/>
  <c r="J1050" i="1" s="1"/>
  <c r="I1049" i="1"/>
  <c r="J1049" i="1"/>
  <c r="I1048" i="1"/>
  <c r="J1048" i="1" s="1"/>
  <c r="I1121" i="1"/>
  <c r="J1121" i="1"/>
  <c r="K1121" i="1" s="1"/>
  <c r="I1120" i="1"/>
  <c r="J1120" i="1"/>
  <c r="K1120" i="1"/>
  <c r="I1119" i="1"/>
  <c r="J1119" i="1" s="1"/>
  <c r="K1119" i="1" s="1"/>
  <c r="I1118" i="1"/>
  <c r="J1118" i="1" s="1"/>
  <c r="K1118" i="1" s="1"/>
  <c r="I1117" i="1"/>
  <c r="J1117" i="1"/>
  <c r="K1117" i="1" s="1"/>
  <c r="I1116" i="1"/>
  <c r="J1116" i="1"/>
  <c r="K1116" i="1"/>
  <c r="I1115" i="1"/>
  <c r="J1115" i="1" s="1"/>
  <c r="K1115" i="1" s="1"/>
  <c r="I1114" i="1"/>
  <c r="J1114" i="1" s="1"/>
  <c r="K1114" i="1" s="1"/>
  <c r="I1113" i="1"/>
  <c r="J1113" i="1"/>
  <c r="K1113" i="1" s="1"/>
  <c r="I1112" i="1"/>
  <c r="J1112" i="1"/>
  <c r="K1112" i="1"/>
  <c r="I1111" i="1"/>
  <c r="J1111" i="1" s="1"/>
  <c r="K1111" i="1" s="1"/>
  <c r="I1110" i="1"/>
  <c r="J1110" i="1" s="1"/>
  <c r="K1110" i="1" s="1"/>
  <c r="I1109" i="1"/>
  <c r="J1109" i="1"/>
  <c r="K1109" i="1" s="1"/>
  <c r="I1108" i="1"/>
  <c r="J1108" i="1"/>
  <c r="K1108" i="1"/>
  <c r="I1107" i="1"/>
  <c r="J1107" i="1" s="1"/>
  <c r="K1107" i="1" s="1"/>
  <c r="I1106" i="1"/>
  <c r="J1106" i="1" s="1"/>
  <c r="K1106" i="1" s="1"/>
  <c r="I1105" i="1"/>
  <c r="J1105" i="1"/>
  <c r="K1105" i="1" s="1"/>
  <c r="I1104" i="1"/>
  <c r="J1104" i="1"/>
  <c r="K1104" i="1"/>
  <c r="I1103" i="1"/>
  <c r="J1103" i="1" s="1"/>
  <c r="K1103" i="1" s="1"/>
  <c r="I1102" i="1"/>
  <c r="J1102" i="1" s="1"/>
  <c r="K1102" i="1" s="1"/>
  <c r="I1101" i="1"/>
  <c r="J1101" i="1"/>
  <c r="K1101" i="1" s="1"/>
  <c r="I1100" i="1"/>
  <c r="J1100" i="1"/>
  <c r="K1100" i="1"/>
  <c r="I1099" i="1"/>
  <c r="J1099" i="1" s="1"/>
  <c r="K1099" i="1" s="1"/>
  <c r="I1098" i="1"/>
  <c r="J1098" i="1" s="1"/>
  <c r="K1098" i="1" s="1"/>
  <c r="I1097" i="1"/>
  <c r="J1097" i="1"/>
  <c r="K1097" i="1" s="1"/>
  <c r="I1096" i="1"/>
  <c r="J1096" i="1"/>
  <c r="K1096" i="1"/>
  <c r="I1095" i="1"/>
  <c r="J1095" i="1" s="1"/>
  <c r="K1095" i="1" s="1"/>
  <c r="I1094" i="1"/>
  <c r="J1094" i="1" s="1"/>
  <c r="K1094" i="1" s="1"/>
  <c r="I1046" i="1"/>
  <c r="J1046" i="1"/>
  <c r="I1045" i="1"/>
  <c r="J1045" i="1" s="1"/>
  <c r="I1044" i="1"/>
  <c r="J1044" i="1"/>
  <c r="I1043" i="1"/>
  <c r="J1043" i="1" s="1"/>
  <c r="I1042" i="1"/>
  <c r="J1042" i="1"/>
  <c r="I1041" i="1"/>
  <c r="J1041" i="1" s="1"/>
  <c r="I1040" i="1"/>
  <c r="J1040" i="1"/>
  <c r="I1039" i="1"/>
  <c r="J1039" i="1" s="1"/>
  <c r="I1038" i="1"/>
  <c r="J1038" i="1"/>
  <c r="I1037" i="1"/>
  <c r="J1037" i="1" s="1"/>
  <c r="I1036" i="1"/>
  <c r="J1036" i="1"/>
  <c r="I1035" i="1"/>
  <c r="J1035" i="1" s="1"/>
  <c r="I1034" i="1"/>
  <c r="J1034" i="1"/>
  <c r="I1033" i="1"/>
  <c r="J1033" i="1" s="1"/>
  <c r="I1031" i="1"/>
  <c r="J1031" i="1"/>
  <c r="I1030" i="1"/>
  <c r="J1030" i="1" s="1"/>
  <c r="I1029" i="1"/>
  <c r="J1029" i="1"/>
  <c r="I1028" i="1"/>
  <c r="J1028" i="1" s="1"/>
  <c r="I1027" i="1"/>
  <c r="J1027" i="1"/>
  <c r="I1026" i="1"/>
  <c r="J1026" i="1" s="1"/>
  <c r="I1025" i="1"/>
  <c r="J1025" i="1"/>
  <c r="I1024" i="1"/>
  <c r="J1024" i="1" s="1"/>
  <c r="I1023" i="1"/>
  <c r="J1023" i="1"/>
  <c r="I1022" i="1"/>
  <c r="J1022" i="1" s="1"/>
  <c r="I1021" i="1"/>
  <c r="J1021" i="1"/>
  <c r="I1020" i="1"/>
  <c r="J1020" i="1" s="1"/>
  <c r="I1019" i="1"/>
  <c r="J1019" i="1"/>
  <c r="I1006" i="1"/>
  <c r="J1006" i="1" s="1"/>
  <c r="I1007" i="1"/>
  <c r="J1007" i="1"/>
  <c r="I1008" i="1"/>
  <c r="J1008" i="1" s="1"/>
  <c r="I1009" i="1"/>
  <c r="J1009" i="1"/>
  <c r="I1010" i="1"/>
  <c r="J1010" i="1" s="1"/>
  <c r="I1011" i="1"/>
  <c r="J1011" i="1"/>
  <c r="I1012" i="1"/>
  <c r="J1012" i="1" s="1"/>
  <c r="I1013" i="1"/>
  <c r="J1013" i="1"/>
  <c r="I1014" i="1"/>
  <c r="J1014" i="1" s="1"/>
  <c r="I1015" i="1"/>
  <c r="J1015" i="1"/>
  <c r="I1016" i="1"/>
  <c r="J1016" i="1" s="1"/>
  <c r="I1017" i="1"/>
  <c r="J1017" i="1"/>
  <c r="I1018" i="1"/>
  <c r="J1018" i="1" s="1"/>
  <c r="I1032" i="1"/>
  <c r="J1032" i="1"/>
  <c r="I1123" i="1"/>
  <c r="J1123" i="1" s="1"/>
  <c r="K1123" i="1" s="1"/>
  <c r="I1124" i="1"/>
  <c r="J1124" i="1" s="1"/>
  <c r="K1124" i="1" s="1"/>
  <c r="I1125" i="1"/>
  <c r="J1125" i="1"/>
  <c r="K1125" i="1" s="1"/>
  <c r="I1126" i="1"/>
  <c r="J1126" i="1"/>
  <c r="K1126" i="1"/>
  <c r="I1127" i="1"/>
  <c r="J1127" i="1" s="1"/>
  <c r="K1127" i="1" s="1"/>
  <c r="I1128" i="1"/>
  <c r="J1128" i="1" s="1"/>
  <c r="K1128" i="1" s="1"/>
  <c r="I1129" i="1"/>
  <c r="J1129" i="1"/>
  <c r="K1129" i="1" s="1"/>
  <c r="I1130" i="1"/>
  <c r="J1130" i="1"/>
  <c r="K1130" i="1"/>
  <c r="I1131" i="1"/>
  <c r="J1131" i="1" s="1"/>
  <c r="K1131" i="1" s="1"/>
  <c r="I1132" i="1"/>
  <c r="J1132" i="1" s="1"/>
  <c r="K1132" i="1" s="1"/>
  <c r="I1133" i="1"/>
  <c r="J1133" i="1"/>
  <c r="K1133" i="1" s="1"/>
  <c r="I1134" i="1"/>
  <c r="J1134" i="1"/>
  <c r="K1134" i="1"/>
  <c r="I1135" i="1"/>
  <c r="J1135" i="1" s="1"/>
  <c r="K1135" i="1" s="1"/>
  <c r="I1136" i="1"/>
  <c r="J1136" i="1" s="1"/>
  <c r="K1136" i="1" s="1"/>
  <c r="I1137" i="1"/>
  <c r="J1137" i="1"/>
  <c r="K1137" i="1" s="1"/>
  <c r="I1138" i="1"/>
  <c r="J1138" i="1"/>
  <c r="K1138" i="1"/>
  <c r="I1139" i="1"/>
  <c r="J1139" i="1" s="1"/>
  <c r="K1139" i="1" s="1"/>
  <c r="I1140" i="1"/>
  <c r="J1140" i="1" s="1"/>
  <c r="K1140" i="1" s="1"/>
  <c r="I1141" i="1"/>
  <c r="J1141" i="1"/>
  <c r="K1141" i="1" s="1"/>
  <c r="I1142" i="1"/>
  <c r="J1142" i="1"/>
  <c r="K1142" i="1"/>
  <c r="I1143" i="1"/>
  <c r="J1143" i="1" s="1"/>
  <c r="K1143" i="1" s="1"/>
  <c r="I1144" i="1"/>
  <c r="J1144" i="1" s="1"/>
  <c r="K1144" i="1" s="1"/>
  <c r="I1145" i="1"/>
  <c r="J1145" i="1"/>
  <c r="K1145" i="1" s="1"/>
  <c r="I1146" i="1"/>
  <c r="J1146" i="1"/>
  <c r="K1146" i="1"/>
  <c r="I1147" i="1"/>
  <c r="J1147" i="1" s="1"/>
  <c r="K1147" i="1" s="1"/>
  <c r="I1148" i="1"/>
  <c r="J1148" i="1" s="1"/>
  <c r="K1148" i="1" s="1"/>
  <c r="I1149" i="1"/>
  <c r="J1149" i="1"/>
  <c r="K1149" i="1" s="1"/>
  <c r="I1150" i="1"/>
  <c r="J1150" i="1"/>
  <c r="K1150" i="1"/>
  <c r="I1151" i="1"/>
  <c r="J1151" i="1" s="1"/>
  <c r="K1151" i="1" s="1"/>
  <c r="I1152" i="1"/>
  <c r="J1152" i="1" s="1"/>
  <c r="K1152" i="1" s="1"/>
  <c r="I1153" i="1"/>
  <c r="J1153" i="1"/>
  <c r="K1153" i="1" s="1"/>
  <c r="I1154" i="1"/>
  <c r="J1154" i="1"/>
  <c r="K1154" i="1"/>
  <c r="I1155" i="1"/>
  <c r="J1155" i="1"/>
  <c r="K1155" i="1"/>
  <c r="I1156" i="1"/>
  <c r="J1156" i="1" s="1"/>
  <c r="K1156" i="1" s="1"/>
  <c r="I1157" i="1"/>
  <c r="J1157" i="1"/>
  <c r="K1157" i="1" s="1"/>
  <c r="I1158" i="1"/>
  <c r="J1158" i="1"/>
  <c r="K1158" i="1"/>
  <c r="I1159" i="1"/>
  <c r="J1159" i="1"/>
  <c r="K1159" i="1"/>
  <c r="I1160" i="1"/>
  <c r="J1160" i="1" s="1"/>
  <c r="K1160" i="1" s="1"/>
  <c r="I1161" i="1"/>
  <c r="J1161" i="1"/>
  <c r="K1161" i="1" s="1"/>
  <c r="I1162" i="1"/>
  <c r="J1162" i="1"/>
  <c r="K1162" i="1"/>
  <c r="I1163" i="1"/>
  <c r="J1163" i="1" s="1"/>
  <c r="K1163" i="1" s="1"/>
  <c r="I1164" i="1"/>
  <c r="J1164" i="1" s="1"/>
  <c r="K1164" i="1" s="1"/>
  <c r="I1165" i="1"/>
  <c r="J1165" i="1"/>
  <c r="K1165" i="1" s="1"/>
  <c r="I1166" i="1"/>
  <c r="J1166" i="1"/>
  <c r="K1166" i="1"/>
  <c r="I1167" i="1"/>
  <c r="J1167" i="1" s="1"/>
  <c r="K1167" i="1" s="1"/>
  <c r="I1168" i="1"/>
  <c r="J1168" i="1" s="1"/>
  <c r="K1168" i="1" s="1"/>
  <c r="I1169" i="1"/>
  <c r="J1169" i="1"/>
  <c r="K1169" i="1" s="1"/>
  <c r="I1170" i="1"/>
  <c r="J1170" i="1"/>
  <c r="K1170" i="1"/>
  <c r="I1171" i="1"/>
  <c r="J1171" i="1" s="1"/>
  <c r="K1171" i="1" s="1"/>
  <c r="I1172" i="1"/>
  <c r="J1172" i="1" s="1"/>
  <c r="K1172" i="1" s="1"/>
  <c r="I1173" i="1"/>
  <c r="J1173" i="1"/>
  <c r="K1173" i="1" s="1"/>
  <c r="I1174" i="1"/>
  <c r="J1174" i="1"/>
  <c r="K1174" i="1"/>
  <c r="I1175" i="1"/>
  <c r="J1175" i="1" s="1"/>
  <c r="K1175" i="1" s="1"/>
  <c r="I1176" i="1"/>
  <c r="J1176" i="1" s="1"/>
  <c r="K1176" i="1" s="1"/>
  <c r="I1177" i="1"/>
  <c r="J1177" i="1"/>
  <c r="K1177" i="1" s="1"/>
  <c r="I1178" i="1"/>
  <c r="J1178" i="1"/>
  <c r="K1178" i="1"/>
  <c r="I1179" i="1"/>
  <c r="J1179" i="1" s="1"/>
  <c r="K1179" i="1" s="1"/>
  <c r="I1180" i="1"/>
  <c r="J1180" i="1" s="1"/>
  <c r="K1180" i="1" s="1"/>
  <c r="I1181" i="1"/>
  <c r="J1181" i="1"/>
  <c r="K1181" i="1" s="1"/>
  <c r="I1182" i="1"/>
  <c r="J1182" i="1"/>
  <c r="K1182" i="1"/>
  <c r="I1183" i="1"/>
  <c r="J1183" i="1" s="1"/>
  <c r="K1183" i="1" s="1"/>
  <c r="I1184" i="1"/>
  <c r="J1184" i="1" s="1"/>
  <c r="K1184" i="1" s="1"/>
  <c r="I1185" i="1"/>
  <c r="J1185" i="1"/>
  <c r="K1185" i="1" s="1"/>
  <c r="I1186" i="1"/>
  <c r="J1186" i="1"/>
  <c r="K1186" i="1"/>
  <c r="I1187" i="1"/>
  <c r="J1187" i="1" s="1"/>
  <c r="K1187" i="1" s="1"/>
  <c r="I1122" i="1"/>
  <c r="J1122" i="1" s="1"/>
  <c r="K1122" i="1" s="1"/>
  <c r="I972" i="1"/>
  <c r="J972" i="1"/>
  <c r="K972" i="1" s="1"/>
  <c r="I973" i="1"/>
  <c r="J973" i="1"/>
  <c r="K973" i="1"/>
  <c r="I974" i="1"/>
  <c r="J974" i="1" s="1"/>
  <c r="K974" i="1" s="1"/>
  <c r="I975" i="1"/>
  <c r="J975" i="1" s="1"/>
  <c r="K975" i="1" s="1"/>
  <c r="I976" i="1"/>
  <c r="J976" i="1"/>
  <c r="K976" i="1" s="1"/>
  <c r="I977" i="1"/>
  <c r="J977" i="1"/>
  <c r="K977" i="1"/>
  <c r="I384" i="1"/>
  <c r="J384" i="1" s="1"/>
  <c r="K384" i="1" s="1"/>
  <c r="I385" i="1"/>
  <c r="J385" i="1" s="1"/>
  <c r="K385" i="1" s="1"/>
  <c r="I386" i="1"/>
  <c r="J386" i="1"/>
  <c r="K386" i="1" s="1"/>
  <c r="I387" i="1"/>
  <c r="J387" i="1"/>
  <c r="K387" i="1"/>
  <c r="I388" i="1"/>
  <c r="J388" i="1" s="1"/>
  <c r="K388" i="1" s="1"/>
  <c r="I389" i="1"/>
  <c r="J389" i="1" s="1"/>
  <c r="K389" i="1" s="1"/>
  <c r="I390" i="1"/>
  <c r="J390" i="1"/>
  <c r="K390" i="1" s="1"/>
  <c r="I391" i="1"/>
  <c r="J391" i="1"/>
  <c r="K391" i="1"/>
  <c r="I392" i="1"/>
  <c r="J392" i="1" s="1"/>
  <c r="K392" i="1" s="1"/>
  <c r="I393" i="1"/>
  <c r="J393" i="1" s="1"/>
  <c r="K393" i="1" s="1"/>
  <c r="I394" i="1"/>
  <c r="J394" i="1"/>
  <c r="K394" i="1" s="1"/>
  <c r="I395" i="1"/>
  <c r="J395" i="1"/>
  <c r="K395" i="1"/>
  <c r="I396" i="1"/>
  <c r="J396" i="1" s="1"/>
  <c r="K396" i="1" s="1"/>
  <c r="I397" i="1"/>
  <c r="J397" i="1" s="1"/>
  <c r="K397" i="1" s="1"/>
  <c r="I361" i="1"/>
  <c r="J361" i="1"/>
  <c r="K361" i="1" s="1"/>
  <c r="I362" i="1"/>
  <c r="J362" i="1"/>
  <c r="K362" i="1"/>
  <c r="I363" i="1"/>
  <c r="J363" i="1" s="1"/>
  <c r="K363" i="1" s="1"/>
  <c r="I364" i="1"/>
  <c r="J364" i="1" s="1"/>
  <c r="K364" i="1" s="1"/>
  <c r="I365" i="1"/>
  <c r="J365" i="1"/>
  <c r="K365" i="1" s="1"/>
  <c r="I366" i="1"/>
  <c r="J366" i="1"/>
  <c r="K366" i="1"/>
  <c r="I367" i="1"/>
  <c r="J367" i="1" s="1"/>
  <c r="K367" i="1" s="1"/>
  <c r="I368" i="1"/>
  <c r="J368" i="1" s="1"/>
  <c r="K368" i="1" s="1"/>
  <c r="I369" i="1"/>
  <c r="J369" i="1"/>
  <c r="K369" i="1" s="1"/>
  <c r="I370" i="1"/>
  <c r="J370" i="1"/>
  <c r="K370" i="1"/>
  <c r="I371" i="1"/>
  <c r="J371" i="1"/>
  <c r="K371" i="1"/>
  <c r="I372" i="1"/>
  <c r="J372" i="1" s="1"/>
  <c r="K372" i="1" s="1"/>
  <c r="I373" i="1"/>
  <c r="J373" i="1"/>
  <c r="K373" i="1" s="1"/>
  <c r="I374" i="1"/>
  <c r="J374" i="1"/>
  <c r="K374" i="1"/>
  <c r="I375" i="1"/>
  <c r="J375" i="1" s="1"/>
  <c r="K375" i="1" s="1"/>
  <c r="I376" i="1"/>
  <c r="J376" i="1" s="1"/>
  <c r="K376" i="1" s="1"/>
  <c r="I377" i="1"/>
  <c r="J377" i="1"/>
  <c r="K377" i="1" s="1"/>
  <c r="I378" i="1"/>
  <c r="J378" i="1"/>
  <c r="K378" i="1"/>
  <c r="I379" i="1"/>
  <c r="J379" i="1" s="1"/>
  <c r="K379" i="1" s="1"/>
  <c r="I380" i="1"/>
  <c r="J380" i="1" s="1"/>
  <c r="K380" i="1" s="1"/>
  <c r="I381" i="1"/>
  <c r="J381" i="1"/>
  <c r="K381" i="1" s="1"/>
  <c r="I382" i="1"/>
  <c r="J382" i="1"/>
  <c r="K382" i="1"/>
  <c r="I383" i="1"/>
  <c r="J383" i="1" s="1"/>
  <c r="K383" i="1" s="1"/>
  <c r="I360" i="1"/>
  <c r="J360" i="1" s="1"/>
  <c r="K360" i="1" s="1"/>
  <c r="H244" i="1"/>
  <c r="I244" i="1" s="1"/>
  <c r="J244" i="1" s="1"/>
  <c r="H245" i="1"/>
  <c r="I245" i="1" s="1"/>
  <c r="J245" i="1" s="1"/>
  <c r="H246" i="1"/>
  <c r="H247" i="1"/>
  <c r="H248" i="1"/>
  <c r="I248" i="1" s="1"/>
  <c r="J248" i="1" s="1"/>
  <c r="H249" i="1"/>
  <c r="I249" i="1" s="1"/>
  <c r="J249" i="1" s="1"/>
  <c r="H250" i="1"/>
  <c r="H251" i="1"/>
  <c r="H252" i="1"/>
  <c r="I252" i="1" s="1"/>
  <c r="J252" i="1" s="1"/>
  <c r="H253" i="1"/>
  <c r="I253" i="1" s="1"/>
  <c r="J253" i="1" s="1"/>
  <c r="H254" i="1"/>
  <c r="H255" i="1"/>
  <c r="H256" i="1"/>
  <c r="I256" i="1" s="1"/>
  <c r="J256" i="1" s="1"/>
  <c r="H257" i="1"/>
  <c r="I257" i="1" s="1"/>
  <c r="J257" i="1" s="1"/>
  <c r="H258" i="1"/>
  <c r="H259" i="1"/>
  <c r="H260" i="1"/>
  <c r="I260" i="1" s="1"/>
  <c r="J260" i="1" s="1"/>
  <c r="H261" i="1"/>
  <c r="I261" i="1" s="1"/>
  <c r="J261" i="1" s="1"/>
  <c r="H262" i="1"/>
  <c r="H263" i="1"/>
  <c r="H264" i="1"/>
  <c r="I264" i="1" s="1"/>
  <c r="J264" i="1" s="1"/>
  <c r="H265" i="1"/>
  <c r="I265" i="1" s="1"/>
  <c r="J265" i="1" s="1"/>
  <c r="H266" i="1"/>
  <c r="H267" i="1"/>
  <c r="H268" i="1"/>
  <c r="I268" i="1" s="1"/>
  <c r="J268" i="1" s="1"/>
  <c r="H269" i="1"/>
  <c r="I269" i="1" s="1"/>
  <c r="J269" i="1" s="1"/>
  <c r="H270" i="1"/>
  <c r="H271" i="1"/>
  <c r="H272" i="1"/>
  <c r="I272" i="1" s="1"/>
  <c r="J272" i="1" s="1"/>
  <c r="H273" i="1"/>
  <c r="I273" i="1" s="1"/>
  <c r="J273" i="1" s="1"/>
  <c r="H274" i="1"/>
  <c r="H275" i="1"/>
  <c r="H276" i="1"/>
  <c r="I276" i="1" s="1"/>
  <c r="J276" i="1" s="1"/>
  <c r="H277" i="1"/>
  <c r="I277" i="1" s="1"/>
  <c r="J277" i="1" s="1"/>
  <c r="H278" i="1"/>
  <c r="H279" i="1"/>
  <c r="H280" i="1"/>
  <c r="I280" i="1" s="1"/>
  <c r="J280" i="1" s="1"/>
  <c r="H281" i="1"/>
  <c r="I281" i="1" s="1"/>
  <c r="J281" i="1" s="1"/>
  <c r="H282" i="1"/>
  <c r="H283" i="1"/>
  <c r="H284" i="1"/>
  <c r="I284" i="1" s="1"/>
  <c r="J284" i="1" s="1"/>
  <c r="H243" i="1"/>
  <c r="I246" i="1"/>
  <c r="J246" i="1" s="1"/>
  <c r="I247" i="1"/>
  <c r="J247" i="1"/>
  <c r="I250" i="1"/>
  <c r="J250" i="1" s="1"/>
  <c r="I251" i="1"/>
  <c r="J251" i="1"/>
  <c r="I254" i="1"/>
  <c r="J254" i="1" s="1"/>
  <c r="I255" i="1"/>
  <c r="J255" i="1"/>
  <c r="I258" i="1"/>
  <c r="J258" i="1" s="1"/>
  <c r="I259" i="1"/>
  <c r="J259" i="1"/>
  <c r="I262" i="1"/>
  <c r="J262" i="1" s="1"/>
  <c r="I263" i="1"/>
  <c r="J263" i="1"/>
  <c r="I266" i="1"/>
  <c r="J266" i="1" s="1"/>
  <c r="I267" i="1"/>
  <c r="J267" i="1"/>
  <c r="I270" i="1"/>
  <c r="J270" i="1" s="1"/>
  <c r="I271" i="1"/>
  <c r="J271" i="1"/>
  <c r="I274" i="1"/>
  <c r="J274" i="1" s="1"/>
  <c r="I275" i="1"/>
  <c r="J275" i="1"/>
  <c r="I278" i="1"/>
  <c r="J278" i="1" s="1"/>
  <c r="I279" i="1"/>
  <c r="J279" i="1"/>
  <c r="I282" i="1"/>
  <c r="J282" i="1" s="1"/>
  <c r="I283" i="1"/>
  <c r="J283" i="1"/>
  <c r="I693" i="1"/>
  <c r="J693" i="1"/>
  <c r="K693" i="1" s="1"/>
  <c r="I692" i="1"/>
  <c r="J692" i="1"/>
  <c r="K692" i="1"/>
  <c r="I691" i="1"/>
  <c r="J691" i="1" s="1"/>
  <c r="K691" i="1" s="1"/>
  <c r="I690" i="1"/>
  <c r="J690" i="1" s="1"/>
  <c r="K690" i="1" s="1"/>
  <c r="I689" i="1"/>
  <c r="J689" i="1"/>
  <c r="K689" i="1" s="1"/>
  <c r="I688" i="1"/>
  <c r="J688" i="1"/>
  <c r="K688" i="1"/>
  <c r="I687" i="1"/>
  <c r="J687" i="1" s="1"/>
  <c r="K687" i="1" s="1"/>
  <c r="I686" i="1"/>
  <c r="J686" i="1" s="1"/>
  <c r="K686" i="1" s="1"/>
  <c r="I685" i="1"/>
  <c r="J685" i="1"/>
  <c r="K685" i="1" s="1"/>
  <c r="I684" i="1"/>
  <c r="J684" i="1"/>
  <c r="K684" i="1"/>
  <c r="I639" i="1"/>
  <c r="J639" i="1" s="1"/>
  <c r="K639" i="1" s="1"/>
  <c r="I640" i="1"/>
  <c r="J640" i="1" s="1"/>
  <c r="K640" i="1" s="1"/>
  <c r="I641" i="1"/>
  <c r="J641" i="1"/>
  <c r="K641" i="1" s="1"/>
  <c r="I642" i="1"/>
  <c r="J642" i="1"/>
  <c r="K642" i="1"/>
  <c r="I643" i="1"/>
  <c r="J643" i="1" s="1"/>
  <c r="K643" i="1" s="1"/>
  <c r="I644" i="1"/>
  <c r="J644" i="1" s="1"/>
  <c r="K644" i="1" s="1"/>
  <c r="I645" i="1"/>
  <c r="J645" i="1"/>
  <c r="K645" i="1" s="1"/>
  <c r="I646" i="1"/>
  <c r="J646" i="1"/>
  <c r="K646" i="1"/>
  <c r="I647" i="1"/>
  <c r="J647" i="1" s="1"/>
  <c r="K647" i="1" s="1"/>
  <c r="I648" i="1"/>
  <c r="J648" i="1" s="1"/>
  <c r="K648" i="1" s="1"/>
  <c r="I649" i="1"/>
  <c r="J649" i="1"/>
  <c r="K649" i="1" s="1"/>
  <c r="I650" i="1"/>
  <c r="J650" i="1"/>
  <c r="K650" i="1"/>
  <c r="I651" i="1"/>
  <c r="J651" i="1" s="1"/>
  <c r="K651" i="1" s="1"/>
  <c r="I652" i="1"/>
  <c r="J652" i="1" s="1"/>
  <c r="K652" i="1" s="1"/>
  <c r="I653" i="1"/>
  <c r="J653" i="1"/>
  <c r="K653" i="1" s="1"/>
  <c r="I654" i="1"/>
  <c r="J654" i="1"/>
  <c r="K654" i="1"/>
  <c r="I655" i="1"/>
  <c r="J655" i="1" s="1"/>
  <c r="K655" i="1" s="1"/>
  <c r="I656" i="1"/>
  <c r="J656" i="1" s="1"/>
  <c r="K656" i="1" s="1"/>
  <c r="I657" i="1"/>
  <c r="J657" i="1"/>
  <c r="K657" i="1" s="1"/>
  <c r="I658" i="1"/>
  <c r="J658" i="1"/>
  <c r="K658" i="1"/>
  <c r="I659" i="1"/>
  <c r="J659" i="1" s="1"/>
  <c r="K659" i="1" s="1"/>
  <c r="I660" i="1"/>
  <c r="J660" i="1" s="1"/>
  <c r="K660" i="1" s="1"/>
  <c r="I661" i="1"/>
  <c r="J661" i="1"/>
  <c r="K661" i="1" s="1"/>
  <c r="I662" i="1"/>
  <c r="J662" i="1"/>
  <c r="K662" i="1"/>
  <c r="I663" i="1"/>
  <c r="J663" i="1" s="1"/>
  <c r="K663" i="1" s="1"/>
  <c r="I664" i="1"/>
  <c r="J664" i="1" s="1"/>
  <c r="K664" i="1" s="1"/>
  <c r="I665" i="1"/>
  <c r="J665" i="1"/>
  <c r="K665" i="1" s="1"/>
  <c r="I666" i="1"/>
  <c r="J666" i="1"/>
  <c r="K666" i="1"/>
  <c r="I667" i="1"/>
  <c r="J667" i="1" s="1"/>
  <c r="K667" i="1" s="1"/>
  <c r="I668" i="1"/>
  <c r="J668" i="1" s="1"/>
  <c r="K668" i="1" s="1"/>
  <c r="I669" i="1"/>
  <c r="J669" i="1"/>
  <c r="K669" i="1" s="1"/>
  <c r="I670" i="1"/>
  <c r="J670" i="1"/>
  <c r="K670" i="1"/>
  <c r="I671" i="1"/>
  <c r="J671" i="1" s="1"/>
  <c r="K671" i="1" s="1"/>
  <c r="I672" i="1"/>
  <c r="J672" i="1" s="1"/>
  <c r="K672" i="1" s="1"/>
  <c r="I673" i="1"/>
  <c r="J673" i="1"/>
  <c r="K673" i="1" s="1"/>
  <c r="I674" i="1"/>
  <c r="J674" i="1"/>
  <c r="K674" i="1"/>
  <c r="I675" i="1"/>
  <c r="J675" i="1" s="1"/>
  <c r="K675" i="1" s="1"/>
  <c r="I676" i="1"/>
  <c r="J676" i="1" s="1"/>
  <c r="K676" i="1" s="1"/>
  <c r="I677" i="1"/>
  <c r="J677" i="1"/>
  <c r="K677" i="1" s="1"/>
  <c r="I678" i="1"/>
  <c r="J678" i="1"/>
  <c r="K678" i="1"/>
  <c r="I679" i="1"/>
  <c r="J679" i="1" s="1"/>
  <c r="K679" i="1" s="1"/>
  <c r="I680" i="1"/>
  <c r="J680" i="1" s="1"/>
  <c r="K680" i="1" s="1"/>
  <c r="I681" i="1"/>
  <c r="J681" i="1"/>
  <c r="K681" i="1" s="1"/>
  <c r="I682" i="1"/>
  <c r="J682" i="1"/>
  <c r="K682" i="1"/>
  <c r="I683" i="1"/>
  <c r="J683" i="1" s="1"/>
  <c r="K683" i="1" s="1"/>
  <c r="I638" i="1"/>
  <c r="J638" i="1" s="1"/>
  <c r="K638" i="1" s="1"/>
  <c r="I298" i="1"/>
  <c r="J298" i="1"/>
  <c r="K298" i="1" s="1"/>
  <c r="I299" i="1"/>
  <c r="J299" i="1"/>
  <c r="K299" i="1"/>
  <c r="I300" i="1"/>
  <c r="J300" i="1" s="1"/>
  <c r="K300" i="1" s="1"/>
  <c r="I301" i="1"/>
  <c r="J301" i="1" s="1"/>
  <c r="K301" i="1" s="1"/>
  <c r="I302" i="1"/>
  <c r="J302" i="1"/>
  <c r="K302" i="1" s="1"/>
  <c r="I303" i="1"/>
  <c r="J303" i="1"/>
  <c r="K303" i="1"/>
  <c r="I304" i="1"/>
  <c r="J304" i="1" s="1"/>
  <c r="K304" i="1" s="1"/>
  <c r="I305" i="1"/>
  <c r="J305" i="1" s="1"/>
  <c r="K305" i="1" s="1"/>
  <c r="I306" i="1"/>
  <c r="J306" i="1"/>
  <c r="K306" i="1" s="1"/>
  <c r="I307" i="1"/>
  <c r="J307" i="1"/>
  <c r="K307" i="1"/>
  <c r="I308" i="1"/>
  <c r="J308" i="1" s="1"/>
  <c r="K308" i="1" s="1"/>
  <c r="I309" i="1"/>
  <c r="J309" i="1" s="1"/>
  <c r="K309" i="1" s="1"/>
  <c r="I310" i="1"/>
  <c r="J310" i="1"/>
  <c r="K310" i="1" s="1"/>
  <c r="I311" i="1"/>
  <c r="J311" i="1"/>
  <c r="K311" i="1"/>
  <c r="I312" i="1"/>
  <c r="J312" i="1" s="1"/>
  <c r="K312" i="1" s="1"/>
  <c r="I313" i="1"/>
  <c r="J313" i="1" s="1"/>
  <c r="K313" i="1" s="1"/>
  <c r="I314" i="1"/>
  <c r="J314" i="1"/>
  <c r="K314" i="1" s="1"/>
  <c r="I315" i="1"/>
  <c r="J315" i="1"/>
  <c r="K315" i="1"/>
  <c r="I316" i="1"/>
  <c r="J316" i="1" s="1"/>
  <c r="K316" i="1" s="1"/>
  <c r="I317" i="1"/>
  <c r="J317" i="1" s="1"/>
  <c r="K317" i="1" s="1"/>
  <c r="I318" i="1"/>
  <c r="J318" i="1"/>
  <c r="K318" i="1" s="1"/>
  <c r="I319" i="1"/>
  <c r="J319" i="1"/>
  <c r="K319" i="1"/>
  <c r="I320" i="1"/>
  <c r="J320" i="1" s="1"/>
  <c r="K320" i="1" s="1"/>
  <c r="I321" i="1"/>
  <c r="J321" i="1" s="1"/>
  <c r="K321" i="1" s="1"/>
  <c r="I322" i="1"/>
  <c r="J322" i="1"/>
  <c r="K322" i="1" s="1"/>
  <c r="I323" i="1"/>
  <c r="J323" i="1"/>
  <c r="K323" i="1"/>
  <c r="I286" i="1"/>
  <c r="J286" i="1"/>
  <c r="K286" i="1"/>
  <c r="I287" i="1"/>
  <c r="J287" i="1" s="1"/>
  <c r="K287" i="1" s="1"/>
  <c r="I288" i="1"/>
  <c r="J288" i="1"/>
  <c r="K288" i="1" s="1"/>
  <c r="I289" i="1"/>
  <c r="J289" i="1"/>
  <c r="K289" i="1"/>
  <c r="I290" i="1"/>
  <c r="J290" i="1" s="1"/>
  <c r="K290" i="1" s="1"/>
  <c r="I291" i="1"/>
  <c r="J291" i="1" s="1"/>
  <c r="K291" i="1" s="1"/>
  <c r="I292" i="1"/>
  <c r="J292" i="1"/>
  <c r="K292" i="1" s="1"/>
  <c r="I293" i="1"/>
  <c r="J293" i="1"/>
  <c r="K293" i="1"/>
  <c r="I294" i="1"/>
  <c r="J294" i="1" s="1"/>
  <c r="K294" i="1" s="1"/>
  <c r="I295" i="1"/>
  <c r="J295" i="1" s="1"/>
  <c r="K295" i="1" s="1"/>
  <c r="I296" i="1"/>
  <c r="J296" i="1"/>
  <c r="K296" i="1" s="1"/>
  <c r="I297" i="1"/>
  <c r="J297" i="1"/>
  <c r="K297" i="1"/>
  <c r="I285" i="1"/>
  <c r="J285" i="1" s="1"/>
  <c r="K285" i="1" s="1"/>
  <c r="I399" i="1"/>
  <c r="J399" i="1" s="1"/>
  <c r="I400" i="1"/>
  <c r="J400" i="1"/>
  <c r="I401" i="1"/>
  <c r="J401" i="1" s="1"/>
  <c r="I402" i="1"/>
  <c r="J402" i="1"/>
  <c r="I403" i="1"/>
  <c r="J403" i="1" s="1"/>
  <c r="I404" i="1"/>
  <c r="J404" i="1"/>
  <c r="I405" i="1"/>
  <c r="J405" i="1" s="1"/>
  <c r="I406" i="1"/>
  <c r="J406" i="1"/>
  <c r="I407" i="1"/>
  <c r="J407" i="1" s="1"/>
  <c r="I408" i="1"/>
  <c r="J408" i="1"/>
  <c r="I409" i="1"/>
  <c r="J409" i="1" s="1"/>
  <c r="I410" i="1"/>
  <c r="J410" i="1"/>
  <c r="I411" i="1"/>
  <c r="J411" i="1" s="1"/>
  <c r="I412" i="1"/>
  <c r="J412" i="1"/>
  <c r="I413" i="1"/>
  <c r="J413" i="1" s="1"/>
  <c r="I414" i="1"/>
  <c r="J414" i="1"/>
  <c r="I415" i="1"/>
  <c r="J415" i="1" s="1"/>
  <c r="I416" i="1"/>
  <c r="J416" i="1"/>
  <c r="I417" i="1"/>
  <c r="J417" i="1" s="1"/>
  <c r="I418" i="1"/>
  <c r="J418" i="1"/>
  <c r="I419" i="1"/>
  <c r="J419" i="1" s="1"/>
  <c r="I420" i="1"/>
  <c r="J420" i="1"/>
  <c r="I421" i="1"/>
  <c r="J421" i="1" s="1"/>
  <c r="I422" i="1"/>
  <c r="J422" i="1"/>
  <c r="I423" i="1"/>
  <c r="J423" i="1" s="1"/>
  <c r="I424" i="1"/>
  <c r="J424" i="1"/>
  <c r="I425" i="1"/>
  <c r="J425" i="1" s="1"/>
  <c r="I426" i="1"/>
  <c r="J426" i="1"/>
  <c r="I427" i="1"/>
  <c r="J427" i="1" s="1"/>
  <c r="I428" i="1"/>
  <c r="J428" i="1"/>
  <c r="I429" i="1"/>
  <c r="J429" i="1" s="1"/>
  <c r="I430" i="1"/>
  <c r="J430" i="1"/>
  <c r="I431" i="1"/>
  <c r="J431" i="1" s="1"/>
  <c r="I432" i="1"/>
  <c r="J432" i="1"/>
  <c r="I433" i="1"/>
  <c r="J433" i="1" s="1"/>
  <c r="I434" i="1"/>
  <c r="J434" i="1"/>
  <c r="I435" i="1"/>
  <c r="J435" i="1" s="1"/>
  <c r="I436" i="1"/>
  <c r="J436" i="1"/>
  <c r="I437" i="1"/>
  <c r="J437" i="1" s="1"/>
  <c r="I438" i="1"/>
  <c r="J438" i="1"/>
  <c r="I439" i="1"/>
  <c r="J439" i="1" s="1"/>
  <c r="I440" i="1"/>
  <c r="J440" i="1"/>
  <c r="I441" i="1"/>
  <c r="J441" i="1" s="1"/>
  <c r="I442" i="1"/>
  <c r="J442" i="1"/>
  <c r="I443" i="1"/>
  <c r="J443" i="1" s="1"/>
  <c r="I444" i="1"/>
  <c r="J444" i="1"/>
  <c r="I445" i="1"/>
  <c r="J445" i="1" s="1"/>
  <c r="I446" i="1"/>
  <c r="J446" i="1"/>
  <c r="I447" i="1"/>
  <c r="J447" i="1" s="1"/>
  <c r="I359" i="1"/>
  <c r="J359" i="1"/>
  <c r="K359" i="1"/>
  <c r="I325" i="1"/>
  <c r="J325" i="1"/>
  <c r="K325" i="1"/>
  <c r="I326" i="1"/>
  <c r="J326" i="1" s="1"/>
  <c r="K326" i="1" s="1"/>
  <c r="I327" i="1"/>
  <c r="J327" i="1"/>
  <c r="K327" i="1" s="1"/>
  <c r="I328" i="1"/>
  <c r="J328" i="1"/>
  <c r="K328" i="1"/>
  <c r="I329" i="1"/>
  <c r="J329" i="1"/>
  <c r="K329" i="1"/>
  <c r="I330" i="1"/>
  <c r="J330" i="1" s="1"/>
  <c r="K330" i="1" s="1"/>
  <c r="I331" i="1"/>
  <c r="J331" i="1"/>
  <c r="K331" i="1" s="1"/>
  <c r="I332" i="1"/>
  <c r="J332" i="1"/>
  <c r="K332" i="1"/>
  <c r="I333" i="1"/>
  <c r="J333" i="1"/>
  <c r="K333" i="1"/>
  <c r="I334" i="1"/>
  <c r="J334" i="1" s="1"/>
  <c r="K334" i="1" s="1"/>
  <c r="I335" i="1"/>
  <c r="J335" i="1"/>
  <c r="K335" i="1" s="1"/>
  <c r="I336" i="1"/>
  <c r="J336" i="1"/>
  <c r="K336" i="1"/>
  <c r="I337" i="1"/>
  <c r="J337" i="1"/>
  <c r="K337" i="1"/>
  <c r="I338" i="1"/>
  <c r="J338" i="1" s="1"/>
  <c r="K338" i="1" s="1"/>
  <c r="I339" i="1"/>
  <c r="J339" i="1"/>
  <c r="K339" i="1" s="1"/>
  <c r="I340" i="1"/>
  <c r="J340" i="1"/>
  <c r="K340" i="1"/>
  <c r="I341" i="1"/>
  <c r="J341" i="1"/>
  <c r="K341" i="1"/>
  <c r="I342" i="1"/>
  <c r="J342" i="1" s="1"/>
  <c r="K342" i="1" s="1"/>
  <c r="I343" i="1"/>
  <c r="J343" i="1"/>
  <c r="K343" i="1" s="1"/>
  <c r="I344" i="1"/>
  <c r="J344" i="1"/>
  <c r="K344" i="1"/>
  <c r="I345" i="1"/>
  <c r="J345" i="1"/>
  <c r="K345" i="1"/>
  <c r="I346" i="1"/>
  <c r="J346" i="1" s="1"/>
  <c r="K346" i="1" s="1"/>
  <c r="I347" i="1"/>
  <c r="J347" i="1"/>
  <c r="K347" i="1" s="1"/>
  <c r="I348" i="1"/>
  <c r="J348" i="1"/>
  <c r="K348" i="1"/>
  <c r="I349" i="1"/>
  <c r="J349" i="1" s="1"/>
  <c r="K349" i="1" s="1"/>
  <c r="I350" i="1"/>
  <c r="J350" i="1" s="1"/>
  <c r="K350" i="1" s="1"/>
  <c r="I351" i="1"/>
  <c r="J351" i="1"/>
  <c r="K351" i="1" s="1"/>
  <c r="I352" i="1"/>
  <c r="J352" i="1"/>
  <c r="K352" i="1"/>
  <c r="I353" i="1"/>
  <c r="J353" i="1" s="1"/>
  <c r="K353" i="1" s="1"/>
  <c r="I354" i="1"/>
  <c r="J354" i="1" s="1"/>
  <c r="K354" i="1" s="1"/>
  <c r="I355" i="1"/>
  <c r="J355" i="1"/>
  <c r="K355" i="1" s="1"/>
  <c r="I356" i="1"/>
  <c r="J356" i="1"/>
  <c r="K356" i="1"/>
  <c r="I357" i="1"/>
  <c r="J357" i="1" s="1"/>
  <c r="K357" i="1" s="1"/>
  <c r="I358" i="1"/>
  <c r="J358" i="1" s="1"/>
  <c r="K358" i="1" s="1"/>
  <c r="I324" i="1"/>
  <c r="J324" i="1"/>
  <c r="K324" i="1" s="1"/>
  <c r="I486" i="1"/>
  <c r="J486" i="1"/>
  <c r="I487" i="1"/>
  <c r="J487" i="1" s="1"/>
  <c r="I488" i="1"/>
  <c r="J488" i="1"/>
  <c r="I489" i="1"/>
  <c r="J489" i="1" s="1"/>
  <c r="I490" i="1"/>
  <c r="J490" i="1"/>
  <c r="I491" i="1"/>
  <c r="J491" i="1" s="1"/>
  <c r="I492" i="1"/>
  <c r="J492" i="1"/>
  <c r="I493" i="1"/>
  <c r="J493" i="1" s="1"/>
  <c r="I494" i="1"/>
  <c r="J494" i="1"/>
  <c r="I495" i="1"/>
  <c r="J495" i="1" s="1"/>
  <c r="I496" i="1"/>
  <c r="J496" i="1"/>
  <c r="I497" i="1"/>
  <c r="J497" i="1" s="1"/>
  <c r="I498" i="1"/>
  <c r="J498" i="1"/>
  <c r="I499" i="1"/>
  <c r="J499" i="1" s="1"/>
  <c r="I500" i="1"/>
  <c r="J500" i="1"/>
  <c r="I501" i="1"/>
  <c r="J501" i="1" s="1"/>
  <c r="I502" i="1"/>
  <c r="J502" i="1"/>
  <c r="I503" i="1"/>
  <c r="J503" i="1" s="1"/>
  <c r="I504" i="1"/>
  <c r="J504" i="1"/>
  <c r="I505" i="1"/>
  <c r="J505" i="1" s="1"/>
  <c r="I506" i="1"/>
  <c r="J506" i="1"/>
  <c r="I507" i="1"/>
  <c r="J507" i="1" s="1"/>
  <c r="I508" i="1"/>
  <c r="J508" i="1"/>
  <c r="I509" i="1"/>
  <c r="J509" i="1" s="1"/>
  <c r="I962" i="1"/>
  <c r="J962" i="1"/>
  <c r="K962" i="1"/>
  <c r="I963" i="1"/>
  <c r="J963" i="1"/>
  <c r="K963" i="1"/>
  <c r="I964" i="1"/>
  <c r="J964" i="1" s="1"/>
  <c r="K964" i="1" s="1"/>
  <c r="I965" i="1"/>
  <c r="J965" i="1"/>
  <c r="K965" i="1" s="1"/>
  <c r="I966" i="1"/>
  <c r="J966" i="1"/>
  <c r="K966" i="1"/>
  <c r="I967" i="1"/>
  <c r="J967" i="1"/>
  <c r="K967" i="1"/>
  <c r="I968" i="1"/>
  <c r="J968" i="1" s="1"/>
  <c r="K968" i="1" s="1"/>
  <c r="I969" i="1"/>
  <c r="J969" i="1"/>
  <c r="K969" i="1" s="1"/>
  <c r="I970" i="1"/>
  <c r="J970" i="1"/>
  <c r="K970" i="1"/>
  <c r="I971" i="1"/>
  <c r="J971" i="1"/>
  <c r="K971" i="1"/>
  <c r="I243" i="1"/>
  <c r="J243" i="1" s="1"/>
  <c r="I398" i="1"/>
  <c r="J398" i="1"/>
  <c r="I448" i="1"/>
  <c r="J448" i="1" s="1"/>
  <c r="I449" i="1"/>
  <c r="J449" i="1"/>
  <c r="I450" i="1"/>
  <c r="J450" i="1" s="1"/>
  <c r="I451" i="1"/>
  <c r="J451" i="1"/>
  <c r="I452" i="1"/>
  <c r="J452" i="1" s="1"/>
  <c r="I453" i="1"/>
  <c r="J453" i="1"/>
  <c r="I454" i="1"/>
  <c r="J454" i="1" s="1"/>
  <c r="I455" i="1"/>
  <c r="J455" i="1"/>
  <c r="I456" i="1"/>
  <c r="J456" i="1" s="1"/>
  <c r="I457" i="1"/>
  <c r="J457" i="1"/>
  <c r="I458" i="1"/>
  <c r="J458" i="1" s="1"/>
  <c r="I459" i="1"/>
  <c r="J459" i="1"/>
  <c r="I460" i="1"/>
  <c r="J460" i="1" s="1"/>
  <c r="I461" i="1"/>
  <c r="J461" i="1"/>
  <c r="I462" i="1"/>
  <c r="J462" i="1" s="1"/>
  <c r="I463" i="1"/>
  <c r="J463" i="1"/>
  <c r="I464" i="1"/>
  <c r="J464" i="1" s="1"/>
  <c r="I465" i="1"/>
  <c r="J465" i="1"/>
  <c r="I466" i="1"/>
  <c r="J466" i="1" s="1"/>
  <c r="I467" i="1"/>
  <c r="J467" i="1"/>
  <c r="I468" i="1"/>
  <c r="J468" i="1" s="1"/>
  <c r="I469" i="1"/>
  <c r="J469" i="1"/>
  <c r="I470" i="1"/>
  <c r="J470" i="1" s="1"/>
  <c r="I471" i="1"/>
  <c r="J471" i="1"/>
  <c r="I472" i="1"/>
  <c r="J472" i="1" s="1"/>
  <c r="I473" i="1"/>
  <c r="J473" i="1"/>
  <c r="I474" i="1"/>
  <c r="J474" i="1" s="1"/>
  <c r="I475" i="1"/>
  <c r="J475" i="1"/>
  <c r="I476" i="1"/>
  <c r="J476" i="1" s="1"/>
  <c r="I477" i="1"/>
  <c r="J477" i="1"/>
  <c r="I478" i="1"/>
  <c r="J478" i="1" s="1"/>
  <c r="I479" i="1"/>
  <c r="J479" i="1"/>
  <c r="I480" i="1"/>
  <c r="J480" i="1" s="1"/>
  <c r="I481" i="1"/>
  <c r="J481" i="1"/>
  <c r="I482" i="1"/>
  <c r="J482" i="1" s="1"/>
  <c r="I483" i="1"/>
  <c r="J483" i="1"/>
  <c r="I484" i="1"/>
  <c r="J484" i="1" s="1"/>
  <c r="I485" i="1"/>
  <c r="J485" i="1"/>
  <c r="I510" i="1"/>
  <c r="J510" i="1" s="1"/>
  <c r="I543" i="1"/>
  <c r="J543" i="1"/>
  <c r="I544" i="1"/>
  <c r="J544" i="1" s="1"/>
  <c r="I545" i="1"/>
  <c r="J545" i="1"/>
  <c r="I546" i="1"/>
  <c r="J546" i="1" s="1"/>
  <c r="I547" i="1"/>
  <c r="J547" i="1"/>
  <c r="I548" i="1"/>
  <c r="J548" i="1" s="1"/>
  <c r="I549" i="1"/>
  <c r="J549" i="1"/>
  <c r="I550" i="1"/>
  <c r="J550" i="1" s="1"/>
  <c r="I551" i="1"/>
  <c r="J551" i="1"/>
  <c r="I552" i="1"/>
  <c r="J552" i="1" s="1"/>
  <c r="I553" i="1"/>
  <c r="J553" i="1"/>
  <c r="I554" i="1"/>
  <c r="J554" i="1" s="1"/>
  <c r="I555" i="1"/>
  <c r="J555" i="1"/>
  <c r="I556" i="1"/>
  <c r="J556" i="1" s="1"/>
  <c r="I557" i="1"/>
  <c r="J557" i="1"/>
  <c r="I558" i="1"/>
  <c r="J558" i="1" s="1"/>
  <c r="I559" i="1"/>
  <c r="J559" i="1"/>
  <c r="I560" i="1"/>
  <c r="J560" i="1" s="1"/>
  <c r="I561" i="1"/>
  <c r="J561" i="1"/>
  <c r="I562" i="1"/>
  <c r="J562" i="1" s="1"/>
  <c r="I563" i="1"/>
  <c r="J563" i="1"/>
  <c r="I564" i="1"/>
  <c r="J564" i="1" s="1"/>
  <c r="I565" i="1"/>
  <c r="J565" i="1"/>
  <c r="I609" i="1"/>
  <c r="J609" i="1" s="1"/>
  <c r="I868" i="1"/>
  <c r="J868" i="1"/>
  <c r="I869" i="1"/>
  <c r="J869" i="1" s="1"/>
  <c r="I870" i="1"/>
  <c r="J870" i="1"/>
  <c r="I871" i="1"/>
  <c r="J871" i="1" s="1"/>
  <c r="I872" i="1"/>
  <c r="J872" i="1"/>
  <c r="I873" i="1"/>
  <c r="J873" i="1" s="1"/>
  <c r="I874" i="1"/>
  <c r="J874" i="1"/>
  <c r="I875" i="1"/>
  <c r="J875" i="1" s="1"/>
  <c r="I876" i="1"/>
  <c r="J876" i="1"/>
  <c r="I877" i="1"/>
  <c r="J877" i="1" s="1"/>
  <c r="I878" i="1"/>
  <c r="J878" i="1"/>
  <c r="I879" i="1"/>
  <c r="J879" i="1" s="1"/>
  <c r="I880" i="1"/>
  <c r="J880" i="1"/>
  <c r="I881" i="1"/>
  <c r="J881" i="1" s="1"/>
  <c r="I882" i="1"/>
  <c r="J882" i="1"/>
  <c r="I883" i="1"/>
  <c r="J883" i="1" s="1"/>
  <c r="I884" i="1"/>
  <c r="J884" i="1"/>
  <c r="I885" i="1"/>
  <c r="J885" i="1" s="1"/>
  <c r="I886" i="1"/>
  <c r="J886" i="1"/>
  <c r="I887" i="1"/>
  <c r="J887" i="1" s="1"/>
  <c r="I888" i="1"/>
  <c r="J888" i="1"/>
  <c r="I889" i="1"/>
  <c r="J889" i="1" s="1"/>
  <c r="I890" i="1"/>
  <c r="J890" i="1"/>
  <c r="I891" i="1"/>
  <c r="J891" i="1" s="1"/>
  <c r="I892" i="1"/>
  <c r="J892" i="1"/>
  <c r="I893" i="1"/>
  <c r="J893" i="1" s="1"/>
  <c r="I894" i="1"/>
  <c r="J894" i="1"/>
  <c r="I895" i="1"/>
  <c r="J895" i="1" s="1"/>
  <c r="I896" i="1"/>
  <c r="J896" i="1"/>
  <c r="I897" i="1"/>
  <c r="J897" i="1" s="1"/>
  <c r="I898" i="1"/>
  <c r="J898" i="1"/>
  <c r="I899" i="1"/>
  <c r="J899" i="1" s="1"/>
  <c r="I900" i="1"/>
  <c r="J900" i="1"/>
  <c r="I901" i="1"/>
  <c r="J901" i="1" s="1"/>
  <c r="I902" i="1"/>
  <c r="J902" i="1"/>
  <c r="I1005" i="1"/>
  <c r="J1005" i="1" s="1"/>
  <c r="I1047" i="1"/>
  <c r="J1047" i="1"/>
  <c r="C3" i="1"/>
  <c r="K5" i="3"/>
  <c r="Q5" i="3"/>
  <c r="V5" i="3" s="1"/>
  <c r="L5" i="3"/>
  <c r="P5" i="3" s="1"/>
  <c r="R5" i="3"/>
  <c r="U5" i="3" s="1"/>
  <c r="M5" i="3"/>
  <c r="S5" i="3"/>
  <c r="N5" i="3"/>
  <c r="T5" i="3"/>
  <c r="K6" i="3"/>
  <c r="Q6" i="3"/>
  <c r="L6" i="3"/>
  <c r="R6" i="3" s="1"/>
  <c r="U6" i="3" s="1"/>
  <c r="M6" i="3"/>
  <c r="S6" i="3"/>
  <c r="N6" i="3"/>
  <c r="T6" i="3" s="1"/>
  <c r="K7" i="3"/>
  <c r="O7" i="3" s="1"/>
  <c r="Q7" i="3"/>
  <c r="U7" i="3" s="1"/>
  <c r="L7" i="3"/>
  <c r="R7" i="3"/>
  <c r="M7" i="3"/>
  <c r="S7" i="3"/>
  <c r="N7" i="3"/>
  <c r="T7" i="3"/>
  <c r="K8" i="3"/>
  <c r="Q8" i="3" s="1"/>
  <c r="L8" i="3"/>
  <c r="R8" i="3"/>
  <c r="M8" i="3"/>
  <c r="S8" i="3" s="1"/>
  <c r="N8" i="3"/>
  <c r="T8" i="3"/>
  <c r="K9" i="3"/>
  <c r="Q9" i="3"/>
  <c r="V9" i="3" s="1"/>
  <c r="L9" i="3"/>
  <c r="P9" i="3" s="1"/>
  <c r="R9" i="3"/>
  <c r="U9" i="3" s="1"/>
  <c r="M9" i="3"/>
  <c r="S9" i="3"/>
  <c r="N9" i="3"/>
  <c r="T9" i="3"/>
  <c r="K10" i="3"/>
  <c r="Q10" i="3"/>
  <c r="L10" i="3"/>
  <c r="R10" i="3" s="1"/>
  <c r="U10" i="3" s="1"/>
  <c r="M10" i="3"/>
  <c r="S10" i="3"/>
  <c r="N10" i="3"/>
  <c r="T10" i="3" s="1"/>
  <c r="K11" i="3"/>
  <c r="O11" i="3" s="1"/>
  <c r="Q11" i="3"/>
  <c r="U11" i="3" s="1"/>
  <c r="L11" i="3"/>
  <c r="R11" i="3"/>
  <c r="M11" i="3"/>
  <c r="S11" i="3"/>
  <c r="N11" i="3"/>
  <c r="T11" i="3"/>
  <c r="K12" i="3"/>
  <c r="Q12" i="3" s="1"/>
  <c r="L12" i="3"/>
  <c r="R12" i="3"/>
  <c r="M12" i="3"/>
  <c r="S12" i="3" s="1"/>
  <c r="N12" i="3"/>
  <c r="T12" i="3"/>
  <c r="K13" i="3"/>
  <c r="Q13" i="3"/>
  <c r="V13" i="3" s="1"/>
  <c r="L13" i="3"/>
  <c r="P13" i="3" s="1"/>
  <c r="R13" i="3"/>
  <c r="U13" i="3" s="1"/>
  <c r="M13" i="3"/>
  <c r="S13" i="3"/>
  <c r="N13" i="3"/>
  <c r="T13" i="3"/>
  <c r="K14" i="3"/>
  <c r="Q14" i="3"/>
  <c r="L14" i="3"/>
  <c r="R14" i="3" s="1"/>
  <c r="U14" i="3" s="1"/>
  <c r="M14" i="3"/>
  <c r="S14" i="3"/>
  <c r="N14" i="3"/>
  <c r="T14" i="3" s="1"/>
  <c r="K15" i="3"/>
  <c r="O15" i="3" s="1"/>
  <c r="Q15" i="3"/>
  <c r="U15" i="3" s="1"/>
  <c r="L15" i="3"/>
  <c r="R15" i="3"/>
  <c r="M15" i="3"/>
  <c r="S15" i="3"/>
  <c r="N15" i="3"/>
  <c r="T15" i="3"/>
  <c r="K16" i="3"/>
  <c r="Q16" i="3" s="1"/>
  <c r="L16" i="3"/>
  <c r="R16" i="3"/>
  <c r="M16" i="3"/>
  <c r="S16" i="3" s="1"/>
  <c r="N16" i="3"/>
  <c r="T16" i="3"/>
  <c r="K17" i="3"/>
  <c r="Q17" i="3"/>
  <c r="V17" i="3" s="1"/>
  <c r="L17" i="3"/>
  <c r="P17" i="3" s="1"/>
  <c r="R17" i="3"/>
  <c r="U17" i="3" s="1"/>
  <c r="M17" i="3"/>
  <c r="S17" i="3"/>
  <c r="N17" i="3"/>
  <c r="T17" i="3"/>
  <c r="K18" i="3"/>
  <c r="Q18" i="3"/>
  <c r="L18" i="3"/>
  <c r="R18" i="3" s="1"/>
  <c r="U18" i="3" s="1"/>
  <c r="M18" i="3"/>
  <c r="S18" i="3"/>
  <c r="N18" i="3"/>
  <c r="T18" i="3" s="1"/>
  <c r="K19" i="3"/>
  <c r="O19" i="3" s="1"/>
  <c r="Q19" i="3"/>
  <c r="U19" i="3" s="1"/>
  <c r="L19" i="3"/>
  <c r="R19" i="3"/>
  <c r="M19" i="3"/>
  <c r="S19" i="3"/>
  <c r="N19" i="3"/>
  <c r="T19" i="3"/>
  <c r="K20" i="3"/>
  <c r="Q20" i="3" s="1"/>
  <c r="L20" i="3"/>
  <c r="R20" i="3"/>
  <c r="M20" i="3"/>
  <c r="S20" i="3" s="1"/>
  <c r="N20" i="3"/>
  <c r="T20" i="3"/>
  <c r="K21" i="3"/>
  <c r="Q21" i="3"/>
  <c r="V21" i="3" s="1"/>
  <c r="L21" i="3"/>
  <c r="P21" i="3" s="1"/>
  <c r="R21" i="3"/>
  <c r="U21" i="3" s="1"/>
  <c r="M21" i="3"/>
  <c r="S21" i="3"/>
  <c r="N21" i="3"/>
  <c r="T21" i="3"/>
  <c r="K22" i="3"/>
  <c r="Q22" i="3"/>
  <c r="L22" i="3"/>
  <c r="R22" i="3" s="1"/>
  <c r="U22" i="3" s="1"/>
  <c r="M22" i="3"/>
  <c r="S22" i="3"/>
  <c r="N22" i="3"/>
  <c r="T22" i="3" s="1"/>
  <c r="K23" i="3"/>
  <c r="O23" i="3" s="1"/>
  <c r="Q23" i="3"/>
  <c r="U23" i="3" s="1"/>
  <c r="L23" i="3"/>
  <c r="R23" i="3"/>
  <c r="M23" i="3"/>
  <c r="S23" i="3"/>
  <c r="N23" i="3"/>
  <c r="T23" i="3"/>
  <c r="K24" i="3"/>
  <c r="Q24" i="3" s="1"/>
  <c r="L24" i="3"/>
  <c r="R24" i="3"/>
  <c r="M24" i="3"/>
  <c r="S24" i="3" s="1"/>
  <c r="N24" i="3"/>
  <c r="T24" i="3"/>
  <c r="K25" i="3"/>
  <c r="Q25" i="3"/>
  <c r="V25" i="3" s="1"/>
  <c r="L25" i="3"/>
  <c r="P25" i="3" s="1"/>
  <c r="R25" i="3"/>
  <c r="U25" i="3" s="1"/>
  <c r="M25" i="3"/>
  <c r="S25" i="3"/>
  <c r="N25" i="3"/>
  <c r="T25" i="3"/>
  <c r="K26" i="3"/>
  <c r="Q26" i="3"/>
  <c r="L26" i="3"/>
  <c r="R26" i="3" s="1"/>
  <c r="U26" i="3" s="1"/>
  <c r="M26" i="3"/>
  <c r="S26" i="3"/>
  <c r="N26" i="3"/>
  <c r="T26" i="3" s="1"/>
  <c r="K27" i="3"/>
  <c r="O27" i="3" s="1"/>
  <c r="Q27" i="3"/>
  <c r="U27" i="3" s="1"/>
  <c r="L27" i="3"/>
  <c r="R27" i="3"/>
  <c r="M27" i="3"/>
  <c r="S27" i="3"/>
  <c r="N27" i="3"/>
  <c r="T27" i="3"/>
  <c r="K28" i="3"/>
  <c r="Q28" i="3" s="1"/>
  <c r="L28" i="3"/>
  <c r="R28" i="3"/>
  <c r="M28" i="3"/>
  <c r="S28" i="3" s="1"/>
  <c r="N28" i="3"/>
  <c r="T28" i="3"/>
  <c r="K29" i="3"/>
  <c r="Q29" i="3"/>
  <c r="V29" i="3" s="1"/>
  <c r="L29" i="3"/>
  <c r="P29" i="3" s="1"/>
  <c r="R29" i="3"/>
  <c r="U29" i="3" s="1"/>
  <c r="M29" i="3"/>
  <c r="S29" i="3"/>
  <c r="N29" i="3"/>
  <c r="T29" i="3"/>
  <c r="K30" i="3"/>
  <c r="Q30" i="3"/>
  <c r="L30" i="3"/>
  <c r="R30" i="3" s="1"/>
  <c r="U30" i="3" s="1"/>
  <c r="M30" i="3"/>
  <c r="S30" i="3"/>
  <c r="N30" i="3"/>
  <c r="T30" i="3" s="1"/>
  <c r="V31" i="3"/>
  <c r="K32" i="3"/>
  <c r="Q32" i="3" s="1"/>
  <c r="L32" i="3"/>
  <c r="R32" i="3"/>
  <c r="M32" i="3"/>
  <c r="S32" i="3" s="1"/>
  <c r="N32" i="3"/>
  <c r="T32" i="3"/>
  <c r="K33" i="3"/>
  <c r="Q33" i="3"/>
  <c r="V33" i="3" s="1"/>
  <c r="L33" i="3"/>
  <c r="P33" i="3" s="1"/>
  <c r="R33" i="3"/>
  <c r="U33" i="3" s="1"/>
  <c r="W33" i="3" s="1"/>
  <c r="M33" i="3"/>
  <c r="S33" i="3"/>
  <c r="N33" i="3"/>
  <c r="T33" i="3"/>
  <c r="K4" i="3"/>
  <c r="Q4" i="3"/>
  <c r="L4" i="3"/>
  <c r="R4" i="3" s="1"/>
  <c r="U4" i="3" s="1"/>
  <c r="M4" i="3"/>
  <c r="S4" i="3"/>
  <c r="N4" i="3"/>
  <c r="T4" i="3" s="1"/>
  <c r="P4" i="3"/>
  <c r="P7" i="3"/>
  <c r="P11" i="3"/>
  <c r="P15" i="3"/>
  <c r="P19" i="3"/>
  <c r="P23" i="3"/>
  <c r="P27" i="3"/>
  <c r="P31" i="3"/>
  <c r="O5" i="3"/>
  <c r="O6" i="3"/>
  <c r="O9" i="3"/>
  <c r="O10" i="3"/>
  <c r="O13" i="3"/>
  <c r="O14" i="3"/>
  <c r="O17" i="3"/>
  <c r="O18" i="3"/>
  <c r="O21" i="3"/>
  <c r="O22" i="3"/>
  <c r="O25" i="3"/>
  <c r="O26" i="3"/>
  <c r="O29" i="3"/>
  <c r="O30" i="3"/>
  <c r="O31" i="3"/>
  <c r="O33" i="3"/>
  <c r="U32" i="3" l="1"/>
  <c r="V32" i="3"/>
  <c r="V4" i="3"/>
  <c r="X14" i="3"/>
  <c r="V12" i="3"/>
  <c r="U12" i="3"/>
  <c r="U28" i="3"/>
  <c r="X27" i="3" s="1"/>
  <c r="V28" i="3"/>
  <c r="W22" i="3"/>
  <c r="V20" i="3"/>
  <c r="U20" i="3"/>
  <c r="V14" i="3"/>
  <c r="V10" i="3"/>
  <c r="W4" i="3"/>
  <c r="V24" i="3"/>
  <c r="U24" i="3"/>
  <c r="X22" i="3" s="1"/>
  <c r="V16" i="3"/>
  <c r="U16" i="3"/>
  <c r="W14" i="3" s="1"/>
  <c r="V8" i="3"/>
  <c r="U8" i="3"/>
  <c r="X4" i="3" s="1"/>
  <c r="V30" i="3"/>
  <c r="V26" i="3"/>
  <c r="V22" i="3"/>
  <c r="V18" i="3"/>
  <c r="V6" i="3"/>
  <c r="V15" i="3"/>
  <c r="P30" i="3"/>
  <c r="P22" i="3"/>
  <c r="P14" i="3"/>
  <c r="P6" i="3"/>
  <c r="V27" i="3"/>
  <c r="V23" i="3"/>
  <c r="V19" i="3"/>
  <c r="V11" i="3"/>
  <c r="V7" i="3"/>
  <c r="O32" i="3"/>
  <c r="O28" i="3"/>
  <c r="O24" i="3"/>
  <c r="O20" i="3"/>
  <c r="O16" i="3"/>
  <c r="O12" i="3"/>
  <c r="O8" i="3"/>
  <c r="P26" i="3"/>
  <c r="P18" i="3"/>
  <c r="P10" i="3"/>
  <c r="P32" i="3"/>
  <c r="P28" i="3"/>
  <c r="P24" i="3"/>
  <c r="P20" i="3"/>
  <c r="P16" i="3"/>
  <c r="P12" i="3"/>
  <c r="P8" i="3"/>
  <c r="O4" i="3"/>
  <c r="AD1246" i="1"/>
  <c r="AC1246" i="1"/>
  <c r="AD1242" i="1"/>
  <c r="AC1242" i="1"/>
  <c r="AD1238" i="1"/>
  <c r="AC1238" i="1"/>
  <c r="AD1234" i="1"/>
  <c r="AC1234" i="1"/>
  <c r="AD1230" i="1"/>
  <c r="AC1230" i="1"/>
  <c r="AD1226" i="1"/>
  <c r="AC1226" i="1"/>
  <c r="AD1222" i="1"/>
  <c r="AC1222" i="1"/>
  <c r="AD1218" i="1"/>
  <c r="AC1218" i="1"/>
  <c r="AD1214" i="1"/>
  <c r="AC1214" i="1"/>
  <c r="AD1210" i="1"/>
  <c r="AC1210" i="1"/>
  <c r="AD1206" i="1"/>
  <c r="AC1206" i="1"/>
  <c r="AD1202" i="1"/>
  <c r="AC1202" i="1"/>
  <c r="AD1198" i="1"/>
  <c r="AC1198" i="1"/>
  <c r="AD1194" i="1"/>
  <c r="AC1194" i="1"/>
  <c r="AD1190" i="1"/>
  <c r="AC1190" i="1"/>
  <c r="AD1186" i="1"/>
  <c r="AC1186" i="1"/>
  <c r="AD1182" i="1"/>
  <c r="AC1182" i="1"/>
  <c r="AD1178" i="1"/>
  <c r="AC1178" i="1"/>
  <c r="AD1174" i="1"/>
  <c r="AC1174" i="1"/>
  <c r="AD1170" i="1"/>
  <c r="AC1170" i="1"/>
  <c r="AD1166" i="1"/>
  <c r="AC1166" i="1"/>
  <c r="AD1162" i="1"/>
  <c r="AC1162" i="1"/>
  <c r="AD1158" i="1"/>
  <c r="AC1158" i="1"/>
  <c r="AD1154" i="1"/>
  <c r="AC1154" i="1"/>
  <c r="AD1150" i="1"/>
  <c r="AC1150" i="1"/>
  <c r="AD1146" i="1"/>
  <c r="AC1146" i="1"/>
  <c r="AD1142" i="1"/>
  <c r="AC1142" i="1"/>
  <c r="AD1138" i="1"/>
  <c r="AC1138" i="1"/>
  <c r="AD1134" i="1"/>
  <c r="AC1134" i="1"/>
  <c r="AD1130" i="1"/>
  <c r="AC1130" i="1"/>
  <c r="AD1126" i="1"/>
  <c r="AC1126" i="1"/>
  <c r="AD1122" i="1"/>
  <c r="AC1122" i="1"/>
  <c r="AD1118" i="1"/>
  <c r="AC1118" i="1"/>
  <c r="AD1114" i="1"/>
  <c r="AC1114" i="1"/>
  <c r="AD1110" i="1"/>
  <c r="AC1110" i="1"/>
  <c r="AD1106" i="1"/>
  <c r="AC1106" i="1"/>
  <c r="AD1102" i="1"/>
  <c r="AC1102" i="1"/>
  <c r="AD1098" i="1"/>
  <c r="AC1098" i="1"/>
  <c r="AC1083" i="1"/>
  <c r="AD1083" i="1"/>
  <c r="AC1080" i="1"/>
  <c r="AD1080" i="1"/>
  <c r="AC1074" i="1"/>
  <c r="AD1074" i="1"/>
  <c r="AD1031" i="1"/>
  <c r="AC1031" i="1"/>
  <c r="AC1019" i="1"/>
  <c r="AD1019" i="1"/>
  <c r="AC1016" i="1"/>
  <c r="AD1016" i="1"/>
  <c r="AC1011" i="1"/>
  <c r="AD1011" i="1"/>
  <c r="AC1008" i="1"/>
  <c r="AD1008" i="1"/>
  <c r="AC1003" i="1"/>
  <c r="AD1003" i="1"/>
  <c r="AC1000" i="1"/>
  <c r="AD1000" i="1"/>
  <c r="AC995" i="1"/>
  <c r="AD995" i="1"/>
  <c r="AC992" i="1"/>
  <c r="AD992" i="1"/>
  <c r="AC986" i="1"/>
  <c r="AD986" i="1"/>
  <c r="AD943" i="1"/>
  <c r="AC943" i="1"/>
  <c r="AD935" i="1"/>
  <c r="AC935" i="1"/>
  <c r="AD927" i="1"/>
  <c r="AC927" i="1"/>
  <c r="AC907" i="1"/>
  <c r="AD907" i="1"/>
  <c r="AC904" i="1"/>
  <c r="AD904" i="1"/>
  <c r="AC900" i="1"/>
  <c r="AD900" i="1"/>
  <c r="AD894" i="1"/>
  <c r="AC894" i="1"/>
  <c r="AC875" i="1"/>
  <c r="AD875" i="1"/>
  <c r="AC858" i="1"/>
  <c r="AD858" i="1"/>
  <c r="AC835" i="1"/>
  <c r="AD835" i="1"/>
  <c r="AC832" i="1"/>
  <c r="AD832" i="1"/>
  <c r="AC830" i="1"/>
  <c r="AD830" i="1"/>
  <c r="AC819" i="1"/>
  <c r="AD819" i="1"/>
  <c r="AC816" i="1"/>
  <c r="AD816" i="1"/>
  <c r="AC814" i="1"/>
  <c r="AD814" i="1"/>
  <c r="AC803" i="1"/>
  <c r="AD803" i="1"/>
  <c r="AC800" i="1"/>
  <c r="AD800" i="1"/>
  <c r="AC798" i="1"/>
  <c r="AD798" i="1"/>
  <c r="AC787" i="1"/>
  <c r="AD787" i="1"/>
  <c r="AC784" i="1"/>
  <c r="AD784" i="1"/>
  <c r="AC782" i="1"/>
  <c r="AD782" i="1"/>
  <c r="AC771" i="1"/>
  <c r="AD771" i="1"/>
  <c r="AC768" i="1"/>
  <c r="AD768" i="1"/>
  <c r="AC766" i="1"/>
  <c r="AD766" i="1"/>
  <c r="AC759" i="1"/>
  <c r="AD759" i="1"/>
  <c r="AC746" i="1"/>
  <c r="AD746" i="1"/>
  <c r="AC734" i="1"/>
  <c r="AD734" i="1"/>
  <c r="AC714" i="1"/>
  <c r="AD714" i="1"/>
  <c r="AC702" i="1"/>
  <c r="AD702" i="1"/>
  <c r="AC682" i="1"/>
  <c r="AD682" i="1"/>
  <c r="AC670" i="1"/>
  <c r="AD670" i="1"/>
  <c r="AC650" i="1"/>
  <c r="AD650" i="1"/>
  <c r="AC638" i="1"/>
  <c r="AD638" i="1"/>
  <c r="AC618" i="1"/>
  <c r="AD618" i="1"/>
  <c r="AD1095" i="1"/>
  <c r="AC1095" i="1"/>
  <c r="AD1087" i="1"/>
  <c r="AC1087" i="1"/>
  <c r="AC1075" i="1"/>
  <c r="AD1075" i="1"/>
  <c r="AC1072" i="1"/>
  <c r="AD1072" i="1"/>
  <c r="AC1067" i="1"/>
  <c r="AD1067" i="1"/>
  <c r="AC1064" i="1"/>
  <c r="AD1064" i="1"/>
  <c r="AC1059" i="1"/>
  <c r="AD1059" i="1"/>
  <c r="AC1056" i="1"/>
  <c r="AD1056" i="1"/>
  <c r="AC1051" i="1"/>
  <c r="AD1051" i="1"/>
  <c r="AC1048" i="1"/>
  <c r="AD1048" i="1"/>
  <c r="AC1043" i="1"/>
  <c r="AD1043" i="1"/>
  <c r="AC1040" i="1"/>
  <c r="AD1040" i="1"/>
  <c r="AC1034" i="1"/>
  <c r="AD1034" i="1"/>
  <c r="AD1023" i="1"/>
  <c r="AC1023" i="1"/>
  <c r="AC987" i="1"/>
  <c r="AD987" i="1"/>
  <c r="AC984" i="1"/>
  <c r="AD984" i="1"/>
  <c r="AC979" i="1"/>
  <c r="AD979" i="1"/>
  <c r="AC976" i="1"/>
  <c r="AD976" i="1"/>
  <c r="AC971" i="1"/>
  <c r="AD971" i="1"/>
  <c r="AC968" i="1"/>
  <c r="AD968" i="1"/>
  <c r="AC963" i="1"/>
  <c r="AD963" i="1"/>
  <c r="AC960" i="1"/>
  <c r="AD960" i="1"/>
  <c r="AC955" i="1"/>
  <c r="AD955" i="1"/>
  <c r="AC952" i="1"/>
  <c r="AD952" i="1"/>
  <c r="AC947" i="1"/>
  <c r="AD947" i="1"/>
  <c r="AD919" i="1"/>
  <c r="AC919" i="1"/>
  <c r="AD911" i="1"/>
  <c r="AC911" i="1"/>
  <c r="AC892" i="1"/>
  <c r="AD892" i="1"/>
  <c r="AC880" i="1"/>
  <c r="AD880" i="1"/>
  <c r="AC878" i="1"/>
  <c r="AD878" i="1"/>
  <c r="AC859" i="1"/>
  <c r="AD859" i="1"/>
  <c r="AC842" i="1"/>
  <c r="AD842" i="1"/>
  <c r="AD1079" i="1"/>
  <c r="AC1079" i="1"/>
  <c r="AC1035" i="1"/>
  <c r="AD1035" i="1"/>
  <c r="AC1032" i="1"/>
  <c r="AD1032" i="1"/>
  <c r="AC1026" i="1"/>
  <c r="AD1026" i="1"/>
  <c r="AD1015" i="1"/>
  <c r="AC1015" i="1"/>
  <c r="AD1007" i="1"/>
  <c r="AC1007" i="1"/>
  <c r="AD999" i="1"/>
  <c r="AC999" i="1"/>
  <c r="AD991" i="1"/>
  <c r="AC991" i="1"/>
  <c r="AC956" i="1"/>
  <c r="AD956" i="1"/>
  <c r="AC939" i="1"/>
  <c r="AD939" i="1"/>
  <c r="AC936" i="1"/>
  <c r="AD936" i="1"/>
  <c r="AC931" i="1"/>
  <c r="AD931" i="1"/>
  <c r="AC928" i="1"/>
  <c r="AD928" i="1"/>
  <c r="AC923" i="1"/>
  <c r="AD923" i="1"/>
  <c r="AC914" i="1"/>
  <c r="AD914" i="1"/>
  <c r="AD903" i="1"/>
  <c r="AC903" i="1"/>
  <c r="AC896" i="1"/>
  <c r="AD896" i="1"/>
  <c r="AC864" i="1"/>
  <c r="AD864" i="1"/>
  <c r="AC862" i="1"/>
  <c r="AD862" i="1"/>
  <c r="AC843" i="1"/>
  <c r="AD843" i="1"/>
  <c r="U31" i="3"/>
  <c r="AD1247" i="1"/>
  <c r="AC1247" i="1"/>
  <c r="AD1243" i="1"/>
  <c r="AC1243" i="1"/>
  <c r="AD1239" i="1"/>
  <c r="AC1239" i="1"/>
  <c r="AD1235" i="1"/>
  <c r="AC1235" i="1"/>
  <c r="AD1231" i="1"/>
  <c r="AC1231" i="1"/>
  <c r="AD1227" i="1"/>
  <c r="AC1227" i="1"/>
  <c r="AD1223" i="1"/>
  <c r="AC1223" i="1"/>
  <c r="AD1219" i="1"/>
  <c r="AC1219" i="1"/>
  <c r="AD1215" i="1"/>
  <c r="AC1215" i="1"/>
  <c r="AD1211" i="1"/>
  <c r="AC1211" i="1"/>
  <c r="AD1207" i="1"/>
  <c r="AC1207" i="1"/>
  <c r="AD1203" i="1"/>
  <c r="AC1203" i="1"/>
  <c r="AD1199" i="1"/>
  <c r="AC1199" i="1"/>
  <c r="AD1195" i="1"/>
  <c r="AC1195" i="1"/>
  <c r="AD1191" i="1"/>
  <c r="AC1191" i="1"/>
  <c r="AD1187" i="1"/>
  <c r="AC1187" i="1"/>
  <c r="AD1183" i="1"/>
  <c r="AC1183" i="1"/>
  <c r="AD1179" i="1"/>
  <c r="AC1179" i="1"/>
  <c r="AD1175" i="1"/>
  <c r="AC1175" i="1"/>
  <c r="AD1171" i="1"/>
  <c r="AC1171" i="1"/>
  <c r="AD1167" i="1"/>
  <c r="AC1167" i="1"/>
  <c r="AD1163" i="1"/>
  <c r="AC1163" i="1"/>
  <c r="AD1159" i="1"/>
  <c r="AC1159" i="1"/>
  <c r="AD1155" i="1"/>
  <c r="AC1155" i="1"/>
  <c r="AD1151" i="1"/>
  <c r="AC1151" i="1"/>
  <c r="AD1147" i="1"/>
  <c r="AC1147" i="1"/>
  <c r="AD1143" i="1"/>
  <c r="AC1143" i="1"/>
  <c r="AD1139" i="1"/>
  <c r="AC1139" i="1"/>
  <c r="AD1135" i="1"/>
  <c r="AC1135" i="1"/>
  <c r="AD1131" i="1"/>
  <c r="AC1131" i="1"/>
  <c r="AD1127" i="1"/>
  <c r="AC1127" i="1"/>
  <c r="AD1123" i="1"/>
  <c r="AC1123" i="1"/>
  <c r="AD1119" i="1"/>
  <c r="AC1119" i="1"/>
  <c r="AD1115" i="1"/>
  <c r="AC1115" i="1"/>
  <c r="AD1111" i="1"/>
  <c r="AC1111" i="1"/>
  <c r="AD1107" i="1"/>
  <c r="AC1107" i="1"/>
  <c r="AD1103" i="1"/>
  <c r="AC1103" i="1"/>
  <c r="AD1099" i="1"/>
  <c r="AC1099" i="1"/>
  <c r="AC1091" i="1"/>
  <c r="AD1091" i="1"/>
  <c r="AC1088" i="1"/>
  <c r="AD1088" i="1"/>
  <c r="AC1082" i="1"/>
  <c r="AD1082" i="1"/>
  <c r="AD1071" i="1"/>
  <c r="AC1071" i="1"/>
  <c r="AD1063" i="1"/>
  <c r="AC1063" i="1"/>
  <c r="AD1055" i="1"/>
  <c r="AC1055" i="1"/>
  <c r="AD1047" i="1"/>
  <c r="AC1047" i="1"/>
  <c r="AD1039" i="1"/>
  <c r="AC1039" i="1"/>
  <c r="AC1027" i="1"/>
  <c r="AD1027" i="1"/>
  <c r="AC1024" i="1"/>
  <c r="AD1024" i="1"/>
  <c r="AC1018" i="1"/>
  <c r="AD1018" i="1"/>
  <c r="AD983" i="1"/>
  <c r="AC983" i="1"/>
  <c r="AD975" i="1"/>
  <c r="AC975" i="1"/>
  <c r="AD967" i="1"/>
  <c r="AC967" i="1"/>
  <c r="AD959" i="1"/>
  <c r="AC959" i="1"/>
  <c r="AD951" i="1"/>
  <c r="AC951" i="1"/>
  <c r="AC915" i="1"/>
  <c r="AD915" i="1"/>
  <c r="AC912" i="1"/>
  <c r="AD912" i="1"/>
  <c r="AC906" i="1"/>
  <c r="AD906" i="1"/>
  <c r="AC888" i="1"/>
  <c r="AD888" i="1"/>
  <c r="AC886" i="1"/>
  <c r="AD886" i="1"/>
  <c r="AC874" i="1"/>
  <c r="AD874" i="1"/>
  <c r="AC848" i="1"/>
  <c r="AD848" i="1"/>
  <c r="AC846" i="1"/>
  <c r="AD846" i="1"/>
  <c r="AA1090" i="1"/>
  <c r="AB1090" i="1" s="1"/>
  <c r="AA1066" i="1"/>
  <c r="AB1066" i="1" s="1"/>
  <c r="AA1058" i="1"/>
  <c r="AB1058" i="1" s="1"/>
  <c r="AA1050" i="1"/>
  <c r="AB1050" i="1" s="1"/>
  <c r="AA1042" i="1"/>
  <c r="AB1042" i="1" s="1"/>
  <c r="AA1010" i="1"/>
  <c r="AB1010" i="1" s="1"/>
  <c r="AA1002" i="1"/>
  <c r="AB1002" i="1" s="1"/>
  <c r="AA994" i="1"/>
  <c r="AB994" i="1" s="1"/>
  <c r="AA978" i="1"/>
  <c r="AB978" i="1" s="1"/>
  <c r="AA970" i="1"/>
  <c r="AB970" i="1" s="1"/>
  <c r="AA962" i="1"/>
  <c r="AB962" i="1" s="1"/>
  <c r="AA954" i="1"/>
  <c r="AB954" i="1" s="1"/>
  <c r="AA946" i="1"/>
  <c r="AB946" i="1" s="1"/>
  <c r="AA938" i="1"/>
  <c r="AB938" i="1" s="1"/>
  <c r="AA930" i="1"/>
  <c r="AB930" i="1" s="1"/>
  <c r="AA922" i="1"/>
  <c r="AB922" i="1" s="1"/>
  <c r="AA895" i="1"/>
  <c r="AB895" i="1" s="1"/>
  <c r="AA884" i="1"/>
  <c r="AB884" i="1" s="1"/>
  <c r="AA868" i="1"/>
  <c r="AB868" i="1" s="1"/>
  <c r="AA852" i="1"/>
  <c r="AB852" i="1" s="1"/>
  <c r="AA1092" i="1"/>
  <c r="AB1092" i="1" s="1"/>
  <c r="AA1084" i="1"/>
  <c r="AB1084" i="1" s="1"/>
  <c r="AA1076" i="1"/>
  <c r="AB1076" i="1" s="1"/>
  <c r="AA1068" i="1"/>
  <c r="AB1068" i="1" s="1"/>
  <c r="AA1060" i="1"/>
  <c r="AB1060" i="1" s="1"/>
  <c r="AA1052" i="1"/>
  <c r="AB1052" i="1" s="1"/>
  <c r="AA1044" i="1"/>
  <c r="AB1044" i="1" s="1"/>
  <c r="AA1036" i="1"/>
  <c r="AB1036" i="1" s="1"/>
  <c r="AA1028" i="1"/>
  <c r="AB1028" i="1" s="1"/>
  <c r="AA1020" i="1"/>
  <c r="AB1020" i="1" s="1"/>
  <c r="AA1012" i="1"/>
  <c r="AB1012" i="1" s="1"/>
  <c r="AA1004" i="1"/>
  <c r="AB1004" i="1" s="1"/>
  <c r="AA996" i="1"/>
  <c r="AB996" i="1" s="1"/>
  <c r="AA988" i="1"/>
  <c r="AB988" i="1" s="1"/>
  <c r="AA980" i="1"/>
  <c r="AB980" i="1" s="1"/>
  <c r="AA972" i="1"/>
  <c r="AB972" i="1" s="1"/>
  <c r="AA964" i="1"/>
  <c r="AB964" i="1" s="1"/>
  <c r="AA948" i="1"/>
  <c r="AB948" i="1" s="1"/>
  <c r="AA940" i="1"/>
  <c r="AB940" i="1" s="1"/>
  <c r="AA932" i="1"/>
  <c r="AB932" i="1" s="1"/>
  <c r="AA924" i="1"/>
  <c r="AB924" i="1" s="1"/>
  <c r="AA916" i="1"/>
  <c r="AB916" i="1" s="1"/>
  <c r="AA908" i="1"/>
  <c r="AB908" i="1" s="1"/>
  <c r="AA897" i="1"/>
  <c r="AB897" i="1" s="1"/>
  <c r="AA872" i="1"/>
  <c r="AB872" i="1" s="1"/>
  <c r="AA856" i="1"/>
  <c r="AB856" i="1" s="1"/>
  <c r="AA1094" i="1"/>
  <c r="AB1094" i="1" s="1"/>
  <c r="AA1070" i="1"/>
  <c r="AB1070" i="1" s="1"/>
  <c r="AA1062" i="1"/>
  <c r="AB1062" i="1" s="1"/>
  <c r="AA1054" i="1"/>
  <c r="AB1054" i="1" s="1"/>
  <c r="AA1046" i="1"/>
  <c r="AB1046" i="1" s="1"/>
  <c r="AA1014" i="1"/>
  <c r="AB1014" i="1" s="1"/>
  <c r="AA1006" i="1"/>
  <c r="AB1006" i="1" s="1"/>
  <c r="AA998" i="1"/>
  <c r="AB998" i="1" s="1"/>
  <c r="AA982" i="1"/>
  <c r="AB982" i="1" s="1"/>
  <c r="AA974" i="1"/>
  <c r="AB974" i="1" s="1"/>
  <c r="AA966" i="1"/>
  <c r="AB966" i="1" s="1"/>
  <c r="AA958" i="1"/>
  <c r="AB958" i="1" s="1"/>
  <c r="AA950" i="1"/>
  <c r="AB950" i="1" s="1"/>
  <c r="AA942" i="1"/>
  <c r="AB942" i="1" s="1"/>
  <c r="AA934" i="1"/>
  <c r="AB934" i="1" s="1"/>
  <c r="AA926" i="1"/>
  <c r="AB926" i="1" s="1"/>
  <c r="AA918" i="1"/>
  <c r="AB918" i="1" s="1"/>
  <c r="AA899" i="1"/>
  <c r="AB899" i="1" s="1"/>
  <c r="AA891" i="1"/>
  <c r="AB891" i="1" s="1"/>
  <c r="AA876" i="1"/>
  <c r="AB876" i="1" s="1"/>
  <c r="AA860" i="1"/>
  <c r="AB860" i="1" s="1"/>
  <c r="AA844" i="1"/>
  <c r="AB844" i="1" s="1"/>
  <c r="AA438" i="1"/>
  <c r="AB438" i="1" s="1"/>
  <c r="AA406" i="1"/>
  <c r="AB406" i="1" s="1"/>
  <c r="AA374" i="1"/>
  <c r="AB374" i="1" s="1"/>
  <c r="AA298" i="1"/>
  <c r="AB298" i="1" s="1"/>
  <c r="AA752" i="1"/>
  <c r="AB752" i="1" s="1"/>
  <c r="AA744" i="1"/>
  <c r="AB744" i="1" s="1"/>
  <c r="AA736" i="1"/>
  <c r="AB736" i="1" s="1"/>
  <c r="AA728" i="1"/>
  <c r="AB728" i="1" s="1"/>
  <c r="AA720" i="1"/>
  <c r="AB720" i="1" s="1"/>
  <c r="AA712" i="1"/>
  <c r="AB712" i="1" s="1"/>
  <c r="AA704" i="1"/>
  <c r="AB704" i="1" s="1"/>
  <c r="AA696" i="1"/>
  <c r="AB696" i="1" s="1"/>
  <c r="AA688" i="1"/>
  <c r="AB688" i="1" s="1"/>
  <c r="AA680" i="1"/>
  <c r="AB680" i="1" s="1"/>
  <c r="AA672" i="1"/>
  <c r="AB672" i="1" s="1"/>
  <c r="AA664" i="1"/>
  <c r="AB664" i="1" s="1"/>
  <c r="AA656" i="1"/>
  <c r="AB656" i="1" s="1"/>
  <c r="AA648" i="1"/>
  <c r="AB648" i="1" s="1"/>
  <c r="AA640" i="1"/>
  <c r="AB640" i="1" s="1"/>
  <c r="AA632" i="1"/>
  <c r="AB632" i="1" s="1"/>
  <c r="AA624" i="1"/>
  <c r="AB624" i="1" s="1"/>
  <c r="AA616" i="1"/>
  <c r="AB616" i="1" s="1"/>
  <c r="AA605" i="1"/>
  <c r="AB605" i="1" s="1"/>
  <c r="AA476" i="1"/>
  <c r="AB476" i="1" s="1"/>
  <c r="AA608" i="1"/>
  <c r="AB608" i="1" s="1"/>
  <c r="AA756" i="1"/>
  <c r="AB756" i="1" s="1"/>
  <c r="AA748" i="1"/>
  <c r="AB748" i="1" s="1"/>
  <c r="AA740" i="1"/>
  <c r="AB740" i="1" s="1"/>
  <c r="AA732" i="1"/>
  <c r="AB732" i="1" s="1"/>
  <c r="AA724" i="1"/>
  <c r="AB724" i="1" s="1"/>
  <c r="AA716" i="1"/>
  <c r="AB716" i="1" s="1"/>
  <c r="AA708" i="1"/>
  <c r="AB708" i="1" s="1"/>
  <c r="AA700" i="1"/>
  <c r="AB700" i="1" s="1"/>
  <c r="AA692" i="1"/>
  <c r="AB692" i="1" s="1"/>
  <c r="AA684" i="1"/>
  <c r="AB684" i="1" s="1"/>
  <c r="AA676" i="1"/>
  <c r="AB676" i="1" s="1"/>
  <c r="AA668" i="1"/>
  <c r="AB668" i="1" s="1"/>
  <c r="AA660" i="1"/>
  <c r="AB660" i="1" s="1"/>
  <c r="AA652" i="1"/>
  <c r="AB652" i="1" s="1"/>
  <c r="AA644" i="1"/>
  <c r="AB644" i="1" s="1"/>
  <c r="AA636" i="1"/>
  <c r="AB636" i="1" s="1"/>
  <c r="AA628" i="1"/>
  <c r="AB628" i="1" s="1"/>
  <c r="AA620" i="1"/>
  <c r="AB620" i="1" s="1"/>
  <c r="AA612" i="1"/>
  <c r="AB612" i="1" s="1"/>
  <c r="AA601" i="1"/>
  <c r="AB601" i="1" s="1"/>
  <c r="AA597" i="1"/>
  <c r="AB597" i="1" s="1"/>
  <c r="AA593" i="1"/>
  <c r="AB593" i="1" s="1"/>
  <c r="AA589" i="1"/>
  <c r="AB589" i="1" s="1"/>
  <c r="AA585" i="1"/>
  <c r="AB585" i="1" s="1"/>
  <c r="AA581" i="1"/>
  <c r="AB581" i="1" s="1"/>
  <c r="AA577" i="1"/>
  <c r="AB577" i="1" s="1"/>
  <c r="AA573" i="1"/>
  <c r="AB573" i="1" s="1"/>
  <c r="AA569" i="1"/>
  <c r="AB569" i="1" s="1"/>
  <c r="AA565" i="1"/>
  <c r="AB565" i="1" s="1"/>
  <c r="AA561" i="1"/>
  <c r="AB561" i="1" s="1"/>
  <c r="AA547" i="1"/>
  <c r="AB547" i="1" s="1"/>
  <c r="AA477" i="1"/>
  <c r="AB477" i="1" s="1"/>
  <c r="AA512" i="1"/>
  <c r="AB512" i="1" s="1"/>
  <c r="AA499" i="1"/>
  <c r="AB499" i="1" s="1"/>
  <c r="AA465" i="1"/>
  <c r="AB465" i="1" s="1"/>
  <c r="AA458" i="1"/>
  <c r="AB458" i="1" s="1"/>
  <c r="AA453" i="1"/>
  <c r="AB453" i="1" s="1"/>
  <c r="AA439" i="1"/>
  <c r="AB439" i="1" s="1"/>
  <c r="AA423" i="1"/>
  <c r="AB423" i="1" s="1"/>
  <c r="AA407" i="1"/>
  <c r="AB407" i="1" s="1"/>
  <c r="AA391" i="1"/>
  <c r="AB391" i="1" s="1"/>
  <c r="AA375" i="1"/>
  <c r="AB375" i="1" s="1"/>
  <c r="AA359" i="1"/>
  <c r="AB359" i="1" s="1"/>
  <c r="AA318" i="1"/>
  <c r="AB318" i="1" s="1"/>
  <c r="AA303" i="1"/>
  <c r="AB303" i="1" s="1"/>
  <c r="AA283" i="1"/>
  <c r="AB283" i="1" s="1"/>
  <c r="AA508" i="1"/>
  <c r="AB508" i="1" s="1"/>
  <c r="AA502" i="1"/>
  <c r="AB502" i="1" s="1"/>
  <c r="AA496" i="1"/>
  <c r="AB496" i="1" s="1"/>
  <c r="AA484" i="1"/>
  <c r="AB484" i="1" s="1"/>
  <c r="AA461" i="1"/>
  <c r="AB461" i="1" s="1"/>
  <c r="AA450" i="1"/>
  <c r="AB450" i="1" s="1"/>
  <c r="AA435" i="1"/>
  <c r="AB435" i="1" s="1"/>
  <c r="AA419" i="1"/>
  <c r="AB419" i="1" s="1"/>
  <c r="AA403" i="1"/>
  <c r="AB403" i="1" s="1"/>
  <c r="AA387" i="1"/>
  <c r="AB387" i="1" s="1"/>
  <c r="AA371" i="1"/>
  <c r="AB371" i="1" s="1"/>
  <c r="AA355" i="1"/>
  <c r="AB355" i="1" s="1"/>
  <c r="AA334" i="1"/>
  <c r="AB334" i="1" s="1"/>
  <c r="AA319" i="1"/>
  <c r="AB319" i="1" s="1"/>
  <c r="AA299" i="1"/>
  <c r="AB299" i="1" s="1"/>
  <c r="AA267" i="1"/>
  <c r="AB267" i="1" s="1"/>
  <c r="AA250" i="1"/>
  <c r="AB250" i="1" s="1"/>
  <c r="AA235" i="1"/>
  <c r="AB235" i="1" s="1"/>
  <c r="AA218" i="1"/>
  <c r="AB218" i="1" s="1"/>
  <c r="AA203" i="1"/>
  <c r="AB203" i="1" s="1"/>
  <c r="AA186" i="1"/>
  <c r="AB186" i="1" s="1"/>
  <c r="AA171" i="1"/>
  <c r="AB171" i="1" s="1"/>
  <c r="AA154" i="1"/>
  <c r="AB154" i="1" s="1"/>
  <c r="AA139" i="1"/>
  <c r="AB139" i="1" s="1"/>
  <c r="AA122" i="1"/>
  <c r="AB122" i="1" s="1"/>
  <c r="AA107" i="1"/>
  <c r="AB107" i="1" s="1"/>
  <c r="AA492" i="1"/>
  <c r="AB492" i="1" s="1"/>
  <c r="AA481" i="1"/>
  <c r="AB481" i="1" s="1"/>
  <c r="AA474" i="1"/>
  <c r="AB474" i="1" s="1"/>
  <c r="AA456" i="1"/>
  <c r="AB456" i="1" s="1"/>
  <c r="AA447" i="1"/>
  <c r="AB447" i="1" s="1"/>
  <c r="AA431" i="1"/>
  <c r="AB431" i="1" s="1"/>
  <c r="AA415" i="1"/>
  <c r="AB415" i="1" s="1"/>
  <c r="AA399" i="1"/>
  <c r="AB399" i="1" s="1"/>
  <c r="AA383" i="1"/>
  <c r="AB383" i="1" s="1"/>
  <c r="AA367" i="1"/>
  <c r="AB367" i="1" s="1"/>
  <c r="AA351" i="1"/>
  <c r="AB351" i="1" s="1"/>
  <c r="AA335" i="1"/>
  <c r="AB335" i="1" s="1"/>
  <c r="AA315" i="1"/>
  <c r="AB315" i="1" s="1"/>
  <c r="AA286" i="1"/>
  <c r="AB286" i="1" s="1"/>
  <c r="AA91" i="1"/>
  <c r="AB91" i="1" s="1"/>
  <c r="AA76" i="1"/>
  <c r="AB76" i="1" s="1"/>
  <c r="T1173" i="1"/>
  <c r="AF1173" i="1"/>
  <c r="AA343" i="1"/>
  <c r="AB343" i="1" s="1"/>
  <c r="AA327" i="1"/>
  <c r="AB327" i="1" s="1"/>
  <c r="AA311" i="1"/>
  <c r="AB311" i="1" s="1"/>
  <c r="AA295" i="1"/>
  <c r="AB295" i="1" s="1"/>
  <c r="AA279" i="1"/>
  <c r="AB279" i="1" s="1"/>
  <c r="AA263" i="1"/>
  <c r="AB263" i="1" s="1"/>
  <c r="AA247" i="1"/>
  <c r="AB247" i="1" s="1"/>
  <c r="AA231" i="1"/>
  <c r="AB231" i="1" s="1"/>
  <c r="AA215" i="1"/>
  <c r="AB215" i="1" s="1"/>
  <c r="AA199" i="1"/>
  <c r="AB199" i="1" s="1"/>
  <c r="AA183" i="1"/>
  <c r="AB183" i="1" s="1"/>
  <c r="AA167" i="1"/>
  <c r="AB167" i="1" s="1"/>
  <c r="AA151" i="1"/>
  <c r="AB151" i="1" s="1"/>
  <c r="AA135" i="1"/>
  <c r="AB135" i="1" s="1"/>
  <c r="AA119" i="1"/>
  <c r="AB119" i="1" s="1"/>
  <c r="AA103" i="1"/>
  <c r="AB103" i="1" s="1"/>
  <c r="AA92" i="1"/>
  <c r="AB92" i="1" s="1"/>
  <c r="AA72" i="1"/>
  <c r="AB72" i="1" s="1"/>
  <c r="AA52" i="1"/>
  <c r="AB52" i="1" s="1"/>
  <c r="T1139" i="1"/>
  <c r="AF1139" i="1"/>
  <c r="AA100" i="1"/>
  <c r="AB100" i="1" s="1"/>
  <c r="AA84" i="1"/>
  <c r="AB84" i="1" s="1"/>
  <c r="AA68" i="1"/>
  <c r="AB68" i="1" s="1"/>
  <c r="AA64" i="1"/>
  <c r="AB64" i="1" s="1"/>
  <c r="AA56" i="1"/>
  <c r="AB56" i="1" s="1"/>
  <c r="T1103" i="1"/>
  <c r="AF1103" i="1"/>
  <c r="T431" i="1"/>
  <c r="AF431" i="1"/>
  <c r="T415" i="1"/>
  <c r="AF415" i="1"/>
  <c r="T399" i="1"/>
  <c r="AF399" i="1"/>
  <c r="T383" i="1"/>
  <c r="AF383" i="1"/>
  <c r="T367" i="1"/>
  <c r="AF367" i="1"/>
  <c r="T351" i="1"/>
  <c r="AF351" i="1"/>
  <c r="T335" i="1"/>
  <c r="AF335" i="1"/>
  <c r="T319" i="1"/>
  <c r="AF319" i="1"/>
  <c r="T296" i="1"/>
  <c r="AF296" i="1"/>
  <c r="AF1015" i="1"/>
  <c r="T638" i="1"/>
  <c r="AF638" i="1"/>
  <c r="T444" i="1"/>
  <c r="AF444" i="1"/>
  <c r="T692" i="1"/>
  <c r="AF692" i="1"/>
  <c r="T690" i="1"/>
  <c r="AF690" i="1"/>
  <c r="T688" i="1"/>
  <c r="AF688" i="1"/>
  <c r="T686" i="1"/>
  <c r="AF686" i="1"/>
  <c r="T684" i="1"/>
  <c r="AF684" i="1"/>
  <c r="T682" i="1"/>
  <c r="AF682" i="1"/>
  <c r="T680" i="1"/>
  <c r="AF680" i="1"/>
  <c r="T678" i="1"/>
  <c r="AF678" i="1"/>
  <c r="T676" i="1"/>
  <c r="AF676" i="1"/>
  <c r="T674" i="1"/>
  <c r="AF674" i="1"/>
  <c r="T672" i="1"/>
  <c r="AF672" i="1"/>
  <c r="T670" i="1"/>
  <c r="AF670" i="1"/>
  <c r="T668" i="1"/>
  <c r="AF668" i="1"/>
  <c r="T666" i="1"/>
  <c r="AF666" i="1"/>
  <c r="T664" i="1"/>
  <c r="AF664" i="1"/>
  <c r="T662" i="1"/>
  <c r="AF662" i="1"/>
  <c r="T660" i="1"/>
  <c r="AF660" i="1"/>
  <c r="T658" i="1"/>
  <c r="AF658" i="1"/>
  <c r="T656" i="1"/>
  <c r="AF656" i="1"/>
  <c r="T654" i="1"/>
  <c r="AF654" i="1"/>
  <c r="T652" i="1"/>
  <c r="AF652" i="1"/>
  <c r="T650" i="1"/>
  <c r="AF650" i="1"/>
  <c r="T648" i="1"/>
  <c r="AF648" i="1"/>
  <c r="T646" i="1"/>
  <c r="AF646" i="1"/>
  <c r="T644" i="1"/>
  <c r="AF644" i="1"/>
  <c r="T642" i="1"/>
  <c r="AF642" i="1"/>
  <c r="T447" i="1"/>
  <c r="AF447" i="1"/>
  <c r="AF640" i="1"/>
  <c r="T443" i="1"/>
  <c r="AF443" i="1"/>
  <c r="AF436" i="1"/>
  <c r="T427" i="1"/>
  <c r="AF427" i="1"/>
  <c r="T411" i="1"/>
  <c r="AF411" i="1"/>
  <c r="T395" i="1"/>
  <c r="AF395" i="1"/>
  <c r="T379" i="1"/>
  <c r="AF379" i="1"/>
  <c r="T363" i="1"/>
  <c r="AF363" i="1"/>
  <c r="T347" i="1"/>
  <c r="AF347" i="1"/>
  <c r="T331" i="1"/>
  <c r="AF331" i="1"/>
  <c r="T315" i="1"/>
  <c r="AF315" i="1"/>
  <c r="T308" i="1"/>
  <c r="AF308" i="1"/>
  <c r="T292" i="1"/>
  <c r="AF292" i="1"/>
  <c r="T439" i="1"/>
  <c r="AF439" i="1"/>
  <c r="T423" i="1"/>
  <c r="AF423" i="1"/>
  <c r="T407" i="1"/>
  <c r="AF407" i="1"/>
  <c r="T391" i="1"/>
  <c r="AF391" i="1"/>
  <c r="T375" i="1"/>
  <c r="AF375" i="1"/>
  <c r="T359" i="1"/>
  <c r="AF359" i="1"/>
  <c r="T343" i="1"/>
  <c r="AF343" i="1"/>
  <c r="T327" i="1"/>
  <c r="AF327" i="1"/>
  <c r="T304" i="1"/>
  <c r="AF304" i="1"/>
  <c r="T288" i="1"/>
  <c r="AF288" i="1"/>
  <c r="T281" i="1"/>
  <c r="AF281" i="1"/>
  <c r="T435" i="1"/>
  <c r="AF435" i="1"/>
  <c r="T419" i="1"/>
  <c r="AF419" i="1"/>
  <c r="T403" i="1"/>
  <c r="AF403" i="1"/>
  <c r="T387" i="1"/>
  <c r="AF387" i="1"/>
  <c r="T371" i="1"/>
  <c r="AF371" i="1"/>
  <c r="T355" i="1"/>
  <c r="AF355" i="1"/>
  <c r="T339" i="1"/>
  <c r="AF339" i="1"/>
  <c r="T323" i="1"/>
  <c r="AF323" i="1"/>
  <c r="T300" i="1"/>
  <c r="AF300" i="1"/>
  <c r="AF243" i="1"/>
  <c r="AF277" i="1"/>
  <c r="AF273" i="1"/>
  <c r="AF269" i="1"/>
  <c r="AF265" i="1"/>
  <c r="AF261" i="1"/>
  <c r="AF257" i="1"/>
  <c r="AF253" i="1"/>
  <c r="AF249" i="1"/>
  <c r="AF245" i="1"/>
  <c r="AA13" i="1"/>
  <c r="AB13" i="1" s="1"/>
  <c r="AA9" i="1"/>
  <c r="AB9" i="1" s="1"/>
  <c r="I238" i="11"/>
  <c r="AA14" i="1"/>
  <c r="AB14" i="1" s="1"/>
  <c r="AA10" i="1"/>
  <c r="AB10" i="1" s="1"/>
  <c r="AC13" i="1" l="1"/>
  <c r="AD13" i="1"/>
  <c r="AG351" i="1"/>
  <c r="AH351" i="1"/>
  <c r="AG1103" i="1"/>
  <c r="AH1103" i="1"/>
  <c r="AC231" i="1"/>
  <c r="AD231" i="1"/>
  <c r="AC286" i="1"/>
  <c r="AD286" i="1"/>
  <c r="AC481" i="1"/>
  <c r="AD481" i="1"/>
  <c r="AC267" i="1"/>
  <c r="AD267" i="1"/>
  <c r="AC484" i="1"/>
  <c r="AD484" i="1"/>
  <c r="AC375" i="1"/>
  <c r="AD375" i="1"/>
  <c r="AC561" i="1"/>
  <c r="AD561" i="1"/>
  <c r="AC652" i="1"/>
  <c r="AD652" i="1"/>
  <c r="AC748" i="1"/>
  <c r="AD748" i="1"/>
  <c r="AC672" i="1"/>
  <c r="AD672" i="1"/>
  <c r="AC374" i="1"/>
  <c r="AD374" i="1"/>
  <c r="AC950" i="1"/>
  <c r="AD950" i="1"/>
  <c r="AC1094" i="1"/>
  <c r="AD1094" i="1"/>
  <c r="AC980" i="1"/>
  <c r="AD980" i="1"/>
  <c r="AC1076" i="1"/>
  <c r="AD1076" i="1"/>
  <c r="AC962" i="1"/>
  <c r="AD962" i="1"/>
  <c r="AC14" i="1"/>
  <c r="AD14" i="1"/>
  <c r="AG261" i="1"/>
  <c r="AH261" i="1"/>
  <c r="AG323" i="1"/>
  <c r="AH323" i="1"/>
  <c r="AG387" i="1"/>
  <c r="AH387" i="1"/>
  <c r="AG281" i="1"/>
  <c r="AH281" i="1"/>
  <c r="AG375" i="1"/>
  <c r="AH375" i="1"/>
  <c r="AG439" i="1"/>
  <c r="AH439" i="1"/>
  <c r="AG331" i="1"/>
  <c r="AH331" i="1"/>
  <c r="AG395" i="1"/>
  <c r="AH395" i="1"/>
  <c r="AG646" i="1"/>
  <c r="AH646" i="1"/>
  <c r="AG650" i="1"/>
  <c r="AH650" i="1"/>
  <c r="AG654" i="1"/>
  <c r="AH654" i="1"/>
  <c r="AG658" i="1"/>
  <c r="AH658" i="1"/>
  <c r="AG662" i="1"/>
  <c r="AH662" i="1"/>
  <c r="AG666" i="1"/>
  <c r="AH666" i="1"/>
  <c r="AG670" i="1"/>
  <c r="AH670" i="1"/>
  <c r="AG674" i="1"/>
  <c r="AH674" i="1"/>
  <c r="AG678" i="1"/>
  <c r="AH678" i="1"/>
  <c r="AG682" i="1"/>
  <c r="AH682" i="1"/>
  <c r="AG686" i="1"/>
  <c r="AH686" i="1"/>
  <c r="AG690" i="1"/>
  <c r="AH690" i="1"/>
  <c r="AG444" i="1"/>
  <c r="AH444" i="1"/>
  <c r="AG1015" i="1"/>
  <c r="AH1015" i="1"/>
  <c r="AC84" i="1"/>
  <c r="AD84" i="1"/>
  <c r="AC52" i="1"/>
  <c r="AD52" i="1"/>
  <c r="AC119" i="1"/>
  <c r="AD119" i="1"/>
  <c r="AC183" i="1"/>
  <c r="AD183" i="1"/>
  <c r="AC247" i="1"/>
  <c r="AD247" i="1"/>
  <c r="AC311" i="1"/>
  <c r="AD311" i="1"/>
  <c r="AC315" i="1"/>
  <c r="AD315" i="1"/>
  <c r="AC383" i="1"/>
  <c r="AD383" i="1"/>
  <c r="AC447" i="1"/>
  <c r="AD447" i="1"/>
  <c r="AC492" i="1"/>
  <c r="AD492" i="1"/>
  <c r="AC154" i="1"/>
  <c r="AD154" i="1"/>
  <c r="AC218" i="1"/>
  <c r="AD218" i="1"/>
  <c r="AC299" i="1"/>
  <c r="AD299" i="1"/>
  <c r="AC371" i="1"/>
  <c r="AD371" i="1"/>
  <c r="AC435" i="1"/>
  <c r="AD435" i="1"/>
  <c r="AC496" i="1"/>
  <c r="AD496" i="1"/>
  <c r="AC303" i="1"/>
  <c r="AD303" i="1"/>
  <c r="AC391" i="1"/>
  <c r="AD391" i="1"/>
  <c r="AC453" i="1"/>
  <c r="AD453" i="1"/>
  <c r="AC512" i="1"/>
  <c r="AD512" i="1"/>
  <c r="AC565" i="1"/>
  <c r="AD565" i="1"/>
  <c r="AC581" i="1"/>
  <c r="AD581" i="1"/>
  <c r="AC597" i="1"/>
  <c r="AD597" i="1"/>
  <c r="AC628" i="1"/>
  <c r="AD628" i="1"/>
  <c r="AC660" i="1"/>
  <c r="AD660" i="1"/>
  <c r="AC692" i="1"/>
  <c r="AD692" i="1"/>
  <c r="AC724" i="1"/>
  <c r="AD724" i="1"/>
  <c r="AC756" i="1"/>
  <c r="AD756" i="1"/>
  <c r="AC616" i="1"/>
  <c r="AD616" i="1"/>
  <c r="AC648" i="1"/>
  <c r="AD648" i="1"/>
  <c r="AC680" i="1"/>
  <c r="AD680" i="1"/>
  <c r="AC712" i="1"/>
  <c r="AD712" i="1"/>
  <c r="AC744" i="1"/>
  <c r="AD744" i="1"/>
  <c r="AC406" i="1"/>
  <c r="AD406" i="1"/>
  <c r="AC876" i="1"/>
  <c r="AD876" i="1"/>
  <c r="AC926" i="1"/>
  <c r="AD926" i="1"/>
  <c r="AC958" i="1"/>
  <c r="AD958" i="1"/>
  <c r="AC998" i="1"/>
  <c r="AD998" i="1"/>
  <c r="AC1054" i="1"/>
  <c r="AD1054" i="1"/>
  <c r="AC856" i="1"/>
  <c r="AD856" i="1"/>
  <c r="AC916" i="1"/>
  <c r="AD916" i="1"/>
  <c r="AC948" i="1"/>
  <c r="AD948" i="1"/>
  <c r="AC988" i="1"/>
  <c r="AD988" i="1"/>
  <c r="AC1020" i="1"/>
  <c r="AD1020" i="1"/>
  <c r="AC1052" i="1"/>
  <c r="AD1052" i="1"/>
  <c r="AC1084" i="1"/>
  <c r="AD1084" i="1"/>
  <c r="AC884" i="1"/>
  <c r="AD884" i="1"/>
  <c r="AC938" i="1"/>
  <c r="AD938" i="1"/>
  <c r="AC970" i="1"/>
  <c r="AD970" i="1"/>
  <c r="AC1010" i="1"/>
  <c r="AD1010" i="1"/>
  <c r="AC1066" i="1"/>
  <c r="AD1066" i="1"/>
  <c r="W27" i="3"/>
  <c r="AC10" i="1"/>
  <c r="AD10" i="1"/>
  <c r="AG273" i="1"/>
  <c r="AH273" i="1"/>
  <c r="AG383" i="1"/>
  <c r="AH383" i="1"/>
  <c r="AC68" i="1"/>
  <c r="AD68" i="1"/>
  <c r="AC167" i="1"/>
  <c r="AD167" i="1"/>
  <c r="AG1173" i="1"/>
  <c r="AH1173" i="1"/>
  <c r="AC431" i="1"/>
  <c r="AD431" i="1"/>
  <c r="AC203" i="1"/>
  <c r="AD203" i="1"/>
  <c r="AC419" i="1"/>
  <c r="AD419" i="1"/>
  <c r="AC439" i="1"/>
  <c r="AD439" i="1"/>
  <c r="AC577" i="1"/>
  <c r="AD577" i="1"/>
  <c r="AC593" i="1"/>
  <c r="AD593" i="1"/>
  <c r="AC684" i="1"/>
  <c r="AD684" i="1"/>
  <c r="AC640" i="1"/>
  <c r="AD640" i="1"/>
  <c r="AC736" i="1"/>
  <c r="AD736" i="1"/>
  <c r="AC918" i="1"/>
  <c r="AD918" i="1"/>
  <c r="AC1046" i="1"/>
  <c r="AD1046" i="1"/>
  <c r="AC940" i="1"/>
  <c r="AD940" i="1"/>
  <c r="AC1012" i="1"/>
  <c r="AD1012" i="1"/>
  <c r="AC868" i="1"/>
  <c r="AD868" i="1"/>
  <c r="AC1002" i="1"/>
  <c r="AD1002" i="1"/>
  <c r="AG245" i="1"/>
  <c r="AH245" i="1"/>
  <c r="AG277" i="1"/>
  <c r="AH277" i="1"/>
  <c r="AG355" i="1"/>
  <c r="AH355" i="1"/>
  <c r="AG419" i="1"/>
  <c r="AH419" i="1"/>
  <c r="AG304" i="1"/>
  <c r="AH304" i="1"/>
  <c r="AG343" i="1"/>
  <c r="AH343" i="1"/>
  <c r="AG407" i="1"/>
  <c r="AH407" i="1"/>
  <c r="AG308" i="1"/>
  <c r="AH308" i="1"/>
  <c r="AG363" i="1"/>
  <c r="AH363" i="1"/>
  <c r="AG427" i="1"/>
  <c r="AH427" i="1"/>
  <c r="AG642" i="1"/>
  <c r="AH642" i="1"/>
  <c r="AG249" i="1"/>
  <c r="AH249" i="1"/>
  <c r="AG265" i="1"/>
  <c r="AH265" i="1"/>
  <c r="AG243" i="1"/>
  <c r="AH243" i="1"/>
  <c r="AG640" i="1"/>
  <c r="AH640" i="1"/>
  <c r="AG296" i="1"/>
  <c r="AH296" i="1"/>
  <c r="AG335" i="1"/>
  <c r="AH335" i="1"/>
  <c r="AG367" i="1"/>
  <c r="AH367" i="1"/>
  <c r="AG399" i="1"/>
  <c r="AH399" i="1"/>
  <c r="AG431" i="1"/>
  <c r="AH431" i="1"/>
  <c r="AC56" i="1"/>
  <c r="AD56" i="1"/>
  <c r="AC100" i="1"/>
  <c r="AD100" i="1"/>
  <c r="AC72" i="1"/>
  <c r="AD72" i="1"/>
  <c r="AC135" i="1"/>
  <c r="AD135" i="1"/>
  <c r="AC199" i="1"/>
  <c r="AD199" i="1"/>
  <c r="AC263" i="1"/>
  <c r="AD263" i="1"/>
  <c r="AC327" i="1"/>
  <c r="AD327" i="1"/>
  <c r="AC76" i="1"/>
  <c r="AD76" i="1"/>
  <c r="AC335" i="1"/>
  <c r="AD335" i="1"/>
  <c r="AC399" i="1"/>
  <c r="AD399" i="1"/>
  <c r="AC456" i="1"/>
  <c r="AD456" i="1"/>
  <c r="AC107" i="1"/>
  <c r="AD107" i="1"/>
  <c r="AC171" i="1"/>
  <c r="AD171" i="1"/>
  <c r="AC235" i="1"/>
  <c r="AD235" i="1"/>
  <c r="AC319" i="1"/>
  <c r="AD319" i="1"/>
  <c r="AC387" i="1"/>
  <c r="AD387" i="1"/>
  <c r="AC450" i="1"/>
  <c r="AD450" i="1"/>
  <c r="AC502" i="1"/>
  <c r="AD502" i="1"/>
  <c r="AC318" i="1"/>
  <c r="AD318" i="1"/>
  <c r="AC407" i="1"/>
  <c r="AD407" i="1"/>
  <c r="AC458" i="1"/>
  <c r="AD458" i="1"/>
  <c r="AC477" i="1"/>
  <c r="AD477" i="1"/>
  <c r="AC569" i="1"/>
  <c r="AD569" i="1"/>
  <c r="AC585" i="1"/>
  <c r="AD585" i="1"/>
  <c r="AC601" i="1"/>
  <c r="AD601" i="1"/>
  <c r="AC636" i="1"/>
  <c r="AD636" i="1"/>
  <c r="AC668" i="1"/>
  <c r="AD668" i="1"/>
  <c r="AC700" i="1"/>
  <c r="AD700" i="1"/>
  <c r="AC732" i="1"/>
  <c r="AD732" i="1"/>
  <c r="AC608" i="1"/>
  <c r="AD608" i="1"/>
  <c r="AC624" i="1"/>
  <c r="AD624" i="1"/>
  <c r="AC656" i="1"/>
  <c r="AD656" i="1"/>
  <c r="AC688" i="1"/>
  <c r="AD688" i="1"/>
  <c r="AC720" i="1"/>
  <c r="AD720" i="1"/>
  <c r="AC752" i="1"/>
  <c r="AD752" i="1"/>
  <c r="AC438" i="1"/>
  <c r="AD438" i="1"/>
  <c r="AC891" i="1"/>
  <c r="AD891" i="1"/>
  <c r="AC934" i="1"/>
  <c r="AD934" i="1"/>
  <c r="AC966" i="1"/>
  <c r="AD966" i="1"/>
  <c r="AC1006" i="1"/>
  <c r="AD1006" i="1"/>
  <c r="AC1062" i="1"/>
  <c r="AD1062" i="1"/>
  <c r="AC872" i="1"/>
  <c r="AD872" i="1"/>
  <c r="AC924" i="1"/>
  <c r="AD924" i="1"/>
  <c r="AC964" i="1"/>
  <c r="AD964" i="1"/>
  <c r="AC996" i="1"/>
  <c r="AD996" i="1"/>
  <c r="AC1028" i="1"/>
  <c r="AD1028" i="1"/>
  <c r="AC1060" i="1"/>
  <c r="AD1060" i="1"/>
  <c r="AC1092" i="1"/>
  <c r="AD1092" i="1"/>
  <c r="AC895" i="1"/>
  <c r="AD895" i="1"/>
  <c r="AC946" i="1"/>
  <c r="AD946" i="1"/>
  <c r="AC978" i="1"/>
  <c r="AD978" i="1"/>
  <c r="AC1042" i="1"/>
  <c r="AD1042" i="1"/>
  <c r="AC1090" i="1"/>
  <c r="AD1090" i="1"/>
  <c r="AG257" i="1"/>
  <c r="AH257" i="1"/>
  <c r="AG443" i="1"/>
  <c r="AH443" i="1"/>
  <c r="AG319" i="1"/>
  <c r="AH319" i="1"/>
  <c r="AG415" i="1"/>
  <c r="AH415" i="1"/>
  <c r="AC103" i="1"/>
  <c r="AD103" i="1"/>
  <c r="AC295" i="1"/>
  <c r="AD295" i="1"/>
  <c r="AC367" i="1"/>
  <c r="AD367" i="1"/>
  <c r="AC139" i="1"/>
  <c r="AD139" i="1"/>
  <c r="AC355" i="1"/>
  <c r="AD355" i="1"/>
  <c r="AC283" i="1"/>
  <c r="AD283" i="1"/>
  <c r="AC499" i="1"/>
  <c r="AD499" i="1"/>
  <c r="AC620" i="1"/>
  <c r="AD620" i="1"/>
  <c r="AC716" i="1"/>
  <c r="AD716" i="1"/>
  <c r="AC605" i="1"/>
  <c r="AD605" i="1"/>
  <c r="AC704" i="1"/>
  <c r="AD704" i="1"/>
  <c r="AC860" i="1"/>
  <c r="AD860" i="1"/>
  <c r="AC982" i="1"/>
  <c r="AD982" i="1"/>
  <c r="AC908" i="1"/>
  <c r="AD908" i="1"/>
  <c r="AC1044" i="1"/>
  <c r="AD1044" i="1"/>
  <c r="AC930" i="1"/>
  <c r="AD930" i="1"/>
  <c r="AC1058" i="1"/>
  <c r="AD1058" i="1"/>
  <c r="AC9" i="1"/>
  <c r="AD9" i="1"/>
  <c r="AG253" i="1"/>
  <c r="AH253" i="1"/>
  <c r="AG269" i="1"/>
  <c r="AH269" i="1"/>
  <c r="AG300" i="1"/>
  <c r="AH300" i="1"/>
  <c r="AG339" i="1"/>
  <c r="AH339" i="1"/>
  <c r="AG371" i="1"/>
  <c r="AH371" i="1"/>
  <c r="AG403" i="1"/>
  <c r="AH403" i="1"/>
  <c r="AG435" i="1"/>
  <c r="AH435" i="1"/>
  <c r="AG288" i="1"/>
  <c r="AH288" i="1"/>
  <c r="AG327" i="1"/>
  <c r="AH327" i="1"/>
  <c r="AG359" i="1"/>
  <c r="AH359" i="1"/>
  <c r="AG391" i="1"/>
  <c r="AH391" i="1"/>
  <c r="AG423" i="1"/>
  <c r="AH423" i="1"/>
  <c r="AG292" i="1"/>
  <c r="AH292" i="1"/>
  <c r="AG315" i="1"/>
  <c r="AH315" i="1"/>
  <c r="AG347" i="1"/>
  <c r="AH347" i="1"/>
  <c r="AG379" i="1"/>
  <c r="AH379" i="1"/>
  <c r="AG411" i="1"/>
  <c r="AH411" i="1"/>
  <c r="AG436" i="1"/>
  <c r="AH436" i="1"/>
  <c r="AG447" i="1"/>
  <c r="AH447" i="1"/>
  <c r="AG644" i="1"/>
  <c r="AH644" i="1"/>
  <c r="AG648" i="1"/>
  <c r="AH648" i="1"/>
  <c r="AG652" i="1"/>
  <c r="AH652" i="1"/>
  <c r="AG656" i="1"/>
  <c r="AH656" i="1"/>
  <c r="AG660" i="1"/>
  <c r="AH660" i="1"/>
  <c r="AG664" i="1"/>
  <c r="AH664" i="1"/>
  <c r="AG668" i="1"/>
  <c r="AH668" i="1"/>
  <c r="AG672" i="1"/>
  <c r="AH672" i="1"/>
  <c r="AG676" i="1"/>
  <c r="AH676" i="1"/>
  <c r="AG680" i="1"/>
  <c r="AH680" i="1"/>
  <c r="AG684" i="1"/>
  <c r="AH684" i="1"/>
  <c r="AG688" i="1"/>
  <c r="AH688" i="1"/>
  <c r="AG692" i="1"/>
  <c r="AH692" i="1"/>
  <c r="AG638" i="1"/>
  <c r="AH638" i="1"/>
  <c r="AC64" i="1"/>
  <c r="AD64" i="1"/>
  <c r="AG1139" i="1"/>
  <c r="AH1139" i="1"/>
  <c r="AC92" i="1"/>
  <c r="AD92" i="1"/>
  <c r="AC151" i="1"/>
  <c r="AD151" i="1"/>
  <c r="AC215" i="1"/>
  <c r="AD215" i="1"/>
  <c r="AC279" i="1"/>
  <c r="AD279" i="1"/>
  <c r="AC343" i="1"/>
  <c r="AD343" i="1"/>
  <c r="AC91" i="1"/>
  <c r="AD91" i="1"/>
  <c r="AC351" i="1"/>
  <c r="AD351" i="1"/>
  <c r="AC415" i="1"/>
  <c r="AD415" i="1"/>
  <c r="AC474" i="1"/>
  <c r="AD474" i="1"/>
  <c r="AC122" i="1"/>
  <c r="AD122" i="1"/>
  <c r="AC186" i="1"/>
  <c r="AD186" i="1"/>
  <c r="AC250" i="1"/>
  <c r="AD250" i="1"/>
  <c r="AC334" i="1"/>
  <c r="AD334" i="1"/>
  <c r="AC403" i="1"/>
  <c r="AD403" i="1"/>
  <c r="AC461" i="1"/>
  <c r="AD461" i="1"/>
  <c r="AC508" i="1"/>
  <c r="AD508" i="1"/>
  <c r="AC359" i="1"/>
  <c r="AD359" i="1"/>
  <c r="AC423" i="1"/>
  <c r="AD423" i="1"/>
  <c r="AC465" i="1"/>
  <c r="AD465" i="1"/>
  <c r="AC547" i="1"/>
  <c r="AD547" i="1"/>
  <c r="AC573" i="1"/>
  <c r="AD573" i="1"/>
  <c r="AC589" i="1"/>
  <c r="AD589" i="1"/>
  <c r="AC612" i="1"/>
  <c r="AD612" i="1"/>
  <c r="AC644" i="1"/>
  <c r="AD644" i="1"/>
  <c r="AC676" i="1"/>
  <c r="AD676" i="1"/>
  <c r="AC708" i="1"/>
  <c r="AD708" i="1"/>
  <c r="AC740" i="1"/>
  <c r="AD740" i="1"/>
  <c r="AC476" i="1"/>
  <c r="AD476" i="1"/>
  <c r="AC632" i="1"/>
  <c r="AD632" i="1"/>
  <c r="AC664" i="1"/>
  <c r="AD664" i="1"/>
  <c r="AC696" i="1"/>
  <c r="AD696" i="1"/>
  <c r="AC728" i="1"/>
  <c r="AD728" i="1"/>
  <c r="AC298" i="1"/>
  <c r="AD298" i="1"/>
  <c r="AC844" i="1"/>
  <c r="AD844" i="1"/>
  <c r="AC899" i="1"/>
  <c r="AD899" i="1"/>
  <c r="AC942" i="1"/>
  <c r="AD942" i="1"/>
  <c r="AC974" i="1"/>
  <c r="AD974" i="1"/>
  <c r="AC1014" i="1"/>
  <c r="AD1014" i="1"/>
  <c r="AC1070" i="1"/>
  <c r="AD1070" i="1"/>
  <c r="AC897" i="1"/>
  <c r="AD897" i="1"/>
  <c r="AC932" i="1"/>
  <c r="AD932" i="1"/>
  <c r="AC972" i="1"/>
  <c r="AD972" i="1"/>
  <c r="AC1004" i="1"/>
  <c r="AD1004" i="1"/>
  <c r="AC1036" i="1"/>
  <c r="AD1036" i="1"/>
  <c r="AC1068" i="1"/>
  <c r="AD1068" i="1"/>
  <c r="AC852" i="1"/>
  <c r="AD852" i="1"/>
  <c r="AC922" i="1"/>
  <c r="AD922" i="1"/>
  <c r="AC954" i="1"/>
  <c r="AD954" i="1"/>
  <c r="AC994" i="1"/>
  <c r="AD994" i="1"/>
  <c r="AC1050" i="1"/>
  <c r="AD1050" i="1"/>
  <c r="W31" i="3"/>
  <c r="X31" i="3"/>
</calcChain>
</file>

<file path=xl/sharedStrings.xml><?xml version="1.0" encoding="utf-8"?>
<sst xmlns="http://schemas.openxmlformats.org/spreadsheetml/2006/main" count="9300" uniqueCount="306">
  <si>
    <t>FECHA</t>
  </si>
  <si>
    <t>AREA (M^2)</t>
  </si>
  <si>
    <t>ID PARCELA</t>
  </si>
  <si>
    <t>ALTURA (MS.)</t>
  </si>
  <si>
    <t>DAP (CMS.)</t>
  </si>
  <si>
    <t>COORDENADAS N.</t>
  </si>
  <si>
    <t>GRABADOR(ES)</t>
  </si>
  <si>
    <t>Género</t>
  </si>
  <si>
    <t>especie</t>
  </si>
  <si>
    <t>Familia</t>
  </si>
  <si>
    <t>REFERENCIA</t>
  </si>
  <si>
    <t>DISTANCIA AL BORDE (MS.)</t>
  </si>
  <si>
    <t>ANGULO ALPHA (GRADOS)</t>
  </si>
  <si>
    <t>ESQUINA DE REFERENCIA</t>
  </si>
  <si>
    <t>NOMBRE COMUN</t>
  </si>
  <si>
    <t>FIGURA 1</t>
  </si>
  <si>
    <t>ANGULO BETA (GRADOS)</t>
  </si>
  <si>
    <t>METODO "SINE" (Larjavaara y Muller-Landau 2013)</t>
  </si>
  <si>
    <t>(Chave et al 2005)</t>
  </si>
  <si>
    <t>UTM / WGS 84</t>
  </si>
  <si>
    <t>GRAVEDAD ESPECIFICA (g/m^3)</t>
  </si>
  <si>
    <t>(Autor año)</t>
  </si>
  <si>
    <t>DE</t>
  </si>
  <si>
    <t>CIMA DE ARBOL (MS.)</t>
  </si>
  <si>
    <t>HIPOTENUSA</t>
  </si>
  <si>
    <t>BASE DE ARBOL (MS.)</t>
  </si>
  <si>
    <t>BETA = ANGULO DAC</t>
  </si>
  <si>
    <t>% LUZ DOCEL PROMEDIO</t>
  </si>
  <si>
    <t>COORDENADAS O.</t>
  </si>
  <si>
    <t>CONTAR PUNTOS CON LUZ</t>
  </si>
  <si>
    <t>INCLINACION (%)</t>
  </si>
  <si>
    <t>SIG</t>
  </si>
  <si>
    <t>NE</t>
  </si>
  <si>
    <t>(Brown 1997)</t>
  </si>
  <si>
    <t>NM, AM</t>
  </si>
  <si>
    <t># ID</t>
  </si>
  <si>
    <t>pochote</t>
  </si>
  <si>
    <t>Bombacopsis</t>
  </si>
  <si>
    <t>quinata</t>
  </si>
  <si>
    <t>mayo botarama</t>
  </si>
  <si>
    <t>amarillón</t>
  </si>
  <si>
    <t>lorito</t>
  </si>
  <si>
    <t>chaperno</t>
  </si>
  <si>
    <t>Combretaceae</t>
  </si>
  <si>
    <t>Terminalia</t>
  </si>
  <si>
    <t>amazonia</t>
  </si>
  <si>
    <t>Bombacaceae</t>
  </si>
  <si>
    <t>yema de huevo</t>
  </si>
  <si>
    <t>Rubiaceae</t>
  </si>
  <si>
    <t>Chimarrhis</t>
  </si>
  <si>
    <t>latifolia</t>
  </si>
  <si>
    <t>Fabaceae/Papilionoideae</t>
  </si>
  <si>
    <t>Lonchocarpus</t>
  </si>
  <si>
    <t>macrophyllus</t>
  </si>
  <si>
    <t>gallinazo</t>
  </si>
  <si>
    <t>Fabaceae/Caesalpinioideae</t>
  </si>
  <si>
    <t>Schizolobium</t>
  </si>
  <si>
    <t>parahyba</t>
  </si>
  <si>
    <t>http://www.worldagroforestry.</t>
  </si>
  <si>
    <t>org/sea/Products/AFDbases/WD</t>
  </si>
  <si>
    <t>The Wood Exchange</t>
  </si>
  <si>
    <t>Cojoba</t>
  </si>
  <si>
    <t>arborea</t>
  </si>
  <si>
    <t>Fabaceae/Mimosoideae</t>
  </si>
  <si>
    <t>0.58 para plantas sin especie o literatura</t>
  </si>
  <si>
    <t>Vochysia</t>
  </si>
  <si>
    <t>Orwa et al 2009</t>
  </si>
  <si>
    <t>Winrock International 2006</t>
  </si>
  <si>
    <t>Moya et al 2009</t>
  </si>
  <si>
    <t>Vochysiaceae</t>
  </si>
  <si>
    <t>ferruginea</t>
  </si>
  <si>
    <t>Montagnini et al 2003</t>
  </si>
  <si>
    <t>fruta dorada</t>
  </si>
  <si>
    <t>cedro amargo</t>
  </si>
  <si>
    <t>ALPHA (RADIANS)</t>
  </si>
  <si>
    <t>BETA (RADIANS)</t>
  </si>
  <si>
    <t>laurel de monte</t>
  </si>
  <si>
    <t>escobo</t>
  </si>
  <si>
    <t>pilón</t>
  </si>
  <si>
    <t>corteza</t>
  </si>
  <si>
    <t>SO</t>
  </si>
  <si>
    <t>Meliaceae</t>
  </si>
  <si>
    <t>Cedrela</t>
  </si>
  <si>
    <t>odorata</t>
  </si>
  <si>
    <t>Lauraceae</t>
  </si>
  <si>
    <t>Ocotea</t>
  </si>
  <si>
    <t>insularis</t>
  </si>
  <si>
    <t>Euphorbiaceae</t>
  </si>
  <si>
    <t>Hyeronima</t>
  </si>
  <si>
    <t>alchorneoides</t>
  </si>
  <si>
    <t>Fearnside 1997</t>
  </si>
  <si>
    <t>Virola</t>
  </si>
  <si>
    <t>sp.</t>
  </si>
  <si>
    <t>Myristicaceae</t>
  </si>
  <si>
    <t>79?</t>
  </si>
  <si>
    <t>cupania</t>
  </si>
  <si>
    <t>mayo blanco</t>
  </si>
  <si>
    <t>malagueto</t>
  </si>
  <si>
    <t>cedro dulce</t>
  </si>
  <si>
    <t>-</t>
  </si>
  <si>
    <t>EQUIPO</t>
  </si>
  <si>
    <t>ID PARCELA = ESTRATO + #</t>
  </si>
  <si>
    <t>allenii</t>
  </si>
  <si>
    <t>GENERALIZACION</t>
  </si>
  <si>
    <t>Anacardiaceae</t>
  </si>
  <si>
    <t>Tapirira</t>
  </si>
  <si>
    <t>myriantha</t>
  </si>
  <si>
    <t>guaba</t>
  </si>
  <si>
    <t>Inga</t>
  </si>
  <si>
    <t>Sapindaceae</t>
  </si>
  <si>
    <t>Cupania</t>
  </si>
  <si>
    <t>Sterculiaceae</t>
  </si>
  <si>
    <t>Guazuma</t>
  </si>
  <si>
    <t>ulmifolia</t>
  </si>
  <si>
    <t>LARGO CORRECTO</t>
  </si>
  <si>
    <t>LARGO (MS.)</t>
  </si>
  <si>
    <t>ANCHO (MS.)</t>
  </si>
  <si>
    <t>INCLINACION (GRADOS)</t>
  </si>
  <si>
    <t>INCLINACION (RADIANS)</t>
  </si>
  <si>
    <t>NM, AM, EC, EL, RH</t>
  </si>
  <si>
    <t>reseco</t>
  </si>
  <si>
    <t>achotillo</t>
  </si>
  <si>
    <t>melastomataceae</t>
  </si>
  <si>
    <t>Melastomataceae</t>
  </si>
  <si>
    <t>cedrón</t>
  </si>
  <si>
    <t>RH</t>
  </si>
  <si>
    <t>ojoche</t>
  </si>
  <si>
    <t>higuerón</t>
  </si>
  <si>
    <t>NM</t>
  </si>
  <si>
    <t>burío</t>
  </si>
  <si>
    <t>NO IDENTIFICADO</t>
  </si>
  <si>
    <t>cedro bateo</t>
  </si>
  <si>
    <t>NM, AM, EC</t>
  </si>
  <si>
    <t>yayo</t>
  </si>
  <si>
    <t>EC</t>
  </si>
  <si>
    <t>chilamate</t>
  </si>
  <si>
    <t>nance</t>
  </si>
  <si>
    <t>guayaba</t>
  </si>
  <si>
    <t>cuajado</t>
  </si>
  <si>
    <t>cecropia</t>
  </si>
  <si>
    <t>manzana rosa</t>
  </si>
  <si>
    <t>NM, AM, EC, EL</t>
  </si>
  <si>
    <t>roble</t>
  </si>
  <si>
    <t>nazareno</t>
  </si>
  <si>
    <t>juploncillo</t>
  </si>
  <si>
    <t>jobo</t>
  </si>
  <si>
    <t>manguito</t>
  </si>
  <si>
    <t>aceintuno</t>
  </si>
  <si>
    <t>guayaba de mono</t>
  </si>
  <si>
    <t>aceituno</t>
  </si>
  <si>
    <t>zorrillo</t>
  </si>
  <si>
    <t>aguacatón (grande)</t>
  </si>
  <si>
    <t>% LUZ DEL N</t>
  </si>
  <si>
    <t>% LUZ DEL E</t>
  </si>
  <si>
    <t>% LUZ DEL S</t>
  </si>
  <si>
    <t>% LUZ DEL O</t>
  </si>
  <si>
    <t>NORTE</t>
  </si>
  <si>
    <t>ESTE</t>
  </si>
  <si>
    <t>SUR</t>
  </si>
  <si>
    <t>OESTE</t>
  </si>
  <si>
    <t>melina</t>
  </si>
  <si>
    <t>aguacatillo</t>
  </si>
  <si>
    <t>aguacatón (nueva)</t>
  </si>
  <si>
    <t>indio pelado/desnudo</t>
  </si>
  <si>
    <t>Carapa</t>
  </si>
  <si>
    <t>guianensis</t>
  </si>
  <si>
    <t>Forestry Compendium, CAB International</t>
  </si>
  <si>
    <t>Simaroubaceae</t>
  </si>
  <si>
    <t>Simarouba</t>
  </si>
  <si>
    <t>amara</t>
  </si>
  <si>
    <t>Woods of the World</t>
  </si>
  <si>
    <t>Tiliaceae</t>
  </si>
  <si>
    <t>Apeiba</t>
  </si>
  <si>
    <t>tibourbou</t>
  </si>
  <si>
    <t>Prospect: The Wood Database 2.1</t>
  </si>
  <si>
    <t>Heliocarpus</t>
  </si>
  <si>
    <t>appendiculatus</t>
  </si>
  <si>
    <t>Tachigali</t>
  </si>
  <si>
    <t>versicolor</t>
  </si>
  <si>
    <t>H. Muller-Landau, no publicado</t>
  </si>
  <si>
    <t>Moraceae</t>
  </si>
  <si>
    <t>guaitil</t>
  </si>
  <si>
    <t>Clusiaceae</t>
  </si>
  <si>
    <t>Visimia</t>
  </si>
  <si>
    <t>pejibaye</t>
  </si>
  <si>
    <t>Chrysobalanaceae</t>
  </si>
  <si>
    <t>Maranthes</t>
  </si>
  <si>
    <t>panamensis</t>
  </si>
  <si>
    <t>Simaba</t>
  </si>
  <si>
    <t>cedron</t>
  </si>
  <si>
    <t>Zanne et al. 2009</t>
  </si>
  <si>
    <t>balsa</t>
  </si>
  <si>
    <t>Ochroma</t>
  </si>
  <si>
    <t>pyramidale</t>
  </si>
  <si>
    <t>Fagaceae</t>
  </si>
  <si>
    <t>Quercus</t>
  </si>
  <si>
    <t>Posoqueria</t>
  </si>
  <si>
    <t>Sapotaceae</t>
  </si>
  <si>
    <t>Annonaceae</t>
  </si>
  <si>
    <t>Xylopia</t>
  </si>
  <si>
    <t>sericophylla</t>
  </si>
  <si>
    <t>annonaceae</t>
  </si>
  <si>
    <t>guácimo ternero</t>
  </si>
  <si>
    <t>Malpighiaceae</t>
  </si>
  <si>
    <t>Spondias</t>
  </si>
  <si>
    <t>Peltogyne</t>
  </si>
  <si>
    <t>purpurea</t>
  </si>
  <si>
    <t>queso fresco</t>
  </si>
  <si>
    <t>DISTANCIA DEL BORDE (MS.)</t>
  </si>
  <si>
    <t>Burseraceae</t>
  </si>
  <si>
    <t>Bursera</t>
  </si>
  <si>
    <t>simaruba</t>
  </si>
  <si>
    <t>Bignoniaceae</t>
  </si>
  <si>
    <t>Tabebuia</t>
  </si>
  <si>
    <t>Ceiba</t>
  </si>
  <si>
    <t>pentandra</t>
  </si>
  <si>
    <t>Brosimum</t>
  </si>
  <si>
    <t>Ficus</t>
  </si>
  <si>
    <t>Simira</t>
  </si>
  <si>
    <t>maxonii</t>
  </si>
  <si>
    <t>bombacaceae/ceiba</t>
  </si>
  <si>
    <t>insipida</t>
  </si>
  <si>
    <t>peine de mono/mica</t>
  </si>
  <si>
    <t>Clethra</t>
  </si>
  <si>
    <t>mexicana</t>
  </si>
  <si>
    <t>Clethraceae</t>
  </si>
  <si>
    <t>Guatteria</t>
  </si>
  <si>
    <t>dolichopoda</t>
  </si>
  <si>
    <t>Manilkara</t>
  </si>
  <si>
    <t>staminodella</t>
  </si>
  <si>
    <t>ira rosa?</t>
  </si>
  <si>
    <t>[SP1]</t>
  </si>
  <si>
    <t>Lamiaceae</t>
  </si>
  <si>
    <t>Gmelina</t>
  </si>
  <si>
    <t>Agroforestry Tree Database, ICRAF</t>
  </si>
  <si>
    <t>Miconia</t>
  </si>
  <si>
    <t>argenta</t>
  </si>
  <si>
    <t>Byrsonima</t>
  </si>
  <si>
    <t>crassifolia</t>
  </si>
  <si>
    <t>Bravaisia</t>
  </si>
  <si>
    <t>integerrima</t>
  </si>
  <si>
    <t>Acanthaceae</t>
  </si>
  <si>
    <t>Syzygium</t>
  </si>
  <si>
    <t>jambos</t>
  </si>
  <si>
    <t>Myrtaceae</t>
  </si>
  <si>
    <t>dos caras/lengua de vaca</t>
  </si>
  <si>
    <t>glabra</t>
  </si>
  <si>
    <t>Psidium</t>
  </si>
  <si>
    <t>guajava</t>
  </si>
  <si>
    <t>Vitex</t>
  </si>
  <si>
    <t>cooperi</t>
  </si>
  <si>
    <t>Cecropiaceae</t>
  </si>
  <si>
    <t>[SP2]</t>
  </si>
  <si>
    <t>chicle/sapote</t>
  </si>
  <si>
    <t>(Brown 2005)</t>
  </si>
  <si>
    <t>BIOMASA (T)</t>
  </si>
  <si>
    <t>CARBONO (T)</t>
  </si>
  <si>
    <t>BIOMASA-D (KG)</t>
  </si>
  <si>
    <t>BIOMASA-DA (KG)</t>
  </si>
  <si>
    <t>CARBONO-DA (KG)</t>
  </si>
  <si>
    <t>CARBONO-D (KG)</t>
  </si>
  <si>
    <t>ERROR</t>
  </si>
  <si>
    <t>ERROR ESTANDAR</t>
  </si>
  <si>
    <t>METODO 1: diametros e alturas</t>
  </si>
  <si>
    <t>METODO 2: diametros</t>
  </si>
  <si>
    <t>METODO 3: diametros</t>
  </si>
  <si>
    <t>Values</t>
  </si>
  <si>
    <t>Count of ALTURA (MS.)</t>
  </si>
  <si>
    <t>Row Labels</t>
  </si>
  <si>
    <t>Grand Total</t>
  </si>
  <si>
    <t>Average of INCLINACION (%)</t>
  </si>
  <si>
    <t>Average of DISTANCIA DEL BORDE (MS.)</t>
  </si>
  <si>
    <t>Average of LARGO CORRECTO</t>
  </si>
  <si>
    <t>Sum of BIOMASA-DA (KG)</t>
  </si>
  <si>
    <t>Sum of CARBONO-DA (KG)</t>
  </si>
  <si>
    <t>Average of BIOMASA-DA (KG)</t>
  </si>
  <si>
    <t>Average of CARBONO-DA (KG)</t>
  </si>
  <si>
    <t>Sum of ERROR ESTANDAR</t>
  </si>
  <si>
    <t>Average of ERROR ESTANDAR</t>
  </si>
  <si>
    <t>0-5</t>
  </si>
  <si>
    <t>5-10</t>
  </si>
  <si>
    <t>10-15</t>
  </si>
  <si>
    <t>15-20</t>
  </si>
  <si>
    <t>20-25</t>
  </si>
  <si>
    <t>&gt;25</t>
  </si>
  <si>
    <t>AREA BASAL (M^2)</t>
  </si>
  <si>
    <t>Sum of AREA BASAL (M^2)</t>
  </si>
  <si>
    <t>Average of COORDENADAS N.</t>
  </si>
  <si>
    <t>Average of COORDENADAS O.</t>
  </si>
  <si>
    <t>Count of especie</t>
  </si>
  <si>
    <t>Average of GRAVEDAD ESPECIFICA (g/m^3)</t>
  </si>
  <si>
    <t>% of especie</t>
  </si>
  <si>
    <t>Índice de Biodiversidad Shannon</t>
  </si>
  <si>
    <t>subplot</t>
  </si>
  <si>
    <t>biodiversity (Shannon-Weiner)</t>
  </si>
  <si>
    <t>distance (m)</t>
  </si>
  <si>
    <t>biomass density (kg/ha)</t>
  </si>
  <si>
    <t>carbon density (kg/ha)</t>
  </si>
  <si>
    <t>% CUBIERTO DOCEL PROMEDIO</t>
  </si>
  <si>
    <t>% CUBIERTO DOCEL N</t>
  </si>
  <si>
    <t>% CUBIERTO DOCEL E</t>
  </si>
  <si>
    <t>% CUBIERTO DOCEL S</t>
  </si>
  <si>
    <t>% CUBIERTO DOCEL O</t>
  </si>
  <si>
    <t>% canopy cover</t>
  </si>
  <si>
    <t>SD</t>
  </si>
  <si>
    <t>stratum size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</si>
</sst>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0.00000000"/>
  </numFmts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  <font>
      <sz val="12"/>
      <color theme="0"/>
      <name val="Calibri"/>
      <family val="2"/>
      <scheme val="minor"/>
    </font>
    <font>
      <b/>
      <sz val="12"/>
      <name val="Calibri"/>
      <scheme val="minor"/>
    </font>
    <font>
      <sz val="12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166" fontId="0" fillId="0" borderId="0" xfId="0" applyNumberFormat="1" applyBorder="1"/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164" fontId="0" fillId="0" borderId="0" xfId="0" applyNumberFormat="1" applyBorder="1"/>
    <xf numFmtId="14" fontId="8" fillId="0" borderId="0" xfId="0" applyNumberFormat="1" applyFont="1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64" fontId="8" fillId="0" borderId="0" xfId="0" applyNumberFormat="1" applyFont="1"/>
    <xf numFmtId="0" fontId="0" fillId="0" borderId="0" xfId="0" applyFill="1" applyBorder="1"/>
    <xf numFmtId="166" fontId="0" fillId="0" borderId="0" xfId="0" applyNumberFormat="1" applyFill="1" applyBorder="1"/>
    <xf numFmtId="2" fontId="0" fillId="0" borderId="0" xfId="0" applyNumberFormat="1" applyFill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 applyFont="1" applyBorder="1"/>
    <xf numFmtId="0" fontId="8" fillId="0" borderId="0" xfId="0" applyFont="1" applyBorder="1"/>
    <xf numFmtId="165" fontId="0" fillId="0" borderId="0" xfId="0" applyNumberFormat="1" applyFont="1" applyBorder="1"/>
    <xf numFmtId="165" fontId="0" fillId="0" borderId="0" xfId="0" applyNumberFormat="1" applyFont="1" applyFill="1" applyBorder="1"/>
    <xf numFmtId="0" fontId="0" fillId="0" borderId="0" xfId="0" applyFont="1" applyFill="1" applyBorder="1"/>
    <xf numFmtId="0" fontId="3" fillId="0" borderId="0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/>
    <xf numFmtId="165" fontId="0" fillId="0" borderId="0" xfId="0" applyNumberFormat="1"/>
    <xf numFmtId="166" fontId="8" fillId="0" borderId="0" xfId="0" applyNumberFormat="1" applyFont="1"/>
    <xf numFmtId="0" fontId="0" fillId="2" borderId="0" xfId="0" applyFill="1"/>
    <xf numFmtId="14" fontId="0" fillId="0" borderId="0" xfId="0" applyNumberFormat="1"/>
    <xf numFmtId="165" fontId="0" fillId="0" borderId="0" xfId="0" applyNumberFormat="1" applyFont="1"/>
    <xf numFmtId="2" fontId="8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Border="1"/>
    <xf numFmtId="0" fontId="0" fillId="3" borderId="0" xfId="0" applyFont="1" applyFill="1"/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/>
    <xf numFmtId="0" fontId="9" fillId="0" borderId="0" xfId="0" applyFont="1" applyFill="1"/>
    <xf numFmtId="0" fontId="3" fillId="0" borderId="0" xfId="0" applyFont="1" applyAlignment="1"/>
    <xf numFmtId="0" fontId="0" fillId="0" borderId="0" xfId="0" applyFont="1" applyFill="1"/>
    <xf numFmtId="0" fontId="8" fillId="3" borderId="0" xfId="0" applyFont="1" applyFill="1"/>
    <xf numFmtId="0" fontId="7" fillId="4" borderId="0" xfId="0" applyFont="1" applyFill="1"/>
    <xf numFmtId="0" fontId="3" fillId="4" borderId="0" xfId="0" applyFont="1" applyFill="1" applyBorder="1"/>
    <xf numFmtId="0" fontId="8" fillId="0" borderId="0" xfId="0" applyFont="1" applyFill="1" applyBorder="1"/>
    <xf numFmtId="0" fontId="8" fillId="0" borderId="0" xfId="0" applyFont="1" applyFill="1"/>
    <xf numFmtId="0" fontId="8" fillId="4" borderId="0" xfId="0" applyFont="1" applyFill="1"/>
    <xf numFmtId="0" fontId="0" fillId="4" borderId="0" xfId="0" applyFill="1" applyBorder="1"/>
    <xf numFmtId="0" fontId="0" fillId="6" borderId="0" xfId="0" applyFill="1" applyBorder="1"/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/>
    <xf numFmtId="0" fontId="4" fillId="6" borderId="0" xfId="0" applyFont="1" applyFill="1" applyBorder="1" applyAlignment="1">
      <alignment horizontal="center"/>
    </xf>
    <xf numFmtId="0" fontId="0" fillId="6" borderId="0" xfId="0" applyFill="1"/>
    <xf numFmtId="0" fontId="5" fillId="6" borderId="0" xfId="0" applyFont="1" applyFill="1" applyBorder="1" applyAlignment="1">
      <alignment horizontal="center"/>
    </xf>
    <xf numFmtId="0" fontId="3" fillId="6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0" xfId="0" applyFill="1"/>
    <xf numFmtId="0" fontId="0" fillId="7" borderId="0" xfId="0" applyNumberFormat="1" applyFill="1"/>
    <xf numFmtId="0" fontId="0" fillId="2" borderId="0" xfId="0" applyNumberFormat="1" applyFill="1"/>
    <xf numFmtId="0" fontId="10" fillId="6" borderId="0" xfId="0" applyFont="1" applyFill="1"/>
    <xf numFmtId="10" fontId="0" fillId="0" borderId="0" xfId="0" applyNumberFormat="1"/>
    <xf numFmtId="166" fontId="3" fillId="0" borderId="0" xfId="0" applyNumberFormat="1" applyFont="1" applyBorder="1"/>
    <xf numFmtId="167" fontId="0" fillId="0" borderId="0" xfId="0" applyNumberFormat="1"/>
    <xf numFmtId="0" fontId="10" fillId="6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7" fillId="0" borderId="0" xfId="0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57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Normal" xfId="0" builtinId="0"/>
  </cellStyles>
  <dxfs count="124"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color theme="0"/>
      </font>
    </dxf>
    <dxf>
      <fill>
        <patternFill patternType="solid">
          <fgColor indexed="64"/>
          <bgColor theme="1"/>
        </patternFill>
      </fill>
    </dxf>
    <dxf>
      <font>
        <color auto="1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Cómo cubierto</a:t>
            </a:r>
            <a:r>
              <a:rPr lang="en-US" sz="1600" baseline="0"/>
              <a:t> de docel cambia en una plantación de </a:t>
            </a:r>
            <a:r>
              <a:rPr lang="en-US" sz="1600" i="1" baseline="0"/>
              <a:t>Bombacopsis quinata</a:t>
            </a:r>
            <a:r>
              <a:rPr lang="en-US" sz="1600" i="0" baseline="0"/>
              <a:t> en el Refugio de Vida Silvestre Osa, Puntarenas, Costa Rica</a:t>
            </a:r>
            <a:endParaRPr lang="en-US" sz="16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'luz docel julio 2013'!$X$4:$X$13</c:f>
                <c:numCache>
                  <c:formatCode>General</c:formatCode>
                  <c:ptCount val="10"/>
                  <c:pt idx="0">
                    <c:v>4.8328615861734674</c:v>
                  </c:pt>
                </c:numCache>
              </c:numRef>
            </c:plus>
            <c:minus>
              <c:numRef>
                <c:f>'luz docel julio 2013'!$X$4:$X$13</c:f>
                <c:numCache>
                  <c:formatCode>General</c:formatCode>
                  <c:ptCount val="10"/>
                  <c:pt idx="0">
                    <c:v>4.8328615861734674</c:v>
                  </c:pt>
                </c:numCache>
              </c:numRef>
            </c:minus>
          </c:errBars>
          <c:xVal>
            <c:numRef>
              <c:f>('luz docel julio 2013'!$F$4,'luz docel julio 2013'!$F$14,'luz docel julio 2013'!$F$22,'luz docel julio 2013'!$F$27,'luz docel julio 2013'!$F$31,'luz docel julio 2013'!$F$33)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'luz docel julio 2013'!$W$4:$W$33</c:f>
              <c:numCache>
                <c:formatCode>General</c:formatCode>
                <c:ptCount val="30"/>
                <c:pt idx="0">
                  <c:v>89.39200000000001</c:v>
                </c:pt>
                <c:pt idx="10">
                  <c:v>87.65</c:v>
                </c:pt>
                <c:pt idx="18">
                  <c:v>86.583999999999989</c:v>
                </c:pt>
                <c:pt idx="23">
                  <c:v>90.055000000000007</c:v>
                </c:pt>
                <c:pt idx="27">
                  <c:v>91.289999999999992</c:v>
                </c:pt>
                <c:pt idx="29">
                  <c:v>85.7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0-3547-AA8F-A5D12F0D7C1D}"/>
            </c:ext>
          </c:extLst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'luz docel julio 2013'!$X$14:$X$21</c:f>
                <c:numCache>
                  <c:formatCode>General</c:formatCode>
                  <c:ptCount val="8"/>
                  <c:pt idx="0">
                    <c:v>6.4290412526730156</c:v>
                  </c:pt>
                </c:numCache>
              </c:numRef>
            </c:plus>
            <c:minus>
              <c:numRef>
                <c:f>'luz docel julio 2013'!$X$14:$X$21</c:f>
                <c:numCache>
                  <c:formatCode>General</c:formatCode>
                  <c:ptCount val="8"/>
                  <c:pt idx="0">
                    <c:v>6.4290412526730156</c:v>
                  </c:pt>
                </c:numCache>
              </c:numRef>
            </c:minus>
          </c:errBars>
          <c:xVal>
            <c:numRef>
              <c:f>'luz docel julio 2013'!$F$14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'luz docel julio 2013'!$W$14:$W$21</c:f>
              <c:numCache>
                <c:formatCode>General</c:formatCode>
                <c:ptCount val="8"/>
                <c:pt idx="0">
                  <c:v>87.65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0-3547-AA8F-A5D12F0D7C1D}"/>
            </c:ext>
          </c:extLst>
        </c:ser>
        <c:ser>
          <c:idx val="2"/>
          <c:order val="2"/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'luz docel julio 2013'!$X$22:$X$26</c:f>
                <c:numCache>
                  <c:formatCode>General</c:formatCode>
                  <c:ptCount val="5"/>
                  <c:pt idx="0">
                    <c:v>7.8034658966384978</c:v>
                  </c:pt>
                </c:numCache>
              </c:numRef>
            </c:plus>
            <c:minus>
              <c:numRef>
                <c:f>'luz docel julio 2013'!$X$22:$X$26</c:f>
                <c:numCache>
                  <c:formatCode>General</c:formatCode>
                  <c:ptCount val="5"/>
                  <c:pt idx="0">
                    <c:v>7.8034658966384978</c:v>
                  </c:pt>
                </c:numCache>
              </c:numRef>
            </c:minus>
          </c:errBars>
          <c:xVal>
            <c:numRef>
              <c:f>'luz docel julio 2013'!$F$22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'luz docel julio 2013'!$W$22:$W$26</c:f>
              <c:numCache>
                <c:formatCode>General</c:formatCode>
                <c:ptCount val="5"/>
                <c:pt idx="0">
                  <c:v>86.583999999999989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0-3547-AA8F-A5D12F0D7C1D}"/>
            </c:ext>
          </c:extLst>
        </c:ser>
        <c:ser>
          <c:idx val="3"/>
          <c:order val="3"/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'luz docel julio 2013'!$X$27:$X$30</c:f>
                <c:numCache>
                  <c:formatCode>General</c:formatCode>
                  <c:ptCount val="4"/>
                  <c:pt idx="0">
                    <c:v>2.78717898002024</c:v>
                  </c:pt>
                </c:numCache>
              </c:numRef>
            </c:plus>
            <c:minus>
              <c:numRef>
                <c:f>'luz docel julio 2013'!$X$27:$X$30</c:f>
                <c:numCache>
                  <c:formatCode>General</c:formatCode>
                  <c:ptCount val="4"/>
                  <c:pt idx="0">
                    <c:v>2.78717898002024</c:v>
                  </c:pt>
                </c:numCache>
              </c:numRef>
            </c:minus>
          </c:errBars>
          <c:xVal>
            <c:numRef>
              <c:f>'luz docel julio 2013'!$F$27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'luz docel julio 2013'!$W$27:$W$30</c:f>
              <c:numCache>
                <c:formatCode>General</c:formatCode>
                <c:ptCount val="4"/>
                <c:pt idx="0">
                  <c:v>90.055000000000007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0-3547-AA8F-A5D12F0D7C1D}"/>
            </c:ext>
          </c:extLst>
        </c:ser>
        <c:ser>
          <c:idx val="4"/>
          <c:order val="4"/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'luz docel julio 2013'!$X$31:$X$32</c:f>
                <c:numCache>
                  <c:formatCode>General</c:formatCode>
                  <c:ptCount val="2"/>
                  <c:pt idx="0">
                    <c:v>5.3315851301465722</c:v>
                  </c:pt>
                </c:numCache>
              </c:numRef>
            </c:plus>
            <c:minus>
              <c:numRef>
                <c:f>'luz docel julio 2013'!$X$31:$X$32</c:f>
                <c:numCache>
                  <c:formatCode>General</c:formatCode>
                  <c:ptCount val="2"/>
                  <c:pt idx="0">
                    <c:v>5.3315851301465722</c:v>
                  </c:pt>
                </c:numCache>
              </c:numRef>
            </c:minus>
          </c:errBars>
          <c:xVal>
            <c:numRef>
              <c:f>'luz docel julio 2013'!$F$31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'luz docel julio 2013'!$W$31:$W$32</c:f>
              <c:numCache>
                <c:formatCode>General</c:formatCode>
                <c:ptCount val="2"/>
                <c:pt idx="0">
                  <c:v>91.289999999999992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70-3547-AA8F-A5D12F0D7C1D}"/>
            </c:ext>
          </c:extLst>
        </c:ser>
        <c:ser>
          <c:idx val="5"/>
          <c:order val="5"/>
          <c:spPr>
            <a:ln w="47625">
              <a:noFill/>
            </a:ln>
          </c:spPr>
          <c:xVal>
            <c:numRef>
              <c:f>'luz docel julio 2013'!$F$33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'luz docel julio 2013'!$W$33</c:f>
              <c:numCache>
                <c:formatCode>General</c:formatCode>
                <c:ptCount val="1"/>
                <c:pt idx="0">
                  <c:v>85.7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70-3547-AA8F-A5D12F0D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43736"/>
        <c:axId val="2019995656"/>
      </c:scatterChart>
      <c:valAx>
        <c:axId val="209954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Distancia del Borde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995656"/>
        <c:crosses val="autoZero"/>
        <c:crossBetween val="midCat"/>
      </c:valAx>
      <c:valAx>
        <c:axId val="2019995656"/>
        <c:scaling>
          <c:orientation val="minMax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de cubierto Docel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543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Tree biodiversity as a function of </a:t>
            </a:r>
            <a:r>
              <a:rPr lang="en-US" sz="1400" baseline="0"/>
              <a:t>distance from a tropical primary rainforest edge, </a:t>
            </a:r>
            <a:r>
              <a:rPr lang="en-US" sz="1400" i="0" baseline="0"/>
              <a:t>15-year-old </a:t>
            </a:r>
            <a:r>
              <a:rPr lang="en-US" sz="1400" i="1" baseline="0"/>
              <a:t>Bombacopsis quinata</a:t>
            </a:r>
            <a:r>
              <a:rPr lang="en-US" sz="1400" i="0" baseline="0"/>
              <a:t> plantation, Osa Wildlife Refuge, Costa Rica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gráficos!$D$1</c:f>
              <c:strCache>
                <c:ptCount val="1"/>
                <c:pt idx="0">
                  <c:v>biodiversity (Shannon-Weiner)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2.4496013051222699E-3"/>
                  <c:y val="4.3839983485210399E-2"/>
                </c:manualLayout>
              </c:layout>
              <c:numFmt formatCode="General" sourceLinked="0"/>
            </c:trendlineLbl>
          </c:trendline>
          <c:xVal>
            <c:numRef>
              <c:f>gráficos!$B$2:$B$31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250</c:v>
                </c:pt>
                <c:pt idx="28">
                  <c:v>250</c:v>
                </c:pt>
                <c:pt idx="29">
                  <c:v>300</c:v>
                </c:pt>
              </c:numCache>
            </c:numRef>
          </c:xVal>
          <c:yVal>
            <c:numRef>
              <c:f>gráficos!$D$2:$D$31</c:f>
              <c:numCache>
                <c:formatCode>General</c:formatCode>
                <c:ptCount val="30"/>
                <c:pt idx="0">
                  <c:v>0.97644283197088477</c:v>
                </c:pt>
                <c:pt idx="1">
                  <c:v>0.88481490183483147</c:v>
                </c:pt>
                <c:pt idx="2">
                  <c:v>1.4117191452723723</c:v>
                </c:pt>
                <c:pt idx="3">
                  <c:v>2.0029330185127732</c:v>
                </c:pt>
                <c:pt idx="4">
                  <c:v>1.1376543764378271</c:v>
                </c:pt>
                <c:pt idx="5">
                  <c:v>1.8645678933706684</c:v>
                </c:pt>
                <c:pt idx="6">
                  <c:v>1.9452153363181501</c:v>
                </c:pt>
                <c:pt idx="7">
                  <c:v>2.1364102409235293</c:v>
                </c:pt>
                <c:pt idx="8">
                  <c:v>1.2443637276409636</c:v>
                </c:pt>
                <c:pt idx="9">
                  <c:v>2.0361985943618315</c:v>
                </c:pt>
                <c:pt idx="10">
                  <c:v>1.6481712729217348</c:v>
                </c:pt>
                <c:pt idx="11">
                  <c:v>2.2251217743772616</c:v>
                </c:pt>
                <c:pt idx="12" formatCode="0.00000000">
                  <c:v>1.8101595431530135</c:v>
                </c:pt>
                <c:pt idx="13" formatCode="0.00000000">
                  <c:v>2.2998833723166454</c:v>
                </c:pt>
                <c:pt idx="14">
                  <c:v>2.2006900386021266</c:v>
                </c:pt>
                <c:pt idx="15">
                  <c:v>1.940637532359947</c:v>
                </c:pt>
                <c:pt idx="16">
                  <c:v>1.8138821146629427</c:v>
                </c:pt>
                <c:pt idx="17">
                  <c:v>1.6341389487315947</c:v>
                </c:pt>
                <c:pt idx="18">
                  <c:v>1.9325132406099399</c:v>
                </c:pt>
                <c:pt idx="19">
                  <c:v>3.8183032564532615</c:v>
                </c:pt>
                <c:pt idx="20">
                  <c:v>1.8736155810639648</c:v>
                </c:pt>
                <c:pt idx="21">
                  <c:v>2.2474961762404679</c:v>
                </c:pt>
                <c:pt idx="22">
                  <c:v>2.3685197174185122</c:v>
                </c:pt>
                <c:pt idx="23">
                  <c:v>2.0057235787339511</c:v>
                </c:pt>
                <c:pt idx="24">
                  <c:v>1.9565591430923481</c:v>
                </c:pt>
                <c:pt idx="25">
                  <c:v>2.0318963538801471</c:v>
                </c:pt>
                <c:pt idx="26">
                  <c:v>2.3329425695312169</c:v>
                </c:pt>
                <c:pt idx="27">
                  <c:v>1.9375256321309355</c:v>
                </c:pt>
                <c:pt idx="28">
                  <c:v>1.7359713840105857</c:v>
                </c:pt>
                <c:pt idx="29">
                  <c:v>1.893336751506137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AF42-AACF-1B5AAEF0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61016"/>
        <c:axId val="2101566392"/>
      </c:scatterChart>
      <c:valAx>
        <c:axId val="210156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forest edge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566392"/>
        <c:crosses val="autoZero"/>
        <c:crossBetween val="midCat"/>
      </c:valAx>
      <c:valAx>
        <c:axId val="2101566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biodiversity index (SHannon-Weiner)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561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Biomass density as a function of distance from a tropical primary rainforest edge, 15-year-old </a:t>
            </a:r>
            <a:r>
              <a:rPr lang="en-US" sz="1400" b="1" i="1" baseline="0">
                <a:effectLst/>
              </a:rPr>
              <a:t>Bombacopsis quinata</a:t>
            </a:r>
            <a:r>
              <a:rPr lang="en-US" sz="1400" b="1" i="0" baseline="0">
                <a:effectLst/>
              </a:rPr>
              <a:t> plantation, Osa Wildlife Refuge, Costa Rica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0"/>
            <c:trendlineLbl>
              <c:layout>
                <c:manualLayout>
                  <c:x val="6.56525077222407E-4"/>
                  <c:y val="-3.7724231839441097E-2"/>
                </c:manualLayout>
              </c:layout>
              <c:numFmt formatCode="General" sourceLinked="0"/>
            </c:trendlineLbl>
          </c:trendline>
          <c:xVal>
            <c:numRef>
              <c:f>gráficos!$B$2:$B$31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250</c:v>
                </c:pt>
                <c:pt idx="28">
                  <c:v>250</c:v>
                </c:pt>
                <c:pt idx="29">
                  <c:v>300</c:v>
                </c:pt>
              </c:numCache>
            </c:numRef>
          </c:xVal>
          <c:yVal>
            <c:numRef>
              <c:f>gráficos!$F$2:$F$31</c:f>
              <c:numCache>
                <c:formatCode>General</c:formatCode>
                <c:ptCount val="30"/>
                <c:pt idx="0">
                  <c:v>689.40612137413336</c:v>
                </c:pt>
                <c:pt idx="1">
                  <c:v>785.01630455126326</c:v>
                </c:pt>
                <c:pt idx="2">
                  <c:v>715.33808472048281</c:v>
                </c:pt>
                <c:pt idx="3">
                  <c:v>329.56008100141423</c:v>
                </c:pt>
                <c:pt idx="4">
                  <c:v>628.57924162210213</c:v>
                </c:pt>
                <c:pt idx="5">
                  <c:v>324.76726474232214</c:v>
                </c:pt>
                <c:pt idx="6">
                  <c:v>651.50170782027715</c:v>
                </c:pt>
                <c:pt idx="7">
                  <c:v>341.90820134855932</c:v>
                </c:pt>
                <c:pt idx="8">
                  <c:v>439.27755191763788</c:v>
                </c:pt>
                <c:pt idx="9">
                  <c:v>418.25521130881629</c:v>
                </c:pt>
                <c:pt idx="10">
                  <c:v>988.47562993079748</c:v>
                </c:pt>
                <c:pt idx="11">
                  <c:v>863.43983448555105</c:v>
                </c:pt>
                <c:pt idx="12">
                  <c:v>616.64167601643146</c:v>
                </c:pt>
                <c:pt idx="13">
                  <c:v>524.93334372651395</c:v>
                </c:pt>
                <c:pt idx="14">
                  <c:v>254.39087878587577</c:v>
                </c:pt>
                <c:pt idx="15">
                  <c:v>461.75590004255145</c:v>
                </c:pt>
                <c:pt idx="16">
                  <c:v>271.16887308932837</c:v>
                </c:pt>
                <c:pt idx="17">
                  <c:v>1178.900353000163</c:v>
                </c:pt>
                <c:pt idx="18">
                  <c:v>915.01807863841645</c:v>
                </c:pt>
                <c:pt idx="19">
                  <c:v>2679.5558666368825</c:v>
                </c:pt>
                <c:pt idx="20">
                  <c:v>725.20462881817718</c:v>
                </c:pt>
                <c:pt idx="21">
                  <c:v>2004.2548047265568</c:v>
                </c:pt>
                <c:pt idx="22">
                  <c:v>527.11515645804866</c:v>
                </c:pt>
                <c:pt idx="23">
                  <c:v>1071.0461354091569</c:v>
                </c:pt>
                <c:pt idx="24">
                  <c:v>1631.1046054268888</c:v>
                </c:pt>
                <c:pt idx="25">
                  <c:v>1740.8732265877318</c:v>
                </c:pt>
                <c:pt idx="26">
                  <c:v>1851.554320515072</c:v>
                </c:pt>
                <c:pt idx="27">
                  <c:v>1950.9811552403689</c:v>
                </c:pt>
                <c:pt idx="28">
                  <c:v>3444.6450178470104</c:v>
                </c:pt>
                <c:pt idx="29">
                  <c:v>33944.936648177012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3-6644-9F8F-73D625C3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00408"/>
        <c:axId val="2101606008"/>
      </c:scatterChart>
      <c:valAx>
        <c:axId val="21016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forest edge (m)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606008"/>
        <c:crosses val="autoZero"/>
        <c:crossBetween val="midCat"/>
      </c:valAx>
      <c:valAx>
        <c:axId val="2101606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</a:t>
                </a:r>
                <a:r>
                  <a:rPr lang="en-US" baseline="0"/>
                  <a:t> density</a:t>
                </a:r>
                <a:r>
                  <a:rPr lang="en-US"/>
                  <a:t> (kg/ha)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600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Carbon store as a function of distance from a tropical primary rainforest edge, 15-year-old </a:t>
            </a:r>
            <a:r>
              <a:rPr lang="en-US" sz="1400" b="1" i="1" baseline="0">
                <a:effectLst/>
              </a:rPr>
              <a:t>Bombacopsis quinata</a:t>
            </a:r>
            <a:r>
              <a:rPr lang="en-US" sz="1400" b="1" i="0" baseline="0">
                <a:effectLst/>
              </a:rPr>
              <a:t> plantation, Osa Wildlife Refuge, Costa Rica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0"/>
            <c:trendlineLbl>
              <c:layout>
                <c:manualLayout>
                  <c:x val="6.3632430561564397E-4"/>
                  <c:y val="-2.8484992007578001E-2"/>
                </c:manualLayout>
              </c:layout>
              <c:numFmt formatCode="General" sourceLinked="0"/>
            </c:trendlineLbl>
          </c:trendline>
          <c:xVal>
            <c:numRef>
              <c:f>gráficos!$B$2:$B$31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250</c:v>
                </c:pt>
                <c:pt idx="28">
                  <c:v>250</c:v>
                </c:pt>
                <c:pt idx="29">
                  <c:v>300</c:v>
                </c:pt>
              </c:numCache>
            </c:numRef>
          </c:xVal>
          <c:yVal>
            <c:numRef>
              <c:f>gráficos!$H$2:$H$31</c:f>
              <c:numCache>
                <c:formatCode>General</c:formatCode>
                <c:ptCount val="30"/>
                <c:pt idx="0">
                  <c:v>344.70306068706668</c:v>
                </c:pt>
                <c:pt idx="1">
                  <c:v>392.50815227563163</c:v>
                </c:pt>
                <c:pt idx="2">
                  <c:v>357.66904236024141</c:v>
                </c:pt>
                <c:pt idx="3">
                  <c:v>164.78004050070712</c:v>
                </c:pt>
                <c:pt idx="4">
                  <c:v>314.28962081105107</c:v>
                </c:pt>
                <c:pt idx="5">
                  <c:v>162.38363237116107</c:v>
                </c:pt>
                <c:pt idx="6">
                  <c:v>325.75085391013857</c:v>
                </c:pt>
                <c:pt idx="7">
                  <c:v>170.95410067427966</c:v>
                </c:pt>
                <c:pt idx="8">
                  <c:v>219.63877595881894</c:v>
                </c:pt>
                <c:pt idx="9">
                  <c:v>209.12760565440814</c:v>
                </c:pt>
                <c:pt idx="10">
                  <c:v>494.23781496539874</c:v>
                </c:pt>
                <c:pt idx="11">
                  <c:v>431.71991724277552</c:v>
                </c:pt>
                <c:pt idx="12">
                  <c:v>308.32083800821573</c:v>
                </c:pt>
                <c:pt idx="13">
                  <c:v>262.46667186325698</c:v>
                </c:pt>
                <c:pt idx="14">
                  <c:v>127.19543939293789</c:v>
                </c:pt>
                <c:pt idx="15">
                  <c:v>230.87795002127572</c:v>
                </c:pt>
                <c:pt idx="16">
                  <c:v>135.58443654466419</c:v>
                </c:pt>
                <c:pt idx="17">
                  <c:v>589.45017650008151</c:v>
                </c:pt>
                <c:pt idx="18">
                  <c:v>457.50903931920823</c:v>
                </c:pt>
                <c:pt idx="19">
                  <c:v>1339.7779333184412</c:v>
                </c:pt>
                <c:pt idx="20">
                  <c:v>362.60231440908859</c:v>
                </c:pt>
                <c:pt idx="21">
                  <c:v>1002.1274023632784</c:v>
                </c:pt>
                <c:pt idx="22">
                  <c:v>263.55757822902433</c:v>
                </c:pt>
                <c:pt idx="23">
                  <c:v>535.52306770457847</c:v>
                </c:pt>
                <c:pt idx="24">
                  <c:v>815.55230271344442</c:v>
                </c:pt>
                <c:pt idx="25">
                  <c:v>870.43661329386589</c:v>
                </c:pt>
                <c:pt idx="26">
                  <c:v>925.77716025753602</c:v>
                </c:pt>
                <c:pt idx="27">
                  <c:v>975.49057762018447</c:v>
                </c:pt>
                <c:pt idx="28">
                  <c:v>1722.3225089235052</c:v>
                </c:pt>
                <c:pt idx="29">
                  <c:v>16972.468324088506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A-8346-9BFD-AF190C4F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41928"/>
        <c:axId val="2099747448"/>
      </c:scatterChart>
      <c:valAx>
        <c:axId val="209974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forest edge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747448"/>
        <c:crosses val="autoZero"/>
        <c:crossBetween val="midCat"/>
      </c:valAx>
      <c:valAx>
        <c:axId val="2099747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carbon density</a:t>
                </a:r>
                <a:r>
                  <a:rPr lang="en-US" baseline="0"/>
                  <a:t> (kg/ha)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741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Biomass density as a function of biodiversity of a 15-year-old </a:t>
            </a:r>
            <a:r>
              <a:rPr lang="en-US" sz="1400" b="1" i="1" baseline="0">
                <a:effectLst/>
              </a:rPr>
              <a:t>Bombacopsis quinata</a:t>
            </a:r>
            <a:r>
              <a:rPr lang="en-US" sz="1400" b="1" i="0" baseline="0">
                <a:effectLst/>
              </a:rPr>
              <a:t> plantation, Osa Wildlife Refuge, Costa Rica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0"/>
            <c:trendlineLbl>
              <c:layout>
                <c:manualLayout>
                  <c:x val="5.8656214228719895E-4"/>
                  <c:y val="-5.6143240715600201E-2"/>
                </c:manualLayout>
              </c:layout>
              <c:numFmt formatCode="General" sourceLinked="0"/>
            </c:trendlineLbl>
          </c:trendline>
          <c:xVal>
            <c:numRef>
              <c:f>gráficos!$D$2:$D$31</c:f>
              <c:numCache>
                <c:formatCode>General</c:formatCode>
                <c:ptCount val="30"/>
                <c:pt idx="0">
                  <c:v>0.97644283197088477</c:v>
                </c:pt>
                <c:pt idx="1">
                  <c:v>0.88481490183483147</c:v>
                </c:pt>
                <c:pt idx="2">
                  <c:v>1.4117191452723723</c:v>
                </c:pt>
                <c:pt idx="3">
                  <c:v>2.0029330185127732</c:v>
                </c:pt>
                <c:pt idx="4">
                  <c:v>1.1376543764378271</c:v>
                </c:pt>
                <c:pt idx="5">
                  <c:v>1.8645678933706684</c:v>
                </c:pt>
                <c:pt idx="6">
                  <c:v>1.9452153363181501</c:v>
                </c:pt>
                <c:pt idx="7">
                  <c:v>2.1364102409235293</c:v>
                </c:pt>
                <c:pt idx="8">
                  <c:v>1.2443637276409636</c:v>
                </c:pt>
                <c:pt idx="9">
                  <c:v>2.0361985943618315</c:v>
                </c:pt>
                <c:pt idx="10">
                  <c:v>1.6481712729217348</c:v>
                </c:pt>
                <c:pt idx="11">
                  <c:v>2.2251217743772616</c:v>
                </c:pt>
                <c:pt idx="12" formatCode="0.00000000">
                  <c:v>1.8101595431530135</c:v>
                </c:pt>
                <c:pt idx="13" formatCode="0.00000000">
                  <c:v>2.2998833723166454</c:v>
                </c:pt>
                <c:pt idx="14">
                  <c:v>2.2006900386021266</c:v>
                </c:pt>
                <c:pt idx="15">
                  <c:v>1.940637532359947</c:v>
                </c:pt>
                <c:pt idx="16">
                  <c:v>1.8138821146629427</c:v>
                </c:pt>
                <c:pt idx="17">
                  <c:v>1.6341389487315947</c:v>
                </c:pt>
                <c:pt idx="18">
                  <c:v>1.9325132406099399</c:v>
                </c:pt>
                <c:pt idx="19">
                  <c:v>3.8183032564532615</c:v>
                </c:pt>
                <c:pt idx="20">
                  <c:v>1.8736155810639648</c:v>
                </c:pt>
                <c:pt idx="21">
                  <c:v>2.2474961762404679</c:v>
                </c:pt>
                <c:pt idx="22">
                  <c:v>2.3685197174185122</c:v>
                </c:pt>
                <c:pt idx="23">
                  <c:v>2.0057235787339511</c:v>
                </c:pt>
                <c:pt idx="24">
                  <c:v>1.9565591430923481</c:v>
                </c:pt>
                <c:pt idx="25">
                  <c:v>2.0318963538801471</c:v>
                </c:pt>
                <c:pt idx="26">
                  <c:v>2.3329425695312169</c:v>
                </c:pt>
                <c:pt idx="27">
                  <c:v>1.9375256321309355</c:v>
                </c:pt>
                <c:pt idx="28">
                  <c:v>1.7359713840105857</c:v>
                </c:pt>
                <c:pt idx="29">
                  <c:v>1.893336751506137</c:v>
                </c:pt>
              </c:numCache>
            </c:numRef>
          </c:xVal>
          <c:yVal>
            <c:numRef>
              <c:f>gráficos!$F$2:$F$31</c:f>
              <c:numCache>
                <c:formatCode>General</c:formatCode>
                <c:ptCount val="30"/>
                <c:pt idx="0">
                  <c:v>689.40612137413336</c:v>
                </c:pt>
                <c:pt idx="1">
                  <c:v>785.01630455126326</c:v>
                </c:pt>
                <c:pt idx="2">
                  <c:v>715.33808472048281</c:v>
                </c:pt>
                <c:pt idx="3">
                  <c:v>329.56008100141423</c:v>
                </c:pt>
                <c:pt idx="4">
                  <c:v>628.57924162210213</c:v>
                </c:pt>
                <c:pt idx="5">
                  <c:v>324.76726474232214</c:v>
                </c:pt>
                <c:pt idx="6">
                  <c:v>651.50170782027715</c:v>
                </c:pt>
                <c:pt idx="7">
                  <c:v>341.90820134855932</c:v>
                </c:pt>
                <c:pt idx="8">
                  <c:v>439.27755191763788</c:v>
                </c:pt>
                <c:pt idx="9">
                  <c:v>418.25521130881629</c:v>
                </c:pt>
                <c:pt idx="10">
                  <c:v>988.47562993079748</c:v>
                </c:pt>
                <c:pt idx="11">
                  <c:v>863.43983448555105</c:v>
                </c:pt>
                <c:pt idx="12">
                  <c:v>616.64167601643146</c:v>
                </c:pt>
                <c:pt idx="13">
                  <c:v>524.93334372651395</c:v>
                </c:pt>
                <c:pt idx="14">
                  <c:v>254.39087878587577</c:v>
                </c:pt>
                <c:pt idx="15">
                  <c:v>461.75590004255145</c:v>
                </c:pt>
                <c:pt idx="16">
                  <c:v>271.16887308932837</c:v>
                </c:pt>
                <c:pt idx="17">
                  <c:v>1178.900353000163</c:v>
                </c:pt>
                <c:pt idx="18">
                  <c:v>915.01807863841645</c:v>
                </c:pt>
                <c:pt idx="19">
                  <c:v>2679.5558666368825</c:v>
                </c:pt>
                <c:pt idx="20">
                  <c:v>725.20462881817718</c:v>
                </c:pt>
                <c:pt idx="21">
                  <c:v>2004.2548047265568</c:v>
                </c:pt>
                <c:pt idx="22">
                  <c:v>527.11515645804866</c:v>
                </c:pt>
                <c:pt idx="23">
                  <c:v>1071.0461354091569</c:v>
                </c:pt>
                <c:pt idx="24">
                  <c:v>1631.1046054268888</c:v>
                </c:pt>
                <c:pt idx="25">
                  <c:v>1740.8732265877318</c:v>
                </c:pt>
                <c:pt idx="26">
                  <c:v>1851.554320515072</c:v>
                </c:pt>
                <c:pt idx="27">
                  <c:v>1950.9811552403689</c:v>
                </c:pt>
                <c:pt idx="28">
                  <c:v>3444.6450178470104</c:v>
                </c:pt>
                <c:pt idx="29">
                  <c:v>33944.936648177012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2-AF43-8BA7-056B24A7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85416"/>
        <c:axId val="2099790904"/>
      </c:scatterChart>
      <c:valAx>
        <c:axId val="209978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biodiversity index (Shannon-Weiner)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790904"/>
        <c:crosses val="autoZero"/>
        <c:crossBetween val="midCat"/>
      </c:valAx>
      <c:valAx>
        <c:axId val="2099790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density (kg.ha)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78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Tree biodiversity as a function</a:t>
            </a:r>
            <a:r>
              <a:rPr lang="en-US" sz="1400" baseline="0"/>
              <a:t> of canopy cover in a 15-year-old </a:t>
            </a:r>
            <a:r>
              <a:rPr lang="en-US" sz="1400" i="1" baseline="0"/>
              <a:t>Bombacopsis quinata</a:t>
            </a:r>
            <a:r>
              <a:rPr lang="en-US" sz="1400" i="0" baseline="0"/>
              <a:t> plantation, Osa Wildlife Refuge, Costa Rica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1.9590221379395599E-3"/>
                  <c:y val="-5.8689116429616203E-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gráficos!$I$2:$I$31</c:f>
              <c:numCache>
                <c:formatCode>General</c:formatCode>
                <c:ptCount val="30"/>
                <c:pt idx="0">
                  <c:v>82.32</c:v>
                </c:pt>
                <c:pt idx="1">
                  <c:v>81.02000000000001</c:v>
                </c:pt>
                <c:pt idx="2">
                  <c:v>86.74</c:v>
                </c:pt>
                <c:pt idx="3">
                  <c:v>90.12</c:v>
                </c:pt>
                <c:pt idx="4">
                  <c:v>88.56</c:v>
                </c:pt>
                <c:pt idx="5">
                  <c:v>94.28</c:v>
                </c:pt>
                <c:pt idx="6">
                  <c:v>90.64</c:v>
                </c:pt>
                <c:pt idx="7">
                  <c:v>95.580000000000013</c:v>
                </c:pt>
                <c:pt idx="8">
                  <c:v>91.68</c:v>
                </c:pt>
                <c:pt idx="9">
                  <c:v>92.97999999999999</c:v>
                </c:pt>
                <c:pt idx="10">
                  <c:v>96.62</c:v>
                </c:pt>
                <c:pt idx="11">
                  <c:v>86.22</c:v>
                </c:pt>
                <c:pt idx="12">
                  <c:v>91.94</c:v>
                </c:pt>
                <c:pt idx="13">
                  <c:v>78.94</c:v>
                </c:pt>
                <c:pt idx="14">
                  <c:v>92.46</c:v>
                </c:pt>
                <c:pt idx="15">
                  <c:v>90.9</c:v>
                </c:pt>
                <c:pt idx="16">
                  <c:v>79.2</c:v>
                </c:pt>
                <c:pt idx="17">
                  <c:v>84.920000000000016</c:v>
                </c:pt>
                <c:pt idx="18">
                  <c:v>88.82</c:v>
                </c:pt>
                <c:pt idx="19">
                  <c:v>96.100000000000009</c:v>
                </c:pt>
                <c:pt idx="20">
                  <c:v>78.94</c:v>
                </c:pt>
                <c:pt idx="21">
                  <c:v>90.9</c:v>
                </c:pt>
                <c:pt idx="22">
                  <c:v>78.16</c:v>
                </c:pt>
                <c:pt idx="23">
                  <c:v>86.740000000000009</c:v>
                </c:pt>
                <c:pt idx="24">
                  <c:v>91.16</c:v>
                </c:pt>
                <c:pt idx="25">
                  <c:v>89.08</c:v>
                </c:pt>
                <c:pt idx="26">
                  <c:v>93.240000000000009</c:v>
                </c:pt>
                <c:pt idx="27">
                  <c:v>95.06</c:v>
                </c:pt>
                <c:pt idx="28">
                  <c:v>87.52</c:v>
                </c:pt>
                <c:pt idx="29">
                  <c:v>85.7</c:v>
                </c:pt>
              </c:numCache>
            </c:numRef>
          </c:xVal>
          <c:yVal>
            <c:numRef>
              <c:f>gráficos!$D$2:$D$31</c:f>
              <c:numCache>
                <c:formatCode>General</c:formatCode>
                <c:ptCount val="30"/>
                <c:pt idx="0">
                  <c:v>0.97644283197088477</c:v>
                </c:pt>
                <c:pt idx="1">
                  <c:v>0.88481490183483147</c:v>
                </c:pt>
                <c:pt idx="2">
                  <c:v>1.4117191452723723</c:v>
                </c:pt>
                <c:pt idx="3">
                  <c:v>2.0029330185127732</c:v>
                </c:pt>
                <c:pt idx="4">
                  <c:v>1.1376543764378271</c:v>
                </c:pt>
                <c:pt idx="5">
                  <c:v>1.8645678933706684</c:v>
                </c:pt>
                <c:pt idx="6">
                  <c:v>1.9452153363181501</c:v>
                </c:pt>
                <c:pt idx="7">
                  <c:v>2.1364102409235293</c:v>
                </c:pt>
                <c:pt idx="8">
                  <c:v>1.2443637276409636</c:v>
                </c:pt>
                <c:pt idx="9">
                  <c:v>2.0361985943618315</c:v>
                </c:pt>
                <c:pt idx="10">
                  <c:v>1.6481712729217348</c:v>
                </c:pt>
                <c:pt idx="11">
                  <c:v>2.2251217743772616</c:v>
                </c:pt>
                <c:pt idx="12" formatCode="0.00000000">
                  <c:v>1.8101595431530135</c:v>
                </c:pt>
                <c:pt idx="13" formatCode="0.00000000">
                  <c:v>2.2998833723166454</c:v>
                </c:pt>
                <c:pt idx="14">
                  <c:v>2.2006900386021266</c:v>
                </c:pt>
                <c:pt idx="15">
                  <c:v>1.940637532359947</c:v>
                </c:pt>
                <c:pt idx="16">
                  <c:v>1.8138821146629427</c:v>
                </c:pt>
                <c:pt idx="17">
                  <c:v>1.6341389487315947</c:v>
                </c:pt>
                <c:pt idx="18">
                  <c:v>1.9325132406099399</c:v>
                </c:pt>
                <c:pt idx="19">
                  <c:v>3.8183032564532615</c:v>
                </c:pt>
                <c:pt idx="20">
                  <c:v>1.8736155810639648</c:v>
                </c:pt>
                <c:pt idx="21">
                  <c:v>2.2474961762404679</c:v>
                </c:pt>
                <c:pt idx="22">
                  <c:v>2.3685197174185122</c:v>
                </c:pt>
                <c:pt idx="23">
                  <c:v>2.0057235787339511</c:v>
                </c:pt>
                <c:pt idx="24">
                  <c:v>1.9565591430923481</c:v>
                </c:pt>
                <c:pt idx="25">
                  <c:v>2.0318963538801471</c:v>
                </c:pt>
                <c:pt idx="26">
                  <c:v>2.3329425695312169</c:v>
                </c:pt>
                <c:pt idx="27">
                  <c:v>1.9375256321309355</c:v>
                </c:pt>
                <c:pt idx="28">
                  <c:v>1.7359713840105857</c:v>
                </c:pt>
                <c:pt idx="29">
                  <c:v>1.893336751506137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D-CA4B-92D5-F071C0B0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24648"/>
        <c:axId val="2099830120"/>
      </c:scatterChart>
      <c:valAx>
        <c:axId val="209982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canopy cover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830120"/>
        <c:crosses val="autoZero"/>
        <c:crossBetween val="midCat"/>
      </c:valAx>
      <c:valAx>
        <c:axId val="2099830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biodiveristy</a:t>
                </a:r>
                <a:r>
                  <a:rPr lang="en-US" baseline="0"/>
                  <a:t> index (Shannon-Weiner)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82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Biomass density as a function of canopy cover in a 15-year-old </a:t>
            </a:r>
            <a:r>
              <a:rPr lang="en-US" sz="1400" i="1"/>
              <a:t>Bombacopsis</a:t>
            </a:r>
            <a:r>
              <a:rPr lang="en-US" sz="1400" i="1" baseline="0"/>
              <a:t> quinata</a:t>
            </a:r>
            <a:r>
              <a:rPr lang="en-US" sz="1400" i="0" baseline="0"/>
              <a:t> plantation, Osa Wildlife Refuge, Costa Rica</a:t>
            </a:r>
            <a:r>
              <a:rPr lang="en-US" sz="1400"/>
              <a:t>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2.2817852744710198E-3"/>
                  <c:y val="-0.14221321312531099"/>
                </c:manualLayout>
              </c:layout>
              <c:numFmt formatCode="General" sourceLinked="0"/>
            </c:trendlineLbl>
          </c:trendline>
          <c:xVal>
            <c:numRef>
              <c:f>gráficos!$I$2:$I$31</c:f>
              <c:numCache>
                <c:formatCode>General</c:formatCode>
                <c:ptCount val="30"/>
                <c:pt idx="0">
                  <c:v>82.32</c:v>
                </c:pt>
                <c:pt idx="1">
                  <c:v>81.02000000000001</c:v>
                </c:pt>
                <c:pt idx="2">
                  <c:v>86.74</c:v>
                </c:pt>
                <c:pt idx="3">
                  <c:v>90.12</c:v>
                </c:pt>
                <c:pt idx="4">
                  <c:v>88.56</c:v>
                </c:pt>
                <c:pt idx="5">
                  <c:v>94.28</c:v>
                </c:pt>
                <c:pt idx="6">
                  <c:v>90.64</c:v>
                </c:pt>
                <c:pt idx="7">
                  <c:v>95.580000000000013</c:v>
                </c:pt>
                <c:pt idx="8">
                  <c:v>91.68</c:v>
                </c:pt>
                <c:pt idx="9">
                  <c:v>92.97999999999999</c:v>
                </c:pt>
                <c:pt idx="10">
                  <c:v>96.62</c:v>
                </c:pt>
                <c:pt idx="11">
                  <c:v>86.22</c:v>
                </c:pt>
                <c:pt idx="12">
                  <c:v>91.94</c:v>
                </c:pt>
                <c:pt idx="13">
                  <c:v>78.94</c:v>
                </c:pt>
                <c:pt idx="14">
                  <c:v>92.46</c:v>
                </c:pt>
                <c:pt idx="15">
                  <c:v>90.9</c:v>
                </c:pt>
                <c:pt idx="16">
                  <c:v>79.2</c:v>
                </c:pt>
                <c:pt idx="17">
                  <c:v>84.920000000000016</c:v>
                </c:pt>
                <c:pt idx="18">
                  <c:v>88.82</c:v>
                </c:pt>
                <c:pt idx="19">
                  <c:v>96.100000000000009</c:v>
                </c:pt>
                <c:pt idx="20">
                  <c:v>78.94</c:v>
                </c:pt>
                <c:pt idx="21">
                  <c:v>90.9</c:v>
                </c:pt>
                <c:pt idx="22">
                  <c:v>78.16</c:v>
                </c:pt>
                <c:pt idx="23">
                  <c:v>86.740000000000009</c:v>
                </c:pt>
                <c:pt idx="24">
                  <c:v>91.16</c:v>
                </c:pt>
                <c:pt idx="25">
                  <c:v>89.08</c:v>
                </c:pt>
                <c:pt idx="26">
                  <c:v>93.240000000000009</c:v>
                </c:pt>
                <c:pt idx="27">
                  <c:v>95.06</c:v>
                </c:pt>
                <c:pt idx="28">
                  <c:v>87.52</c:v>
                </c:pt>
                <c:pt idx="29">
                  <c:v>85.7</c:v>
                </c:pt>
              </c:numCache>
            </c:numRef>
          </c:xVal>
          <c:yVal>
            <c:numRef>
              <c:f>gráficos!$F$2:$F$31</c:f>
              <c:numCache>
                <c:formatCode>General</c:formatCode>
                <c:ptCount val="30"/>
                <c:pt idx="0">
                  <c:v>689.40612137413336</c:v>
                </c:pt>
                <c:pt idx="1">
                  <c:v>785.01630455126326</c:v>
                </c:pt>
                <c:pt idx="2">
                  <c:v>715.33808472048281</c:v>
                </c:pt>
                <c:pt idx="3">
                  <c:v>329.56008100141423</c:v>
                </c:pt>
                <c:pt idx="4">
                  <c:v>628.57924162210213</c:v>
                </c:pt>
                <c:pt idx="5">
                  <c:v>324.76726474232214</c:v>
                </c:pt>
                <c:pt idx="6">
                  <c:v>651.50170782027715</c:v>
                </c:pt>
                <c:pt idx="7">
                  <c:v>341.90820134855932</c:v>
                </c:pt>
                <c:pt idx="8">
                  <c:v>439.27755191763788</c:v>
                </c:pt>
                <c:pt idx="9">
                  <c:v>418.25521130881629</c:v>
                </c:pt>
                <c:pt idx="10">
                  <c:v>988.47562993079748</c:v>
                </c:pt>
                <c:pt idx="11">
                  <c:v>863.43983448555105</c:v>
                </c:pt>
                <c:pt idx="12">
                  <c:v>616.64167601643146</c:v>
                </c:pt>
                <c:pt idx="13">
                  <c:v>524.93334372651395</c:v>
                </c:pt>
                <c:pt idx="14">
                  <c:v>254.39087878587577</c:v>
                </c:pt>
                <c:pt idx="15">
                  <c:v>461.75590004255145</c:v>
                </c:pt>
                <c:pt idx="16">
                  <c:v>271.16887308932837</c:v>
                </c:pt>
                <c:pt idx="17">
                  <c:v>1178.900353000163</c:v>
                </c:pt>
                <c:pt idx="18">
                  <c:v>915.01807863841645</c:v>
                </c:pt>
                <c:pt idx="19">
                  <c:v>2679.5558666368825</c:v>
                </c:pt>
                <c:pt idx="20">
                  <c:v>725.20462881817718</c:v>
                </c:pt>
                <c:pt idx="21">
                  <c:v>2004.2548047265568</c:v>
                </c:pt>
                <c:pt idx="22">
                  <c:v>527.11515645804866</c:v>
                </c:pt>
                <c:pt idx="23">
                  <c:v>1071.0461354091569</c:v>
                </c:pt>
                <c:pt idx="24">
                  <c:v>1631.1046054268888</c:v>
                </c:pt>
                <c:pt idx="25">
                  <c:v>1740.8732265877318</c:v>
                </c:pt>
                <c:pt idx="26">
                  <c:v>1851.554320515072</c:v>
                </c:pt>
                <c:pt idx="27">
                  <c:v>1950.9811552403689</c:v>
                </c:pt>
                <c:pt idx="28">
                  <c:v>3444.6450178470104</c:v>
                </c:pt>
                <c:pt idx="29">
                  <c:v>33944.936648177012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7-C944-83DD-187216FC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63032"/>
        <c:axId val="2099868712"/>
      </c:scatterChart>
      <c:valAx>
        <c:axId val="209986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canopy cover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868712"/>
        <c:crosses val="autoZero"/>
        <c:crossBetween val="midCat"/>
      </c:valAx>
      <c:valAx>
        <c:axId val="2099868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density (kg/ha)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86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Canopy cover as a function of distance from a tropical primary forest edge, 15-year-old</a:t>
            </a:r>
            <a:r>
              <a:rPr lang="en-US" sz="1400" baseline="0"/>
              <a:t> </a:t>
            </a:r>
            <a:r>
              <a:rPr lang="en-US" sz="1400" i="1" baseline="0"/>
              <a:t>Bombacopsis quinata</a:t>
            </a:r>
            <a:r>
              <a:rPr lang="en-US" sz="1400" i="0" baseline="0"/>
              <a:t> plantation, Osa Wildlife Refuge, Costa Rica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-1.71450342900686E-3"/>
                  <c:y val="0.123401866433362"/>
                </c:manualLayout>
              </c:layout>
              <c:numFmt formatCode="General" sourceLinked="0"/>
            </c:trendlineLbl>
          </c:trendline>
          <c:xVal>
            <c:numRef>
              <c:f>gráficos!$B$2:$B$31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250</c:v>
                </c:pt>
                <c:pt idx="28">
                  <c:v>250</c:v>
                </c:pt>
                <c:pt idx="29">
                  <c:v>300</c:v>
                </c:pt>
              </c:numCache>
            </c:numRef>
          </c:xVal>
          <c:yVal>
            <c:numRef>
              <c:f>gráficos!$I$2:$I$31</c:f>
              <c:numCache>
                <c:formatCode>General</c:formatCode>
                <c:ptCount val="30"/>
                <c:pt idx="0">
                  <c:v>82.32</c:v>
                </c:pt>
                <c:pt idx="1">
                  <c:v>81.02000000000001</c:v>
                </c:pt>
                <c:pt idx="2">
                  <c:v>86.74</c:v>
                </c:pt>
                <c:pt idx="3">
                  <c:v>90.12</c:v>
                </c:pt>
                <c:pt idx="4">
                  <c:v>88.56</c:v>
                </c:pt>
                <c:pt idx="5">
                  <c:v>94.28</c:v>
                </c:pt>
                <c:pt idx="6">
                  <c:v>90.64</c:v>
                </c:pt>
                <c:pt idx="7">
                  <c:v>95.580000000000013</c:v>
                </c:pt>
                <c:pt idx="8">
                  <c:v>91.68</c:v>
                </c:pt>
                <c:pt idx="9">
                  <c:v>92.97999999999999</c:v>
                </c:pt>
                <c:pt idx="10">
                  <c:v>96.62</c:v>
                </c:pt>
                <c:pt idx="11">
                  <c:v>86.22</c:v>
                </c:pt>
                <c:pt idx="12">
                  <c:v>91.94</c:v>
                </c:pt>
                <c:pt idx="13">
                  <c:v>78.94</c:v>
                </c:pt>
                <c:pt idx="14">
                  <c:v>92.46</c:v>
                </c:pt>
                <c:pt idx="15">
                  <c:v>90.9</c:v>
                </c:pt>
                <c:pt idx="16">
                  <c:v>79.2</c:v>
                </c:pt>
                <c:pt idx="17">
                  <c:v>84.920000000000016</c:v>
                </c:pt>
                <c:pt idx="18">
                  <c:v>88.82</c:v>
                </c:pt>
                <c:pt idx="19">
                  <c:v>96.100000000000009</c:v>
                </c:pt>
                <c:pt idx="20">
                  <c:v>78.94</c:v>
                </c:pt>
                <c:pt idx="21">
                  <c:v>90.9</c:v>
                </c:pt>
                <c:pt idx="22">
                  <c:v>78.16</c:v>
                </c:pt>
                <c:pt idx="23">
                  <c:v>86.740000000000009</c:v>
                </c:pt>
                <c:pt idx="24">
                  <c:v>91.16</c:v>
                </c:pt>
                <c:pt idx="25">
                  <c:v>89.08</c:v>
                </c:pt>
                <c:pt idx="26">
                  <c:v>93.240000000000009</c:v>
                </c:pt>
                <c:pt idx="27">
                  <c:v>95.06</c:v>
                </c:pt>
                <c:pt idx="28">
                  <c:v>87.52</c:v>
                </c:pt>
                <c:pt idx="29">
                  <c:v>85.7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1-FC4B-AD1E-A8CF40BE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00872"/>
        <c:axId val="2099906328"/>
      </c:scatterChart>
      <c:valAx>
        <c:axId val="209990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forest edge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906328"/>
        <c:crosses val="autoZero"/>
        <c:crossBetween val="midCat"/>
      </c:valAx>
      <c:valAx>
        <c:axId val="2099906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canopy cover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900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34</xdr:row>
      <xdr:rowOff>139700</xdr:rowOff>
    </xdr:from>
    <xdr:to>
      <xdr:col>19</xdr:col>
      <xdr:colOff>939800</xdr:colOff>
      <xdr:row>53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31</xdr:row>
      <xdr:rowOff>88900</xdr:rowOff>
    </xdr:from>
    <xdr:to>
      <xdr:col>4</xdr:col>
      <xdr:colOff>901700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1003300</xdr:colOff>
      <xdr:row>31</xdr:row>
      <xdr:rowOff>88900</xdr:rowOff>
    </xdr:from>
    <xdr:to>
      <xdr:col>7</xdr:col>
      <xdr:colOff>1244600</xdr:colOff>
      <xdr:row>49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1384300</xdr:colOff>
      <xdr:row>31</xdr:row>
      <xdr:rowOff>114300</xdr:rowOff>
    </xdr:from>
    <xdr:to>
      <xdr:col>15</xdr:col>
      <xdr:colOff>177800</xdr:colOff>
      <xdr:row>49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266700</xdr:colOff>
      <xdr:row>31</xdr:row>
      <xdr:rowOff>152400</xdr:rowOff>
    </xdr:from>
    <xdr:to>
      <xdr:col>22</xdr:col>
      <xdr:colOff>254000</xdr:colOff>
      <xdr:row>49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304800</xdr:colOff>
      <xdr:row>31</xdr:row>
      <xdr:rowOff>152400</xdr:rowOff>
    </xdr:from>
    <xdr:to>
      <xdr:col>28</xdr:col>
      <xdr:colOff>203200</xdr:colOff>
      <xdr:row>48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279400</xdr:colOff>
      <xdr:row>31</xdr:row>
      <xdr:rowOff>152400</xdr:rowOff>
    </xdr:from>
    <xdr:to>
      <xdr:col>34</xdr:col>
      <xdr:colOff>685800</xdr:colOff>
      <xdr:row>48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736600</xdr:colOff>
      <xdr:row>31</xdr:row>
      <xdr:rowOff>139700</xdr:rowOff>
    </xdr:from>
    <xdr:to>
      <xdr:col>41</xdr:col>
      <xdr:colOff>76200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Medina" refreshedDate="41498.446537847223" createdVersion="4" refreshedVersion="4" minRefreshableVersion="3" recordCount="1242" xr:uid="{00000000-000A-0000-FFFF-FFFF00000000}">
  <cacheSource type="worksheet">
    <worksheetSource ref="A6:AD1248" sheet="carbono julio 2013"/>
  </cacheSource>
  <cacheFields count="30">
    <cacheField name="FECHA" numFmtId="14">
      <sharedItems containsSemiMixedTypes="0" containsNonDate="0" containsDate="1" containsString="0" minDate="2013-07-04T00:00:00" maxDate="2013-08-02T00:00:00" count="13">
        <d v="2013-07-18T00:00:00"/>
        <d v="2013-07-24T00:00:00"/>
        <d v="2013-07-26T00:00:00"/>
        <d v="2013-07-11T00:00:00"/>
        <d v="2013-07-09T00:00:00"/>
        <d v="2013-07-06T00:00:00"/>
        <d v="2013-07-05T00:00:00"/>
        <d v="2013-08-01T00:00:00"/>
        <d v="2013-07-17T00:00:00"/>
        <d v="2013-07-16T00:00:00"/>
        <d v="2013-07-04T00:00:00"/>
        <d v="2013-07-13T00:00:00"/>
        <d v="2013-07-25T00:00:00"/>
      </sharedItems>
    </cacheField>
    <cacheField name="EQUIPO" numFmtId="0">
      <sharedItems/>
    </cacheField>
    <cacheField name="ID PARCELA" numFmtId="0">
      <sharedItems containsSemiMixedTypes="0" containsString="0" containsNumber="1" minValue="50.1" maxValue="300.10000000000002" count="30">
        <n v="50.1"/>
        <n v="50.2"/>
        <n v="50.3"/>
        <n v="50.4"/>
        <n v="50.5"/>
        <n v="50.6"/>
        <n v="50.7"/>
        <n v="50.8"/>
        <n v="50.9"/>
        <n v="50.11"/>
        <n v="100.1"/>
        <n v="100.2"/>
        <n v="100.3"/>
        <n v="100.4"/>
        <n v="100.5"/>
        <n v="100.6"/>
        <n v="100.7"/>
        <n v="100.8"/>
        <n v="150.1"/>
        <n v="150.19999999999999"/>
        <n v="150.30000000000001"/>
        <n v="150.4"/>
        <n v="150.5"/>
        <n v="200.1"/>
        <n v="200.2"/>
        <n v="200.3"/>
        <n v="200.4"/>
        <n v="250.1"/>
        <n v="250.2"/>
        <n v="300.10000000000002"/>
      </sharedItems>
    </cacheField>
    <cacheField name="ESQUINA DE REFERENCIA" numFmtId="0">
      <sharedItems/>
    </cacheField>
    <cacheField name="COORDENADAS N." numFmtId="0">
      <sharedItems containsSemiMixedTypes="0" containsString="0" containsNumber="1" minValue="8.4082600000000003" maxValue="8.4121500000000005"/>
    </cacheField>
    <cacheField name="COORDENADAS O." numFmtId="0">
      <sharedItems containsSemiMixedTypes="0" containsString="0" containsNumber="1" minValue="83.311130000000006" maxValue="83.315039999999996"/>
    </cacheField>
    <cacheField name="DISTANCIA DEL BORDE (MS.)" numFmtId="0">
      <sharedItems containsSemiMixedTypes="0" containsString="0" containsNumber="1" containsInteger="1" minValue="50" maxValue="300"/>
    </cacheField>
    <cacheField name="INCLINACION (%)" numFmtId="0">
      <sharedItems containsSemiMixedTypes="0" containsString="0" containsNumber="1" minValue="-30" maxValue="33"/>
    </cacheField>
    <cacheField name="INCLINACION (GRADOS)" numFmtId="0">
      <sharedItems containsSemiMixedTypes="0" containsString="0" containsNumber="1" minValue="-19.983330554894014" maxValue="19.983330554894014"/>
    </cacheField>
    <cacheField name="INCLINACION (RADIANS)" numFmtId="0">
      <sharedItems containsSemiMixedTypes="0" containsString="0" containsNumber="1" minValue="-0.34877491369728597" maxValue="0.34877491369728597"/>
    </cacheField>
    <cacheField name="LARGO CORRECTO" numFmtId="0">
      <sharedItems containsSemiMixedTypes="0" containsString="0" containsNumber="1" minValue="21" maxValue="21.321773754370099"/>
    </cacheField>
    <cacheField name="# ID" numFmtId="0">
      <sharedItems containsBlank="1" containsMixedTypes="1" containsNumber="1" containsInteger="1" minValue="1" maxValue="9148"/>
    </cacheField>
    <cacheField name="NOMBRE COMUN" numFmtId="0">
      <sharedItems count="61">
        <s v="mayo botarama"/>
        <s v="[SP1]"/>
        <s v="aceituno"/>
        <s v="gallinazo"/>
        <s v="yema de huevo"/>
        <s v="peine de mono/mica"/>
        <s v="zorrillo"/>
        <s v="pochote"/>
        <s v="burío"/>
        <s v="dos caras/lengua de vaca"/>
        <s v="ira rosa?"/>
        <s v="reseco"/>
        <s v="bombacaceae/ceiba"/>
        <s v="NO IDENTIFICADO"/>
        <s v="mayo blanco"/>
        <s v="aguacatón (grande)"/>
        <s v="aguacatillo"/>
        <s v="guaba"/>
        <s v="ojoche"/>
        <s v="annonaceae"/>
        <s v="[SP2]"/>
        <s v="fruta dorada"/>
        <s v="pilón"/>
        <s v="chilamate"/>
        <s v="guaitil"/>
        <s v="malagueto"/>
        <s v="corteza"/>
        <s v="higuerón"/>
        <s v="achotillo"/>
        <s v="melastomataceae"/>
        <s v="cupania"/>
        <s v="pejibaye"/>
        <s v="cedrón"/>
        <s v="balsa"/>
        <s v="cedro dulce"/>
        <s v="roble"/>
        <s v="aceintuno"/>
        <s v="guayaba de mono"/>
        <s v="cedro amargo"/>
        <s v="queso fresco"/>
        <s v="lorito"/>
        <s v="nance"/>
        <s v="guácimo ternero"/>
        <s v="manguito"/>
        <s v="aguacatón (nueva)"/>
        <s v="indio pelado/desnudo"/>
        <s v="chaperno"/>
        <s v="chicle/sapote"/>
        <s v="escobo"/>
        <s v="laurel de monte"/>
        <s v="yayo"/>
        <s v="manzana rosa"/>
        <s v="nazareno"/>
        <s v="juploncillo"/>
        <s v="jobo"/>
        <s v="amarillón"/>
        <s v="cedro bateo"/>
        <s v="guayaba"/>
        <s v="cuajado"/>
        <s v="cecropia"/>
        <s v="melina"/>
      </sharedItems>
    </cacheField>
    <cacheField name="Familia" numFmtId="0">
      <sharedItems count="32">
        <s v="Vochysiaceae"/>
        <s v="Tiliaceae"/>
        <s v="Simaroubaceae"/>
        <s v="Fabaceae/Caesalpinioideae"/>
        <s v="Rubiaceae"/>
        <s v="-"/>
        <s v="Bombacaceae"/>
        <s v="Melastomataceae"/>
        <s v="Clethraceae"/>
        <s v="Lauraceae"/>
        <s v="Fabaceae/Mimosoideae"/>
        <s v="Moraceae"/>
        <s v="Annonaceae"/>
        <s v="Myristicaceae"/>
        <s v="Euphorbiaceae"/>
        <s v="Bignoniaceae"/>
        <s v="Clusiaceae"/>
        <s v="Sapindaceae"/>
        <s v="Chrysobalanaceae"/>
        <s v="Anacardiaceae"/>
        <s v="Fagaceae"/>
        <s v="Meliaceae"/>
        <s v="Malpighiaceae"/>
        <s v="Sterculiaceae"/>
        <s v="Acanthaceae"/>
        <s v="Burseraceae"/>
        <s v="Fabaceae/Papilionoideae"/>
        <s v="Sapotaceae"/>
        <s v="Combretaceae"/>
        <s v="Myrtaceae"/>
        <s v="Cecropiaceae"/>
        <s v="Lamiaceae"/>
      </sharedItems>
    </cacheField>
    <cacheField name="Género" numFmtId="0">
      <sharedItems count="46">
        <s v="Vochysia"/>
        <s v="-"/>
        <s v="Simarouba"/>
        <s v="Schizolobium"/>
        <s v="Chimarrhis"/>
        <s v="Apeiba"/>
        <s v="Bombacopsis"/>
        <s v="Heliocarpus"/>
        <s v="Miconia"/>
        <s v="Clethra"/>
        <s v="Tachigali"/>
        <s v="Ceiba"/>
        <s v="Ocotea"/>
        <s v="Inga"/>
        <s v="Brosimum"/>
        <s v="Guatteria"/>
        <s v="Virola"/>
        <s v="Hyeronima"/>
        <s v="Ficus"/>
        <s v="Simira"/>
        <s v="Tabebuia"/>
        <s v="Visimia"/>
        <s v="Cupania"/>
        <s v="Maranthes"/>
        <s v="Simaba"/>
        <s v="Ochroma"/>
        <s v="Tapirira"/>
        <s v="Quercus"/>
        <s v="Posoqueria"/>
        <s v="Cedrela"/>
        <s v="Cojoba"/>
        <s v="Byrsonima"/>
        <s v="Guazuma"/>
        <s v="Bravaisia"/>
        <s v="Bursera"/>
        <s v="Lonchocarpus"/>
        <s v="Manilkara"/>
        <s v="Xylopia"/>
        <s v="Syzygium"/>
        <s v="Peltogyne"/>
        <s v="Spondias"/>
        <s v="Terminalia"/>
        <s v="Carapa"/>
        <s v="Psidium"/>
        <s v="Vitex"/>
        <s v="Gmelina"/>
      </sharedItems>
    </cacheField>
    <cacheField name="especie" numFmtId="0">
      <sharedItems/>
    </cacheField>
    <cacheField name="GRAVEDAD ESPECIFICA (g/m^3)" numFmtId="0">
      <sharedItems containsSemiMixedTypes="0" containsString="0" containsNumber="1" minValue="0.14000000000000001" maxValue="0.89"/>
    </cacheField>
    <cacheField name="REFERENCIA" numFmtId="0">
      <sharedItems count="13">
        <s v="Montagnini et al 2003"/>
        <s v="GENERALIZACION"/>
        <s v="Woods of the World"/>
        <s v="Orwa et al 2009"/>
        <s v="Winrock International 2006"/>
        <s v="Prospect: The Wood Database 2.1"/>
        <s v="The Wood Exchange"/>
        <s v="Zanne et al. 2009"/>
        <s v="H. Muller-Landau, no publicado"/>
        <s v="Fearnside 1997"/>
        <s v="Moya et al 2009"/>
        <s v="Forestry Compendium, CAB International"/>
        <s v="Agroforestry Tree Database, ICRAF"/>
      </sharedItems>
    </cacheField>
    <cacheField name="DAP (CMS.)" numFmtId="0">
      <sharedItems containsSemiMixedTypes="0" containsString="0" containsNumber="1" minValue="5" maxValue="123.5"/>
    </cacheField>
    <cacheField name="AREA BASAL (M^2)" numFmtId="166">
      <sharedItems containsSemiMixedTypes="0" containsString="0" containsNumber="1" minValue="1.9635E-3" maxValue="1.197911715"/>
    </cacheField>
    <cacheField name="CIMA DE ARBOL (MS.)" numFmtId="0">
      <sharedItems containsSemiMixedTypes="0" containsString="0" containsNumber="1" containsInteger="1" minValue="5" maxValue="28"/>
    </cacheField>
    <cacheField name="ANGULO ALPHA (GRADOS)" numFmtId="0">
      <sharedItems containsSemiMixedTypes="0" containsString="0" containsNumber="1" minValue="-5" maxValue="88"/>
    </cacheField>
    <cacheField name="ALPHA (RADIANS)" numFmtId="0">
      <sharedItems containsSemiMixedTypes="0" containsString="0" containsNumber="1" minValue="-8.7266462599716474E-2" maxValue="1.5358897417550099"/>
    </cacheField>
    <cacheField name="BASE DE ARBOL (MS.)" numFmtId="0">
      <sharedItems containsSemiMixedTypes="0" containsString="0" containsNumber="1" containsInteger="1" minValue="5" maxValue="14"/>
    </cacheField>
    <cacheField name="ANGULO BETA (GRADOS)" numFmtId="0">
      <sharedItems containsSemiMixedTypes="0" containsString="0" containsNumber="1" minValue="-11" maxValue="38"/>
    </cacheField>
    <cacheField name="BETA (RADIANS)" numFmtId="0">
      <sharedItems containsSemiMixedTypes="0" containsString="0" containsNumber="1" minValue="-0.19198621771937624" maxValue="0.66322511575784526"/>
    </cacheField>
    <cacheField name="ALTURA (MS.)" numFmtId="0">
      <sharedItems containsSemiMixedTypes="0" containsString="0" containsNumber="1" minValue="0.52221196868356479" maxValue="28.99246253061493" count="1146">
        <n v="17.714834272426764"/>
        <n v="15.307937834149024"/>
        <n v="7.1838068180015373"/>
        <n v="15.546851631121315"/>
        <n v="14.047751597973845"/>
        <n v="16.690895233503557"/>
        <n v="15.620199277835363"/>
        <n v="12.406210152549132"/>
        <n v="15.1747011840728"/>
        <n v="18.126155740732997"/>
        <n v="18.253025411113253"/>
        <n v="22.572742950604589"/>
        <n v="17.895576326095412"/>
        <n v="8.1712656367809071"/>
        <n v="8.878372417967455"/>
        <n v="15.625684311107614"/>
        <n v="11.447878319073409"/>
        <n v="11.876090949353811"/>
        <n v="20.360405591782946"/>
        <n v="7.1569514101912235"/>
        <n v="14.531168025526915"/>
        <n v="5.1108999449944674"/>
        <n v="16.914467174146349"/>
        <n v="8.2903757255504171"/>
        <n v="5.0035300751450382"/>
        <n v="18.507054830251775"/>
        <n v="10.073458274988182"/>
        <n v="18.251730375326225"/>
        <n v="12.569341786828328"/>
        <n v="17.37300972233357"/>
        <n v="17.258141434779652"/>
        <n v="17.858625138534435"/>
        <n v="5.9438795743176902"/>
        <n v="5.8078933622411384"/>
        <n v="17.91853500738922"/>
        <n v="15.620607937501042"/>
        <n v="18.979527808011014"/>
        <n v="20.462764886797405"/>
        <n v="7.227234336315945"/>
        <n v="16.285494467381096"/>
        <n v="7.1980366216691749"/>
        <n v="6.7014990510558592"/>
        <n v="15.401825499592409"/>
        <n v="9.6215412700039185"/>
        <n v="11.288050785428334"/>
        <n v="10.165429840765489"/>
        <n v="8.3232216151925194"/>
        <n v="18.316672044342674"/>
        <n v="8.8911673820229264"/>
        <n v="19.309541630656572"/>
        <n v="12.264878865775241"/>
        <n v="9.3276988899234325"/>
        <n v="14.127916307263483"/>
        <n v="16.745182649202878"/>
        <n v="21.722851879257949"/>
        <n v="20.186757414116016"/>
        <n v="10.792799004453116"/>
        <n v="13.337315042785203"/>
        <n v="18.837959240846498"/>
        <n v="12.108785457818515"/>
        <n v="15.873673509642618"/>
        <n v="14.56860282226913"/>
        <n v="3.6799616322397961"/>
        <n v="11.425651839776462"/>
        <n v="5.6424103678201423"/>
        <n v="10.905196087100755"/>
        <n v="6.9889950680502251"/>
        <n v="10.724622203665692"/>
        <n v="11.885501028803622"/>
        <n v="6.1929665370034481"/>
        <n v="5.2590906592723741"/>
        <n v="8.2222984557881134"/>
        <n v="19.679070011348124"/>
        <n v="21.545278352221722"/>
        <n v="11.720126386026447"/>
        <n v="19.232346574017253"/>
        <n v="11.770491624498259"/>
        <n v="6.611852031763588"/>
        <n v="18.5315188454625"/>
        <n v="6.935453742756974"/>
        <n v="8.8681992063275406"/>
        <n v="19.271968813650361"/>
        <n v="9.1541859164540877"/>
        <n v="7.5769282349053553"/>
        <n v="5.8068748021838239"/>
        <n v="8.7807644231802744"/>
        <n v="19.399244766806994"/>
        <n v="7.6167746030710006"/>
        <n v="14.824356199297245"/>
        <n v="4.3587754639936742"/>
        <n v="9.7444347135050418"/>
        <n v="5.5788238258855456"/>
        <n v="12.563169875327501"/>
        <n v="11.881945391421914"/>
        <n v="5.177969887868203"/>
        <n v="13.793508811189948"/>
        <n v="5.6130913087034973"/>
        <n v="6.2096139844341174"/>
        <n v="4.8734028723469365"/>
        <n v="4.2336713214447972"/>
        <n v="3.0362195797631593"/>
        <n v="15.056475329163433"/>
        <n v="6.5147836381531494"/>
        <n v="16.258215266856741"/>
        <n v="15.347552424948104"/>
        <n v="4.0574585305577973"/>
        <n v="9.0532163543119335"/>
        <n v="14.258330249197702"/>
        <n v="18.010109078601754"/>
        <n v="13.293185531077125"/>
        <n v="6.7370251183229115"/>
        <n v="8.1381557247154497"/>
        <n v="15.123687659803172"/>
        <n v="17.950472416574591"/>
        <n v="17.741589544529148"/>
        <n v="6.4983827231877056"/>
        <n v="14.216658081382597"/>
        <n v="9.5083277676886873"/>
        <n v="14.52495289346845"/>
        <n v="13.58872557096257"/>
        <n v="14.201473963905485"/>
        <n v="9.2745072357493523"/>
        <n v="7.0434604083054762"/>
        <n v="9.7531405031467795"/>
        <n v="12.774661393112584"/>
        <n v="9.5405111467574297"/>
        <n v="7.0442423298408166"/>
        <n v="7.7178384955722947"/>
        <n v="22.496011566704727"/>
        <n v="5.0533144043599671"/>
        <n v="16.081976360237459"/>
        <n v="18.937286823955226"/>
        <n v="4.9939830921016668"/>
        <n v="20.18230138423651"/>
        <n v="17.141650820332135"/>
        <n v="18.457336391387297"/>
        <n v="21.187724085866734"/>
        <n v="5.9553818357243147"/>
        <n v="13.50281790800339"/>
        <n v="21.735950573168044"/>
        <n v="5.5353820018388733"/>
        <n v="24.245476271526599"/>
        <n v="20.173042213909717"/>
        <n v="16.779823167709868"/>
        <n v="14.265847744427303"/>
        <n v="10.109020505087909"/>
        <n v="11.991063076531834"/>
        <n v="7.4460892338360098"/>
        <n v="9.3026791536273521"/>
        <n v="8.0529585019948335"/>
        <n v="6.698743315493962"/>
        <n v="7.9068433072570947"/>
        <n v="5.5668263747475795"/>
        <n v="6.872391493160892"/>
        <n v="7.2404703229031693"/>
        <n v="8.2103098846811982"/>
        <n v="10.033395232179384"/>
        <n v="8.1756733751820647"/>
        <n v="10.420585778192915"/>
        <n v="4.9819428340351921"/>
        <n v="8.2177988473869661"/>
        <n v="15.523795264003347"/>
        <n v="23.062101494077147"/>
        <n v="7.3913620452973294"/>
        <n v="7.5161638114954972"/>
        <n v="11.104285784660416"/>
        <n v="10.503964486174024"/>
        <n v="8.7879600957612141"/>
        <n v="7.1759840928713157"/>
        <n v="6.3725462348853341"/>
        <n v="7.0153338445718738"/>
        <n v="8.8616133914246511"/>
        <n v="9.859388067552489"/>
        <n v="6.5556337293358506"/>
        <n v="5.262349120247559"/>
        <n v="5.9443377367243855"/>
        <n v="10.092791712659411"/>
        <n v="6.6543380856114478"/>
        <n v="6.3945936707413731"/>
        <n v="6.3777251708279268"/>
        <n v="6.084260911301751"/>
        <n v="6.7759533760245247"/>
        <n v="4.8663779860941911"/>
        <n v="6.5162366352240966"/>
        <n v="6.4018695559216425"/>
        <n v="6.4440466145913176"/>
        <n v="7.9241532157015069"/>
        <n v="11.755802787126546"/>
        <n v="6.1533374027077699"/>
        <n v="6.8130834660136266"/>
        <n v="10.043578870492414"/>
        <n v="11.347572436488145"/>
        <n v="15.785867951270012"/>
        <n v="8.1213293660630672"/>
        <n v="6.1113425084566373"/>
        <n v="14.139342733059602"/>
        <n v="10.225203658268919"/>
        <n v="10.7708756452444"/>
        <n v="20.404711559446309"/>
        <n v="11.244654177381749"/>
        <n v="9.830295453006034"/>
        <n v="12.550904142253318"/>
        <n v="4.1968021760036329"/>
        <n v="16.567581344197631"/>
        <n v="15.805517721280317"/>
        <n v="4.2838692707172239"/>
        <n v="7.8075802874937423"/>
        <n v="9.1640372434707427"/>
        <n v="17.703829255365278"/>
        <n v="4.6779472755637883"/>
        <n v="13.154572440812188"/>
        <n v="9.9283822903238228"/>
        <n v="14.529390926988409"/>
        <n v="9.6574233141355528"/>
        <n v="12.85399616067714"/>
        <n v="5.0545935085461196"/>
        <n v="18.864000387562314"/>
        <n v="20.563638325690444"/>
        <n v="24.862678939202244"/>
        <n v="14.72712799320038"/>
        <n v="12.234501885263219"/>
        <n v="12.450350824846854"/>
        <n v="12.251094166678051"/>
        <n v="11.621871287088789"/>
        <n v="9.2412088079903647"/>
        <n v="15.984320785322215"/>
        <n v="6.3272565575913244"/>
        <n v="3.4062153284559793"/>
        <n v="4.3223254320867177"/>
        <n v="9.2874248174503062"/>
        <n v="9.2952890692798622"/>
        <n v="9.4368297943452433"/>
        <n v="10.394520329963477"/>
        <n v="11.311472158178089"/>
        <n v="9.9693856574031496"/>
        <n v="7.5951054203135167"/>
        <n v="9.9620581553671155"/>
        <n v="10.618772263374677"/>
        <n v="6.9062531393349751"/>
        <n v="10.820374667141429"/>
        <n v="9.8511125409790328"/>
        <n v="9.5415282844527471"/>
        <n v="8.6602540378443855"/>
        <n v="8.4264888743087578"/>
        <n v="7.7942286340599471"/>
        <n v="2.6029044602334084"/>
        <n v="9.5133394416804187"/>
        <n v="8.2254538024369594"/>
        <n v="4.1372018995183071"/>
        <n v="12.243020004300226"/>
        <n v="9.7279511064708153"/>
        <n v="7.5515561737603321"/>
        <n v="11.000466826548296"/>
        <n v="7.7964441186101601"/>
        <n v="9.0416987789665022"/>
        <n v="6.3181130310419018"/>
        <n v="8.0078012243652079"/>
        <n v="7.9396404048097873"/>
        <n v="16.167960777017608"/>
        <n v="6.1283555449518241"/>
        <n v="9.1875292276440774"/>
        <n v="8.4804809615642593"/>
        <n v="9.2200694673939161"/>
        <n v="9.3430424004732231"/>
        <n v="8.0922700633745297"/>
        <n v="9.1852447154274834"/>
        <n v="4.2890754172204737"/>
        <n v="9.9794031449238823"/>
        <n v="12.505396154116761"/>
        <n v="12.821268554146044"/>
        <n v="11.451722082500652"/>
        <n v="18.790206930928992"/>
        <n v="4.7385277742153233"/>
        <n v="6.7229290205452124"/>
        <n v="16.053838863201523"/>
        <n v="5.3860853858875943"/>
        <n v="5.7190868791925809"/>
        <n v="6.1868179759344857"/>
        <n v="10.615992140981623"/>
        <n v="7.4144319617868586"/>
        <n v="8.8873859476902446"/>
        <n v="6.3025139195618944"/>
        <n v="8.4559069229481612"/>
        <n v="6.8362510513038401"/>
        <n v="8.2340643100229425"/>
        <n v="8.5396773445908813"/>
        <n v="10.773178586994842"/>
        <n v="6.2449880803688966"/>
        <n v="6.9509494750049834"/>
        <n v="11.208476549313705"/>
        <n v="9.8723683986009263"/>
        <n v="8.4473142586859264"/>
        <n v="4.9573272173644582"/>
        <n v="7.8473115798245381"/>
        <n v="6.1495963211660243"/>
        <n v="3.9852592888018377"/>
        <n v="7.4751295039067287"/>
        <n v="11.053216354311934"/>
        <n v="12.034093772152634"/>
        <n v="6.7966160389307575"/>
        <n v="9.5105651629515346"/>
        <n v="10.3082711598292"/>
        <n v="7.4524517780238044"/>
        <n v="5.6588689917531871"/>
        <n v="5.7442281253400234"/>
        <n v="8.2015331830842477"/>
        <n v="7.4221562725185137"/>
        <n v="6.7816095212117045"/>
        <n v="6.7026774147134294"/>
        <n v="7.0837706360861326"/>
        <n v="7.062838777009329"/>
        <n v="4.489904622950875"/>
        <n v="14.236940783090335"/>
        <n v="6.1491809293289927"/>
        <n v="7.9318216312060663"/>
        <n v="8.3759951054472968"/>
        <n v="4.8492524553088465"/>
        <n v="5.4645075470485196"/>
        <n v="7.9345912707349076"/>
        <n v="6.5859913007296402"/>
        <n v="5.5357095704441956"/>
        <n v="6.3821495737730087"/>
        <n v="9.394399988070802"/>
        <n v="6.6223250176668298"/>
        <n v="7.3083636611408069"/>
        <n v="8.3838791677633413"/>
        <n v="8.6317310705856798"/>
        <n v="11.816048571463462"/>
        <n v="8.6909396542048558"/>
        <n v="6.8121703109467084"/>
        <n v="8.364291190757406"/>
        <n v="14.371614831970401"/>
        <n v="7.4149122657339497"/>
        <n v="6.7426406871192839"/>
        <n v="6.5450849718747364"/>
        <n v="5.8849534181711132"/>
        <n v="6.8636548106036832"/>
        <n v="10.772397542383283"/>
        <n v="18.722400683266908"/>
        <n v="10.67217633717255"/>
        <n v="7.8319877254995802"/>
        <n v="8.9555251723879454"/>
        <n v="8.8242927594832672"/>
        <n v="8.2739885204374897"/>
        <n v="6.0859082857963607"/>
        <n v="6.3286583539113028"/>
        <n v="6.6598481849341749"/>
        <n v="5.8118039023823806"/>
        <n v="13.340759341936133"/>
        <n v="7.9221242124044995"/>
        <n v="5.6538241349019946"/>
        <n v="15.30606834931209"/>
        <n v="5.4568523791430197"/>
        <n v="3.3248803896649433"/>
        <n v="11.400991800737204"/>
        <n v="16.300620710053671"/>
        <n v="15.805021557065919"/>
        <n v="8.6177388750097137"/>
        <n v="9.8223243969057741"/>
        <n v="10.753288904374108"/>
        <n v="9.0324213325226452"/>
        <n v="5.3941410032796799"/>
        <n v="5.6040433283605804"/>
        <n v="15.547098319169919"/>
        <n v="4.78259121262988"/>
        <n v="19.85571188156506"/>
        <n v="5.5705229066744364"/>
        <n v="6.9059175301168274"/>
        <n v="7.8342752880065305"/>
        <n v="11.123919756980506"/>
        <n v="6.852106912947173"/>
        <n v="6.4763461125647606"/>
        <n v="6.5532163543119344"/>
        <n v="21.95461422343385"/>
        <n v="3.524368382046287"/>
        <n v="8.6717273585517418"/>
        <n v="16.682418828128881"/>
        <n v="14.149829833892541"/>
        <n v="17.351078518233273"/>
        <n v="6.2470736219971821"/>
        <n v="18.673126867964605"/>
        <n v="12.688309018513099"/>
        <n v="5.4559868804999878"/>
        <n v="6.5727093098413238"/>
        <n v="4.8541019662496838"/>
        <n v="9.0253523093115131"/>
        <n v="7.2431823567914284"/>
        <n v="9.0097658777284586"/>
        <n v="5.4701769394599866"/>
        <n v="6.8000580483293884"/>
        <n v="18.039222445865676"/>
        <n v="12.570406674943502"/>
        <n v="8.3999618483916745"/>
        <n v="6.2840250290983004"/>
        <n v="7.5902654928711293"/>
        <n v="10.634801113972951"/>
        <n v="8.0921903305096841"/>
        <n v="7.3327475930801942"/>
        <n v="8.8973879447473081"/>
        <n v="7.5068465256037653"/>
        <n v="15.34036669993514"/>
        <n v="5.6147246320855855"/>
        <n v="7.1926287487257099"/>
        <n v="6.2368285151271321"/>
        <n v="6.079909280010245"/>
        <n v="6.1844377432778987"/>
        <n v="5.5229344564859479"/>
        <n v="15.296761713789252"/>
        <n v="13.430640769976225"/>
        <n v="8.164357873534696"/>
        <n v="9.6790467829493458"/>
        <n v="10.226097309059679"/>
        <n v="9.1853471360229584"/>
        <n v="7.0202998291259977"/>
        <n v="15.966309236519688"/>
        <n v="7.9080753004907276"/>
        <n v="17.177510514945826"/>
        <n v="4.73555384361888"/>
        <n v="8.7255434802865466"/>
        <n v="7.0791837126914574"/>
        <n v="10.112695734710995"/>
        <n v="6.702751176934056"/>
        <n v="9.29472976264341"/>
        <n v="5.9527414037476287"/>
        <n v="6.9152253724479706"/>
        <n v="6.7500821060125915"/>
        <n v="11.470672379389715"/>
        <n v="9.7648924585392365"/>
        <n v="12.22317908693627"/>
        <n v="12.153936813874097"/>
        <n v="13.735410158219389"/>
        <n v="11.157704802379151"/>
        <n v="8.5409674055688889"/>
        <n v="7.3073192257373565"/>
        <n v="13.334915502091574"/>
        <n v="28.99246253061493"/>
        <n v="23.146242141903517"/>
        <n v="17.684875269988787"/>
        <n v="14.844483023016263"/>
        <n v="10.339383340488254"/>
        <n v="10.639092576769906"/>
        <n v="11.517060117132589"/>
        <n v="12.305471830935465"/>
        <n v="13.757295788366147"/>
        <n v="10.298035798895407"/>
        <n v="17.161462607959468"/>
        <n v="12.102405562041607"/>
        <n v="12.565111257339973"/>
        <n v="9.6964558171012722"/>
        <n v="12.723881055977968"/>
        <n v="14.888712031062354"/>
        <n v="11.291683055081585"/>
        <n v="16.67876278433614"/>
        <n v="14.740429878467111"/>
        <n v="7.5681961352010667"/>
        <n v="11.493424977514403"/>
        <n v="14.462857693884402"/>
        <n v="17.288979935248811"/>
        <n v="14.972803584634745"/>
        <n v="10.288094810130168"/>
        <n v="8.5225991854634806"/>
        <n v="13.076096456989053"/>
        <n v="13.418450878494745"/>
        <n v="13.492101948104793"/>
        <n v="10.555757459053646"/>
        <n v="15.473576090873619"/>
        <n v="9.3393136059346844"/>
        <n v="9.9543492633569883"/>
        <n v="10.14657829431046"/>
        <n v="12.169788669952403"/>
        <n v="8.1744828215229344"/>
        <n v="15.222963884152424"/>
        <n v="14.518448570320766"/>
        <n v="8.8623146147967979"/>
        <n v="4.9864977585922876"/>
        <n v="8.9372205328442593"/>
        <n v="9.6436468313082973"/>
        <n v="12.885205140981423"/>
        <n v="9.2406235612429448"/>
        <n v="10.914912004045956"/>
        <n v="7.8241029023609077"/>
        <n v="9.648330600309631"/>
        <n v="10.21316830845951"/>
        <n v="9.2497641433395579"/>
        <n v="8.1054698088729964"/>
        <n v="6.9542160817975098"/>
        <n v="7.0691853897861918"/>
        <n v="7.9939942472497467"/>
        <n v="8.0838319540383399"/>
        <n v="7.7879622872608252"/>
        <n v="8.4142574646025086"/>
        <n v="5.2900465483477461"/>
        <n v="20.464761096934961"/>
        <n v="8.3868832983584412"/>
        <n v="9.1831884943303344"/>
        <n v="7.9061064176258675"/>
        <n v="10.662705844534935"/>
        <n v="18.65986384310866"/>
        <n v="10.428242545677966"/>
        <n v="6.8789182822822115"/>
        <n v="7.4405806039942775"/>
        <n v="12.576653294115332"/>
        <n v="6.7651560201684067"/>
        <n v="13.524971551088621"/>
        <n v="9.0243193489983007"/>
        <n v="5.4330669538796084"/>
        <n v="6.2967349782271604"/>
        <n v="12.811244519812826"/>
        <n v="3.5921838867719322"/>
        <n v="10.061205890168823"/>
        <n v="15.826250977748193"/>
        <n v="6.9965964332864754"/>
        <n v="5.3271098411990172"/>
        <n v="5.9565294652732073"/>
        <n v="4.1221340329410534"/>
        <n v="16.464374405629012"/>
        <n v="18.646215267297297"/>
        <n v="5.7091227458041125"/>
        <n v="7.7722785431194144"/>
        <n v="7.4648191193375517"/>
        <n v="15.615371471561973"/>
        <n v="8.802197499088841"/>
        <n v="9.1892651339262308"/>
        <n v="6.7701416497780977"/>
        <n v="8.2100240868583167"/>
        <n v="5.0809460503989889"/>
        <n v="7.9483586299954618"/>
        <n v="9.0592890270597248"/>
        <n v="9.7291594343236536"/>
        <n v="14.719372077269075"/>
        <n v="10.99813621463551"/>
        <n v="6.6019121226985487"/>
        <n v="13.329238976772583"/>
        <n v="8.7483484244018719"/>
        <n v="15.657440037780111"/>
        <n v="9.7783061302183309"/>
        <n v="11.179530857531091"/>
        <n v="13.622862679036535"/>
        <n v="7.9603700936575299"/>
        <n v="14.561341985592659"/>
        <n v="10.221978190948715"/>
        <n v="9.168855363682118"/>
        <n v="8.5403028116105446"/>
        <n v="5.9873638649323055"/>
        <n v="8.7576445895071551"/>
        <n v="5.9404198584548009"/>
        <n v="7.9976868221267789"/>
        <n v="5.142300877492314"/>
        <n v="4.0529142706151244"/>
        <n v="4.5878304303982089"/>
        <n v="8.4799969568194058"/>
        <n v="9.6200079590963981"/>
        <n v="4.1652121686575097"/>
        <n v="5.6464548905713876"/>
        <n v="6.443622567613188"/>
        <n v="4.1234659226075534"/>
        <n v="12.14360966385842"/>
        <n v="4.2261826174069945"/>
        <n v="15.656590791381953"/>
        <n v="6.7454793189989015"/>
        <n v="6.9755152604709885"/>
        <n v="7.3115604501912124"/>
        <n v="8.2866050555339861"/>
        <n v="11.184922901071662"/>
        <n v="11.263480882915754"/>
        <n v="9.9296461547362753"/>
        <n v="20.605585731435813"/>
        <n v="11.578400301582837"/>
        <n v="10.845555293054352"/>
        <n v="5.3896358721824216"/>
        <n v="9.0464345130667496"/>
        <n v="8.803376566908323"/>
        <n v="11.107026924487426"/>
        <n v="12.434369767125155"/>
        <n v="9.667914633061951"/>
        <n v="14.311265970094308"/>
        <n v="13.739453079109971"/>
        <n v="13.669928261876112"/>
        <n v="5.2176310259008103"/>
        <n v="4.9688276979263026"/>
        <n v="13.669240273535319"/>
        <n v="6.676374664250039"/>
        <n v="6.9535012262822864"/>
        <n v="6.1521752995224857"/>
        <n v="11.760184186378147"/>
        <n v="7.1329051817942046"/>
        <n v="10.582600014091165"/>
        <n v="7.5690994583294753"/>
        <n v="2.0104360941453456"/>
        <n v="17.525347158786388"/>
        <n v="10.098144970033482"/>
        <n v="5.1842796903665578"/>
        <n v="6.1282114703313608"/>
        <n v="4.8790750924701749"/>
        <n v="3.348782368720626"/>
        <n v="7.9603376707951492"/>
        <n v="13.339208066959042"/>
        <n v="6.0146663044329784"/>
        <n v="8.3017062604588361"/>
        <n v="2.0636194860240744"/>
        <n v="5.3294527979457058"/>
        <n v="6.2421978576467918"/>
        <n v="4.8982368600495487"/>
        <n v="4.590263112855034"/>
        <n v="6.2789770812000967"/>
        <n v="5.1501835661302833"/>
        <n v="11.048735028220142"/>
        <n v="5.3652098889263709"/>
        <n v="8.3185455710973368"/>
        <n v="5.5896924348643768"/>
        <n v="6.7169582578993694"/>
        <n v="5.885245558318795"/>
        <n v="5.9189585647368181"/>
        <n v="1.9385938251909924"/>
        <n v="3.1503043029950151"/>
        <n v="12.877180039961384"/>
        <n v="6.7404978809178422"/>
        <n v="9.3764355451952746"/>
        <n v="3.0229344564859488"/>
        <n v="10.550124720153187"/>
        <n v="11.949858169469636"/>
        <n v="5.2708274698691131"/>
        <n v="11.431244181016833"/>
        <n v="10.936110837446058"/>
        <n v="2.6357997485277638"/>
        <n v="11.910607939530372"/>
        <n v="11.285206367192217"/>
        <n v="4.5072323119831781"/>
        <n v="10.949840478474208"/>
        <n v="13.591475404741008"/>
        <n v="10.573878655321508"/>
        <n v="7.1646105853065229"/>
        <n v="10.392304845413264"/>
        <n v="9.3943373275459585"/>
        <n v="5.2214898525365321"/>
        <n v="3.3622886790308373"/>
        <n v="7.402830844106572"/>
        <n v="4.2138260983847289"/>
        <n v="3.3367441794825754"/>
        <n v="8.6538727968948663"/>
        <n v="5.6472437024349054"/>
        <n v="9.2938846789834439"/>
        <n v="10.99413935307709"/>
        <n v="11.346222907191802"/>
        <n v="12.670378680374757"/>
        <n v="15.042501916720591"/>
        <n v="14.027005609252273"/>
        <n v="11.686400070925867"/>
        <n v="14.816533425252212"/>
        <n v="9.4441129044763983"/>
        <n v="9.4070576865584297"/>
        <n v="5.4416964864381807"/>
        <n v="5.1508208836318392"/>
        <n v="6.3777988412528916"/>
        <n v="11.477821382391152"/>
        <n v="7.2863009395012348"/>
        <n v="5.3568533003214016"/>
        <n v="10.334582927813944"/>
        <n v="6.168969669492709"/>
        <n v="8.5224965482315049"/>
        <n v="15.388536986521622"/>
        <n v="21.146981076943554"/>
        <n v="20.724130975920303"/>
        <n v="10.196769946055337"/>
        <n v="13.752196425267924"/>
        <n v="6.3926033049596622"/>
        <n v="15.403336251498189"/>
        <n v="13.926423076447797"/>
        <n v="5.6502076972718012"/>
        <n v="3.0696392099181966"/>
        <n v="5.3541019662496838"/>
        <n v="5.4723222932106994"/>
        <n v="8.2725867671557971"/>
        <n v="11.112380685222039"/>
        <n v="5.4540449768827228"/>
        <n v="6.0524275384208988"/>
        <n v="5.1278407722857828"/>
        <n v="5.5746573804070545"/>
        <n v="9.3413466306508397"/>
        <n v="17.061056514525042"/>
        <n v="8.5222468182292754"/>
        <n v="7.7421478097639236"/>
        <n v="10.466054322903226"/>
        <n v="24.274533335460607"/>
        <n v="5.6988249082580058"/>
        <n v="8.2869200179595541"/>
        <n v="9.7545776732271214"/>
        <n v="7.6604097020301829"/>
        <n v="8.913886035518761"/>
        <n v="6.6407323507623808"/>
        <n v="5.3086867729022504"/>
        <n v="8.2079003185100401"/>
        <n v="6.8845437958436539"/>
        <n v="4.9734938040800749"/>
        <n v="6.9540341932099592"/>
        <n v="5.5960049524795439"/>
        <n v="9.8896340974063826"/>
        <n v="14.341037983530232"/>
        <n v="10.056647689589568"/>
        <n v="5.9716578188585832"/>
        <n v="6.0480800474806058"/>
        <n v="11.276311449430899"/>
        <n v="6.6512900014377729"/>
        <n v="10.780846682733923"/>
        <n v="6.0529142706151235"/>
        <n v="10.47860973426277"/>
        <n v="10.68540119736562"/>
        <n v="6.719070501288015"/>
        <n v="7.102700713788014"/>
        <n v="8.7489927059641914"/>
        <n v="12.037093620795723"/>
        <n v="8.9349770842765217"/>
        <n v="12.171522576356752"/>
        <n v="13.582933453134492"/>
        <n v="5.3506980220931357"/>
        <n v="8.0077847957513253"/>
        <n v="11.563479916981823"/>
        <n v="10.030726669393722"/>
        <n v="3.6822281746067307"/>
        <n v="13.923211374796857"/>
        <n v="5.6593366533427982"/>
        <n v="11.024766980144866"/>
        <n v="5.4343855989989329"/>
        <n v="16.968505355822185"/>
        <n v="18.513943179208951"/>
        <n v="8.1187031846278508"/>
        <n v="13.112916788286192"/>
        <n v="16.630366415970038"/>
        <n v="17.887575249122353"/>
        <n v="9.5946510017919096"/>
        <n v="8.467471471168226"/>
        <n v="9.2404121726918778"/>
        <n v="9.5412267689531074"/>
        <n v="14.170957586041299"/>
        <n v="13.828603164535608"/>
        <n v="12.156407843881155"/>
        <n v="5.7338871927248043"/>
        <n v="7.5022862705528892"/>
        <n v="8.3773739322630671"/>
        <n v="12.570718157156794"/>
        <n v="7.5563211053397552"/>
        <n v="8.773681459499759"/>
        <n v="12.26745531918305"/>
        <n v="11.82450444802225"/>
        <n v="15.595002003191002"/>
        <n v="13.770385666888705"/>
        <n v="12.683976642574446"/>
        <n v="10.197631432674841"/>
        <n v="13.523951009926371"/>
        <n v="8.440618478461138"/>
        <n v="8.6664636241135291"/>
        <n v="9.6611264202123142"/>
        <n v="9.342533582036177"/>
        <n v="9.7992471333208471"/>
        <n v="14.963630200123276"/>
        <n v="10.751557982604304"/>
        <n v="8.8713187418936581"/>
        <n v="7.503698287415709"/>
        <n v="12.731574177944422"/>
        <n v="13.382725060530769"/>
        <n v="7.9298249882889875"/>
        <n v="9.9073199427634435"/>
        <n v="9.2417578020002562"/>
        <n v="21.316600410905131"/>
        <n v="9.0633853374728961"/>
        <n v="7.9639209216568609"/>
        <n v="4.5962281421546951"/>
        <n v="7.3732196772529761"/>
        <n v="8.9227365033208024"/>
        <n v="8.5687754034066259"/>
        <n v="4.9338603645407204"/>
        <n v="7.3561772785004163"/>
        <n v="21.188926872228389"/>
        <n v="16.654469769021119"/>
        <n v="15.245416240410087"/>
        <n v="6.5516341277597867"/>
        <n v="5.9771681885504728"/>
        <n v="7.3809460939255951"/>
        <n v="7.323729390233285"/>
        <n v="11.666289996980872"/>
        <n v="11.569582821027581"/>
        <n v="4.8498222439135423"/>
        <n v="9.8457110929393021"/>
        <n v="5.3110850241179284"/>
        <n v="5.951853988985345"/>
        <n v="4.7191609399809114"/>
        <n v="6.3726520218693308"/>
        <n v="7.8784620240976633"/>
        <n v="6.2731494935150698"/>
        <n v="6.5380162107616915"/>
        <n v="7.1376002104905147"/>
        <n v="5.5717080820478522"/>
        <n v="7.6482576095935499"/>
        <n v="7.8457530680725691"/>
        <n v="7.2426928190951614"/>
        <n v="18.082530378003558"/>
        <n v="4.8582834184154322"/>
        <n v="12.006607090001802"/>
        <n v="16.285630366476937"/>
        <n v="13.647009480336012"/>
        <n v="11.066914469215893"/>
        <n v="3.9062704415392644"/>
        <n v="7.2700173368336127"/>
        <n v="8.5331860340197512"/>
        <n v="8.7738456674841867"/>
        <n v="6.5469848437130951"/>
        <n v="5.1926794096432403"/>
        <n v="7.1898830114902283"/>
        <n v="7.7740285775077087"/>
        <n v="5.5598686100278867"/>
        <n v="10.025565933438996"/>
        <n v="9.0597613312245695"/>
        <n v="8.8421303370214197"/>
        <n v="9.9376954257413761"/>
        <n v="11.679486374031493"/>
        <n v="12.517118865387017"/>
        <n v="13.286564965953122"/>
        <n v="12.428607715054923"/>
        <n v="9.4508653088424524"/>
        <n v="10.413508523618063"/>
        <n v="11.103605269433885"/>
        <n v="9.8690343826780644"/>
        <n v="9.8882536602254447"/>
        <n v="17.309648625732095"/>
        <n v="13.320281549708605"/>
        <n v="13.122778912170185"/>
        <n v="15.129225139738686"/>
        <n v="10.991085485336393"/>
        <n v="10.108796416122761"/>
        <n v="13.982404244025702"/>
        <n v="19.753286569334087"/>
        <n v="8.3973290684239732"/>
        <n v="13.362106568418078"/>
        <n v="26.416837925654043"/>
        <n v="13.630321177690231"/>
        <n v="13.65503419855601"/>
        <n v="6.8162642356593501"/>
        <n v="8.1666224200277373"/>
        <n v="6.7496295082845039"/>
        <n v="7.5116944090883759"/>
        <n v="11.276561229168873"/>
        <n v="17.244069595698651"/>
        <n v="7.3525716947901332"/>
        <n v="7.419557001610869"/>
        <n v="6.5888497673464927"/>
        <n v="6.4721359549995796"/>
        <n v="0.52221196868356479"/>
        <n v="1.2179510389394452"/>
        <n v="3.016204364460664"/>
        <n v="3.148154924770469"/>
        <n v="3.2700242681756162"/>
        <n v="2.6648187195536774"/>
        <n v="4.1278921562060038"/>
        <n v="1.394199743814849"/>
        <n v="1.775794775169274"/>
        <n v="2.0722620203301965"/>
        <n v="2.5597393939507862"/>
        <n v="2.9253474241662287"/>
        <n v="1.1330246557195562"/>
        <n v="2.9226351201613743"/>
        <n v="2.5037981420989768"/>
        <n v="3.3871647105157798"/>
        <n v="12.331203688043786"/>
        <n v="10.144929369632857"/>
        <n v="9.0244767386084153"/>
        <n v="8.2355251847018938"/>
        <n v="4.1438257327975165"/>
        <n v="7.5559054441640319"/>
        <n v="10.050944198835559"/>
        <n v="10.255214309193432"/>
        <n v="11.399709782980903"/>
        <n v="8.4146922561547566"/>
        <n v="6.1010496461370032"/>
        <n v="5.1945143154600562"/>
        <n v="4.7670461084956575"/>
        <n v="5.4636650779688551"/>
        <n v="4.7665182219879139"/>
        <n v="3.5061153236384346"/>
        <n v="5.7110934705534726"/>
        <n v="9.8869210049607013"/>
        <n v="8.1063207498817285"/>
        <n v="6.6868977531962353"/>
        <n v="12.344699795333042"/>
        <n v="7.081575685299156"/>
        <n v="12.209739190044578"/>
        <n v="13.061604350163341"/>
        <n v="13.095383465111189"/>
        <n v="9.1246085315879153"/>
        <n v="15.035081932574533"/>
        <n v="13.475528615668914"/>
        <n v="6.107878549758408"/>
        <n v="9.7125652911437932"/>
        <n v="12.279620695400665"/>
        <n v="8.6239820824805982"/>
        <n v="20.531193666004551"/>
        <n v="15.34285945669518"/>
        <n v="14.370267530333241"/>
        <n v="18.222414113855915"/>
        <n v="18.779905188340205"/>
        <n v="20.844919828920204"/>
        <n v="20.482988849516754"/>
        <n v="6.4363961030049177"/>
        <n v="5.3678821817552294"/>
        <n v="18.729435077416046"/>
        <n v="5.1207188874775547"/>
        <n v="6.6497209650775755"/>
        <n v="8.8647392599592418"/>
        <n v="10.431288447965006"/>
        <n v="16.41326871165953"/>
        <n v="14.901148347131951"/>
        <n v="7.1448845985973675"/>
        <n v="7.6974316218065084"/>
        <n v="6.0680837459500934"/>
        <n v="4.8903991508257674"/>
        <n v="5.2700837789146302"/>
        <n v="6.9083299698142264"/>
        <n v="6.2531324684723053"/>
        <n v="3.6999456462695957"/>
        <n v="7.2280685240860798"/>
        <n v="5.0795675258078079"/>
        <n v="4.4774254034115559"/>
        <n v="6.6477046372142903"/>
        <n v="6.745449106356574"/>
        <n v="13.279861935763531"/>
        <n v="10.822405802896554"/>
        <n v="8.9765332266486784"/>
        <n v="9.4482136240866126"/>
        <n v="10.373119741453047"/>
        <n v="15.049434288671348"/>
        <n v="8.9862412303507444"/>
        <n v="4.6538241349019946"/>
        <n v="4.8968404538305919"/>
        <n v="8.2417837980192949"/>
        <n v="7.6729274598971529"/>
        <n v="8.2876152107957015"/>
        <n v="9.6611549611379548"/>
        <n v="9.2803048189002553"/>
        <n v="5.1598890267165913"/>
        <n v="9.8229790687520619"/>
        <n v="9.8377937283658081"/>
        <n v="13.187791739916696"/>
        <n v="6.588292872985682"/>
        <n v="17.287751873380156"/>
        <n v="12.569601905810273"/>
        <n v="18.47726795637562"/>
        <n v="21.406255776872502"/>
        <n v="18.413112518825365"/>
        <n v="18.02107494772423"/>
        <n v="6.1130908866693172"/>
        <n v="10.452263291701941"/>
        <n v="21.750709093408254"/>
        <n v="18.108669796210787"/>
        <n v="6.1631189606246313"/>
        <n v="20.264051278570847"/>
        <n v="12.994804865692922"/>
        <n v="11.754727408518415"/>
        <n v="5.9626809423769913"/>
        <n v="8.5218400898437494"/>
        <n v="7.3421881305862708"/>
        <n v="11.781118973120794"/>
        <n v="6.494832440180569"/>
        <n v="6.4599972376086878"/>
        <n v="7.6072627983658077"/>
        <n v="6.7580433312913977"/>
        <n v="4.4994298604666216"/>
        <n v="9.2728187521569509"/>
        <n v="9.4389905877964733"/>
        <n v="13.677862593830492"/>
        <n v="9.3705451478181239"/>
        <n v="9.6281394488804359"/>
        <n v="9.4522841789162815"/>
        <n v="5.0543420922419457"/>
        <n v="9.8548139694319925"/>
        <n v="5.8179883566404831"/>
        <n v="8.1099372317393144"/>
        <n v="6.6310659562128382"/>
        <n v="11.424047298783668"/>
        <n v="6.9304187148257217"/>
        <n v="11.764691071780872"/>
        <n v="6.8055944040343892"/>
        <n v="10.462203860776917"/>
        <n v="9.8780202479067647"/>
        <n v="6.1590343654229898"/>
        <n v="9.4285947454558237"/>
        <n v="15.645289808349327"/>
        <n v="9.0883238595725508"/>
        <n v="8.3554260821932864"/>
        <n v="12.459350803803472"/>
        <n v="12.451325702783434"/>
        <n v="13.513315513252527"/>
        <n v="6.7533915176606092"/>
        <n v="8.2705346304233878"/>
        <n v="10.017824615737132"/>
        <n v="9.4011299208882555"/>
        <n v="17.462056002530211"/>
        <n v="21.896500056924879"/>
        <n v="14.196111207603536"/>
        <n v="9.2334095088914996"/>
        <n v="14.44979191651532"/>
        <n v="9.5223700275658416"/>
        <n v="13.25789313621839"/>
        <n v="5.1855180850800924"/>
        <n v="9.0090364065650128"/>
        <n v="13.626915808754484"/>
        <n v="7.9427817839104291"/>
        <n v="12.265337812492824"/>
        <n v="12.055598371955339"/>
        <n v="11.32986256758134"/>
        <n v="7.2717873044894095"/>
        <n v="18.254905761537881"/>
        <n v="8.4119268526897226"/>
        <n v="9.4721777469074251"/>
        <n v="12.106564524727876"/>
        <n v="13.310451109151714"/>
        <n v="9.4988565841047894"/>
        <n v="6.3714655315848532"/>
        <n v="8.6900517354875966"/>
        <n v="9.4807116490767847"/>
        <n v="14.200043326814141"/>
        <n v="5.713395457770444"/>
        <n v="18.087865862063939"/>
        <n v="5.5403229322232335"/>
        <n v="6.9073960737075835"/>
        <n v="9.6932443294464523"/>
        <n v="6.6186300291952174"/>
        <n v="9.0665803040989115"/>
        <n v="10.863720884330048"/>
        <n v="10.79831793134797"/>
        <n v="11.382249234466176"/>
        <n v="9.5256898429061287"/>
        <n v="10.242775670080997"/>
        <n v="11.281355905065908"/>
        <n v="8.1884310621908565"/>
        <n v="8.7887974048416666"/>
        <n v="8.926221890593812"/>
        <n v="9.3645418795579243"/>
        <n v="8.659339728459523"/>
        <n v="15.644034523512298"/>
        <n v="10.802512234905411"/>
        <n v="8.0467730379739439"/>
        <n v="8.0107167195062665"/>
        <n v="7.2846950217781634"/>
        <n v="13.229407573763908"/>
        <n v="8.4105629637380854"/>
        <n v="11.488870498108282"/>
        <n v="9.4011977684774042"/>
        <n v="9.3609097454929362"/>
        <n v="8.9986271758257264"/>
        <n v="8.2441063141339921"/>
        <n v="9.770823309564765"/>
        <n v="13.300860254274793"/>
        <n v="7.1346781268952117"/>
        <n v="7.414472905641488"/>
        <n v="14.728243651615285"/>
        <n v="9.0282441664745097"/>
        <n v="13.726775312439647"/>
        <n v="17.284503008260636"/>
        <n v="10.638513259464693"/>
        <n v="8.2934225213979218"/>
        <n v="8.3725004321977341"/>
        <n v="9.9542312003085929"/>
        <n v="10.204160467396282"/>
        <n v="9.6977168169239203"/>
        <n v="8.7296520215953475"/>
        <n v="9.018929759476265"/>
        <n v="5.6563269952225088"/>
        <n v="7.5138393520976674"/>
        <n v="13.654166344731568"/>
        <n v="12.664151418324749"/>
        <n v="11.770611759899746"/>
        <n v="9.3650956645501431"/>
        <n v="11.224614398666732"/>
        <n v="11.4901336596312"/>
        <n v="10.337387289687005"/>
        <n v="10.074061366667394"/>
        <n v="6.8247389525006916"/>
        <n v="10.661414505119465"/>
        <n v="10.225497141923119"/>
        <n v="9.8051080101036536"/>
        <n v="7.1702446109534064"/>
        <n v="8.9241151843173494"/>
        <n v="9.5200394156530557"/>
        <n v="7.7301924952981302"/>
        <n v="8.24351047819653"/>
        <n v="9.6964282787404485"/>
        <n v="9.416846464361333"/>
        <n v="8.7860960473082379"/>
        <n v="9.1301272331313026"/>
        <n v="10.746632533922273"/>
        <n v="9.145565419772641"/>
        <n v="12.200540073941202"/>
        <n v="12.403551626602148"/>
        <n v="7.7781745930520216"/>
        <n v="7.8801075360672197"/>
        <n v="15.662252712180454"/>
        <n v="13.029471376383006"/>
        <n v="6.4918928552527726"/>
        <n v="11.710732050200191"/>
        <n v="8.3576759683840187"/>
        <n v="14.893018524033224"/>
        <n v="5.7249482348277088"/>
        <n v="11.838921879040472"/>
        <n v="11.90348222903682"/>
        <n v="12.218280695074741"/>
        <n v="8.6797045398157984"/>
        <n v="9.5860123268524475"/>
        <n v="9.2691315278799067"/>
        <n v="7.3639819440137995"/>
        <n v="8.5706914875040354"/>
        <n v="8.7354880481748687"/>
        <n v="7.0540660032196678"/>
        <n v="9.8463494940139604"/>
        <n v="11.683926497717586"/>
        <n v="11.773919002124297"/>
        <n v="6.7464743559856704"/>
        <n v="8.2123855237628725"/>
        <n v="8.0953663010909551"/>
        <n v="8.2574949555967159"/>
        <n v="7.6070972771025023"/>
        <n v="10.981939262296217"/>
        <n v="5.7248843547814925"/>
        <n v="8.6053372142659477"/>
        <n v="13.43172763390899"/>
        <n v="9.3322647915519994"/>
        <n v="7.1040668924926527"/>
        <n v="10.438815273860666"/>
        <n v="10.267265313401246"/>
        <n v="10.754312587449778"/>
        <n v="8.9884174017319243"/>
        <n v="10.764258455438666"/>
        <n v="8.8478089148137418"/>
        <n v="10.115087503529708"/>
        <n v="9.81439525155014"/>
        <n v="7.866810020516894"/>
        <n v="7.1712564055794967"/>
        <n v="13.198773317597388"/>
        <n v="16.705990613791325"/>
        <n v="10.00627292488482"/>
        <n v="12.330652234512836"/>
        <n v="10.863474168626619"/>
        <n v="21.936501841473426"/>
        <n v="5.8691370207070062"/>
        <n v="10.009960363907576"/>
        <n v="4.5417598230583316"/>
        <n v="9.6417644847572532"/>
        <n v="15.766781175448108"/>
      </sharedItems>
      <fieldGroup base="26">
        <rangePr autoStart="0" autoEnd="0" startNum="0" endNum="25" groupInterval="5"/>
        <groupItems count="7">
          <s v="&lt;0"/>
          <s v="0-5"/>
          <s v="5-10"/>
          <s v="10-15"/>
          <s v="15-20"/>
          <s v="20-25"/>
          <s v="&gt;25"/>
        </groupItems>
      </fieldGroup>
    </cacheField>
    <cacheField name="BIOMASA-DA (KG)" numFmtId="0">
      <sharedItems containsSemiMixedTypes="0" containsString="0" containsNumber="1" minValue="0.87587059991153027" maxValue="5860.3961581794338"/>
    </cacheField>
    <cacheField name="ERROR ESTANDAR" numFmtId="0">
      <sharedItems containsSemiMixedTypes="0" containsString="0" containsNumber="1" minValue="0.10948382498894128" maxValue="732.54951977242922"/>
    </cacheField>
    <cacheField name="CARBONO-DA (KG)" numFmtId="0">
      <sharedItems containsSemiMixedTypes="0" containsString="0" containsNumber="1" minValue="0.43793529995576513" maxValue="2930.1980790897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2"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09"/>
    <x v="0"/>
    <x v="0"/>
    <x v="0"/>
    <s v="ferruginea"/>
    <n v="0.37"/>
    <x v="0"/>
    <n v="17"/>
    <n v="2.2698060000000003E-2"/>
    <n v="17"/>
    <n v="75"/>
    <n v="1.3089969389957472"/>
    <n v="5"/>
    <n v="15"/>
    <n v="0.26179938779914941"/>
    <x v="0"/>
    <n v="93.46568262445264"/>
    <n v="11.68321032805658"/>
    <n v="46.73284131222632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75"/>
    <x v="1"/>
    <x v="1"/>
    <x v="1"/>
    <s v="-"/>
    <n v="0.57999999999999996"/>
    <x v="1"/>
    <n v="12.8"/>
    <n v="1.2867993600000002E-2"/>
    <n v="16"/>
    <n v="60"/>
    <n v="1.0471975511965976"/>
    <n v="6"/>
    <n v="14"/>
    <n v="0.24434609527920614"/>
    <x v="1"/>
    <n v="72.92231823507494"/>
    <n v="9.1152897793843675"/>
    <n v="36.46115911753747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69"/>
    <x v="2"/>
    <x v="2"/>
    <x v="2"/>
    <s v="amara"/>
    <n v="0.41699999999999998"/>
    <x v="2"/>
    <n v="5.7"/>
    <n v="2.5517646000000004E-3"/>
    <n v="7"/>
    <n v="58"/>
    <n v="1.0122909661567112"/>
    <n v="6"/>
    <n v="12"/>
    <n v="0.20943951023931956"/>
    <x v="2"/>
    <n v="5.7386231762832187"/>
    <n v="0.71732789703540234"/>
    <n v="2.8693115881416094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21"/>
    <x v="0"/>
    <x v="0"/>
    <x v="0"/>
    <s v="ferruginea"/>
    <n v="0.37"/>
    <x v="0"/>
    <n v="14.5"/>
    <n v="1.6513035000000002E-2"/>
    <n v="17"/>
    <n v="65"/>
    <n v="1.1344640137963142"/>
    <n v="8"/>
    <n v="1"/>
    <n v="1.7453292519943295E-2"/>
    <x v="3"/>
    <n v="61.303757245901927"/>
    <n v="7.6629696557377409"/>
    <n v="30.651878622950964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00"/>
    <x v="0"/>
    <x v="0"/>
    <x v="0"/>
    <s v="ferruginea"/>
    <n v="0.37"/>
    <x v="0"/>
    <n v="11.6"/>
    <n v="1.05683424E-2"/>
    <n v="17"/>
    <n v="55"/>
    <n v="0.95993108859688125"/>
    <n v="7"/>
    <n v="1"/>
    <n v="1.7453292519943295E-2"/>
    <x v="4"/>
    <n v="36.635554702108706"/>
    <n v="4.5794443377635883"/>
    <n v="18.317777351054353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04"/>
    <x v="0"/>
    <x v="0"/>
    <x v="0"/>
    <s v="ferruginea"/>
    <n v="0.37"/>
    <x v="0"/>
    <n v="15.3"/>
    <n v="1.8385428600000003E-2"/>
    <n v="17"/>
    <n v="72"/>
    <n v="1.2566370614359172"/>
    <n v="6"/>
    <n v="5"/>
    <n v="8.7266462599716474E-2"/>
    <x v="5"/>
    <n v="72.497342157687683"/>
    <n v="9.0621677697109604"/>
    <n v="36.248671078843842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83"/>
    <x v="0"/>
    <x v="0"/>
    <x v="0"/>
    <s v="ferruginea"/>
    <n v="0.37"/>
    <x v="0"/>
    <n v="12.3"/>
    <n v="1.1882316600000001E-2"/>
    <n v="17"/>
    <n v="62"/>
    <n v="1.0821041362364843"/>
    <n v="7"/>
    <n v="5"/>
    <n v="8.7266462599716474E-2"/>
    <x v="6"/>
    <n v="45.191663437207716"/>
    <n v="5.6489579296509644"/>
    <n v="22.595831718603858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48"/>
    <x v="0"/>
    <x v="0"/>
    <x v="0"/>
    <s v="ferruginea"/>
    <n v="0.37"/>
    <x v="0"/>
    <n v="9.3000000000000007"/>
    <n v="6.7929246000000007E-3"/>
    <n v="15"/>
    <n v="45"/>
    <n v="0.78539816339744828"/>
    <n v="8"/>
    <n v="13"/>
    <n v="0.22689280275926285"/>
    <x v="7"/>
    <n v="21.514936602054274"/>
    <n v="2.6893670752567842"/>
    <n v="10.757468301027137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08"/>
    <x v="0"/>
    <x v="0"/>
    <x v="0"/>
    <s v="ferruginea"/>
    <n v="0.37"/>
    <x v="0"/>
    <n v="14.8"/>
    <n v="1.7203401600000001E-2"/>
    <n v="16"/>
    <n v="70"/>
    <n v="1.2217304763960306"/>
    <n v="8"/>
    <n v="1"/>
    <n v="1.7453292519943295E-2"/>
    <x v="8"/>
    <n v="62.275368461092469"/>
    <n v="7.7844210576365587"/>
    <n v="31.137684230546235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42"/>
    <x v="3"/>
    <x v="3"/>
    <x v="3"/>
    <s v="parahyba"/>
    <n v="0.315"/>
    <x v="3"/>
    <n v="17.600000000000001"/>
    <n v="2.4328550400000006E-2"/>
    <n v="20"/>
    <n v="65"/>
    <n v="1.1344640137963142"/>
    <n v="9"/>
    <n v="0"/>
    <n v="0"/>
    <x v="9"/>
    <n v="87.628387896764636"/>
    <n v="10.953548487095579"/>
    <n v="43.814193948382318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14"/>
    <x v="0"/>
    <x v="0"/>
    <x v="0"/>
    <s v="ferruginea"/>
    <n v="0.37"/>
    <x v="0"/>
    <n v="35.5"/>
    <n v="9.8980035000000008E-2"/>
    <n v="20"/>
    <n v="67"/>
    <n v="1.1693705988362009"/>
    <n v="9"/>
    <n v="-1"/>
    <n v="-1.7453292519943295E-2"/>
    <x v="10"/>
    <n v="383.75620661298404"/>
    <n v="47.969525826623006"/>
    <n v="191.87810330649202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79"/>
    <x v="0"/>
    <x v="0"/>
    <x v="0"/>
    <s v="ferruginea"/>
    <n v="0.37"/>
    <x v="0"/>
    <n v="26.6"/>
    <n v="5.5571762400000009E-2"/>
    <n v="26"/>
    <n v="62"/>
    <n v="1.0821041362364843"/>
    <n v="11"/>
    <n v="-2"/>
    <n v="-3.4906585039886591E-2"/>
    <x v="11"/>
    <n v="272.3441773619677"/>
    <n v="34.043022170245962"/>
    <n v="136.17208868098385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73"/>
    <x v="3"/>
    <x v="3"/>
    <x v="3"/>
    <s v="parahyba"/>
    <n v="0.315"/>
    <x v="3"/>
    <n v="26"/>
    <n v="5.3093040000000001E-2"/>
    <n v="19"/>
    <n v="72"/>
    <n v="1.2566370614359172"/>
    <n v="5"/>
    <n v="-2"/>
    <n v="-3.4906585039886591E-2"/>
    <x v="12"/>
    <n v="180.30363568411266"/>
    <n v="22.537954460514083"/>
    <n v="90.151817842056332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34"/>
    <x v="4"/>
    <x v="4"/>
    <x v="4"/>
    <s v="latifolia"/>
    <n v="0.75"/>
    <x v="4"/>
    <n v="7"/>
    <n v="3.8484600000000002E-3"/>
    <n v="12"/>
    <n v="45"/>
    <n v="0.78539816339744828"/>
    <n v="6"/>
    <n v="-3"/>
    <n v="-5.235987755982989E-2"/>
    <x v="13"/>
    <n v="16.548384128704985"/>
    <n v="2.0685480160881231"/>
    <n v="8.2741920643524924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22"/>
    <x v="4"/>
    <x v="4"/>
    <x v="4"/>
    <s v="latifolia"/>
    <n v="0.75"/>
    <x v="4"/>
    <n v="8.3000000000000007"/>
    <n v="5.4106206000000016E-3"/>
    <n v="13"/>
    <n v="45"/>
    <n v="0.78539816339744828"/>
    <n v="6"/>
    <n v="-3"/>
    <n v="-5.235987755982989E-2"/>
    <x v="14"/>
    <n v="24.644469804943174"/>
    <n v="3.0805587256178968"/>
    <n v="12.322234902471587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44"/>
    <x v="4"/>
    <x v="4"/>
    <x v="4"/>
    <s v="latifolia"/>
    <n v="0.75"/>
    <x v="4"/>
    <n v="8"/>
    <n v="5.0265600000000002E-3"/>
    <n v="12"/>
    <n v="45"/>
    <n v="0.78539816339744828"/>
    <n v="6"/>
    <n v="-3"/>
    <n v="-5.235987755982989E-2"/>
    <x v="13"/>
    <n v="21.27063492430559"/>
    <n v="2.6588293655381987"/>
    <n v="10.635317462152795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57"/>
    <x v="0"/>
    <x v="0"/>
    <x v="0"/>
    <s v="ferruginea"/>
    <n v="0.37"/>
    <x v="0"/>
    <n v="43.5"/>
    <n v="0.148617315"/>
    <n v="17"/>
    <n v="77"/>
    <n v="1.3439035240356338"/>
    <n v="6"/>
    <n v="-9"/>
    <n v="-0.15707963267948966"/>
    <x v="15"/>
    <n v="485.89211128791209"/>
    <n v="60.736513910989011"/>
    <n v="242.94605564395604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29"/>
    <x v="0"/>
    <x v="0"/>
    <x v="0"/>
    <s v="ferruginea"/>
    <n v="0.37"/>
    <x v="0"/>
    <n v="9"/>
    <n v="6.3617400000000003E-3"/>
    <n v="12"/>
    <n v="74"/>
    <n v="1.2915436464758039"/>
    <n v="5"/>
    <n v="-1"/>
    <n v="-1.7453292519943295E-2"/>
    <x v="16"/>
    <n v="18.756368818296064"/>
    <n v="2.344546102287008"/>
    <n v="9.378184409148032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51"/>
    <x v="0"/>
    <x v="0"/>
    <x v="0"/>
    <s v="ferruginea"/>
    <n v="0.37"/>
    <x v="0"/>
    <n v="7.7"/>
    <n v="4.6566366000000007E-3"/>
    <n v="13"/>
    <n v="66"/>
    <n v="1.1519173063162575"/>
    <n v="5"/>
    <n v="0"/>
    <n v="0"/>
    <x v="17"/>
    <n v="14.479948230839936"/>
    <n v="1.809993528854992"/>
    <n v="7.2399741154199679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81"/>
    <x v="0"/>
    <x v="0"/>
    <x v="0"/>
    <s v="ferruginea"/>
    <n v="0.37"/>
    <x v="0"/>
    <n v="15.3"/>
    <n v="1.8385428600000003E-2"/>
    <n v="20"/>
    <n v="75"/>
    <n v="1.3089969389957472"/>
    <n v="6"/>
    <n v="10"/>
    <n v="0.17453292519943295"/>
    <x v="18"/>
    <n v="87.387732674756975"/>
    <n v="10.923466584344622"/>
    <n v="43.693866337378488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24"/>
    <x v="0"/>
    <x v="0"/>
    <x v="0"/>
    <s v="ferruginea"/>
    <n v="0.37"/>
    <x v="0"/>
    <n v="8.9"/>
    <n v="6.2211534000000011E-3"/>
    <n v="11"/>
    <n v="49"/>
    <n v="0.85521133347722145"/>
    <n v="6"/>
    <n v="-11"/>
    <n v="-0.19198621771937624"/>
    <x v="19"/>
    <n v="11.810517813109088"/>
    <n v="1.4763147266386361"/>
    <n v="5.9052589065545442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28"/>
    <x v="0"/>
    <x v="0"/>
    <x v="0"/>
    <s v="ferruginea"/>
    <n v="0.37"/>
    <x v="0"/>
    <n v="23.5"/>
    <n v="4.3373715E-2"/>
    <n v="15"/>
    <n v="70"/>
    <n v="1.2217304763960306"/>
    <n v="5"/>
    <n v="5"/>
    <n v="8.7266462599716474E-2"/>
    <x v="20"/>
    <n v="142.60718791595787"/>
    <n v="17.825898489494733"/>
    <n v="71.303593957978933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87"/>
    <x v="0"/>
    <x v="0"/>
    <x v="0"/>
    <s v="ferruginea"/>
    <n v="0.37"/>
    <x v="0"/>
    <n v="5.4"/>
    <n v="2.2902264000000004E-3"/>
    <n v="6"/>
    <n v="25"/>
    <n v="0.43633231299858238"/>
    <n v="5"/>
    <n v="31"/>
    <n v="0.54105206811824214"/>
    <x v="21"/>
    <n v="3.3640244727293522"/>
    <n v="0.42050305909116903"/>
    <n v="1.6820122363646761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36"/>
    <x v="0"/>
    <x v="0"/>
    <x v="0"/>
    <s v="ferruginea"/>
    <n v="0.37"/>
    <x v="0"/>
    <n v="32.5"/>
    <n v="8.2957875E-2"/>
    <n v="18"/>
    <n v="70"/>
    <n v="1.2217304763960306"/>
    <n v="7"/>
    <n v="0"/>
    <n v="0"/>
    <x v="22"/>
    <n v="302.60415209586796"/>
    <n v="37.825519011983495"/>
    <n v="151.30207604793398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84"/>
    <x v="0"/>
    <x v="0"/>
    <x v="0"/>
    <s v="ferruginea"/>
    <n v="0.37"/>
    <x v="0"/>
    <n v="14.5"/>
    <n v="1.6513035000000002E-2"/>
    <n v="10"/>
    <n v="56"/>
    <n v="0.97738438111682457"/>
    <n v="8"/>
    <n v="0"/>
    <n v="0"/>
    <x v="23"/>
    <n v="33.947120876690704"/>
    <n v="4.243390109586338"/>
    <n v="16.973560438345352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67"/>
    <x v="0"/>
    <x v="0"/>
    <x v="0"/>
    <s v="ferruginea"/>
    <n v="0.37"/>
    <x v="0"/>
    <n v="5.8"/>
    <n v="2.6420856E-3"/>
    <n v="7"/>
    <n v="32"/>
    <n v="0.55850536063818546"/>
    <n v="5"/>
    <n v="15"/>
    <n v="0.26179938779914941"/>
    <x v="24"/>
    <n v="3.7716891590509629"/>
    <n v="0.47146114488137036"/>
    <n v="1.8858445795254815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39"/>
    <x v="3"/>
    <x v="3"/>
    <x v="3"/>
    <s v="parahyba"/>
    <n v="0.315"/>
    <x v="3"/>
    <n v="14.5"/>
    <n v="1.6513035000000002E-2"/>
    <n v="19"/>
    <n v="58"/>
    <n v="1.0122909661567112"/>
    <n v="7"/>
    <n v="20"/>
    <n v="0.3490658503988659"/>
    <x v="25"/>
    <n v="62.078692173198014"/>
    <n v="7.7598365216497518"/>
    <n v="31.039346086599007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98"/>
    <x v="0"/>
    <x v="0"/>
    <x v="0"/>
    <s v="ferruginea"/>
    <n v="0.37"/>
    <x v="0"/>
    <n v="13.9"/>
    <n v="1.5174713400000001E-2"/>
    <n v="11"/>
    <n v="56"/>
    <n v="0.97738438111682457"/>
    <n v="5"/>
    <n v="11"/>
    <n v="0.19198621771937624"/>
    <x v="26"/>
    <n v="37.655380701395352"/>
    <n v="4.706922587674419"/>
    <n v="18.827690350697676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30"/>
    <x v="0"/>
    <x v="0"/>
    <x v="0"/>
    <s v="ferruginea"/>
    <n v="0.37"/>
    <x v="0"/>
    <n v="40.5"/>
    <n v="0.12882523500000001"/>
    <n v="18"/>
    <n v="61"/>
    <n v="1.064650843716541"/>
    <n v="7"/>
    <n v="21"/>
    <n v="0.36651914291880922"/>
    <x v="27"/>
    <n v="491.60080725033635"/>
    <n v="61.450100906292043"/>
    <n v="245.80040362516817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60"/>
    <x v="5"/>
    <x v="1"/>
    <x v="5"/>
    <s v="tibourbou"/>
    <n v="0.24"/>
    <x v="5"/>
    <n v="28.4"/>
    <n v="6.33472224E-2"/>
    <n v="13"/>
    <n v="54"/>
    <n v="0.94247779607693793"/>
    <n v="6"/>
    <n v="20"/>
    <n v="0.3490658503988659"/>
    <x v="28"/>
    <n v="118.26399659289071"/>
    <n v="14.782999574111338"/>
    <n v="59.131998296445353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12"/>
    <x v="0"/>
    <x v="0"/>
    <x v="0"/>
    <s v="ferruginea"/>
    <n v="0.37"/>
    <x v="0"/>
    <n v="25.5"/>
    <n v="5.1070635000000003E-2"/>
    <n v="20"/>
    <n v="50"/>
    <n v="0.87266462599716477"/>
    <n v="6"/>
    <n v="20"/>
    <n v="0.3490658503988659"/>
    <x v="29"/>
    <n v="196.67512733928231"/>
    <n v="24.584390917410289"/>
    <n v="98.337563669641156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78"/>
    <x v="0"/>
    <x v="0"/>
    <x v="0"/>
    <s v="ferruginea"/>
    <n v="0.37"/>
    <x v="0"/>
    <n v="15"/>
    <n v="1.76715E-2"/>
    <n v="17"/>
    <n v="60"/>
    <n v="1.0471975511965976"/>
    <n v="6"/>
    <n v="25"/>
    <n v="0.43633231299858238"/>
    <x v="30"/>
    <n v="72.07709778917247"/>
    <n v="9.0096372236465587"/>
    <n v="36.038548894586235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45"/>
    <x v="0"/>
    <x v="0"/>
    <x v="0"/>
    <s v="ferruginea"/>
    <n v="0.37"/>
    <x v="0"/>
    <n v="14"/>
    <n v="1.5393840000000001E-2"/>
    <n v="18"/>
    <n v="65"/>
    <n v="1.1344640137963142"/>
    <n v="5"/>
    <n v="18"/>
    <n v="0.31415926535897931"/>
    <x v="31"/>
    <n v="65.377632414097818"/>
    <n v="8.1722040517622272"/>
    <n v="32.688816207048909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50"/>
    <x v="0"/>
    <x v="0"/>
    <x v="0"/>
    <s v="ferruginea"/>
    <n v="0.37"/>
    <x v="0"/>
    <n v="6"/>
    <n v="2.8274400000000001E-3"/>
    <n v="6"/>
    <n v="46"/>
    <n v="0.8028514559173916"/>
    <n v="5"/>
    <n v="19"/>
    <n v="0.33161255787892263"/>
    <x v="32"/>
    <n v="4.7263022798397643"/>
    <n v="0.59078778497997053"/>
    <n v="2.3631511399198821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47"/>
    <x v="0"/>
    <x v="0"/>
    <x v="0"/>
    <s v="ferruginea"/>
    <n v="0.37"/>
    <x v="0"/>
    <n v="5.8"/>
    <n v="2.6420856E-3"/>
    <n v="8"/>
    <n v="28"/>
    <n v="0.48869219055841229"/>
    <n v="6"/>
    <n v="20"/>
    <n v="0.3490658503988659"/>
    <x v="33"/>
    <n v="4.3390383191487523"/>
    <n v="0.54237978989359403"/>
    <n v="2.1695191595743761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50"/>
    <x v="0"/>
    <x v="0"/>
    <x v="0"/>
    <s v="ferruginea"/>
    <n v="0.37"/>
    <x v="0"/>
    <n v="23.5"/>
    <n v="4.3373715E-2"/>
    <n v="17"/>
    <n v="67"/>
    <n v="1.1693705988362009"/>
    <n v="5"/>
    <n v="27"/>
    <n v="0.47123889803846897"/>
    <x v="34"/>
    <n v="173.65339264672673"/>
    <n v="21.706674080840841"/>
    <n v="86.826696323363365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32"/>
    <x v="0"/>
    <x v="0"/>
    <x v="0"/>
    <s v="ferruginea"/>
    <n v="0.37"/>
    <x v="0"/>
    <n v="20"/>
    <n v="3.1415999999999999E-2"/>
    <n v="15"/>
    <n v="60"/>
    <n v="1.0471975511965976"/>
    <n v="6"/>
    <n v="26"/>
    <n v="0.4537856055185257"/>
    <x v="35"/>
    <n v="112.71553842973313"/>
    <n v="14.089442303716641"/>
    <n v="56.357769214866565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68"/>
    <x v="0"/>
    <x v="0"/>
    <x v="0"/>
    <s v="ferruginea"/>
    <n v="0.37"/>
    <x v="0"/>
    <n v="28.8"/>
    <n v="6.5144217600000012E-2"/>
    <n v="18"/>
    <n v="66"/>
    <n v="1.1519173063162575"/>
    <n v="6"/>
    <n v="25"/>
    <n v="0.43633231299858238"/>
    <x v="36"/>
    <n v="268.66896239503245"/>
    <n v="33.583620299379056"/>
    <n v="134.33448119751623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665"/>
    <x v="3"/>
    <x v="3"/>
    <x v="3"/>
    <s v="parahyba"/>
    <n v="0.315"/>
    <x v="3"/>
    <n v="29"/>
    <n v="6.6052140000000009E-2"/>
    <n v="20"/>
    <n v="66"/>
    <n v="1.1519173063162575"/>
    <n v="5"/>
    <n v="26"/>
    <n v="0.4537856055185257"/>
    <x v="37"/>
    <n v="251.12406532550759"/>
    <n v="31.390508165688448"/>
    <n v="125.56203266275379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67"/>
    <x v="0"/>
    <x v="0"/>
    <x v="0"/>
    <s v="ferruginea"/>
    <n v="0.37"/>
    <x v="0"/>
    <n v="8"/>
    <n v="5.0265600000000002E-3"/>
    <n v="7"/>
    <n v="46"/>
    <n v="0.8028514559173916"/>
    <n v="5"/>
    <n v="26"/>
    <n v="0.4537856055185257"/>
    <x v="38"/>
    <n v="9.7547091709587797"/>
    <n v="1.2193386463698475"/>
    <n v="4.8773545854793898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62"/>
    <x v="0"/>
    <x v="0"/>
    <x v="0"/>
    <s v="ferruginea"/>
    <n v="0.37"/>
    <x v="0"/>
    <n v="19.5"/>
    <n v="2.9864835000000003E-2"/>
    <n v="17"/>
    <n v="56"/>
    <n v="0.97738438111682457"/>
    <n v="5"/>
    <n v="26"/>
    <n v="0.4537856055185257"/>
    <x v="39"/>
    <n v="111.77104300568817"/>
    <n v="13.971380375711021"/>
    <n v="55.885521502844085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04"/>
    <x v="6"/>
    <x v="5"/>
    <x v="1"/>
    <s v="-"/>
    <n v="0.57999999999999996"/>
    <x v="1"/>
    <n v="6"/>
    <n v="2.8274400000000001E-3"/>
    <n v="7"/>
    <n v="43"/>
    <n v="0.75049157835756175"/>
    <n v="5"/>
    <n v="29"/>
    <n v="0.50614548307835561"/>
    <x v="40"/>
    <n v="8.6335537016279122"/>
    <n v="1.079194212703489"/>
    <n v="4.3167768508139561"/>
  </r>
  <r>
    <x v="0"/>
    <s v="NM, AM, EC, EL"/>
    <x v="0"/>
    <s v="SO"/>
    <n v="8.4082600000000003"/>
    <n v="83.313869999999994"/>
    <n v="50"/>
    <n v="25"/>
    <n v="3.9163173646459399"/>
    <n v="6.8352632566099025E-2"/>
    <n v="21.049152545814849"/>
    <n v="724"/>
    <x v="0"/>
    <x v="0"/>
    <x v="0"/>
    <s v="ferruginea"/>
    <n v="0.37"/>
    <x v="0"/>
    <n v="6.2"/>
    <n v="3.0190776000000004E-3"/>
    <n v="8"/>
    <n v="33"/>
    <n v="0.57595865315812877"/>
    <n v="6"/>
    <n v="23"/>
    <n v="0.4014257279586958"/>
    <x v="41"/>
    <n v="5.6269021235933039"/>
    <n v="0.70336276544916299"/>
    <n v="2.8134510617966519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23"/>
    <x v="0"/>
    <x v="0"/>
    <x v="0"/>
    <s v="ferruginea"/>
    <n v="0.37"/>
    <x v="0"/>
    <n v="12.9"/>
    <n v="1.3069841400000001E-2"/>
    <n v="16"/>
    <n v="61"/>
    <n v="1.064650843716541"/>
    <n v="9"/>
    <n v="9"/>
    <n v="0.15707963267948966"/>
    <x v="42"/>
    <n v="48.775065796299835"/>
    <n v="6.0968832245374793"/>
    <n v="24.38753289814991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33"/>
    <x v="7"/>
    <x v="6"/>
    <x v="6"/>
    <s v="quinata"/>
    <n v="0.48"/>
    <x v="6"/>
    <n v="19"/>
    <n v="2.835294E-2"/>
    <n v="12"/>
    <n v="40"/>
    <n v="0.69813170079773179"/>
    <n v="10"/>
    <n v="11"/>
    <n v="0.19198621771937624"/>
    <x v="43"/>
    <n v="82.896314457659429"/>
    <n v="10.362039307207429"/>
    <n v="41.448157228829714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88"/>
    <x v="0"/>
    <x v="0"/>
    <x v="0"/>
    <s v="ferruginea"/>
    <n v="0.37"/>
    <x v="0"/>
    <n v="7.8"/>
    <n v="4.7783736E-3"/>
    <n v="14"/>
    <n v="44"/>
    <n v="0.76794487087750496"/>
    <n v="9"/>
    <n v="10"/>
    <n v="0.17453292519943295"/>
    <x v="44"/>
    <n v="14.143959767502411"/>
    <n v="1.7679949709378013"/>
    <n v="7.071979883751205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91"/>
    <x v="0"/>
    <x v="0"/>
    <x v="0"/>
    <s v="ferruginea"/>
    <n v="0.37"/>
    <x v="0"/>
    <n v="5.9"/>
    <n v="2.7339774000000004E-3"/>
    <n v="12"/>
    <n v="47"/>
    <n v="0.82030474843733492"/>
    <n v="8"/>
    <n v="10"/>
    <n v="0.17453292519943295"/>
    <x v="45"/>
    <n v="7.5835285523420115"/>
    <n v="0.94794106904275144"/>
    <n v="3.791764276171005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05"/>
    <x v="7"/>
    <x v="6"/>
    <x v="6"/>
    <s v="quinata"/>
    <n v="0.48"/>
    <x v="6"/>
    <n v="20"/>
    <n v="3.1415999999999999E-2"/>
    <n v="11"/>
    <n v="40"/>
    <n v="0.69813170079773179"/>
    <n v="9"/>
    <n v="8"/>
    <n v="0.13962634015954636"/>
    <x v="46"/>
    <n v="79.659733124671291"/>
    <n v="9.9574666405839114"/>
    <n v="39.829866562335646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15"/>
    <x v="0"/>
    <x v="0"/>
    <x v="0"/>
    <s v="ferruginea"/>
    <n v="0.37"/>
    <x v="0"/>
    <n v="24.8"/>
    <n v="4.8305241600000007E-2"/>
    <n v="19"/>
    <n v="65"/>
    <n v="1.1344640137963142"/>
    <n v="9"/>
    <n v="7"/>
    <n v="0.12217304763960307"/>
    <x v="47"/>
    <n v="196.16263074037187"/>
    <n v="24.520328842546483"/>
    <n v="98.08131537018593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03"/>
    <x v="0"/>
    <x v="0"/>
    <x v="0"/>
    <s v="ferruginea"/>
    <n v="0.37"/>
    <x v="0"/>
    <n v="9.3000000000000007"/>
    <n v="6.7929246000000007E-3"/>
    <n v="11"/>
    <n v="43"/>
    <n v="0.75049157835756175"/>
    <n v="8"/>
    <n v="10"/>
    <n v="0.17453292519943295"/>
    <x v="48"/>
    <n v="15.730428178992074"/>
    <n v="1.9663035223740093"/>
    <n v="7.8652140894960372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21"/>
    <x v="0"/>
    <x v="0"/>
    <x v="0"/>
    <s v="ferruginea"/>
    <n v="0.37"/>
    <x v="0"/>
    <n v="27"/>
    <n v="5.725566E-2"/>
    <n v="19"/>
    <n v="70"/>
    <n v="1.2217304763960306"/>
    <n v="7"/>
    <n v="12"/>
    <n v="0.20943951023931956"/>
    <x v="49"/>
    <n v="241.85822722607577"/>
    <n v="30.232278403259471"/>
    <n v="120.9291136130378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83"/>
    <x v="7"/>
    <x v="6"/>
    <x v="6"/>
    <s v="quinata"/>
    <n v="0.48"/>
    <x v="6"/>
    <n v="29"/>
    <n v="6.6052140000000009E-2"/>
    <n v="12"/>
    <n v="65"/>
    <n v="1.1344640137963142"/>
    <n v="8"/>
    <n v="10"/>
    <n v="0.17453292519943295"/>
    <x v="50"/>
    <n v="230.61108966926557"/>
    <n v="28.826386208658196"/>
    <n v="115.3055448346327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89"/>
    <x v="7"/>
    <x v="6"/>
    <x v="6"/>
    <s v="quinata"/>
    <n v="0.48"/>
    <x v="6"/>
    <n v="14.8"/>
    <n v="1.7203401600000001E-2"/>
    <n v="13"/>
    <n v="35"/>
    <n v="0.6108652381980153"/>
    <n v="9"/>
    <n v="12"/>
    <n v="0.20943951023931956"/>
    <x v="51"/>
    <n v="50.339460443101515"/>
    <n v="6.2924325553876894"/>
    <n v="25.16973022155075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19"/>
    <x v="0"/>
    <x v="0"/>
    <x v="0"/>
    <s v="ferruginea"/>
    <n v="0.37"/>
    <x v="0"/>
    <n v="12.5"/>
    <n v="1.2271875E-2"/>
    <n v="16"/>
    <n v="50"/>
    <n v="0.87266462599716477"/>
    <n v="9"/>
    <n v="12"/>
    <n v="0.20943951023931956"/>
    <x v="52"/>
    <n v="42.387284327317147"/>
    <n v="5.2984105409146434"/>
    <n v="21.19364216365857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82"/>
    <x v="0"/>
    <x v="0"/>
    <x v="0"/>
    <s v="ferruginea"/>
    <n v="0.37"/>
    <x v="0"/>
    <n v="20.7"/>
    <n v="3.3653604599999998E-2"/>
    <n v="16"/>
    <n v="70"/>
    <n v="1.2217304763960306"/>
    <n v="5"/>
    <n v="20"/>
    <n v="0.3490658503988659"/>
    <x v="53"/>
    <n v="128.36661437799177"/>
    <n v="16.045826797248971"/>
    <n v="64.18330718899588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95"/>
    <x v="0"/>
    <x v="0"/>
    <x v="0"/>
    <s v="ferruginea"/>
    <n v="0.37"/>
    <x v="0"/>
    <n v="35.6"/>
    <n v="9.9538454400000018E-2"/>
    <n v="21"/>
    <n v="80"/>
    <n v="1.3962634015954636"/>
    <n v="6"/>
    <n v="10"/>
    <n v="0.17453292519943295"/>
    <x v="54"/>
    <n v="454.35903503367058"/>
    <n v="56.794879379208822"/>
    <n v="227.17951751683529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79"/>
    <x v="0"/>
    <x v="0"/>
    <x v="0"/>
    <s v="ferruginea"/>
    <n v="0.37"/>
    <x v="0"/>
    <n v="39.700000000000003"/>
    <n v="0.12378610860000001"/>
    <n v="20"/>
    <n v="75"/>
    <n v="1.3089969389957472"/>
    <n v="5"/>
    <n v="10"/>
    <n v="0.17453292519943295"/>
    <x v="55"/>
    <n v="520.54714016883679"/>
    <n v="65.068392521104599"/>
    <n v="260.2735700844184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17"/>
    <x v="0"/>
    <x v="0"/>
    <x v="0"/>
    <s v="ferruginea"/>
    <n v="0.37"/>
    <x v="0"/>
    <n v="9.6"/>
    <n v="7.2382464000000004E-3"/>
    <n v="10"/>
    <n v="61"/>
    <n v="1.064650843716541"/>
    <n v="7"/>
    <n v="17"/>
    <n v="0.29670597283903605"/>
    <x v="56"/>
    <n v="20.034905756244431"/>
    <n v="2.5043632195305539"/>
    <n v="10.017452878122215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03"/>
    <x v="0"/>
    <x v="0"/>
    <x v="0"/>
    <s v="ferruginea"/>
    <n v="0.37"/>
    <x v="0"/>
    <n v="15.8"/>
    <n v="1.9606725600000003E-2"/>
    <n v="13"/>
    <n v="63"/>
    <n v="1.0995574287564276"/>
    <n v="6"/>
    <n v="17"/>
    <n v="0.29670597283903605"/>
    <x v="57"/>
    <n v="62.375059167939234"/>
    <n v="7.7968823959924043"/>
    <n v="31.18752958396961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29"/>
    <x v="0"/>
    <x v="0"/>
    <x v="0"/>
    <s v="ferruginea"/>
    <n v="0.37"/>
    <x v="0"/>
    <n v="23.7"/>
    <n v="4.4115132599999995E-2"/>
    <n v="18"/>
    <n v="66"/>
    <n v="1.1519173063162575"/>
    <n v="7"/>
    <n v="20"/>
    <n v="0.3490658503988659"/>
    <x v="58"/>
    <n v="184.9396596713629"/>
    <n v="23.117457458920363"/>
    <n v="92.469829835681452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20"/>
    <x v="3"/>
    <x v="3"/>
    <x v="3"/>
    <s v="parahyba"/>
    <n v="0.315"/>
    <x v="3"/>
    <n v="10.4"/>
    <n v="8.494886400000002E-3"/>
    <n v="13"/>
    <n v="50"/>
    <n v="0.87266462599716477"/>
    <n v="6"/>
    <n v="21"/>
    <n v="0.36651914291880922"/>
    <x v="59"/>
    <n v="22.305443826392878"/>
    <n v="2.7881804782991098"/>
    <n v="11.152721913196439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10"/>
    <x v="0"/>
    <x v="0"/>
    <x v="0"/>
    <s v="ferruginea"/>
    <n v="0.37"/>
    <x v="0"/>
    <n v="23.8"/>
    <n v="4.4488197600000008E-2"/>
    <n v="15"/>
    <n v="63"/>
    <n v="1.0995574287564276"/>
    <n v="7"/>
    <n v="21"/>
    <n v="0.36651914291880922"/>
    <x v="60"/>
    <n v="158.69849858995875"/>
    <n v="19.837312323744843"/>
    <n v="79.34924929497937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65"/>
    <x v="8"/>
    <x v="1"/>
    <x v="7"/>
    <s v="appendiculatus"/>
    <n v="0.23"/>
    <x v="7"/>
    <n v="16.3"/>
    <n v="2.08672926E-2"/>
    <n v="16"/>
    <n v="47"/>
    <n v="0.82030474843733492"/>
    <n v="8"/>
    <n v="21"/>
    <n v="0.36651914291880922"/>
    <x v="61"/>
    <n v="45.963322303406414"/>
    <n v="5.7454152879258018"/>
    <n v="22.98166115170320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86"/>
    <x v="7"/>
    <x v="6"/>
    <x v="6"/>
    <s v="quinata"/>
    <n v="0.48"/>
    <x v="6"/>
    <n v="8.5"/>
    <n v="5.6745150000000006E-3"/>
    <n v="6"/>
    <n v="20"/>
    <n v="0.3490658503988659"/>
    <n v="5"/>
    <n v="19"/>
    <n v="0.33161255787892263"/>
    <x v="62"/>
    <n v="7.4033581219915297"/>
    <n v="0.92541976524894121"/>
    <n v="3.701679060995764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13"/>
    <x v="0"/>
    <x v="0"/>
    <x v="0"/>
    <s v="ferruginea"/>
    <n v="0.37"/>
    <x v="0"/>
    <n v="9"/>
    <n v="6.3617400000000003E-3"/>
    <n v="13"/>
    <n v="57"/>
    <n v="0.99483767363676789"/>
    <n v="6"/>
    <n v="5"/>
    <n v="8.7266462599716474E-2"/>
    <x v="63"/>
    <n v="18.722135610136121"/>
    <n v="2.3402669512670151"/>
    <n v="9.3610678050680605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26"/>
    <x v="7"/>
    <x v="6"/>
    <x v="6"/>
    <s v="quinata"/>
    <n v="0.48"/>
    <x v="6"/>
    <n v="14.7"/>
    <n v="1.69717086E-2"/>
    <n v="7"/>
    <n v="47"/>
    <n v="0.82030474843733492"/>
    <n v="6"/>
    <n v="5"/>
    <n v="8.7266462599716474E-2"/>
    <x v="64"/>
    <n v="30.985739288094614"/>
    <n v="3.8732174110118267"/>
    <n v="15.49286964404730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80"/>
    <x v="3"/>
    <x v="3"/>
    <x v="3"/>
    <s v="parahyba"/>
    <n v="0.315"/>
    <x v="3"/>
    <n v="5.6"/>
    <n v="2.4630143999999996E-3"/>
    <n v="13"/>
    <n v="53"/>
    <n v="0.92502450355699462"/>
    <n v="6"/>
    <n v="5"/>
    <n v="8.7266462599716474E-2"/>
    <x v="65"/>
    <n v="6.3130990445527191"/>
    <n v="0.78913738056908989"/>
    <n v="3.1565495222763595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38"/>
    <x v="0"/>
    <x v="0"/>
    <x v="0"/>
    <s v="ferruginea"/>
    <n v="0.37"/>
    <x v="0"/>
    <n v="6.3"/>
    <n v="3.1172525999999998E-3"/>
    <n v="8"/>
    <n v="55"/>
    <n v="0.95993108859688125"/>
    <n v="5"/>
    <n v="5"/>
    <n v="8.7266462599716474E-2"/>
    <x v="66"/>
    <n v="6.0322790675114781"/>
    <n v="0.75403488343893477"/>
    <n v="3.0161395337557391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09"/>
    <x v="0"/>
    <x v="0"/>
    <x v="0"/>
    <s v="ferruginea"/>
    <n v="0.37"/>
    <x v="0"/>
    <n v="9.5"/>
    <n v="7.088235E-3"/>
    <n v="14"/>
    <n v="50"/>
    <n v="0.87266462599716477"/>
    <n v="8"/>
    <n v="0"/>
    <n v="0"/>
    <x v="67"/>
    <n v="19.527686845173179"/>
    <n v="2.4409608556466473"/>
    <n v="9.763843422586589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19"/>
    <x v="0"/>
    <x v="0"/>
    <x v="0"/>
    <s v="ferruginea"/>
    <n v="0.37"/>
    <x v="0"/>
    <n v="9.6"/>
    <n v="7.2382464000000004E-3"/>
    <n v="13"/>
    <n v="60"/>
    <n v="1.0471975511965976"/>
    <n v="6"/>
    <n v="6"/>
    <n v="0.10471975511965978"/>
    <x v="68"/>
    <n v="21.936013480069516"/>
    <n v="2.7420016850086895"/>
    <n v="10.96800674003475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38"/>
    <x v="7"/>
    <x v="6"/>
    <x v="6"/>
    <s v="quinata"/>
    <n v="0.48"/>
    <x v="6"/>
    <n v="14"/>
    <n v="1.5393840000000001E-2"/>
    <n v="7"/>
    <n v="40"/>
    <n v="0.69813170079773179"/>
    <n v="7"/>
    <n v="14"/>
    <n v="0.24434609527920614"/>
    <x v="69"/>
    <n v="30.855600351685325"/>
    <n v="3.8569500439606657"/>
    <n v="15.42780017584266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30"/>
    <x v="7"/>
    <x v="6"/>
    <x v="6"/>
    <s v="quinata"/>
    <n v="0.48"/>
    <x v="6"/>
    <n v="16.5"/>
    <n v="2.1382515000000001E-2"/>
    <n v="7"/>
    <n v="31"/>
    <n v="0.54105206811824214"/>
    <n v="6"/>
    <n v="16"/>
    <n v="0.27925268031909273"/>
    <x v="70"/>
    <n v="36.037471966805541"/>
    <n v="4.5046839958506926"/>
    <n v="18.0187359834027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93"/>
    <x v="0"/>
    <x v="0"/>
    <x v="0"/>
    <s v="ferruginea"/>
    <n v="0.37"/>
    <x v="0"/>
    <n v="5.8"/>
    <n v="2.6420856E-3"/>
    <n v="8"/>
    <n v="60"/>
    <n v="1.0471975511965976"/>
    <n v="5"/>
    <n v="15"/>
    <n v="0.26179938779914941"/>
    <x v="71"/>
    <n v="6.0160247248549075"/>
    <n v="0.75200309060686343"/>
    <n v="3.008012362427453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31"/>
    <x v="0"/>
    <x v="0"/>
    <x v="0"/>
    <s v="ferruginea"/>
    <n v="0.37"/>
    <x v="0"/>
    <n v="15.2"/>
    <n v="1.81458816E-2"/>
    <n v="20"/>
    <n v="65"/>
    <n v="1.1344640137963142"/>
    <n v="6"/>
    <n v="15"/>
    <n v="0.26179938779914941"/>
    <x v="72"/>
    <n v="83.599096491423737"/>
    <n v="10.449887061427967"/>
    <n v="41.79954824571186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09"/>
    <x v="0"/>
    <x v="0"/>
    <x v="0"/>
    <s v="ferruginea"/>
    <n v="0.37"/>
    <x v="0"/>
    <n v="30.9"/>
    <n v="7.49907774E-2"/>
    <n v="21"/>
    <n v="70"/>
    <n v="1.2217304763960306"/>
    <n v="7"/>
    <n v="15"/>
    <n v="0.26179938779914941"/>
    <x v="73"/>
    <n v="345.49698826194225"/>
    <n v="43.187123532742781"/>
    <n v="172.74849413097112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84"/>
    <x v="0"/>
    <x v="0"/>
    <x v="0"/>
    <s v="ferruginea"/>
    <n v="0.37"/>
    <x v="0"/>
    <n v="10.4"/>
    <n v="8.494886400000002E-3"/>
    <n v="12"/>
    <n v="62"/>
    <n v="1.0821041362364843"/>
    <n v="5"/>
    <n v="13"/>
    <n v="0.22689280275926285"/>
    <x v="74"/>
    <n v="25.164620021458528"/>
    <n v="3.1455775026823161"/>
    <n v="12.582310010729264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598"/>
    <x v="0"/>
    <x v="0"/>
    <x v="0"/>
    <s v="ferruginea"/>
    <n v="0.37"/>
    <x v="0"/>
    <n v="29.2"/>
    <n v="6.6966345600000005E-2"/>
    <n v="19"/>
    <n v="70"/>
    <n v="1.2217304763960306"/>
    <n v="5"/>
    <n v="16"/>
    <n v="0.27925268031909273"/>
    <x v="75"/>
    <n v="279.17816126169151"/>
    <n v="34.897270157711439"/>
    <n v="139.58908063084576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00"/>
    <x v="0"/>
    <x v="0"/>
    <x v="0"/>
    <s v="ferruginea"/>
    <n v="0.37"/>
    <x v="0"/>
    <n v="9.1999999999999993"/>
    <n v="6.6476255999999992E-3"/>
    <n v="12"/>
    <n v="60"/>
    <n v="1.0471975511965976"/>
    <n v="5"/>
    <n v="16"/>
    <n v="0.27925268031909273"/>
    <x v="76"/>
    <n v="20.065010150348208"/>
    <n v="2.508126268793526"/>
    <n v="10.032505075174104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64"/>
    <x v="7"/>
    <x v="6"/>
    <x v="6"/>
    <s v="quinata"/>
    <n v="0.48"/>
    <x v="6"/>
    <n v="10.8"/>
    <n v="9.1609056000000015E-3"/>
    <n v="9"/>
    <n v="33"/>
    <n v="0.57595865315812877"/>
    <n v="5"/>
    <n v="20"/>
    <n v="0.3490658503988659"/>
    <x v="77"/>
    <n v="20.145074739342899"/>
    <n v="2.5181343424178624"/>
    <n v="10.07253736967145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25"/>
    <x v="3"/>
    <x v="3"/>
    <x v="3"/>
    <s v="parahyba"/>
    <n v="0.315"/>
    <x v="3"/>
    <n v="28.4"/>
    <n v="6.33472224E-2"/>
    <n v="18"/>
    <n v="75"/>
    <n v="1.3089969389957472"/>
    <n v="6"/>
    <n v="11"/>
    <n v="0.19198621771937624"/>
    <x v="78"/>
    <n v="219.96241325639525"/>
    <n v="27.495301657049406"/>
    <n v="109.9812066281976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27"/>
    <x v="7"/>
    <x v="6"/>
    <x v="6"/>
    <s v="quinata"/>
    <n v="0.48"/>
    <x v="6"/>
    <n v="9.1999999999999993"/>
    <n v="6.6476255999999992E-3"/>
    <n v="8"/>
    <n v="44"/>
    <n v="0.76794487087750496"/>
    <n v="5"/>
    <n v="16"/>
    <n v="0.27925268031909273"/>
    <x v="79"/>
    <n v="15.586908519225188"/>
    <n v="1.9483635649031485"/>
    <n v="7.7934542596125942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05"/>
    <x v="0"/>
    <x v="0"/>
    <x v="0"/>
    <s v="ferruginea"/>
    <n v="0.37"/>
    <x v="0"/>
    <n v="5.5"/>
    <n v="2.3758350000000002E-3"/>
    <n v="9"/>
    <n v="46"/>
    <n v="0.8028514559173916"/>
    <n v="7"/>
    <n v="20"/>
    <n v="0.3490658503988659"/>
    <x v="80"/>
    <n v="5.8454575612978061"/>
    <n v="0.73068219516222577"/>
    <n v="2.9227287806489031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53"/>
    <x v="0"/>
    <x v="0"/>
    <x v="0"/>
    <s v="ferruginea"/>
    <n v="0.37"/>
    <x v="0"/>
    <n v="22.1"/>
    <n v="3.8359721400000005E-2"/>
    <n v="19"/>
    <n v="65"/>
    <n v="1.1344640137963142"/>
    <n v="6"/>
    <n v="20"/>
    <n v="0.3490658503988659"/>
    <x v="81"/>
    <n v="165.67589888527118"/>
    <n v="20.709487360658898"/>
    <n v="82.83794944263559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08"/>
    <x v="7"/>
    <x v="6"/>
    <x v="6"/>
    <s v="quinata"/>
    <n v="0.48"/>
    <x v="6"/>
    <n v="17.7"/>
    <n v="2.4605796599999997E-2"/>
    <n v="9"/>
    <n v="54"/>
    <n v="0.94247779607693793"/>
    <n v="5"/>
    <n v="22"/>
    <n v="0.38397243543875248"/>
    <x v="82"/>
    <n v="69.237403029768828"/>
    <n v="8.6546753787211035"/>
    <n v="34.618701514884414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95"/>
    <x v="7"/>
    <x v="6"/>
    <x v="6"/>
    <s v="quinata"/>
    <n v="0.48"/>
    <x v="6"/>
    <n v="9"/>
    <n v="6.3617400000000003E-3"/>
    <n v="9"/>
    <n v="40"/>
    <n v="0.69813170079773179"/>
    <n v="5"/>
    <n v="21"/>
    <n v="0.36651914291880922"/>
    <x v="83"/>
    <n v="16.252792305540193"/>
    <n v="2.0315990381925242"/>
    <n v="8.126396152770096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90"/>
    <x v="0"/>
    <x v="0"/>
    <x v="0"/>
    <s v="ferruginea"/>
    <n v="0.37"/>
    <x v="0"/>
    <n v="8.3000000000000007"/>
    <n v="5.4106206000000016E-3"/>
    <n v="7"/>
    <n v="35"/>
    <n v="0.6108652381980153"/>
    <n v="5"/>
    <n v="21"/>
    <n v="0.36651914291880922"/>
    <x v="84"/>
    <n v="8.5102843346920736"/>
    <n v="1.0637855418365092"/>
    <n v="4.255142167346036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32"/>
    <x v="0"/>
    <x v="0"/>
    <x v="0"/>
    <s v="ferruginea"/>
    <n v="0.37"/>
    <x v="0"/>
    <n v="9.1"/>
    <n v="6.5038973999999991E-3"/>
    <n v="11"/>
    <n v="40"/>
    <n v="0.69813170079773179"/>
    <n v="5"/>
    <n v="20"/>
    <n v="0.3490658503988659"/>
    <x v="85"/>
    <n v="14.92414794605275"/>
    <n v="1.8655184932565938"/>
    <n v="7.4620739730263752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22"/>
    <x v="0"/>
    <x v="0"/>
    <x v="0"/>
    <s v="ferruginea"/>
    <n v="0.37"/>
    <x v="0"/>
    <n v="32.9"/>
    <n v="8.5012481399999992E-2"/>
    <n v="19"/>
    <n v="70"/>
    <n v="1.2217304763960306"/>
    <n v="5"/>
    <n v="18"/>
    <n v="0.31415926535897931"/>
    <x v="86"/>
    <n v="352.22271743233961"/>
    <n v="44.027839679042451"/>
    <n v="176.111358716169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90"/>
    <x v="7"/>
    <x v="6"/>
    <x v="6"/>
    <s v="quinata"/>
    <n v="0.48"/>
    <x v="6"/>
    <n v="17.8"/>
    <n v="2.4884613600000004E-2"/>
    <n v="7"/>
    <n v="54"/>
    <n v="0.94247779607693793"/>
    <n v="5"/>
    <n v="23"/>
    <n v="0.4014257279586958"/>
    <x v="87"/>
    <n v="58.868494123825776"/>
    <n v="7.358561765478222"/>
    <n v="29.434247061912888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588"/>
    <x v="0"/>
    <x v="0"/>
    <x v="0"/>
    <s v="ferruginea"/>
    <n v="0.37"/>
    <x v="0"/>
    <n v="14.4"/>
    <n v="1.6286054400000003E-2"/>
    <n v="14"/>
    <n v="69"/>
    <n v="1.2042771838760873"/>
    <n v="6"/>
    <n v="17"/>
    <n v="0.29670597283903605"/>
    <x v="88"/>
    <n v="57.864221984388706"/>
    <n v="7.2330277480485883"/>
    <n v="28.93211099219435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28"/>
    <x v="7"/>
    <x v="6"/>
    <x v="6"/>
    <s v="quinata"/>
    <n v="0.48"/>
    <x v="6"/>
    <n v="12.5"/>
    <n v="1.2271875E-2"/>
    <n v="8"/>
    <n v="19"/>
    <n v="0.33161255787892263"/>
    <n v="6"/>
    <n v="17"/>
    <n v="0.29670597283903605"/>
    <x v="89"/>
    <n v="17.923463531532551"/>
    <n v="2.2404329414415689"/>
    <n v="8.9617317657662756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94"/>
    <x v="0"/>
    <x v="0"/>
    <x v="0"/>
    <s v="ferruginea"/>
    <n v="0.37"/>
    <x v="0"/>
    <n v="11"/>
    <n v="9.5033400000000007E-3"/>
    <n v="10"/>
    <n v="55"/>
    <n v="0.95993108859688125"/>
    <n v="6"/>
    <n v="15"/>
    <n v="0.26179938779914941"/>
    <x v="90"/>
    <n v="23.508279262500693"/>
    <n v="2.9385349078125866"/>
    <n v="11.75413963125034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87"/>
    <x v="7"/>
    <x v="6"/>
    <x v="6"/>
    <s v="quinata"/>
    <n v="0.48"/>
    <x v="6"/>
    <n v="12.4"/>
    <n v="1.2076310400000002E-2"/>
    <n v="9"/>
    <n v="29"/>
    <n v="0.50614548307835561"/>
    <n v="7"/>
    <n v="10"/>
    <n v="0.17453292519943295"/>
    <x v="91"/>
    <n v="22.264417676188049"/>
    <n v="2.7830522095235062"/>
    <n v="11.132208838094025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02"/>
    <x v="0"/>
    <x v="0"/>
    <x v="0"/>
    <s v="ferruginea"/>
    <n v="0.37"/>
    <x v="0"/>
    <n v="9"/>
    <n v="6.3617400000000003E-3"/>
    <n v="14"/>
    <n v="55"/>
    <n v="0.95993108859688125"/>
    <n v="7"/>
    <n v="9"/>
    <n v="0.15707963267948966"/>
    <x v="92"/>
    <n v="20.469184375202435"/>
    <n v="2.5586480469003043"/>
    <n v="10.23459218760121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10"/>
    <x v="0"/>
    <x v="0"/>
    <x v="0"/>
    <s v="ferruginea"/>
    <n v="0.37"/>
    <x v="0"/>
    <n v="14.6"/>
    <n v="1.6741586400000001E-2"/>
    <n v="12"/>
    <n v="55"/>
    <n v="0.95993108859688125"/>
    <n v="6"/>
    <n v="20"/>
    <n v="0.3490658503988659"/>
    <x v="93"/>
    <n v="48.233525835434271"/>
    <n v="6.0291907294292839"/>
    <n v="24.116762917717136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88"/>
    <x v="7"/>
    <x v="6"/>
    <x v="6"/>
    <s v="quinata"/>
    <n v="0.48"/>
    <x v="6"/>
    <n v="10.1"/>
    <n v="8.0118654000000001E-3"/>
    <n v="8"/>
    <n v="23"/>
    <n v="0.4014257279586958"/>
    <n v="6"/>
    <n v="20"/>
    <n v="0.3490658503988659"/>
    <x v="94"/>
    <n v="14.11440634572398"/>
    <n v="1.7643007932154975"/>
    <n v="7.0572031728619899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96"/>
    <x v="0"/>
    <x v="0"/>
    <x v="0"/>
    <s v="ferruginea"/>
    <n v="0.37"/>
    <x v="0"/>
    <n v="14.3"/>
    <n v="1.60606446E-2"/>
    <n v="14"/>
    <n v="57"/>
    <n v="0.99483767363676789"/>
    <n v="6"/>
    <n v="20"/>
    <n v="0.3490658503988659"/>
    <x v="95"/>
    <n v="53.370019754836946"/>
    <n v="6.6712524693546182"/>
    <n v="26.68500987741847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35"/>
    <x v="0"/>
    <x v="0"/>
    <x v="0"/>
    <s v="ferruginea"/>
    <n v="0.37"/>
    <x v="0"/>
    <n v="9.6999999999999993"/>
    <n v="7.3898285999999995E-3"/>
    <n v="7"/>
    <n v="30"/>
    <n v="0.52359877559829882"/>
    <n v="5"/>
    <n v="25"/>
    <n v="0.43633231299858238"/>
    <x v="96"/>
    <n v="11.049743146354714"/>
    <n v="1.3812178932943393"/>
    <n v="5.5248715731773572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14"/>
    <x v="0"/>
    <x v="0"/>
    <x v="0"/>
    <s v="ferruginea"/>
    <n v="0.37"/>
    <x v="0"/>
    <n v="5.5"/>
    <n v="2.3758350000000002E-3"/>
    <n v="7"/>
    <n v="40"/>
    <n v="0.69813170079773179"/>
    <n v="5"/>
    <n v="20"/>
    <n v="0.3490658503988659"/>
    <x v="97"/>
    <n v="4.181517564459325"/>
    <n v="0.52268969555741562"/>
    <n v="2.0907587822296625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11"/>
    <x v="7"/>
    <x v="6"/>
    <x v="6"/>
    <s v="quinata"/>
    <n v="0.48"/>
    <x v="6"/>
    <n v="6.2"/>
    <n v="3.0190776000000004E-3"/>
    <n v="5"/>
    <n v="33"/>
    <n v="0.57595865315812877"/>
    <n v="6"/>
    <n v="21"/>
    <n v="0.36651914291880922"/>
    <x v="98"/>
    <n v="5.3270556861138791"/>
    <n v="0.66588196076423489"/>
    <n v="2.6635278430569396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41"/>
    <x v="7"/>
    <x v="6"/>
    <x v="6"/>
    <s v="quinata"/>
    <n v="0.48"/>
    <x v="6"/>
    <n v="8"/>
    <n v="5.0265600000000002E-3"/>
    <n v="8"/>
    <n v="15"/>
    <n v="0.26179938779914941"/>
    <n v="7"/>
    <n v="18"/>
    <n v="0.31415926535897931"/>
    <x v="99"/>
    <n v="7.5361888059722926"/>
    <n v="0.94202360074653657"/>
    <n v="3.768094402986146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31"/>
    <x v="0"/>
    <x v="0"/>
    <x v="0"/>
    <s v="ferruginea"/>
    <n v="0.37"/>
    <x v="0"/>
    <n v="6.8"/>
    <n v="3.6316895999999998E-3"/>
    <n v="8"/>
    <n v="5"/>
    <n v="8.7266462599716474E-2"/>
    <n v="8"/>
    <n v="17"/>
    <n v="0.29670597283903605"/>
    <x v="100"/>
    <n v="3.1803966238577344"/>
    <n v="0.3975495779822168"/>
    <n v="1.5901983119288672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02"/>
    <x v="0"/>
    <x v="0"/>
    <x v="0"/>
    <s v="ferruginea"/>
    <n v="0.37"/>
    <x v="0"/>
    <n v="13.6"/>
    <n v="1.4526758399999999E-2"/>
    <n v="15"/>
    <n v="65"/>
    <n v="1.1344640137963142"/>
    <n v="5"/>
    <n v="17"/>
    <n v="0.29670597283903605"/>
    <x v="101"/>
    <n v="52.733234134606754"/>
    <n v="6.5916542668258442"/>
    <n v="26.36661706730337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70"/>
    <x v="7"/>
    <x v="6"/>
    <x v="6"/>
    <s v="quinata"/>
    <n v="0.48"/>
    <x v="6"/>
    <n v="10"/>
    <n v="7.8539999999999999E-3"/>
    <n v="6"/>
    <n v="42"/>
    <n v="0.73303828583761843"/>
    <n v="5"/>
    <n v="30"/>
    <n v="0.52359877559829882"/>
    <x v="102"/>
    <n v="17.190736422954828"/>
    <n v="2.1488420528693535"/>
    <n v="8.5953682114774139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12"/>
    <x v="0"/>
    <x v="0"/>
    <x v="0"/>
    <s v="ferruginea"/>
    <n v="0.37"/>
    <x v="0"/>
    <n v="14.6"/>
    <n v="1.6741586400000001E-2"/>
    <n v="15"/>
    <n v="60"/>
    <n v="1.0471975511965976"/>
    <n v="6"/>
    <n v="33"/>
    <n v="0.57595865315812877"/>
    <x v="103"/>
    <n v="64.768405887857298"/>
    <n v="8.0960507359821623"/>
    <n v="32.384202943928649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06"/>
    <x v="0"/>
    <x v="0"/>
    <x v="0"/>
    <s v="ferruginea"/>
    <n v="0.37"/>
    <x v="0"/>
    <n v="14.9"/>
    <n v="1.7436665400000002E-2"/>
    <n v="14"/>
    <n v="70"/>
    <n v="1.2217304763960306"/>
    <n v="5"/>
    <n v="26"/>
    <n v="0.4537856055185257"/>
    <x v="104"/>
    <n v="63.743852064105894"/>
    <n v="7.9679815080132368"/>
    <n v="31.871926032052947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12"/>
    <x v="7"/>
    <x v="6"/>
    <x v="6"/>
    <s v="quinata"/>
    <n v="0.48"/>
    <x v="6"/>
    <n v="11.5"/>
    <n v="1.0386915E-2"/>
    <n v="5"/>
    <n v="20"/>
    <n v="0.3490658503988659"/>
    <n v="5"/>
    <n v="28"/>
    <n v="0.48869219055841229"/>
    <x v="105"/>
    <n v="14.325152983835954"/>
    <n v="1.7906441229794943"/>
    <n v="7.1625764919179771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27"/>
    <x v="0"/>
    <x v="0"/>
    <x v="0"/>
    <s v="ferruginea"/>
    <n v="0.37"/>
    <x v="0"/>
    <n v="6.1"/>
    <n v="2.9224733999999998E-3"/>
    <n v="8"/>
    <n v="55"/>
    <n v="0.95993108859688125"/>
    <n v="5"/>
    <n v="30"/>
    <n v="0.52359877559829882"/>
    <x v="106"/>
    <n v="7.240793416805043"/>
    <n v="0.90509917710063037"/>
    <n v="3.6203967084025215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626"/>
    <x v="0"/>
    <x v="0"/>
    <x v="0"/>
    <s v="ferruginea"/>
    <n v="0.37"/>
    <x v="0"/>
    <n v="12"/>
    <n v="1.130976E-2"/>
    <n v="13"/>
    <n v="60"/>
    <n v="1.0471975511965976"/>
    <n v="6"/>
    <n v="30"/>
    <n v="0.52359877559829882"/>
    <x v="107"/>
    <n v="39.596484884710407"/>
    <n v="4.9495606105888008"/>
    <n v="19.79824244235520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25"/>
    <x v="0"/>
    <x v="0"/>
    <x v="0"/>
    <s v="ferruginea"/>
    <n v="0.37"/>
    <x v="0"/>
    <n v="18.399999999999999"/>
    <n v="2.6590502399999997E-2"/>
    <n v="17"/>
    <n v="62"/>
    <n v="1.0821041362364843"/>
    <n v="6"/>
    <n v="30"/>
    <n v="0.52359877559829882"/>
    <x v="108"/>
    <n v="110.1575356495462"/>
    <n v="13.769691956193276"/>
    <n v="55.078767824773102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785"/>
    <x v="8"/>
    <x v="1"/>
    <x v="7"/>
    <s v="appendiculatus"/>
    <n v="0.23"/>
    <x v="7"/>
    <n v="14.2"/>
    <n v="1.58368056E-2"/>
    <n v="13"/>
    <n v="63"/>
    <n v="1.0995574287564276"/>
    <n v="5"/>
    <n v="20"/>
    <n v="0.3490658503988659"/>
    <x v="109"/>
    <n v="32.538632489383666"/>
    <n v="4.0673290611729582"/>
    <n v="16.269316244691833"/>
  </r>
  <r>
    <x v="1"/>
    <s v="NM, AM, EC, EL"/>
    <x v="1"/>
    <s v="SO"/>
    <n v="8.4092300000000009"/>
    <n v="83.314769999999996"/>
    <n v="50"/>
    <n v="25"/>
    <n v="3.9163173646459399"/>
    <n v="6.8352632566099025E-2"/>
    <n v="21.049152545814849"/>
    <n v="827"/>
    <x v="0"/>
    <x v="0"/>
    <x v="0"/>
    <s v="ferruginea"/>
    <n v="0.37"/>
    <x v="0"/>
    <n v="6.3"/>
    <n v="3.1172525999999998E-3"/>
    <n v="8"/>
    <n v="38"/>
    <n v="0.66322511575784526"/>
    <n v="7"/>
    <n v="15"/>
    <n v="0.26179938779914941"/>
    <x v="110"/>
    <n v="5.8276257208424642"/>
    <n v="0.72845321510530803"/>
    <n v="2.9138128604212321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92"/>
    <x v="0"/>
    <x v="0"/>
    <x v="0"/>
    <s v="ferruginea"/>
    <n v="0.37"/>
    <x v="0"/>
    <n v="6.4"/>
    <n v="3.2169984000000006E-3"/>
    <n v="6"/>
    <n v="70"/>
    <n v="1.2217304763960306"/>
    <n v="5"/>
    <n v="30"/>
    <n v="0.52359877559829882"/>
    <x v="111"/>
    <n v="7.1694217509464648"/>
    <n v="0.8961777188683081"/>
    <n v="3.5847108754732324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825"/>
    <x v="0"/>
    <x v="0"/>
    <x v="0"/>
    <s v="ferruginea"/>
    <n v="0.37"/>
    <x v="0"/>
    <n v="17.7"/>
    <n v="2.4605796599999997E-2"/>
    <n v="14"/>
    <n v="63"/>
    <n v="1.0995574287564276"/>
    <n v="5"/>
    <n v="32"/>
    <n v="0.55850536063818546"/>
    <x v="112"/>
    <n v="86.90391069482942"/>
    <n v="10.862988836853678"/>
    <n v="43.45195534741471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56"/>
    <x v="0"/>
    <x v="0"/>
    <x v="0"/>
    <s v="ferruginea"/>
    <n v="0.37"/>
    <x v="0"/>
    <n v="36.4"/>
    <n v="0.10406235839999999"/>
    <n v="16"/>
    <n v="73"/>
    <n v="1.2740903539558606"/>
    <n v="5"/>
    <n v="32"/>
    <n v="0.55850536063818546"/>
    <x v="113"/>
    <n v="395.98001969604354"/>
    <n v="49.497502462005443"/>
    <n v="197.99000984802177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68"/>
    <x v="8"/>
    <x v="1"/>
    <x v="7"/>
    <s v="appendiculatus"/>
    <n v="0.23"/>
    <x v="7"/>
    <n v="24.4"/>
    <n v="4.6759574399999997E-2"/>
    <n v="18"/>
    <n v="55"/>
    <n v="0.95993108859688125"/>
    <n v="8"/>
    <n v="22"/>
    <n v="0.38397243543875248"/>
    <x v="114"/>
    <n v="118.09506145811731"/>
    <n v="14.761882682264664"/>
    <n v="59.047530729058657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01"/>
    <x v="0"/>
    <x v="0"/>
    <x v="0"/>
    <s v="ferruginea"/>
    <n v="0.37"/>
    <x v="0"/>
    <n v="6.7"/>
    <n v="3.5256606000000001E-3"/>
    <n v="11"/>
    <n v="20"/>
    <n v="0.3490658503988659"/>
    <n v="8"/>
    <n v="20"/>
    <n v="0.3490658503988659"/>
    <x v="115"/>
    <n v="6.3245399384742411"/>
    <n v="0.79056749230928014"/>
    <n v="3.1622699692371206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15"/>
    <x v="9"/>
    <x v="7"/>
    <x v="8"/>
    <s v="argenta"/>
    <n v="0.62"/>
    <x v="7"/>
    <n v="21.6"/>
    <n v="3.6643622400000006E-2"/>
    <n v="13"/>
    <n v="60"/>
    <n v="1.0471975511965976"/>
    <n v="7"/>
    <n v="25"/>
    <n v="0.43633231299858238"/>
    <x v="116"/>
    <n v="193.69242164020037"/>
    <n v="24.211552705025046"/>
    <n v="96.846210820100183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40"/>
    <x v="0"/>
    <x v="0"/>
    <x v="0"/>
    <s v="ferruginea"/>
    <n v="0.37"/>
    <x v="0"/>
    <n v="7.2"/>
    <n v="4.0715136000000008E-3"/>
    <n v="8"/>
    <n v="58"/>
    <n v="1.0122909661567112"/>
    <n v="6"/>
    <n v="27"/>
    <n v="0.47123889803846897"/>
    <x v="117"/>
    <n v="10.355577677755704"/>
    <n v="1.294447209719463"/>
    <n v="5.1777888388778521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28"/>
    <x v="0"/>
    <x v="0"/>
    <x v="0"/>
    <s v="ferruginea"/>
    <n v="0.37"/>
    <x v="0"/>
    <n v="10.8"/>
    <n v="9.1609056000000015E-3"/>
    <n v="14"/>
    <n v="79"/>
    <n v="1.3788101090755203"/>
    <n v="5"/>
    <n v="9"/>
    <n v="0.15707963267948966"/>
    <x v="118"/>
    <n v="33.05185591381273"/>
    <n v="4.1314819892265913"/>
    <n v="16.525927956906365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73"/>
    <x v="0"/>
    <x v="0"/>
    <x v="0"/>
    <s v="ferruginea"/>
    <n v="0.37"/>
    <x v="0"/>
    <n v="12.3"/>
    <n v="1.1882316600000001E-2"/>
    <n v="15"/>
    <n v="59"/>
    <n v="1.0297442586766545"/>
    <n v="6"/>
    <n v="7"/>
    <n v="0.12217304763960307"/>
    <x v="119"/>
    <n v="39.644318420998978"/>
    <n v="4.9555398026248723"/>
    <n v="19.822159210499489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33"/>
    <x v="0"/>
    <x v="0"/>
    <x v="0"/>
    <s v="ferruginea"/>
    <n v="0.37"/>
    <x v="0"/>
    <n v="12.4"/>
    <n v="1.2076310400000002E-2"/>
    <n v="16"/>
    <n v="55"/>
    <n v="0.95993108859688125"/>
    <n v="7"/>
    <n v="9"/>
    <n v="0.15707963267948966"/>
    <x v="120"/>
    <n v="41.956333282953217"/>
    <n v="5.2445416603691521"/>
    <n v="20.978166641476609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37"/>
    <x v="0"/>
    <x v="0"/>
    <x v="0"/>
    <s v="ferruginea"/>
    <n v="0.37"/>
    <x v="0"/>
    <n v="6.5"/>
    <n v="3.3183150000000001E-3"/>
    <n v="12"/>
    <n v="44"/>
    <n v="0.76794487087750496"/>
    <n v="6"/>
    <n v="9"/>
    <n v="0.15707963267948966"/>
    <x v="121"/>
    <n v="8.3464509615759717"/>
    <n v="1.0433063701969965"/>
    <n v="4.1732254807879858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98"/>
    <x v="0"/>
    <x v="0"/>
    <x v="0"/>
    <s v="ferruginea"/>
    <n v="0.37"/>
    <x v="0"/>
    <n v="8.6"/>
    <n v="5.8088183999999996E-3"/>
    <n v="10"/>
    <n v="34"/>
    <n v="0.59341194567807209"/>
    <n v="6"/>
    <n v="14"/>
    <n v="0.24434609527920614"/>
    <x v="122"/>
    <n v="10.908055609173408"/>
    <n v="1.363506951146676"/>
    <n v="5.4540278045867039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71"/>
    <x v="0"/>
    <x v="0"/>
    <x v="0"/>
    <s v="ferruginea"/>
    <n v="0.37"/>
    <x v="0"/>
    <n v="12"/>
    <n v="1.130976E-2"/>
    <n v="10"/>
    <n v="52"/>
    <n v="0.90757121103705141"/>
    <n v="5"/>
    <n v="22"/>
    <n v="0.38397243543875248"/>
    <x v="123"/>
    <n v="27.709449403918669"/>
    <n v="3.4636811754898336"/>
    <n v="13.854724701959334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13"/>
    <x v="10"/>
    <x v="8"/>
    <x v="9"/>
    <s v="mexicana"/>
    <n v="0.55000000000000004"/>
    <x v="7"/>
    <n v="15.5"/>
    <n v="1.8869235000000002E-2"/>
    <n v="14"/>
    <n v="47"/>
    <n v="0.82030474843733492"/>
    <n v="6"/>
    <n v="25"/>
    <n v="0.43633231299858238"/>
    <x v="124"/>
    <n v="83.867688907470693"/>
    <n v="10.483461113433837"/>
    <n v="41.933844453735347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816"/>
    <x v="10"/>
    <x v="8"/>
    <x v="9"/>
    <s v="mexicana"/>
    <n v="0.55000000000000004"/>
    <x v="7"/>
    <n v="6.2"/>
    <n v="3.0190776000000004E-3"/>
    <n v="9"/>
    <n v="47"/>
    <n v="0.82030474843733492"/>
    <n v="7"/>
    <n v="25"/>
    <n v="0.43633231299858238"/>
    <x v="125"/>
    <n v="11.384038879998096"/>
    <n v="1.423004859999762"/>
    <n v="5.692019439999048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819"/>
    <x v="10"/>
    <x v="8"/>
    <x v="9"/>
    <s v="mexicana"/>
    <n v="0.55000000000000004"/>
    <x v="7"/>
    <n v="5.5"/>
    <n v="2.3758350000000002E-3"/>
    <n v="9"/>
    <n v="27"/>
    <n v="0.47123889803846897"/>
    <n v="7"/>
    <n v="25"/>
    <n v="0.43633231299858238"/>
    <x v="126"/>
    <n v="6.833587129656995"/>
    <n v="0.85419839120712437"/>
    <n v="3.4167935648284975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18"/>
    <x v="11"/>
    <x v="3"/>
    <x v="10"/>
    <s v="versicolor"/>
    <n v="0.54300000000000004"/>
    <x v="8"/>
    <n v="6.2"/>
    <n v="3.0190776000000004E-3"/>
    <n v="9"/>
    <n v="27"/>
    <n v="0.47123889803846897"/>
    <n v="8"/>
    <n v="27"/>
    <n v="0.47123889803846897"/>
    <x v="127"/>
    <n v="9.215435894698869"/>
    <n v="1.1519294868373586"/>
    <n v="4.6077179473494345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08"/>
    <x v="0"/>
    <x v="0"/>
    <x v="0"/>
    <s v="ferruginea"/>
    <n v="0.37"/>
    <x v="0"/>
    <n v="31"/>
    <n v="7.5476940000000006E-2"/>
    <n v="20"/>
    <n v="67"/>
    <n v="1.1693705988362009"/>
    <n v="9"/>
    <n v="27"/>
    <n v="0.47123889803846897"/>
    <x v="128"/>
    <n v="362.00162606337307"/>
    <n v="45.250203257921633"/>
    <n v="181.00081303168653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804"/>
    <x v="12"/>
    <x v="6"/>
    <x v="11"/>
    <s v="pentandra"/>
    <n v="0.35"/>
    <x v="7"/>
    <n v="9.9"/>
    <n v="7.697705400000001E-3"/>
    <n v="9"/>
    <n v="15"/>
    <n v="0.26179938779914941"/>
    <n v="6"/>
    <n v="27"/>
    <n v="0.47123889803846897"/>
    <x v="129"/>
    <n v="9.8728284179450121"/>
    <n v="1.2341035522431265"/>
    <n v="4.936414208972506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62"/>
    <x v="3"/>
    <x v="3"/>
    <x v="3"/>
    <s v="parahyba"/>
    <n v="0.315"/>
    <x v="3"/>
    <n v="16.100000000000001"/>
    <n v="2.0358353400000005E-2"/>
    <n v="14"/>
    <n v="65"/>
    <n v="1.1344640137963142"/>
    <n v="7"/>
    <n v="29"/>
    <n v="0.50614548307835561"/>
    <x v="130"/>
    <n v="66.231614682434767"/>
    <n v="8.2789518353043459"/>
    <n v="33.115807341217383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77"/>
    <x v="0"/>
    <x v="0"/>
    <x v="0"/>
    <s v="ferruginea"/>
    <n v="0.37"/>
    <x v="0"/>
    <n v="45.7"/>
    <n v="0.16403000460000003"/>
    <n v="16"/>
    <n v="69"/>
    <n v="1.2042771838760873"/>
    <n v="8"/>
    <n v="30"/>
    <n v="0.52359877559829882"/>
    <x v="131"/>
    <n v="638.69349011588224"/>
    <n v="79.83668626448528"/>
    <n v="319.34674505794112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42"/>
    <x v="13"/>
    <x v="5"/>
    <x v="1"/>
    <s v="-"/>
    <n v="0.57999999999999996"/>
    <x v="1"/>
    <n v="9"/>
    <n v="6.3617400000000003E-3"/>
    <n v="6"/>
    <n v="23"/>
    <n v="0.4014257279586958"/>
    <n v="5"/>
    <n v="32"/>
    <n v="0.55850536063818546"/>
    <x v="132"/>
    <n v="13.12200492859944"/>
    <n v="1.6402506160749299"/>
    <n v="6.5610024642997198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64"/>
    <x v="14"/>
    <x v="0"/>
    <x v="0"/>
    <s v="allenii"/>
    <n v="0.48"/>
    <x v="7"/>
    <n v="25.1"/>
    <n v="4.948098540000001E-2"/>
    <n v="18"/>
    <n v="70"/>
    <n v="1.2217304763960306"/>
    <n v="6"/>
    <n v="33"/>
    <n v="0.57595865315812877"/>
    <x v="133"/>
    <n v="280.72916039960779"/>
    <n v="35.091145049950974"/>
    <n v="140.3645801998039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594"/>
    <x v="3"/>
    <x v="3"/>
    <x v="3"/>
    <s v="parahyba"/>
    <n v="0.315"/>
    <x v="3"/>
    <n v="12.9"/>
    <n v="1.3069841400000001E-2"/>
    <n v="17"/>
    <n v="60"/>
    <n v="1.0471975511965976"/>
    <n v="10"/>
    <n v="14"/>
    <n v="0.24434609527920614"/>
    <x v="134"/>
    <n v="46.365162123361884"/>
    <n v="5.7956452654202355"/>
    <n v="23.182581061680942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599"/>
    <x v="0"/>
    <x v="0"/>
    <x v="0"/>
    <s v="ferruginea"/>
    <n v="0.37"/>
    <x v="0"/>
    <n v="36"/>
    <n v="0.10178784"/>
    <n v="18"/>
    <n v="63"/>
    <n v="1.0995574287564276"/>
    <n v="10"/>
    <n v="14"/>
    <n v="0.24434609527920614"/>
    <x v="135"/>
    <n v="398.12452280932217"/>
    <n v="49.765565351165272"/>
    <n v="199.06226140466109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801"/>
    <x v="0"/>
    <x v="0"/>
    <x v="0"/>
    <s v="ferruginea"/>
    <n v="0.37"/>
    <x v="0"/>
    <n v="25"/>
    <n v="4.9087499999999999E-2"/>
    <n v="21"/>
    <n v="72"/>
    <n v="1.2566370614359172"/>
    <n v="7"/>
    <n v="10"/>
    <n v="0.17453292519943295"/>
    <x v="136"/>
    <n v="228.35882957676336"/>
    <n v="28.544853697095419"/>
    <n v="114.17941478838168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810"/>
    <x v="0"/>
    <x v="0"/>
    <x v="0"/>
    <s v="ferruginea"/>
    <n v="0.37"/>
    <x v="0"/>
    <n v="7.5"/>
    <n v="4.4178749999999999E-3"/>
    <n v="9"/>
    <n v="30"/>
    <n v="0.52359877559829882"/>
    <n v="7"/>
    <n v="12"/>
    <n v="0.20943951023931956"/>
    <x v="137"/>
    <n v="7.2028032574963632"/>
    <n v="0.9003504071870454"/>
    <n v="3.6014016287481816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71"/>
    <x v="0"/>
    <x v="0"/>
    <x v="0"/>
    <s v="ferruginea"/>
    <n v="0.37"/>
    <x v="0"/>
    <n v="10.3"/>
    <n v="8.3323086000000011E-3"/>
    <n v="15"/>
    <n v="55"/>
    <n v="0.95993108859688125"/>
    <n v="7"/>
    <n v="10"/>
    <n v="0.17453292519943295"/>
    <x v="138"/>
    <n v="28.229570505685825"/>
    <n v="3.5286963132107281"/>
    <n v="14.114785252842912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89"/>
    <x v="0"/>
    <x v="0"/>
    <x v="0"/>
    <s v="ferruginea"/>
    <n v="0.37"/>
    <x v="0"/>
    <n v="23.2"/>
    <n v="4.2273369599999999E-2"/>
    <n v="22"/>
    <n v="73"/>
    <n v="1.2740903539558606"/>
    <n v="8"/>
    <n v="5"/>
    <n v="8.7266462599716474E-2"/>
    <x v="139"/>
    <n v="203.25286361143364"/>
    <n v="25.406607951429205"/>
    <n v="101.62643180571682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51"/>
    <x v="15"/>
    <x v="9"/>
    <x v="12"/>
    <s v="insularis"/>
    <n v="0.53"/>
    <x v="7"/>
    <n v="11.7"/>
    <n v="1.0751340599999999E-2"/>
    <n v="8"/>
    <n v="38"/>
    <n v="0.66322511575784526"/>
    <n v="7"/>
    <n v="5"/>
    <n v="8.7266462599716474E-2"/>
    <x v="140"/>
    <n v="21.748494557853132"/>
    <n v="2.7185618197316415"/>
    <n v="10.874247278926566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46"/>
    <x v="0"/>
    <x v="0"/>
    <x v="0"/>
    <s v="ferruginea"/>
    <n v="0.37"/>
    <x v="0"/>
    <n v="39.700000000000003"/>
    <n v="0.12378610860000001"/>
    <n v="24"/>
    <n v="80"/>
    <n v="1.3962634015954636"/>
    <n v="7"/>
    <n v="5"/>
    <n v="8.7266462599716474E-2"/>
    <x v="141"/>
    <n v="618.37278980062786"/>
    <n v="77.296598725078482"/>
    <n v="309.18639490031393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596"/>
    <x v="0"/>
    <x v="0"/>
    <x v="0"/>
    <s v="ferruginea"/>
    <n v="0.37"/>
    <x v="0"/>
    <n v="39.700000000000003"/>
    <n v="0.12378610860000001"/>
    <n v="20"/>
    <n v="78"/>
    <n v="1.3613568165555769"/>
    <n v="7"/>
    <n v="5"/>
    <n v="8.7266462599716474E-2"/>
    <x v="142"/>
    <n v="520.21468555849992"/>
    <n v="65.02683569481249"/>
    <n v="260.10734277924996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807"/>
    <x v="0"/>
    <x v="0"/>
    <x v="0"/>
    <s v="ferruginea"/>
    <n v="0.37"/>
    <x v="0"/>
    <n v="17"/>
    <n v="2.2698060000000003E-2"/>
    <n v="17"/>
    <n v="73"/>
    <n v="1.2740903539558606"/>
    <n v="5"/>
    <n v="6"/>
    <n v="0.10471975511965978"/>
    <x v="143"/>
    <n v="88.820957588641804"/>
    <n v="11.102619698580225"/>
    <n v="44.410478794320902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592"/>
    <x v="0"/>
    <x v="0"/>
    <x v="0"/>
    <s v="ferruginea"/>
    <n v="0.37"/>
    <x v="0"/>
    <n v="13.7"/>
    <n v="1.4741172599999998E-2"/>
    <n v="15"/>
    <n v="72"/>
    <n v="1.2566370614359172"/>
    <n v="5"/>
    <n v="0"/>
    <n v="0"/>
    <x v="144"/>
    <n v="50.821296211610516"/>
    <n v="6.3526620264513145"/>
    <n v="25.410648105805258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705"/>
    <x v="0"/>
    <x v="0"/>
    <x v="0"/>
    <s v="ferruginea"/>
    <n v="0.37"/>
    <x v="0"/>
    <n v="9.4"/>
    <n v="6.939794400000001E-3"/>
    <n v="12"/>
    <n v="55"/>
    <n v="0.95993108859688125"/>
    <n v="8"/>
    <n v="2"/>
    <n v="3.4906585039886591E-2"/>
    <x v="145"/>
    <n v="18.10832329268495"/>
    <n v="2.2635404115856188"/>
    <n v="9.0541616463424752"/>
  </r>
  <r>
    <x v="1"/>
    <s v="NM, AM, EC, EL"/>
    <x v="2"/>
    <s v="SO"/>
    <n v="8.4089700000000001"/>
    <n v="83.314689999999999"/>
    <n v="50"/>
    <n v="33"/>
    <n v="2.9194960564791734"/>
    <n v="5.0954818684551907E-2"/>
    <n v="21.02729165642895"/>
    <n v="607"/>
    <x v="12"/>
    <x v="6"/>
    <x v="11"/>
    <s v="pentandra"/>
    <n v="0.35"/>
    <x v="7"/>
    <n v="13"/>
    <n v="1.327326E-2"/>
    <n v="14"/>
    <n v="55"/>
    <n v="0.95993108859688125"/>
    <n v="6"/>
    <n v="5"/>
    <n v="8.7266462599716474E-2"/>
    <x v="146"/>
    <n v="37.121491001958276"/>
    <n v="4.6401863752447845"/>
    <n v="18.560745500979138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05"/>
    <x v="0"/>
    <x v="0"/>
    <x v="0"/>
    <s v="ferruginea"/>
    <n v="0.37"/>
    <x v="0"/>
    <n v="9.1999999999999993"/>
    <n v="6.6476255999999992E-3"/>
    <n v="7"/>
    <n v="70"/>
    <n v="1.2217304763960306"/>
    <n v="5"/>
    <n v="10"/>
    <n v="0.17453292519943295"/>
    <x v="147"/>
    <n v="13.046829880523045"/>
    <n v="1.6308537350653807"/>
    <n v="6.5234149402615227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35"/>
    <x v="7"/>
    <x v="6"/>
    <x v="6"/>
    <s v="quinata"/>
    <n v="0.48"/>
    <x v="6"/>
    <n v="23.3"/>
    <n v="4.2638580600000003E-2"/>
    <n v="9"/>
    <n v="75"/>
    <n v="1.3089969389957472"/>
    <n v="5"/>
    <n v="7"/>
    <n v="0.12217304763960307"/>
    <x v="148"/>
    <n v="117.85531579702962"/>
    <n v="14.731914474628702"/>
    <n v="58.927657898514809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61"/>
    <x v="16"/>
    <x v="9"/>
    <x v="12"/>
    <s v="sp."/>
    <n v="0.53"/>
    <x v="7"/>
    <n v="12"/>
    <n v="1.130976E-2"/>
    <n v="8"/>
    <n v="60"/>
    <n v="1.0471975511965976"/>
    <n v="5"/>
    <n v="13"/>
    <n v="0.22689280275926285"/>
    <x v="149"/>
    <n v="32.44441252218045"/>
    <n v="4.0555515652725562"/>
    <n v="16.222206261090225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58"/>
    <x v="16"/>
    <x v="9"/>
    <x v="12"/>
    <s v="sp."/>
    <n v="0.53"/>
    <x v="7"/>
    <n v="11"/>
    <n v="9.5033400000000007E-3"/>
    <n v="8"/>
    <n v="45"/>
    <n v="0.78539816339744828"/>
    <n v="6"/>
    <n v="10"/>
    <n v="0.17453292519943295"/>
    <x v="150"/>
    <n v="23.170372897493472"/>
    <n v="2.896296612186684"/>
    <n v="11.585186448746736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73"/>
    <x v="16"/>
    <x v="9"/>
    <x v="12"/>
    <s v="sp."/>
    <n v="0.53"/>
    <x v="7"/>
    <n v="7.7"/>
    <n v="4.6566366000000007E-3"/>
    <n v="10"/>
    <n v="42"/>
    <n v="0.73303828583761843"/>
    <n v="7"/>
    <n v="10"/>
    <n v="0.17453292519943295"/>
    <x v="151"/>
    <n v="13.848621524250772"/>
    <n v="1.7310776905313465"/>
    <n v="6.9243107621253861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12"/>
    <x v="16"/>
    <x v="9"/>
    <x v="12"/>
    <s v="sp."/>
    <n v="0.53"/>
    <x v="7"/>
    <n v="6.1"/>
    <n v="2.9224733999999998E-3"/>
    <n v="6"/>
    <n v="40"/>
    <n v="0.69813170079773179"/>
    <n v="5"/>
    <n v="20"/>
    <n v="0.3490658503988659"/>
    <x v="152"/>
    <n v="6.4264679225819581"/>
    <n v="0.80330849032274476"/>
    <n v="3.213233961290979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84"/>
    <x v="16"/>
    <x v="9"/>
    <x v="12"/>
    <s v="sp."/>
    <n v="0.53"/>
    <x v="7"/>
    <n v="26.1"/>
    <n v="5.3502233400000009E-2"/>
    <n v="8"/>
    <n v="45"/>
    <n v="0.78539816339744828"/>
    <n v="7"/>
    <n v="10"/>
    <n v="0.17453292519943295"/>
    <x v="153"/>
    <n v="120.46104061930635"/>
    <n v="15.057630077413293"/>
    <n v="60.230520309653173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92"/>
    <x v="16"/>
    <x v="9"/>
    <x v="12"/>
    <s v="sp."/>
    <n v="0.53"/>
    <x v="7"/>
    <n v="15"/>
    <n v="1.76715E-2"/>
    <n v="9"/>
    <n v="40"/>
    <n v="0.69813170079773179"/>
    <n v="7"/>
    <n v="12"/>
    <n v="0.20943951023931956"/>
    <x v="154"/>
    <n v="44.659450677837491"/>
    <n v="5.5824313347296863"/>
    <n v="22.329725338918745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36"/>
    <x v="7"/>
    <x v="6"/>
    <x v="6"/>
    <s v="quinata"/>
    <n v="0.48"/>
    <x v="6"/>
    <n v="17.3"/>
    <n v="2.3506236600000004E-2"/>
    <n v="7"/>
    <n v="72"/>
    <n v="1.2566370614359172"/>
    <n v="6"/>
    <n v="15"/>
    <n v="0.26179938779914941"/>
    <x v="155"/>
    <n v="59.87604891212905"/>
    <n v="7.4845061140161313"/>
    <n v="29.938024456064525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93"/>
    <x v="3"/>
    <x v="3"/>
    <x v="3"/>
    <s v="parahyba"/>
    <n v="0.315"/>
    <x v="3"/>
    <n v="8.6999999999999993"/>
    <n v="5.944692599999999E-3"/>
    <n v="10"/>
    <n v="58"/>
    <n v="1.0122909661567112"/>
    <n v="6"/>
    <n v="15"/>
    <n v="0.26179938779914941"/>
    <x v="156"/>
    <n v="13.363828132739595"/>
    <n v="1.6704785165924494"/>
    <n v="6.6819140663697976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89"/>
    <x v="0"/>
    <x v="0"/>
    <x v="0"/>
    <s v="ferruginea"/>
    <n v="0.37"/>
    <x v="0"/>
    <n v="9.9"/>
    <n v="7.697705400000001E-3"/>
    <n v="8"/>
    <n v="60"/>
    <n v="1.0471975511965976"/>
    <n v="6"/>
    <n v="12"/>
    <n v="0.20943951023931956"/>
    <x v="157"/>
    <n v="16.350748124152179"/>
    <n v="2.0438435155190224"/>
    <n v="8.1753740620760897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1019"/>
    <x v="17"/>
    <x v="10"/>
    <x v="13"/>
    <s v="sp."/>
    <n v="0.57999999999999996"/>
    <x v="7"/>
    <n v="10.6"/>
    <n v="8.8247544000000008E-3"/>
    <n v="10"/>
    <n v="67"/>
    <n v="1.1693705988362009"/>
    <n v="7"/>
    <n v="10"/>
    <n v="0.17453292519943295"/>
    <x v="158"/>
    <n v="35.635074149900539"/>
    <n v="4.4543842687375674"/>
    <n v="17.81753707495027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74"/>
    <x v="18"/>
    <x v="11"/>
    <x v="14"/>
    <s v="sp."/>
    <n v="0.68"/>
    <x v="7"/>
    <n v="5.6"/>
    <n v="2.4630143999999996E-3"/>
    <n v="5"/>
    <n v="52"/>
    <n v="0.90757121103705141"/>
    <n v="6"/>
    <n v="10"/>
    <n v="0.17453292519943295"/>
    <x v="159"/>
    <n v="6.2311528618360645"/>
    <n v="0.77889410772950807"/>
    <n v="3.1155764309180323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30"/>
    <x v="17"/>
    <x v="10"/>
    <x v="13"/>
    <s v="sp."/>
    <n v="0.57999999999999996"/>
    <x v="7"/>
    <n v="10.1"/>
    <n v="8.0118654000000001E-3"/>
    <n v="8"/>
    <n v="72"/>
    <n v="1.2566370614359172"/>
    <n v="5"/>
    <n v="7"/>
    <n v="0.12217304763960307"/>
    <x v="160"/>
    <n v="26.030253289228753"/>
    <n v="3.2537816611535941"/>
    <n v="13.015126644614377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75"/>
    <x v="3"/>
    <x v="3"/>
    <x v="3"/>
    <s v="parahyba"/>
    <n v="0.315"/>
    <x v="3"/>
    <n v="19.100000000000001"/>
    <n v="2.8652177400000006E-2"/>
    <n v="17"/>
    <n v="64"/>
    <n v="1.1170107212763709"/>
    <n v="7"/>
    <n v="2"/>
    <n v="3.4906585039886591E-2"/>
    <x v="161"/>
    <n v="88.339391671017609"/>
    <n v="11.042423958877201"/>
    <n v="44.169695835508804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76"/>
    <x v="3"/>
    <x v="3"/>
    <x v="3"/>
    <s v="parahyba"/>
    <n v="0.315"/>
    <x v="3"/>
    <n v="36.6"/>
    <n v="0.10520904240000002"/>
    <n v="22"/>
    <n v="75"/>
    <n v="1.3089969389957472"/>
    <n v="7"/>
    <n v="15"/>
    <n v="0.26179938779914941"/>
    <x v="162"/>
    <n v="435.25425829073822"/>
    <n v="54.406782286342278"/>
    <n v="217.62712914536911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17"/>
    <x v="5"/>
    <x v="1"/>
    <x v="5"/>
    <s v="tibourbou"/>
    <n v="0.24"/>
    <x v="5"/>
    <n v="13.1"/>
    <n v="1.34782494E-2"/>
    <n v="8"/>
    <n v="43"/>
    <n v="0.75049157835756175"/>
    <n v="8"/>
    <n v="14"/>
    <n v="0.24434609527920614"/>
    <x v="163"/>
    <n v="16.762212084288333"/>
    <n v="2.0952765105360416"/>
    <n v="8.3811060421441663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07"/>
    <x v="7"/>
    <x v="6"/>
    <x v="6"/>
    <s v="quinata"/>
    <n v="0.48"/>
    <x v="6"/>
    <n v="18.5"/>
    <n v="2.6880315000000002E-2"/>
    <n v="8"/>
    <n v="42"/>
    <n v="0.73303828583761843"/>
    <n v="7"/>
    <n v="18"/>
    <n v="0.31415926535897931"/>
    <x v="164"/>
    <n v="62.509754947260234"/>
    <n v="7.8137193684075292"/>
    <n v="31.254877473630117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94"/>
    <x v="7"/>
    <x v="6"/>
    <x v="6"/>
    <s v="quinata"/>
    <n v="0.48"/>
    <x v="6"/>
    <n v="20.8"/>
    <n v="3.3979545600000008E-2"/>
    <n v="11"/>
    <n v="54"/>
    <n v="0.94247779607693793"/>
    <n v="8"/>
    <n v="16"/>
    <n v="0.27925268031909273"/>
    <x v="165"/>
    <n v="112.44722615460375"/>
    <n v="14.055903269325469"/>
    <n v="56.223613077301877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73"/>
    <x v="7"/>
    <x v="6"/>
    <x v="6"/>
    <s v="quinata"/>
    <n v="0.48"/>
    <x v="6"/>
    <n v="28"/>
    <n v="6.1575360000000003E-2"/>
    <n v="11"/>
    <n v="48"/>
    <n v="0.83775804095727824"/>
    <n v="9"/>
    <n v="15"/>
    <n v="0.26179938779914941"/>
    <x v="166"/>
    <n v="186.61976291958965"/>
    <n v="23.327470364948706"/>
    <n v="93.309881459794823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69"/>
    <x v="19"/>
    <x v="12"/>
    <x v="1"/>
    <s v="-"/>
    <n v="0.59"/>
    <x v="7"/>
    <n v="9"/>
    <n v="6.3617400000000003E-3"/>
    <n v="10"/>
    <n v="38"/>
    <n v="0.66322511575784526"/>
    <n v="9"/>
    <n v="17"/>
    <n v="0.29670597283903605"/>
    <x v="167"/>
    <n v="22.682625455047756"/>
    <n v="2.8353281818809695"/>
    <n v="11.341312727523878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63"/>
    <x v="7"/>
    <x v="6"/>
    <x v="6"/>
    <s v="quinata"/>
    <n v="0.48"/>
    <x v="6"/>
    <n v="12.2"/>
    <n v="1.1689893599999999E-2"/>
    <n v="8"/>
    <n v="40"/>
    <n v="0.69813170079773179"/>
    <n v="5"/>
    <n v="24"/>
    <n v="0.41887902047863912"/>
    <x v="168"/>
    <n v="27.359839498669345"/>
    <n v="3.4199799373336681"/>
    <n v="13.679919749334672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67"/>
    <x v="20"/>
    <x v="12"/>
    <x v="15"/>
    <s v="dolichopoda"/>
    <n v="0.54"/>
    <x v="7"/>
    <n v="6"/>
    <n v="2.8274400000000001E-3"/>
    <n v="7"/>
    <n v="40"/>
    <n v="0.69813170079773179"/>
    <n v="5"/>
    <n v="22"/>
    <n v="0.38397243543875248"/>
    <x v="169"/>
    <n v="7.1993024915701493"/>
    <n v="0.89991281144626867"/>
    <n v="3.5996512457850747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97"/>
    <x v="20"/>
    <x v="12"/>
    <x v="15"/>
    <s v="dolichopoda"/>
    <n v="0.54"/>
    <x v="7"/>
    <n v="7.5"/>
    <n v="4.4178749999999999E-3"/>
    <n v="8"/>
    <n v="40"/>
    <n v="0.69813170079773179"/>
    <n v="5"/>
    <n v="22"/>
    <n v="0.38397243543875248"/>
    <x v="170"/>
    <n v="11.987054312220339"/>
    <n v="1.4983817890275424"/>
    <n v="5.9935271561101695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63"/>
    <x v="16"/>
    <x v="9"/>
    <x v="12"/>
    <s v="sp."/>
    <n v="0.53"/>
    <x v="7"/>
    <n v="6.3"/>
    <n v="3.1172525999999998E-3"/>
    <n v="10"/>
    <n v="35"/>
    <n v="0.6108652381980153"/>
    <n v="8"/>
    <n v="23"/>
    <n v="0.4014257279586958"/>
    <x v="171"/>
    <n v="10.570689172014308"/>
    <n v="1.3213361465017885"/>
    <n v="5.2853445860071542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34"/>
    <x v="2"/>
    <x v="2"/>
    <x v="2"/>
    <s v="amara"/>
    <n v="0.41699999999999998"/>
    <x v="2"/>
    <n v="7.5"/>
    <n v="4.4178749999999999E-3"/>
    <n v="10"/>
    <n v="53"/>
    <n v="0.92502450355699462"/>
    <n v="5"/>
    <n v="22"/>
    <n v="0.38397243543875248"/>
    <x v="172"/>
    <n v="12.945646724671075"/>
    <n v="1.6182058405838844"/>
    <n v="6.4728233623355376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57"/>
    <x v="7"/>
    <x v="6"/>
    <x v="6"/>
    <s v="quinata"/>
    <n v="0.48"/>
    <x v="6"/>
    <n v="9"/>
    <n v="6.3617400000000003E-3"/>
    <n v="7"/>
    <n v="52"/>
    <n v="0.90757121103705141"/>
    <n v="5"/>
    <n v="12"/>
    <n v="0.20943951023931956"/>
    <x v="173"/>
    <n v="14.184766865717586"/>
    <n v="1.7730958582146983"/>
    <n v="7.0923834328587931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91"/>
    <x v="7"/>
    <x v="6"/>
    <x v="6"/>
    <s v="quinata"/>
    <n v="0.48"/>
    <x v="6"/>
    <n v="14.7"/>
    <n v="1.69717086E-2"/>
    <n v="7"/>
    <n v="32"/>
    <n v="0.55850536063818546"/>
    <n v="6"/>
    <n v="15"/>
    <n v="0.26179938779914941"/>
    <x v="174"/>
    <n v="29.019769021448869"/>
    <n v="3.6274711276811087"/>
    <n v="14.509884510724435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38"/>
    <x v="21"/>
    <x v="13"/>
    <x v="16"/>
    <s v="sp."/>
    <n v="0.48"/>
    <x v="7"/>
    <n v="5.5"/>
    <n v="2.3758350000000002E-3"/>
    <n v="8"/>
    <n v="41"/>
    <n v="0.71558499331767511"/>
    <n v="5"/>
    <n v="8"/>
    <n v="0.13962634015954636"/>
    <x v="175"/>
    <n v="5.125870247905576"/>
    <n v="0.640733780988197"/>
    <n v="2.562935123952788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80"/>
    <x v="7"/>
    <x v="6"/>
    <x v="6"/>
    <s v="quinata"/>
    <n v="0.48"/>
    <x v="6"/>
    <n v="24.5"/>
    <n v="4.7143635000000003E-2"/>
    <n v="10"/>
    <n v="70"/>
    <n v="1.2217304763960306"/>
    <n v="5"/>
    <n v="8"/>
    <n v="0.13962634015954636"/>
    <x v="176"/>
    <n v="139.83998060668938"/>
    <n v="17.479997575836173"/>
    <n v="69.91999030334469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02"/>
    <x v="19"/>
    <x v="12"/>
    <x v="1"/>
    <s v="-"/>
    <n v="0.59"/>
    <x v="7"/>
    <n v="11.1"/>
    <n v="9.6769134000000007E-3"/>
    <n v="10"/>
    <n v="70"/>
    <n v="1.2217304763960306"/>
    <n v="5"/>
    <n v="8"/>
    <n v="0.13962634015954636"/>
    <x v="176"/>
    <n v="38.321318605589106"/>
    <n v="4.7901648256986382"/>
    <n v="19.160659302794553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1018"/>
    <x v="7"/>
    <x v="6"/>
    <x v="6"/>
    <s v="quinata"/>
    <n v="0.48"/>
    <x v="6"/>
    <n v="14.2"/>
    <n v="1.58368056E-2"/>
    <n v="9"/>
    <n v="38"/>
    <n v="0.66322511575784526"/>
    <n v="8"/>
    <n v="8"/>
    <n v="0.13962634015954636"/>
    <x v="177"/>
    <n v="33.903859709309536"/>
    <n v="4.237982463663692"/>
    <n v="16.951929854654768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04"/>
    <x v="7"/>
    <x v="6"/>
    <x v="6"/>
    <s v="quinata"/>
    <n v="0.48"/>
    <x v="6"/>
    <n v="17.3"/>
    <n v="2.3506236600000004E-2"/>
    <n v="8"/>
    <n v="43"/>
    <n v="0.75049157835756175"/>
    <n v="6"/>
    <n v="9"/>
    <n v="0.15707963267948966"/>
    <x v="178"/>
    <n v="47.339027794710347"/>
    <n v="5.9173784743387934"/>
    <n v="23.669513897355174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32"/>
    <x v="22"/>
    <x v="14"/>
    <x v="17"/>
    <s v="alchorneoides"/>
    <n v="0.64"/>
    <x v="9"/>
    <n v="5.9"/>
    <n v="2.7339774000000004E-3"/>
    <n v="9"/>
    <n v="35"/>
    <n v="0.6108652381980153"/>
    <n v="7"/>
    <n v="10"/>
    <n v="0.17453292519943295"/>
    <x v="179"/>
    <n v="8.189521573956398"/>
    <n v="1.0236901967445498"/>
    <n v="4.094760786978199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1005"/>
    <x v="7"/>
    <x v="6"/>
    <x v="6"/>
    <s v="quinata"/>
    <n v="0.48"/>
    <x v="6"/>
    <n v="13.1"/>
    <n v="1.34782494E-2"/>
    <n v="8"/>
    <n v="42"/>
    <n v="0.73303828583761843"/>
    <n v="6"/>
    <n v="7"/>
    <n v="0.12217304763960307"/>
    <x v="180"/>
    <n v="26.782670607073992"/>
    <n v="3.347833825884249"/>
    <n v="13.391335303536996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1016"/>
    <x v="0"/>
    <x v="0"/>
    <x v="0"/>
    <s v="ferruginea"/>
    <n v="0.37"/>
    <x v="0"/>
    <n v="15.3"/>
    <n v="1.8385428600000003E-2"/>
    <n v="7"/>
    <n v="55"/>
    <n v="0.95993108859688125"/>
    <n v="6"/>
    <n v="10"/>
    <n v="0.17453292519943295"/>
    <x v="181"/>
    <n v="31.067293213370405"/>
    <n v="3.8834116516713006"/>
    <n v="15.533646606685203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44"/>
    <x v="7"/>
    <x v="6"/>
    <x v="6"/>
    <s v="quinata"/>
    <n v="0.48"/>
    <x v="6"/>
    <n v="13.1"/>
    <n v="1.34782494E-2"/>
    <n v="5"/>
    <n v="47"/>
    <n v="0.82030474843733492"/>
    <n v="5"/>
    <n v="14"/>
    <n v="0.24434609527920614"/>
    <x v="182"/>
    <n v="21.710609140563371"/>
    <n v="2.7138261425704213"/>
    <n v="10.855304570281685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45"/>
    <x v="19"/>
    <x v="12"/>
    <x v="1"/>
    <s v="-"/>
    <n v="0.59"/>
    <x v="7"/>
    <n v="8.6"/>
    <n v="5.8088183999999996E-3"/>
    <n v="7"/>
    <n v="55"/>
    <n v="0.95993108859688125"/>
    <n v="5"/>
    <n v="9"/>
    <n v="0.15707963267948966"/>
    <x v="183"/>
    <n v="15.720875809429973"/>
    <n v="1.9651094761787467"/>
    <n v="7.8604379047149866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24"/>
    <x v="0"/>
    <x v="0"/>
    <x v="0"/>
    <s v="ferruginea"/>
    <n v="0.37"/>
    <x v="0"/>
    <n v="8"/>
    <n v="5.0265600000000002E-3"/>
    <n v="7"/>
    <n v="55"/>
    <n v="0.95993108859688125"/>
    <n v="5"/>
    <n v="9"/>
    <n v="0.15707963267948966"/>
    <x v="183"/>
    <n v="8.8498835023923057"/>
    <n v="1.1062354377990382"/>
    <n v="4.4249417511961529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34"/>
    <x v="7"/>
    <x v="6"/>
    <x v="6"/>
    <s v="quinata"/>
    <n v="0.48"/>
    <x v="6"/>
    <n v="19.7"/>
    <n v="3.0480588600000001E-2"/>
    <n v="7"/>
    <n v="50"/>
    <n v="0.87266462599716477"/>
    <n v="5"/>
    <n v="12"/>
    <n v="0.20943951023931956"/>
    <x v="184"/>
    <n v="60.499725068323713"/>
    <n v="7.5624656335404641"/>
    <n v="30.249862534161856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69"/>
    <x v="0"/>
    <x v="0"/>
    <x v="0"/>
    <s v="ferruginea"/>
    <n v="0.37"/>
    <x v="0"/>
    <n v="5.3"/>
    <n v="2.2061886000000002E-3"/>
    <n v="10"/>
    <n v="32"/>
    <n v="0.55850536063818546"/>
    <n v="6"/>
    <n v="11"/>
    <n v="0.19198621771937624"/>
    <x v="185"/>
    <n v="4.0384910957380491"/>
    <n v="0.50481138696725614"/>
    <n v="2.0192455478690245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893"/>
    <x v="7"/>
    <x v="6"/>
    <x v="6"/>
    <s v="quinata"/>
    <n v="0.48"/>
    <x v="6"/>
    <n v="18.5"/>
    <n v="2.6880315000000002E-2"/>
    <n v="10"/>
    <n v="45"/>
    <n v="0.78539816339744828"/>
    <n v="7"/>
    <n v="7"/>
    <n v="0.12217304763960307"/>
    <x v="186"/>
    <n v="65.694199662333716"/>
    <n v="8.2117749577917145"/>
    <n v="32.847099831166858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86"/>
    <x v="7"/>
    <x v="6"/>
    <x v="6"/>
    <s v="quinata"/>
    <n v="0.48"/>
    <x v="6"/>
    <n v="16.600000000000001"/>
    <n v="2.1642482400000006E-2"/>
    <n v="13"/>
    <n v="57"/>
    <n v="0.99483767363676789"/>
    <n v="7"/>
    <n v="7"/>
    <n v="0.12217304763960307"/>
    <x v="187"/>
    <n v="77.637017683272447"/>
    <n v="9.7046272104090558"/>
    <n v="38.818508841636223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1015"/>
    <x v="0"/>
    <x v="0"/>
    <x v="0"/>
    <s v="ferruginea"/>
    <n v="0.37"/>
    <x v="0"/>
    <n v="6.3"/>
    <n v="3.1172525999999998E-3"/>
    <n v="7"/>
    <n v="40"/>
    <n v="0.69813170079773179"/>
    <n v="6"/>
    <n v="16"/>
    <n v="0.27925268031909273"/>
    <x v="188"/>
    <n v="5.3517480597588536"/>
    <n v="0.6689685074698567"/>
    <n v="2.6758740298794268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1004"/>
    <x v="0"/>
    <x v="0"/>
    <x v="0"/>
    <s v="ferruginea"/>
    <n v="0.37"/>
    <x v="0"/>
    <n v="5.0999999999999996"/>
    <n v="2.0428254E-3"/>
    <n v="6"/>
    <n v="51"/>
    <n v="0.89011791851710809"/>
    <n v="6"/>
    <n v="21"/>
    <n v="0.36651914291880922"/>
    <x v="189"/>
    <n v="3.9586432008290986"/>
    <n v="0.49483040010363732"/>
    <n v="1.9793216004145493"/>
  </r>
  <r>
    <x v="2"/>
    <s v="NM, AM, EC, EL"/>
    <x v="3"/>
    <s v="SO"/>
    <n v="8.4083100000000002"/>
    <n v="83.31147"/>
    <n v="50"/>
    <n v="-10"/>
    <n v="-9.9666444232592379"/>
    <n v="-0.17395076056140502"/>
    <n v="21.321773754370099"/>
    <n v="956"/>
    <x v="0"/>
    <x v="0"/>
    <x v="0"/>
    <s v="ferruginea"/>
    <n v="0.37"/>
    <x v="0"/>
    <n v="9.1999999999999993"/>
    <n v="6.6476255999999992E-3"/>
    <n v="10"/>
    <n v="54"/>
    <n v="0.94247779607693793"/>
    <n v="6"/>
    <n v="19"/>
    <n v="0.33161255787892263"/>
    <x v="190"/>
    <n v="17.284930672551148"/>
    <n v="2.1606163340688935"/>
    <n v="8.6424653362755741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17"/>
    <x v="3"/>
    <x v="3"/>
    <x v="3"/>
    <s v="parahyba"/>
    <n v="0.315"/>
    <x v="3"/>
    <n v="32.700000000000003"/>
    <n v="8.3982036600000018E-2"/>
    <n v="11"/>
    <n v="65"/>
    <n v="1.1344640137963142"/>
    <n v="5"/>
    <n v="16"/>
    <n v="0.27925268031909273"/>
    <x v="191"/>
    <n v="180.8140619839125"/>
    <n v="22.601757747989062"/>
    <n v="90.407030991956248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99"/>
    <x v="3"/>
    <x v="3"/>
    <x v="3"/>
    <s v="parahyba"/>
    <n v="0.315"/>
    <x v="3"/>
    <n v="26.8"/>
    <n v="5.6410569600000002E-2"/>
    <n v="11"/>
    <n v="65"/>
    <n v="1.1344640137963142"/>
    <n v="5"/>
    <n v="16"/>
    <n v="0.27925268031909273"/>
    <x v="191"/>
    <n v="124.38724258352332"/>
    <n v="15.548405322940415"/>
    <n v="62.193621291761659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597"/>
    <x v="0"/>
    <x v="0"/>
    <x v="0"/>
    <s v="ferruginea"/>
    <n v="0.37"/>
    <x v="0"/>
    <n v="28.8"/>
    <n v="6.5144217600000012E-2"/>
    <n v="16"/>
    <n v="60"/>
    <n v="1.0471975511965976"/>
    <n v="7"/>
    <n v="16"/>
    <n v="0.27925268031909273"/>
    <x v="192"/>
    <n v="225.94439722765006"/>
    <n v="28.243049653456257"/>
    <n v="112.97219861382503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07"/>
    <x v="0"/>
    <x v="0"/>
    <x v="0"/>
    <s v="ferruginea"/>
    <n v="0.37"/>
    <x v="0"/>
    <n v="6.8"/>
    <n v="3.6316895999999998E-3"/>
    <n v="10"/>
    <n v="40"/>
    <n v="0.69813170079773179"/>
    <n v="7"/>
    <n v="14"/>
    <n v="0.24434609527920614"/>
    <x v="193"/>
    <n v="8.0193209332087854"/>
    <n v="1.0024151166510982"/>
    <n v="4.0096604666043927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85"/>
    <x v="0"/>
    <x v="0"/>
    <x v="0"/>
    <s v="ferruginea"/>
    <n v="0.37"/>
    <x v="0"/>
    <n v="8.8000000000000007"/>
    <n v="6.0821376000000016E-3"/>
    <n v="8"/>
    <n v="33"/>
    <n v="0.57595865315812877"/>
    <n v="6"/>
    <n v="17"/>
    <n v="0.29670597283903605"/>
    <x v="194"/>
    <n v="9.9670627478077805"/>
    <n v="1.2458828434759726"/>
    <n v="4.9835313739038902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99"/>
    <x v="0"/>
    <x v="0"/>
    <x v="0"/>
    <s v="ferruginea"/>
    <n v="0.37"/>
    <x v="0"/>
    <n v="17.5"/>
    <n v="2.4052875000000001E-2"/>
    <n v="14"/>
    <n v="66"/>
    <n v="1.1519173063162575"/>
    <n v="6"/>
    <n v="13"/>
    <n v="0.22689280275926285"/>
    <x v="195"/>
    <n v="79.852099981451133"/>
    <n v="9.9815124976813916"/>
    <n v="39.926049990725566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58"/>
    <x v="0"/>
    <x v="0"/>
    <x v="0"/>
    <s v="ferruginea"/>
    <n v="0.37"/>
    <x v="0"/>
    <n v="13"/>
    <n v="1.327326E-2"/>
    <n v="10"/>
    <n v="55"/>
    <n v="0.95993108859688125"/>
    <n v="5"/>
    <n v="24"/>
    <n v="0.41887902047863912"/>
    <x v="196"/>
    <n v="33.672587718515651"/>
    <n v="4.2090734648144563"/>
    <n v="16.836293859257825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826"/>
    <x v="0"/>
    <x v="0"/>
    <x v="0"/>
    <s v="ferruginea"/>
    <n v="0.37"/>
    <x v="0"/>
    <n v="16.5"/>
    <n v="2.1382515000000001E-2"/>
    <n v="11"/>
    <n v="50"/>
    <n v="0.87266462599716477"/>
    <n v="6"/>
    <n v="23"/>
    <n v="0.4014257279586958"/>
    <x v="197"/>
    <n v="55.355032244838462"/>
    <n v="6.9193790306048077"/>
    <n v="27.677516122419231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96"/>
    <x v="3"/>
    <x v="3"/>
    <x v="3"/>
    <s v="parahyba"/>
    <n v="0.315"/>
    <x v="3"/>
    <n v="32.799999999999997"/>
    <n v="8.4496473599999997E-2"/>
    <n v="19"/>
    <n v="75"/>
    <n v="1.3089969389957472"/>
    <n v="6"/>
    <n v="20"/>
    <n v="0.3490658503988659"/>
    <x v="198"/>
    <n v="315.69165389583736"/>
    <n v="39.46145673697967"/>
    <n v="157.84582694791868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59"/>
    <x v="0"/>
    <x v="0"/>
    <x v="0"/>
    <s v="ferruginea"/>
    <n v="0.37"/>
    <x v="0"/>
    <n v="13.5"/>
    <n v="1.4313915E-2"/>
    <n v="12"/>
    <n v="50"/>
    <n v="0.87266462599716477"/>
    <n v="6"/>
    <n v="20"/>
    <n v="0.3490658503988659"/>
    <x v="199"/>
    <n v="39.526482151917904"/>
    <n v="4.940810268989738"/>
    <n v="19.763241075958952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91"/>
    <x v="0"/>
    <x v="0"/>
    <x v="0"/>
    <s v="ferruginea"/>
    <n v="0.37"/>
    <x v="0"/>
    <n v="28.4"/>
    <n v="6.33472224E-2"/>
    <n v="11"/>
    <n v="45"/>
    <n v="0.78539816339744828"/>
    <n v="6"/>
    <n v="20"/>
    <n v="0.3490658503988659"/>
    <x v="200"/>
    <n v="141.00106657969624"/>
    <n v="17.62513332246203"/>
    <n v="70.500533289848121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20"/>
    <x v="0"/>
    <x v="0"/>
    <x v="0"/>
    <s v="ferruginea"/>
    <n v="0.37"/>
    <x v="0"/>
    <n v="18"/>
    <n v="2.5446960000000001E-2"/>
    <n v="13"/>
    <n v="54"/>
    <n v="0.94247779607693793"/>
    <n v="5"/>
    <n v="24"/>
    <n v="0.41887902047863912"/>
    <x v="201"/>
    <n v="75.272815969684714"/>
    <n v="9.4091019962105893"/>
    <n v="37.636407984842357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45"/>
    <x v="7"/>
    <x v="6"/>
    <x v="6"/>
    <s v="quinata"/>
    <n v="0.48"/>
    <x v="6"/>
    <n v="7.9"/>
    <n v="4.9016814000000008E-3"/>
    <n v="7"/>
    <n v="18"/>
    <n v="0.31415926535897931"/>
    <n v="5"/>
    <n v="24"/>
    <n v="0.41887902047863912"/>
    <x v="202"/>
    <n v="7.2997973620445613"/>
    <n v="0.91247467025557016"/>
    <n v="3.6498986810222807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56"/>
    <x v="0"/>
    <x v="0"/>
    <x v="0"/>
    <s v="ferruginea"/>
    <n v="0.37"/>
    <x v="0"/>
    <n v="17.5"/>
    <n v="2.4052875000000001E-2"/>
    <n v="16"/>
    <n v="62"/>
    <n v="1.0821041362364843"/>
    <n v="6"/>
    <n v="24"/>
    <n v="0.41887902047863912"/>
    <x v="203"/>
    <n v="92.680088174936728"/>
    <n v="11.585011021867091"/>
    <n v="46.340044087468364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01"/>
    <x v="3"/>
    <x v="3"/>
    <x v="3"/>
    <s v="parahyba"/>
    <n v="0.315"/>
    <x v="3"/>
    <n v="22"/>
    <n v="3.8013360000000003E-2"/>
    <n v="15"/>
    <n v="63"/>
    <n v="1.0995574287564276"/>
    <n v="6"/>
    <n v="24"/>
    <n v="0.41887902047863912"/>
    <x v="204"/>
    <n v="117.19483832671555"/>
    <n v="14.649354790839444"/>
    <n v="58.597419163357777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57"/>
    <x v="7"/>
    <x v="6"/>
    <x v="6"/>
    <s v="quinata"/>
    <n v="0.48"/>
    <x v="6"/>
    <n v="17.7"/>
    <n v="2.4605796599999997E-2"/>
    <n v="7"/>
    <n v="15"/>
    <n v="0.26179938779914941"/>
    <n v="8"/>
    <n v="18"/>
    <n v="0.31415926535897931"/>
    <x v="205"/>
    <n v="33.911286167398707"/>
    <n v="4.2389107709248384"/>
    <n v="16.955643083699353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13"/>
    <x v="0"/>
    <x v="0"/>
    <x v="0"/>
    <s v="ferruginea"/>
    <n v="0.37"/>
    <x v="0"/>
    <n v="10.1"/>
    <n v="8.0118654000000001E-3"/>
    <n v="12"/>
    <n v="25"/>
    <n v="0.43633231299858238"/>
    <n v="8"/>
    <n v="20"/>
    <n v="0.3490658503988659"/>
    <x v="206"/>
    <n v="16.257770774624301"/>
    <n v="2.0322213468280377"/>
    <n v="8.1288853873121507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58"/>
    <x v="0"/>
    <x v="0"/>
    <x v="0"/>
    <s v="ferruginea"/>
    <n v="0.37"/>
    <x v="0"/>
    <n v="6.8"/>
    <n v="3.6316895999999998E-3"/>
    <n v="10"/>
    <n v="40"/>
    <n v="0.69813170079773179"/>
    <n v="8"/>
    <n v="20"/>
    <n v="0.3490658503988659"/>
    <x v="207"/>
    <n v="8.9835860600386805"/>
    <n v="1.1229482575048351"/>
    <n v="4.4917930300193403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76"/>
    <x v="0"/>
    <x v="0"/>
    <x v="0"/>
    <s v="ferruginea"/>
    <n v="0.37"/>
    <x v="0"/>
    <n v="17.8"/>
    <n v="2.4884613600000004E-2"/>
    <n v="18"/>
    <n v="56"/>
    <n v="0.97738438111682457"/>
    <n v="9"/>
    <n v="18"/>
    <n v="0.31415926535897931"/>
    <x v="208"/>
    <n v="101.84603496562802"/>
    <n v="12.730754370703503"/>
    <n v="50.923017482814011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593"/>
    <x v="7"/>
    <x v="6"/>
    <x v="6"/>
    <s v="quinata"/>
    <n v="0.48"/>
    <x v="6"/>
    <n v="19.7"/>
    <n v="3.0480588600000001E-2"/>
    <n v="7"/>
    <n v="17"/>
    <n v="0.29670597283903605"/>
    <n v="9"/>
    <n v="17"/>
    <n v="0.29670597283903605"/>
    <x v="209"/>
    <n v="45.048153362216823"/>
    <n v="5.6310191702771029"/>
    <n v="22.524076681108411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52"/>
    <x v="8"/>
    <x v="1"/>
    <x v="7"/>
    <s v="appendiculatus"/>
    <n v="0.23"/>
    <x v="7"/>
    <n v="15"/>
    <n v="1.76715E-2"/>
    <n v="17"/>
    <n v="37"/>
    <n v="0.64577182323790194"/>
    <n v="10"/>
    <n v="17"/>
    <n v="0.29670597283903605"/>
    <x v="210"/>
    <n v="35.716556971980239"/>
    <n v="4.4645696214975299"/>
    <n v="17.85827848599012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86"/>
    <x v="0"/>
    <x v="0"/>
    <x v="0"/>
    <s v="ferruginea"/>
    <n v="0.37"/>
    <x v="0"/>
    <n v="7.5"/>
    <n v="4.4178749999999999E-3"/>
    <n v="11"/>
    <n v="45"/>
    <n v="0.78539816339744828"/>
    <n v="6"/>
    <n v="21"/>
    <n v="0.36651914291880922"/>
    <x v="211"/>
    <n v="11.645343378606105"/>
    <n v="1.4556679223257631"/>
    <n v="5.8226716893030526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74"/>
    <x v="0"/>
    <x v="0"/>
    <x v="0"/>
    <s v="ferruginea"/>
    <n v="0.37"/>
    <x v="0"/>
    <n v="7.2"/>
    <n v="4.0715136000000008E-3"/>
    <n v="17"/>
    <n v="45"/>
    <n v="0.78539816339744828"/>
    <n v="7"/>
    <n v="21"/>
    <n v="0.36651914291880922"/>
    <x v="212"/>
    <n v="15.426556696829744"/>
    <n v="1.928319587103718"/>
    <n v="7.7132783484148719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94"/>
    <x v="0"/>
    <x v="0"/>
    <x v="0"/>
    <s v="ferruginea"/>
    <n v="0.37"/>
    <x v="0"/>
    <n v="17.7"/>
    <n v="2.4605796599999997E-2"/>
    <n v="13"/>
    <n v="38"/>
    <n v="0.66322511575784526"/>
    <n v="6"/>
    <n v="16"/>
    <n v="0.27925268031909273"/>
    <x v="213"/>
    <n v="57.007326584903467"/>
    <n v="7.1259158231129334"/>
    <n v="28.503663292451733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40"/>
    <x v="0"/>
    <x v="0"/>
    <x v="0"/>
    <s v="ferruginea"/>
    <n v="0.37"/>
    <x v="0"/>
    <n v="11.5"/>
    <n v="1.0386915E-2"/>
    <n v="14"/>
    <n v="56"/>
    <n v="0.97738438111682457"/>
    <n v="6"/>
    <n v="12"/>
    <n v="0.20943951023931956"/>
    <x v="214"/>
    <n v="33.157299919556401"/>
    <n v="4.1446624899445501"/>
    <n v="16.5786499597782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82"/>
    <x v="13"/>
    <x v="5"/>
    <x v="1"/>
    <s v="-"/>
    <n v="0.57999999999999996"/>
    <x v="1"/>
    <n v="6.5"/>
    <n v="3.3183150000000001E-3"/>
    <n v="7"/>
    <n v="35"/>
    <n v="0.6108652381980153"/>
    <n v="5"/>
    <n v="12"/>
    <n v="0.20943951023931956"/>
    <x v="215"/>
    <n v="7.1982380819584764"/>
    <n v="0.89977976024480955"/>
    <n v="3.5991190409792382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61"/>
    <x v="3"/>
    <x v="3"/>
    <x v="3"/>
    <s v="parahyba"/>
    <n v="0.315"/>
    <x v="3"/>
    <n v="28.4"/>
    <n v="6.33472224E-2"/>
    <n v="19"/>
    <n v="78"/>
    <n v="1.3613568165555769"/>
    <n v="8"/>
    <n v="2"/>
    <n v="3.4906585039886591E-2"/>
    <x v="216"/>
    <n v="223.67007840343695"/>
    <n v="27.958759800429618"/>
    <n v="111.83503920171847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11"/>
    <x v="3"/>
    <x v="3"/>
    <x v="3"/>
    <s v="parahyba"/>
    <n v="0.315"/>
    <x v="3"/>
    <n v="29.8"/>
    <n v="6.9746661600000009E-2"/>
    <n v="21"/>
    <n v="75"/>
    <n v="1.3089969389957472"/>
    <n v="8"/>
    <n v="2"/>
    <n v="3.4906585039886591E-2"/>
    <x v="217"/>
    <n v="265.53035600479382"/>
    <n v="33.191294500599227"/>
    <n v="132.76517800239691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63"/>
    <x v="3"/>
    <x v="3"/>
    <x v="3"/>
    <s v="parahyba"/>
    <n v="0.315"/>
    <x v="3"/>
    <n v="36.5"/>
    <n v="0.10463491500000001"/>
    <n v="26"/>
    <n v="71"/>
    <n v="1.2391837689159739"/>
    <n v="8"/>
    <n v="2"/>
    <n v="3.4906585039886591E-2"/>
    <x v="218"/>
    <n v="464.72846425951627"/>
    <n v="58.091058032439534"/>
    <n v="232.36423212975814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31"/>
    <x v="23"/>
    <x v="11"/>
    <x v="18"/>
    <s v="insipida"/>
    <n v="0.38"/>
    <x v="7"/>
    <n v="62.4"/>
    <n v="0.3058159104"/>
    <n v="16"/>
    <n v="63"/>
    <n v="1.0995574287564276"/>
    <n v="9"/>
    <n v="3"/>
    <n v="5.235987755982989E-2"/>
    <x v="219"/>
    <n v="928.61631222676499"/>
    <n v="116.07703902834562"/>
    <n v="464.30815611338249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93"/>
    <x v="8"/>
    <x v="1"/>
    <x v="7"/>
    <s v="appendiculatus"/>
    <n v="0.23"/>
    <x v="7"/>
    <n v="16.8"/>
    <n v="2.2167129600000002E-2"/>
    <n v="13"/>
    <n v="54"/>
    <n v="0.94247779607693793"/>
    <n v="9"/>
    <n v="11"/>
    <n v="0.19198621771937624"/>
    <x v="220"/>
    <n v="41.28558582554794"/>
    <n v="5.1606982281934926"/>
    <n v="20.64279291277397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76"/>
    <x v="8"/>
    <x v="1"/>
    <x v="7"/>
    <s v="appendiculatus"/>
    <n v="0.23"/>
    <x v="7"/>
    <n v="19.899999999999999"/>
    <n v="3.1102625399999997E-2"/>
    <n v="12"/>
    <n v="65"/>
    <n v="1.1344640137963142"/>
    <n v="7"/>
    <n v="13"/>
    <n v="0.22689280275926285"/>
    <x v="221"/>
    <n v="57.703261967489077"/>
    <n v="7.2129077459361346"/>
    <n v="28.851630983744538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16"/>
    <x v="0"/>
    <x v="0"/>
    <x v="0"/>
    <s v="ferruginea"/>
    <n v="0.37"/>
    <x v="0"/>
    <n v="10.5"/>
    <n v="8.6590350000000007E-3"/>
    <n v="14"/>
    <n v="50"/>
    <n v="0.87266462599716477"/>
    <n v="8"/>
    <n v="11"/>
    <n v="0.19198621771937624"/>
    <x v="222"/>
    <n v="26.711089928493756"/>
    <n v="3.3388862410617195"/>
    <n v="13.355544964246878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44"/>
    <x v="0"/>
    <x v="0"/>
    <x v="0"/>
    <s v="ferruginea"/>
    <n v="0.37"/>
    <x v="0"/>
    <n v="14.2"/>
    <n v="1.58368056E-2"/>
    <n v="13"/>
    <n v="50"/>
    <n v="0.87266462599716477"/>
    <n v="8"/>
    <n v="12"/>
    <n v="0.20943951023931956"/>
    <x v="223"/>
    <n v="44.836626296146036"/>
    <n v="5.6045782870182546"/>
    <n v="22.418313148073018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29"/>
    <x v="0"/>
    <x v="0"/>
    <x v="0"/>
    <s v="ferruginea"/>
    <n v="0.37"/>
    <x v="0"/>
    <n v="8.5"/>
    <n v="5.6745150000000006E-3"/>
    <n v="11"/>
    <n v="41"/>
    <n v="0.71558499331767511"/>
    <n v="9"/>
    <n v="13"/>
    <n v="0.22689280275926285"/>
    <x v="224"/>
    <n v="13.774123690503373"/>
    <n v="1.7217654613129216"/>
    <n v="6.8870618452516865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47"/>
    <x v="0"/>
    <x v="0"/>
    <x v="0"/>
    <s v="ferruginea"/>
    <n v="0.37"/>
    <x v="0"/>
    <n v="19.399999999999999"/>
    <n v="2.9559314399999998E-2"/>
    <n v="17"/>
    <n v="62"/>
    <n v="1.0821041362364843"/>
    <n v="7"/>
    <n v="8"/>
    <n v="0.13962634015954636"/>
    <x v="225"/>
    <n v="108.77050118867844"/>
    <n v="13.596312648584805"/>
    <n v="54.385250594339219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818"/>
    <x v="0"/>
    <x v="0"/>
    <x v="0"/>
    <s v="ferruginea"/>
    <n v="0.37"/>
    <x v="0"/>
    <n v="9.8000000000000007"/>
    <n v="7.5429816000000018E-3"/>
    <n v="8"/>
    <n v="42"/>
    <n v="0.73303828583761843"/>
    <n v="7"/>
    <n v="8"/>
    <n v="0.13962634015954636"/>
    <x v="226"/>
    <n v="12.607206954845118"/>
    <n v="1.5759008693556398"/>
    <n v="6.3036034774225591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06"/>
    <x v="0"/>
    <x v="0"/>
    <x v="0"/>
    <s v="ferruginea"/>
    <n v="0.37"/>
    <x v="0"/>
    <n v="9.4"/>
    <n v="6.939794400000001E-3"/>
    <n v="8"/>
    <n v="15"/>
    <n v="0.26179938779914941"/>
    <n v="7"/>
    <n v="11"/>
    <n v="0.19198621771937624"/>
    <x v="227"/>
    <n v="6.5130960028452876"/>
    <n v="0.81413700035566094"/>
    <n v="3.2565480014226438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43"/>
    <x v="0"/>
    <x v="0"/>
    <x v="0"/>
    <s v="ferruginea"/>
    <n v="0.37"/>
    <x v="0"/>
    <n v="9.4"/>
    <n v="6.939794400000001E-3"/>
    <n v="8"/>
    <n v="21"/>
    <n v="0.36651914291880922"/>
    <n v="7"/>
    <n v="12"/>
    <n v="0.20943951023931956"/>
    <x v="228"/>
    <n v="8.1475328683159951"/>
    <n v="1.0184416085394994"/>
    <n v="4.0737664341579976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678"/>
    <x v="0"/>
    <x v="0"/>
    <x v="0"/>
    <s v="ferruginea"/>
    <n v="0.37"/>
    <x v="0"/>
    <n v="11.6"/>
    <n v="1.05683424E-2"/>
    <n v="10"/>
    <n v="60"/>
    <n v="1.0471975511965976"/>
    <n v="6"/>
    <n v="6"/>
    <n v="0.10471975511965978"/>
    <x v="229"/>
    <n v="24.829841890048673"/>
    <n v="3.1037302362560841"/>
    <n v="12.414920945024337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737"/>
    <x v="0"/>
    <x v="0"/>
    <x v="0"/>
    <s v="ferruginea"/>
    <n v="0.37"/>
    <x v="0"/>
    <n v="10.4"/>
    <n v="8.494886400000002E-3"/>
    <n v="11"/>
    <n v="52"/>
    <n v="0.90757121103705141"/>
    <n v="6"/>
    <n v="6"/>
    <n v="0.10471975511965978"/>
    <x v="230"/>
    <n v="20.237699638610891"/>
    <n v="2.5297124548263614"/>
    <n v="10.118849819305446"/>
  </r>
  <r>
    <x v="1"/>
    <s v="NM, AM, EC, EL"/>
    <x v="4"/>
    <s v="SO"/>
    <n v="8.4093"/>
    <n v="83.315039999999996"/>
    <n v="50"/>
    <n v="-13"/>
    <n v="-7.6489254580385788"/>
    <n v="-0.13349893348238856"/>
    <n v="21.188530377780278"/>
    <n v="587"/>
    <x v="0"/>
    <x v="0"/>
    <x v="0"/>
    <s v="ferruginea"/>
    <n v="0.37"/>
    <x v="0"/>
    <n v="13.7"/>
    <n v="1.4741172599999998E-2"/>
    <n v="12"/>
    <n v="50"/>
    <n v="0.87266462599716477"/>
    <n v="7"/>
    <n v="2"/>
    <n v="3.4906585039886591E-2"/>
    <x v="231"/>
    <n v="34.462165429804045"/>
    <n v="4.3077706787255057"/>
    <n v="17.231082714902023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04"/>
    <x v="0"/>
    <x v="0"/>
    <x v="0"/>
    <s v="ferruginea"/>
    <n v="0.37"/>
    <x v="0"/>
    <n v="12"/>
    <n v="1.130976E-2"/>
    <n v="11"/>
    <n v="60"/>
    <n v="1.0471975511965976"/>
    <n v="5"/>
    <n v="10"/>
    <n v="0.17453292519943295"/>
    <x v="232"/>
    <n v="29.419024657175775"/>
    <n v="3.6773780821469719"/>
    <n v="14.709512328587888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07"/>
    <x v="8"/>
    <x v="1"/>
    <x v="7"/>
    <s v="appendiculatus"/>
    <n v="0.23"/>
    <x v="7"/>
    <n v="13.35"/>
    <n v="1.399759515E-2"/>
    <n v="12"/>
    <n v="65"/>
    <n v="1.1344640137963142"/>
    <n v="5"/>
    <n v="5"/>
    <n v="8.7266462599716474E-2"/>
    <x v="233"/>
    <n v="24.894227245398302"/>
    <n v="3.1117784056747877"/>
    <n v="12.447113622699151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12"/>
    <x v="0"/>
    <x v="0"/>
    <x v="0"/>
    <s v="ferruginea"/>
    <n v="0.37"/>
    <x v="0"/>
    <n v="8.1"/>
    <n v="5.1530094000000002E-3"/>
    <n v="11"/>
    <n v="65"/>
    <n v="1.1344640137963142"/>
    <n v="5"/>
    <n v="0"/>
    <n v="0"/>
    <x v="234"/>
    <n v="13.510501506287001"/>
    <n v="1.6888126882858752"/>
    <n v="6.7552507531435007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65"/>
    <x v="4"/>
    <x v="4"/>
    <x v="4"/>
    <s v="latifolia"/>
    <n v="0.75"/>
    <x v="4"/>
    <n v="7.2"/>
    <n v="4.0715136000000008E-3"/>
    <n v="8"/>
    <n v="55"/>
    <n v="0.95993108859688125"/>
    <n v="6"/>
    <n v="10"/>
    <n v="0.17453292519943295"/>
    <x v="235"/>
    <n v="16.289440963120295"/>
    <n v="2.0361801203900369"/>
    <n v="8.1447204815601477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11"/>
    <x v="0"/>
    <x v="0"/>
    <x v="0"/>
    <s v="ferruginea"/>
    <n v="0.37"/>
    <x v="0"/>
    <n v="9.4"/>
    <n v="6.939794400000001E-3"/>
    <n v="11"/>
    <n v="60"/>
    <n v="1.0471975511965976"/>
    <n v="5"/>
    <n v="5"/>
    <n v="8.7266462599716474E-2"/>
    <x v="236"/>
    <n v="17.860755895258031"/>
    <n v="2.2325944869072538"/>
    <n v="8.9303779476290153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14"/>
    <x v="8"/>
    <x v="1"/>
    <x v="7"/>
    <s v="appendiculatus"/>
    <n v="0.23"/>
    <x v="7"/>
    <n v="6.5"/>
    <n v="3.3183150000000001E-3"/>
    <n v="10"/>
    <n v="50"/>
    <n v="0.87266462599716477"/>
    <n v="7"/>
    <n v="25"/>
    <n v="0.43633231299858238"/>
    <x v="237"/>
    <n v="6.0627944720273685"/>
    <n v="0.75784930900342107"/>
    <n v="3.0313972360136843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37"/>
    <x v="0"/>
    <x v="0"/>
    <x v="0"/>
    <s v="ferruginea"/>
    <n v="0.37"/>
    <x v="0"/>
    <n v="7.5"/>
    <n v="4.4178749999999999E-3"/>
    <n v="6"/>
    <n v="60"/>
    <n v="1.0471975511965976"/>
    <n v="5"/>
    <n v="20"/>
    <n v="0.3490658503988659"/>
    <x v="238"/>
    <n v="8.278934760179915"/>
    <n v="1.0348668450224894"/>
    <n v="4.1394673800899575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60"/>
    <x v="0"/>
    <x v="0"/>
    <x v="0"/>
    <s v="ferruginea"/>
    <n v="0.37"/>
    <x v="0"/>
    <n v="14.75"/>
    <n v="1.708735875E-2"/>
    <n v="11"/>
    <n v="60"/>
    <n v="1.0471975511965976"/>
    <n v="5"/>
    <n v="15"/>
    <n v="0.26179938779914941"/>
    <x v="239"/>
    <n v="45.028564406960491"/>
    <n v="5.6285705508700614"/>
    <n v="22.514282203480246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01"/>
    <x v="0"/>
    <x v="0"/>
    <x v="0"/>
    <s v="ferruginea"/>
    <n v="0.37"/>
    <x v="0"/>
    <n v="20.100000000000001"/>
    <n v="3.1730945400000002E-2"/>
    <n v="11"/>
    <n v="56"/>
    <n v="0.97738438111682457"/>
    <n v="7"/>
    <n v="6"/>
    <n v="0.10471975511965978"/>
    <x v="240"/>
    <n v="73.765976103102219"/>
    <n v="9.2207470128877773"/>
    <n v="36.882988051551109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07"/>
    <x v="0"/>
    <x v="0"/>
    <x v="0"/>
    <s v="ferruginea"/>
    <n v="0.37"/>
    <x v="0"/>
    <n v="6.45"/>
    <n v="3.2674603500000001E-3"/>
    <n v="12"/>
    <n v="50"/>
    <n v="0.87266462599716477"/>
    <n v="10"/>
    <n v="2"/>
    <n v="3.4906585039886591E-2"/>
    <x v="241"/>
    <n v="8.4485945926023032"/>
    <n v="1.0560743240752879"/>
    <n v="4.2242972963011516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12"/>
    <x v="0"/>
    <x v="0"/>
    <x v="0"/>
    <s v="ferruginea"/>
    <n v="0.37"/>
    <x v="0"/>
    <n v="19.100000000000001"/>
    <n v="2.8652177400000006E-2"/>
    <n v="10"/>
    <n v="60"/>
    <n v="1.0471975511965976"/>
    <n v="7"/>
    <n v="0"/>
    <n v="0"/>
    <x v="242"/>
    <n v="59.373529428300529"/>
    <n v="7.4216911785375661"/>
    <n v="29.686764714150264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22"/>
    <x v="0"/>
    <x v="0"/>
    <x v="0"/>
    <s v="ferruginea"/>
    <n v="0.37"/>
    <x v="0"/>
    <n v="6.7"/>
    <n v="3.5256606000000001E-3"/>
    <n v="11"/>
    <n v="50"/>
    <n v="0.87266462599716477"/>
    <n v="7"/>
    <n v="0"/>
    <n v="0"/>
    <x v="243"/>
    <n v="8.0742059636970183"/>
    <n v="1.0092757454621273"/>
    <n v="4.0371029818485091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00"/>
    <x v="0"/>
    <x v="0"/>
    <x v="0"/>
    <s v="ferruginea"/>
    <n v="0.37"/>
    <x v="0"/>
    <n v="6.35"/>
    <n v="3.16692915E-3"/>
    <n v="9"/>
    <n v="60"/>
    <n v="1.0471975511965976"/>
    <n v="7"/>
    <n v="0"/>
    <n v="0"/>
    <x v="244"/>
    <n v="6.7834823305313385"/>
    <n v="0.84793529131641732"/>
    <n v="3.3917411652656693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49"/>
    <x v="7"/>
    <x v="6"/>
    <x v="6"/>
    <s v="quinata"/>
    <n v="0.48"/>
    <x v="6"/>
    <n v="7.05"/>
    <n v="3.9036343500000003E-3"/>
    <n v="9"/>
    <n v="12"/>
    <n v="0.20943951023931956"/>
    <n v="7"/>
    <n v="6"/>
    <n v="0.10471975511965978"/>
    <x v="245"/>
    <n v="3.7614453667557428"/>
    <n v="0.47018067084446785"/>
    <n v="1.8807226833778714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57"/>
    <x v="17"/>
    <x v="10"/>
    <x v="13"/>
    <s v="sp."/>
    <n v="0.57999999999999996"/>
    <x v="7"/>
    <n v="8.5"/>
    <n v="5.6745150000000006E-3"/>
    <n v="10"/>
    <n v="60"/>
    <n v="1.0471975511965976"/>
    <n v="7"/>
    <n v="7"/>
    <n v="0.12217304763960307"/>
    <x v="246"/>
    <n v="21.598551628379127"/>
    <n v="2.6998189535473909"/>
    <n v="10.799275814189564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90"/>
    <x v="0"/>
    <x v="0"/>
    <x v="0"/>
    <s v="ferruginea"/>
    <n v="0.37"/>
    <x v="0"/>
    <n v="6.5"/>
    <n v="3.3183150000000001E-3"/>
    <n v="9"/>
    <n v="55"/>
    <n v="0.95993108859688125"/>
    <n v="7"/>
    <n v="7"/>
    <n v="0.12217304763960307"/>
    <x v="247"/>
    <n v="7.4558768801841309"/>
    <n v="0.93198461002301636"/>
    <n v="3.7279384400920654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89"/>
    <x v="7"/>
    <x v="6"/>
    <x v="6"/>
    <s v="quinata"/>
    <n v="0.48"/>
    <x v="6"/>
    <n v="14.05"/>
    <n v="1.5503992350000002E-2"/>
    <n v="7"/>
    <n v="35"/>
    <n v="0.6108652381980153"/>
    <n v="7"/>
    <n v="1"/>
    <n v="1.7453292519943295E-2"/>
    <x v="248"/>
    <n v="21.260050238659584"/>
    <n v="2.657506279832448"/>
    <n v="10.630025119329792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91"/>
    <x v="24"/>
    <x v="4"/>
    <x v="19"/>
    <s v="maxonii"/>
    <n v="0.66"/>
    <x v="7"/>
    <n v="26.95"/>
    <n v="5.7043798350000001E-2"/>
    <n v="13"/>
    <n v="75"/>
    <n v="1.3089969389957472"/>
    <n v="6"/>
    <n v="-3"/>
    <n v="-5.235987755982989E-2"/>
    <x v="249"/>
    <n v="270.5819067898762"/>
    <n v="33.822738348734525"/>
    <n v="135.2909533949381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96"/>
    <x v="8"/>
    <x v="1"/>
    <x v="7"/>
    <s v="appendiculatus"/>
    <n v="0.23"/>
    <x v="7"/>
    <n v="14.3"/>
    <n v="1.60606446E-2"/>
    <n v="10"/>
    <n v="58"/>
    <n v="1.0122909661567112"/>
    <n v="6"/>
    <n v="12"/>
    <n v="0.20943951023931956"/>
    <x v="250"/>
    <n v="24.584293603147334"/>
    <n v="3.0730367003934167"/>
    <n v="12.292146801573667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09"/>
    <x v="8"/>
    <x v="1"/>
    <x v="7"/>
    <s v="appendiculatus"/>
    <n v="0.23"/>
    <x v="7"/>
    <n v="8.9"/>
    <n v="6.2211534000000011E-3"/>
    <n v="8"/>
    <n v="52"/>
    <n v="0.90757121103705141"/>
    <n v="6"/>
    <n v="12"/>
    <n v="0.20943951023931956"/>
    <x v="251"/>
    <n v="7.9449902667239698"/>
    <n v="0.99312378334049622"/>
    <n v="3.9724951333619849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74"/>
    <x v="8"/>
    <x v="1"/>
    <x v="7"/>
    <s v="appendiculatus"/>
    <n v="0.23"/>
    <x v="7"/>
    <n v="16.7"/>
    <n v="2.1904020600000001E-2"/>
    <n v="13"/>
    <n v="50"/>
    <n v="0.87266462599716477"/>
    <n v="6"/>
    <n v="10"/>
    <n v="0.17453292519943295"/>
    <x v="252"/>
    <n v="36.941906231854233"/>
    <n v="4.6177382789817791"/>
    <n v="18.470953115927117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47"/>
    <x v="17"/>
    <x v="10"/>
    <x v="13"/>
    <s v="sp."/>
    <n v="0.57999999999999996"/>
    <x v="7"/>
    <n v="6.85"/>
    <n v="3.6852931499999995E-3"/>
    <n v="8"/>
    <n v="60"/>
    <n v="1.0471975511965976"/>
    <n v="5"/>
    <n v="10"/>
    <n v="0.17453292519943295"/>
    <x v="253"/>
    <n v="11.938921201343279"/>
    <n v="1.4923651501679098"/>
    <n v="5.9694606006716393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13"/>
    <x v="17"/>
    <x v="10"/>
    <x v="13"/>
    <s v="sp."/>
    <n v="0.57999999999999996"/>
    <x v="7"/>
    <n v="7.5"/>
    <n v="4.4178749999999999E-3"/>
    <n v="9"/>
    <n v="60"/>
    <n v="1.0471975511965976"/>
    <n v="6"/>
    <n v="12"/>
    <n v="0.20943951023931956"/>
    <x v="254"/>
    <n v="16.273247994650657"/>
    <n v="2.0341559993313321"/>
    <n v="8.1366239973253283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06"/>
    <x v="20"/>
    <x v="12"/>
    <x v="15"/>
    <s v="dolichopoda"/>
    <n v="0.54"/>
    <x v="7"/>
    <n v="12.05"/>
    <n v="1.1404204350000002E-2"/>
    <n v="8"/>
    <n v="60"/>
    <n v="1.0471975511965976"/>
    <n v="7"/>
    <n v="-5"/>
    <n v="-8.7266462599716474E-2"/>
    <x v="255"/>
    <n v="26.492299207485992"/>
    <n v="3.311537400935749"/>
    <n v="13.246149603742996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06"/>
    <x v="4"/>
    <x v="4"/>
    <x v="4"/>
    <s v="latifolia"/>
    <n v="0.75"/>
    <x v="4"/>
    <n v="8"/>
    <n v="5.0265600000000002E-3"/>
    <n v="11"/>
    <n v="50"/>
    <n v="0.87266462599716477"/>
    <n v="8"/>
    <n v="-3"/>
    <n v="-5.235987755982989E-2"/>
    <x v="256"/>
    <n v="20.870409552090322"/>
    <n v="2.6088011940112903"/>
    <n v="10.435204776045161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52"/>
    <x v="17"/>
    <x v="10"/>
    <x v="13"/>
    <s v="sp."/>
    <n v="0.57999999999999996"/>
    <x v="7"/>
    <n v="8.75"/>
    <n v="6.0132187500000003E-3"/>
    <n v="10"/>
    <n v="50"/>
    <n v="0.87266462599716477"/>
    <n v="8"/>
    <n v="2"/>
    <n v="3.4906585039886591E-2"/>
    <x v="257"/>
    <n v="19.242963588522798"/>
    <n v="2.4053704485653498"/>
    <n v="9.621481794261399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34"/>
    <x v="0"/>
    <x v="0"/>
    <x v="0"/>
    <s v="ferruginea"/>
    <n v="0.37"/>
    <x v="0"/>
    <n v="33"/>
    <n v="8.5530060000000005E-2"/>
    <n v="17"/>
    <n v="72"/>
    <n v="1.2566370614359172"/>
    <n v="7"/>
    <n v="0"/>
    <n v="0"/>
    <x v="258"/>
    <n v="298.4787937833903"/>
    <n v="37.309849222923788"/>
    <n v="149.23939689169515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61"/>
    <x v="7"/>
    <x v="6"/>
    <x v="6"/>
    <s v="quinata"/>
    <n v="0.48"/>
    <x v="6"/>
    <n v="13.75"/>
    <n v="1.484896875E-2"/>
    <n v="8"/>
    <n v="50"/>
    <n v="0.87266462599716477"/>
    <n v="8"/>
    <n v="0"/>
    <n v="0"/>
    <x v="259"/>
    <n v="29.535265097523776"/>
    <n v="3.6919081371904721"/>
    <n v="14.767632548761888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19"/>
    <x v="3"/>
    <x v="3"/>
    <x v="3"/>
    <s v="parahyba"/>
    <n v="0.315"/>
    <x v="3"/>
    <n v="13.2"/>
    <n v="1.3684809599999999E-2"/>
    <n v="10"/>
    <n v="70"/>
    <n v="1.2217304763960306"/>
    <n v="6"/>
    <n v="-2"/>
    <n v="-3.4906585039886591E-2"/>
    <x v="260"/>
    <n v="26.937633644195973"/>
    <n v="3.3672042055244966"/>
    <n v="13.468816822097986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24"/>
    <x v="7"/>
    <x v="6"/>
    <x v="6"/>
    <s v="quinata"/>
    <n v="0.48"/>
    <x v="6"/>
    <n v="13.65"/>
    <n v="1.4633769150000002E-2"/>
    <n v="10"/>
    <n v="58"/>
    <n v="1.0122909661567112"/>
    <n v="5"/>
    <n v="0"/>
    <n v="0"/>
    <x v="261"/>
    <n v="39.536035997188641"/>
    <n v="4.9420044996485801"/>
    <n v="19.768017998594321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10"/>
    <x v="7"/>
    <x v="6"/>
    <x v="6"/>
    <s v="quinata"/>
    <n v="0.48"/>
    <x v="6"/>
    <n v="16.55"/>
    <n v="2.1512302350000005E-2"/>
    <n v="11"/>
    <n v="55"/>
    <n v="0.95993108859688125"/>
    <n v="6"/>
    <n v="2"/>
    <n v="3.4906585039886591E-2"/>
    <x v="262"/>
    <n v="61.435424356738785"/>
    <n v="7.6794280445923482"/>
    <n v="30.717712178369393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48"/>
    <x v="0"/>
    <x v="0"/>
    <x v="0"/>
    <s v="ferruginea"/>
    <n v="0.37"/>
    <x v="0"/>
    <n v="8.1499999999999986"/>
    <n v="5.2168231499999983E-3"/>
    <n v="11"/>
    <n v="53"/>
    <n v="0.92502450355699462"/>
    <n v="8"/>
    <n v="4"/>
    <n v="6.9813170079773182E-2"/>
    <x v="263"/>
    <n v="12.858984324095202"/>
    <n v="1.6073730405119002"/>
    <n v="6.4294921620476009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79"/>
    <x v="7"/>
    <x v="6"/>
    <x v="6"/>
    <s v="quinata"/>
    <n v="0.48"/>
    <x v="6"/>
    <n v="29.15"/>
    <n v="6.6737205150000006E-2"/>
    <n v="11"/>
    <n v="45"/>
    <n v="0.78539816339744828"/>
    <n v="9"/>
    <n v="2"/>
    <n v="3.4906585039886591E-2"/>
    <x v="264"/>
    <n v="157.51978902638373"/>
    <n v="19.689973628297967"/>
    <n v="78.759894513191867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59"/>
    <x v="0"/>
    <x v="0"/>
    <x v="0"/>
    <s v="ferruginea"/>
    <n v="0.37"/>
    <x v="0"/>
    <n v="17.399999999999999"/>
    <n v="2.3778770399999996E-2"/>
    <n v="10"/>
    <n v="65"/>
    <n v="1.1344640137963142"/>
    <n v="7"/>
    <n v="1"/>
    <n v="1.7453292519943295E-2"/>
    <x v="265"/>
    <n v="52.663439045660475"/>
    <n v="6.5829298807075594"/>
    <n v="26.331719522830237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97"/>
    <x v="7"/>
    <x v="6"/>
    <x v="6"/>
    <s v="quinata"/>
    <n v="0.48"/>
    <x v="6"/>
    <n v="9.4"/>
    <n v="6.939794400000001E-3"/>
    <n v="8"/>
    <n v="20"/>
    <n v="0.3490658503988659"/>
    <n v="6"/>
    <n v="15"/>
    <n v="0.26179938779914941"/>
    <x v="266"/>
    <n v="10.33072285913274"/>
    <n v="1.2913403573915925"/>
    <n v="5.1653614295663699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75"/>
    <x v="25"/>
    <x v="5"/>
    <x v="1"/>
    <s v="-"/>
    <n v="0.57999999999999996"/>
    <x v="1"/>
    <n v="6.35"/>
    <n v="3.16692915E-3"/>
    <n v="11"/>
    <n v="50"/>
    <n v="0.87266462599716477"/>
    <n v="6"/>
    <n v="15"/>
    <n v="0.26179938779914941"/>
    <x v="267"/>
    <n v="13.057406725861583"/>
    <n v="1.6321758407326978"/>
    <n v="6.5287033629307913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50"/>
    <x v="0"/>
    <x v="0"/>
    <x v="0"/>
    <s v="ferruginea"/>
    <n v="0.37"/>
    <x v="0"/>
    <n v="8.0500000000000007"/>
    <n v="5.0895883500000011E-3"/>
    <n v="12"/>
    <n v="60"/>
    <n v="1.0471975511965976"/>
    <n v="5"/>
    <n v="25"/>
    <n v="0.43633231299858238"/>
    <x v="268"/>
    <n v="16.524913843691504"/>
    <n v="2.065614230461438"/>
    <n v="8.262456921845752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372"/>
    <x v="12"/>
    <x v="6"/>
    <x v="11"/>
    <s v="pentandra"/>
    <n v="0.35"/>
    <x v="7"/>
    <n v="26.55"/>
    <n v="5.5363042350000002E-2"/>
    <n v="11"/>
    <n v="68"/>
    <n v="1.1868238913561442"/>
    <n v="7"/>
    <n v="22"/>
    <n v="0.38397243543875248"/>
    <x v="269"/>
    <n v="151.34989636702676"/>
    <n v="18.918737045878345"/>
    <n v="75.674948183513379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74"/>
    <x v="12"/>
    <x v="6"/>
    <x v="11"/>
    <s v="pentandra"/>
    <n v="0.35"/>
    <x v="7"/>
    <n v="17.399999999999999"/>
    <n v="2.3778770399999996E-2"/>
    <n v="10"/>
    <n v="62"/>
    <n v="1.0821041362364843"/>
    <n v="7"/>
    <n v="22"/>
    <n v="0.38397243543875248"/>
    <x v="270"/>
    <n v="61.49740941844064"/>
    <n v="7.68717617730508"/>
    <n v="30.74870470922032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95"/>
    <x v="12"/>
    <x v="6"/>
    <x v="11"/>
    <s v="pentandra"/>
    <n v="0.35"/>
    <x v="7"/>
    <n v="34.400000000000006"/>
    <n v="9.2941094400000035E-2"/>
    <n v="17"/>
    <n v="72"/>
    <n v="1.2566370614359172"/>
    <n v="7"/>
    <n v="22"/>
    <n v="0.38397243543875248"/>
    <x v="271"/>
    <n v="352.78590404983834"/>
    <n v="44.098238006229792"/>
    <n v="176.39295202491917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53"/>
    <x v="7"/>
    <x v="6"/>
    <x v="6"/>
    <s v="quinata"/>
    <n v="0.48"/>
    <x v="6"/>
    <n v="12"/>
    <n v="1.130976E-2"/>
    <n v="7"/>
    <n v="20"/>
    <n v="0.3490658503988659"/>
    <n v="6"/>
    <n v="23"/>
    <n v="0.4014257279586958"/>
    <x v="272"/>
    <n v="17.955357296952528"/>
    <n v="2.244419662119066"/>
    <n v="8.9776786484762638"/>
  </r>
  <r>
    <x v="3"/>
    <s v="NM, AM, EC, EL, RH"/>
    <x v="5"/>
    <s v="SO"/>
    <n v="8.4102899999999998"/>
    <n v="83.314350000000005"/>
    <n v="50"/>
    <n v="5.5"/>
    <n v="18.163481150197153"/>
    <n v="0.31701254969486703"/>
    <n v="21"/>
    <n v="230"/>
    <x v="7"/>
    <x v="6"/>
    <x v="6"/>
    <s v="quinata"/>
    <n v="0.48"/>
    <x v="6"/>
    <n v="14.95"/>
    <n v="1.7553886349999999E-2"/>
    <n v="9"/>
    <n v="32"/>
    <n v="0.55850536063818546"/>
    <n v="5"/>
    <n v="23"/>
    <n v="0.4014257279586958"/>
    <x v="273"/>
    <n v="37.710209149154487"/>
    <n v="4.7137761436443109"/>
    <n v="18.855104574577243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31"/>
    <x v="22"/>
    <x v="14"/>
    <x v="17"/>
    <s v="alchorneoides"/>
    <n v="0.64"/>
    <x v="9"/>
    <n v="74.2"/>
    <n v="0.43241296560000003"/>
    <n v="16"/>
    <n v="65"/>
    <n v="1.1344640137963142"/>
    <n v="6"/>
    <n v="15"/>
    <n v="0.26179938779914941"/>
    <x v="274"/>
    <n v="2276.5353807793585"/>
    <n v="284.56692259741982"/>
    <n v="1138.2676903896793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30"/>
    <x v="20"/>
    <x v="12"/>
    <x v="15"/>
    <s v="dolichopoda"/>
    <n v="0.54"/>
    <x v="7"/>
    <n v="8.1999999999999993"/>
    <n v="5.2810295999999998E-3"/>
    <n v="6"/>
    <n v="43"/>
    <n v="0.75049157835756175"/>
    <n v="5"/>
    <n v="15"/>
    <n v="0.26179938779914941"/>
    <x v="275"/>
    <n v="11.058054803287714"/>
    <n v="1.3822568504109642"/>
    <n v="5.529027401643857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9"/>
    <x v="20"/>
    <x v="12"/>
    <x v="15"/>
    <s v="dolichopoda"/>
    <n v="0.54"/>
    <x v="7"/>
    <n v="6.9"/>
    <n v="3.7392894000000008E-3"/>
    <n v="6"/>
    <n v="60"/>
    <n v="1.0471975511965976"/>
    <n v="6"/>
    <n v="5"/>
    <n v="8.7266462599716474E-2"/>
    <x v="276"/>
    <n v="8.4573681998966741"/>
    <n v="1.0571710249870843"/>
    <n v="4.228684099948337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8"/>
    <x v="20"/>
    <x v="12"/>
    <x v="15"/>
    <s v="dolichopoda"/>
    <n v="0.54"/>
    <x v="7"/>
    <n v="6.6999999999999993"/>
    <n v="3.5256605999999997E-3"/>
    <n v="9"/>
    <n v="39"/>
    <n v="0.68067840827778847"/>
    <n v="6"/>
    <n v="5"/>
    <n v="8.7266462599716474E-2"/>
    <x v="277"/>
    <n v="8.6161208737310506"/>
    <n v="1.0770151092163813"/>
    <n v="4.3080604368655253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7"/>
    <x v="0"/>
    <x v="0"/>
    <x v="0"/>
    <s v="ferruginea"/>
    <n v="0.37"/>
    <x v="0"/>
    <n v="14.2"/>
    <n v="1.58368056E-2"/>
    <n v="10"/>
    <n v="65"/>
    <n v="1.1344640137963142"/>
    <n v="6"/>
    <n v="15"/>
    <n v="0.26179938779914941"/>
    <x v="278"/>
    <n v="41.179055607328493"/>
    <n v="5.1473819509160617"/>
    <n v="20.589527803664247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5"/>
    <x v="20"/>
    <x v="12"/>
    <x v="15"/>
    <s v="dolichopoda"/>
    <n v="0.54"/>
    <x v="7"/>
    <n v="7.25"/>
    <n v="4.1282587500000006E-3"/>
    <n v="7"/>
    <n v="50"/>
    <n v="0.87266462599716477"/>
    <n v="6"/>
    <n v="20"/>
    <n v="0.3490658503988659"/>
    <x v="279"/>
    <n v="11.847330911501897"/>
    <n v="1.4809163639377372"/>
    <n v="5.9236654557509487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4"/>
    <x v="20"/>
    <x v="12"/>
    <x v="15"/>
    <s v="dolichopoda"/>
    <n v="0.54"/>
    <x v="7"/>
    <n v="8.5"/>
    <n v="5.6745150000000006E-3"/>
    <n v="10"/>
    <n v="55"/>
    <n v="0.95993108859688125"/>
    <n v="5"/>
    <n v="8"/>
    <n v="0.13962634015954636"/>
    <x v="280"/>
    <n v="18.943797115537912"/>
    <n v="2.367974639442239"/>
    <n v="9.4718985577689558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3"/>
    <x v="7"/>
    <x v="6"/>
    <x v="6"/>
    <s v="quinata"/>
    <n v="0.48"/>
    <x v="6"/>
    <n v="9.8000000000000007"/>
    <n v="7.5429816000000018E-3"/>
    <n v="7"/>
    <n v="41"/>
    <n v="0.71558499331767511"/>
    <n v="5"/>
    <n v="20"/>
    <n v="0.3490658503988659"/>
    <x v="281"/>
    <n v="16.042664138026215"/>
    <n v="2.0053330172532768"/>
    <n v="8.0213320690131074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2"/>
    <x v="26"/>
    <x v="15"/>
    <x v="20"/>
    <s v="sp."/>
    <n v="0.78"/>
    <x v="7"/>
    <n v="8.1"/>
    <n v="5.1530094000000002E-3"/>
    <n v="7"/>
    <n v="48"/>
    <n v="0.83775804095727824"/>
    <n v="8"/>
    <n v="24"/>
    <n v="0.41887902047863912"/>
    <x v="282"/>
    <n v="23.329910114317773"/>
    <n v="2.9162387642897216"/>
    <n v="11.664955057158886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1"/>
    <x v="0"/>
    <x v="0"/>
    <x v="0"/>
    <s v="ferruginea"/>
    <n v="0.37"/>
    <x v="0"/>
    <n v="7.45"/>
    <n v="4.3591663500000006E-3"/>
    <n v="8"/>
    <n v="35"/>
    <n v="0.6108652381980153"/>
    <n v="6"/>
    <n v="22"/>
    <n v="0.38397243543875248"/>
    <x v="283"/>
    <n v="8.0975578179046455"/>
    <n v="1.0121947272380807"/>
    <n v="4.0487789089523227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0"/>
    <x v="7"/>
    <x v="6"/>
    <x v="6"/>
    <s v="quinata"/>
    <n v="0.48"/>
    <x v="6"/>
    <n v="13.9"/>
    <n v="1.5174713400000001E-2"/>
    <n v="7"/>
    <n v="55"/>
    <n v="0.95993108859688125"/>
    <n v="5"/>
    <n v="30"/>
    <n v="0.52359877559829882"/>
    <x v="284"/>
    <n v="39.789978841726416"/>
    <n v="4.973747355215802"/>
    <n v="19.894989420863208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19"/>
    <x v="7"/>
    <x v="6"/>
    <x v="6"/>
    <s v="quinata"/>
    <n v="0.48"/>
    <x v="6"/>
    <n v="9.75"/>
    <n v="7.4662087500000007E-3"/>
    <n v="7"/>
    <n v="47"/>
    <n v="0.82030474843733492"/>
    <n v="10"/>
    <n v="20"/>
    <n v="0.3490658503988659"/>
    <x v="285"/>
    <n v="21.14034819780824"/>
    <n v="2.64254352472603"/>
    <n v="10.57017409890412"/>
  </r>
  <r>
    <x v="4"/>
    <s v="NM, AM, EC, EL, RH"/>
    <x v="6"/>
    <s v="SO"/>
    <n v="8.4109999999999996"/>
    <n v="83.313580000000002"/>
    <n v="50"/>
    <n v="-24"/>
    <n v="-4.0863577716916133"/>
    <n v="-7.1320397530477392E-2"/>
    <n v="21.053522721748294"/>
    <n v="1826"/>
    <x v="25"/>
    <x v="5"/>
    <x v="1"/>
    <s v="-"/>
    <n v="0.57999999999999996"/>
    <x v="1"/>
    <n v="16.299999999999997"/>
    <n v="2.0867292599999993E-2"/>
    <n v="10"/>
    <n v="65"/>
    <n v="1.1344640137963142"/>
    <n v="5"/>
    <n v="20"/>
    <n v="0.3490658503988659"/>
    <x v="286"/>
    <n v="82.56575549405224"/>
    <n v="10.32071943675653"/>
    <n v="41.28287774702612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8391"/>
    <x v="7"/>
    <x v="6"/>
    <x v="6"/>
    <s v="quinata"/>
    <n v="0.48"/>
    <x v="6"/>
    <n v="19.75"/>
    <n v="3.0635508750000002E-2"/>
    <n v="7"/>
    <n v="46"/>
    <n v="0.8028514559173916"/>
    <n v="5"/>
    <n v="14"/>
    <n v="0.24434609527920614"/>
    <x v="287"/>
    <n v="59.387405078929561"/>
    <n v="7.4234256348661951"/>
    <n v="29.69370253946478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76"/>
    <x v="7"/>
    <x v="6"/>
    <x v="6"/>
    <s v="quinata"/>
    <n v="0.48"/>
    <x v="6"/>
    <n v="13.05"/>
    <n v="1.3375558350000002E-2"/>
    <n v="8"/>
    <n v="45"/>
    <n v="0.78539816339744828"/>
    <n v="5"/>
    <n v="15"/>
    <n v="0.26179938779914941"/>
    <x v="288"/>
    <n v="30.13684123287123"/>
    <n v="3.7671051541089038"/>
    <n v="15.068420616435615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80"/>
    <x v="7"/>
    <x v="6"/>
    <x v="6"/>
    <s v="quinata"/>
    <n v="0.48"/>
    <x v="6"/>
    <n v="19.7"/>
    <n v="3.0480588600000001E-2"/>
    <n v="12"/>
    <n v="45"/>
    <n v="0.78539816339744828"/>
    <n v="5"/>
    <n v="33"/>
    <n v="0.57595865315812877"/>
    <x v="289"/>
    <n v="102.42330412184798"/>
    <n v="12.802913015230997"/>
    <n v="51.211652060923988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71"/>
    <x v="14"/>
    <x v="0"/>
    <x v="0"/>
    <s v="allenii"/>
    <n v="0.48"/>
    <x v="7"/>
    <n v="25.95"/>
    <n v="5.2889032349999997E-2"/>
    <n v="9"/>
    <n v="55"/>
    <n v="0.95993108859688125"/>
    <n v="5"/>
    <n v="30"/>
    <n v="0.52359877559829882"/>
    <x v="290"/>
    <n v="152.60290367041546"/>
    <n v="19.075362958801932"/>
    <n v="76.301451835207729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53"/>
    <x v="0"/>
    <x v="0"/>
    <x v="0"/>
    <s v="ferruginea"/>
    <n v="0.37"/>
    <x v="0"/>
    <n v="8.35"/>
    <n v="5.4760051500000002E-3"/>
    <n v="9"/>
    <n v="50"/>
    <n v="0.87266462599716477"/>
    <n v="6"/>
    <n v="15"/>
    <n v="0.26179938779914941"/>
    <x v="291"/>
    <n v="12.242142992748843"/>
    <n v="1.5302678740936053"/>
    <n v="6.1210714963744213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83"/>
    <x v="7"/>
    <x v="6"/>
    <x v="6"/>
    <s v="quinata"/>
    <n v="0.48"/>
    <x v="6"/>
    <n v="8.9499999999999993"/>
    <n v="6.2912503499999994E-3"/>
    <n v="7"/>
    <n v="33"/>
    <n v="0.57595865315812877"/>
    <n v="6"/>
    <n v="11"/>
    <n v="0.19198621771937624"/>
    <x v="292"/>
    <n v="10.794151813079036"/>
    <n v="1.3492689766348795"/>
    <n v="5.3970759065395182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49"/>
    <x v="7"/>
    <x v="6"/>
    <x v="6"/>
    <s v="quinata"/>
    <n v="0.48"/>
    <x v="6"/>
    <n v="12.899999999999999"/>
    <n v="1.3069841399999999E-2"/>
    <n v="8"/>
    <n v="55"/>
    <n v="0.95993108859688125"/>
    <n v="5"/>
    <n v="15"/>
    <n v="0.26179938779914941"/>
    <x v="293"/>
    <n v="33.050252568416646"/>
    <n v="4.1312815710520807"/>
    <n v="16.525126284208323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78"/>
    <x v="20"/>
    <x v="12"/>
    <x v="15"/>
    <s v="dolichopoda"/>
    <n v="0.54"/>
    <x v="7"/>
    <n v="8.75"/>
    <n v="6.0132187500000003E-3"/>
    <n v="7"/>
    <n v="30"/>
    <n v="0.52359877559829882"/>
    <n v="5"/>
    <n v="32"/>
    <n v="0.55850536063818546"/>
    <x v="294"/>
    <n v="14.151510793139071"/>
    <n v="1.7689388491423839"/>
    <n v="7.0757553965695354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77"/>
    <x v="20"/>
    <x v="12"/>
    <x v="15"/>
    <s v="dolichopoda"/>
    <n v="0.54"/>
    <x v="7"/>
    <n v="6.65"/>
    <n v="3.4732351500000006E-3"/>
    <n v="7"/>
    <n v="11"/>
    <n v="0.19198621771937624"/>
    <n v="5"/>
    <n v="32"/>
    <n v="0.55850536063818546"/>
    <x v="295"/>
    <n v="5.6188279799751193"/>
    <n v="0.70235349749688991"/>
    <n v="2.8094139899875596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86"/>
    <x v="20"/>
    <x v="12"/>
    <x v="15"/>
    <s v="dolichopoda"/>
    <n v="0.54"/>
    <x v="7"/>
    <n v="8.3500000000000014"/>
    <n v="5.4760051500000019E-3"/>
    <n v="6"/>
    <n v="60"/>
    <n v="1.0471975511965976"/>
    <n v="7"/>
    <n v="19"/>
    <n v="0.33161255787892263"/>
    <x v="296"/>
    <n v="15.569835609459128"/>
    <n v="1.946229451182391"/>
    <n v="7.784917804729564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8394"/>
    <x v="0"/>
    <x v="0"/>
    <x v="0"/>
    <s v="ferruginea"/>
    <n v="0.37"/>
    <x v="0"/>
    <n v="8.4"/>
    <n v="5.5417824000000004E-3"/>
    <n v="8"/>
    <n v="55"/>
    <n v="0.95993108859688125"/>
    <n v="9"/>
    <n v="30"/>
    <n v="0.52359877559829882"/>
    <x v="297"/>
    <n v="15.940272828077473"/>
    <n v="1.9925341035096842"/>
    <n v="7.9701364140387367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82"/>
    <x v="3"/>
    <x v="3"/>
    <x v="3"/>
    <s v="parahyba"/>
    <n v="0.315"/>
    <x v="3"/>
    <n v="8.75"/>
    <n v="6.0132187500000003E-3"/>
    <n v="9"/>
    <n v="63"/>
    <n v="1.0995574287564276"/>
    <n v="7"/>
    <n v="35"/>
    <n v="0.6108652381980153"/>
    <x v="298"/>
    <n v="16.026451341663261"/>
    <n v="2.0033064177079076"/>
    <n v="8.0132256708316305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79"/>
    <x v="20"/>
    <x v="12"/>
    <x v="15"/>
    <s v="dolichopoda"/>
    <n v="0.54"/>
    <x v="7"/>
    <n v="5.5500000000000007"/>
    <n v="2.419228350000001E-3"/>
    <n v="6"/>
    <n v="34"/>
    <n v="0.59341194567807209"/>
    <n v="6"/>
    <n v="35"/>
    <n v="0.6108652381980153"/>
    <x v="299"/>
    <n v="6.6059888393739916"/>
    <n v="0.82574860492174895"/>
    <n v="3.3029944196869958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8390"/>
    <x v="18"/>
    <x v="11"/>
    <x v="14"/>
    <s v="sp."/>
    <n v="0.68"/>
    <x v="7"/>
    <n v="7.95"/>
    <n v="4.9639243500000001E-3"/>
    <n v="10"/>
    <n v="72"/>
    <n v="1.2566370614359172"/>
    <n v="5"/>
    <n v="0"/>
    <n v="0"/>
    <x v="300"/>
    <n v="22.111807614034859"/>
    <n v="2.7639759517543574"/>
    <n v="11.05590380701743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8388"/>
    <x v="22"/>
    <x v="14"/>
    <x v="17"/>
    <s v="alchorneoides"/>
    <n v="0.64"/>
    <x v="9"/>
    <n v="53.6"/>
    <n v="0.22564227840000001"/>
    <n v="10"/>
    <n v="71"/>
    <n v="1.2391837689159739"/>
    <n v="7"/>
    <n v="7"/>
    <n v="0.12217304763960307"/>
    <x v="301"/>
    <n v="814.50805869914382"/>
    <n v="101.81350733739298"/>
    <n v="407.25402934957191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8387"/>
    <x v="18"/>
    <x v="11"/>
    <x v="14"/>
    <s v="sp."/>
    <n v="0.68"/>
    <x v="7"/>
    <n v="10.350000000000001"/>
    <n v="8.4134011500000029E-3"/>
    <n v="9"/>
    <n v="50"/>
    <n v="0.87266462599716477"/>
    <n v="8"/>
    <n v="4"/>
    <n v="6.9813170079773182E-2"/>
    <x v="302"/>
    <n v="28.871488894316492"/>
    <n v="3.6089361117895615"/>
    <n v="14.435744447158246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8381"/>
    <x v="20"/>
    <x v="12"/>
    <x v="15"/>
    <s v="dolichopoda"/>
    <n v="0.54"/>
    <x v="7"/>
    <n v="10.649999999999999"/>
    <n v="8.9082031499999985E-3"/>
    <n v="7"/>
    <n v="42"/>
    <n v="0.73303828583761843"/>
    <n v="8"/>
    <n v="7"/>
    <n v="0.12217304763960307"/>
    <x v="303"/>
    <n v="18.936293639229341"/>
    <n v="2.3670367049036676"/>
    <n v="9.4681468196146703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8393"/>
    <x v="20"/>
    <x v="12"/>
    <x v="15"/>
    <s v="dolichopoda"/>
    <n v="0.54"/>
    <x v="7"/>
    <n v="11.8"/>
    <n v="1.0935909600000002E-2"/>
    <n v="9"/>
    <n v="32"/>
    <n v="0.55850536063818546"/>
    <n v="8"/>
    <n v="7"/>
    <n v="0.12217304763960307"/>
    <x v="304"/>
    <n v="23.287764872993929"/>
    <n v="2.9109706091242411"/>
    <n v="11.643882436496964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8389"/>
    <x v="20"/>
    <x v="12"/>
    <x v="15"/>
    <s v="dolichopoda"/>
    <n v="0.54"/>
    <x v="7"/>
    <n v="6.3"/>
    <n v="3.1172525999999998E-3"/>
    <n v="6"/>
    <n v="50"/>
    <n v="0.87266462599716477"/>
    <n v="7"/>
    <n v="31"/>
    <n v="0.54105206811824214"/>
    <x v="305"/>
    <n v="10.003072858638195"/>
    <n v="1.2503841073297743"/>
    <n v="5.0015364293190974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8392"/>
    <x v="27"/>
    <x v="11"/>
    <x v="18"/>
    <s v="sp."/>
    <n v="0.41"/>
    <x v="7"/>
    <n v="10.45"/>
    <n v="8.5767643500000001E-3"/>
    <n v="6"/>
    <n v="45"/>
    <n v="0.78539816339744828"/>
    <n v="6"/>
    <n v="32"/>
    <n v="0.55850536063818546"/>
    <x v="306"/>
    <n v="18.201847067467082"/>
    <n v="2.2752308834333852"/>
    <n v="9.1009235337335408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16"/>
    <x v="7"/>
    <x v="6"/>
    <x v="6"/>
    <s v="quinata"/>
    <n v="0.48"/>
    <x v="6"/>
    <n v="10.85"/>
    <n v="9.2459251500000006E-3"/>
    <n v="8"/>
    <n v="45"/>
    <n v="0.78539816339744828"/>
    <n v="5"/>
    <n v="13"/>
    <n v="0.22689280275926285"/>
    <x v="307"/>
    <n v="20.810820594259731"/>
    <n v="2.6013525742824664"/>
    <n v="10.405410297129865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15"/>
    <x v="0"/>
    <x v="0"/>
    <x v="0"/>
    <s v="ferruginea"/>
    <n v="0.37"/>
    <x v="0"/>
    <n v="17.049999999999997"/>
    <n v="2.2831774349999997E-2"/>
    <n v="7"/>
    <n v="54"/>
    <n v="0.94247779607693793"/>
    <n v="5"/>
    <n v="12"/>
    <n v="0.20943951023931956"/>
    <x v="308"/>
    <n v="37.695247720212642"/>
    <n v="4.7119059650265802"/>
    <n v="18.847623860106321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40"/>
    <x v="4"/>
    <x v="4"/>
    <x v="4"/>
    <s v="latifolia"/>
    <n v="0.75"/>
    <x v="4"/>
    <n v="9.35"/>
    <n v="6.86616315E-3"/>
    <n v="7"/>
    <n v="55"/>
    <n v="0.95993108859688125"/>
    <n v="6"/>
    <n v="13"/>
    <n v="0.22689280275926285"/>
    <x v="309"/>
    <n v="24.934103544665025"/>
    <n v="3.1167629430831281"/>
    <n v="12.467051772332512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43"/>
    <x v="7"/>
    <x v="6"/>
    <x v="6"/>
    <s v="quinata"/>
    <n v="0.48"/>
    <x v="6"/>
    <n v="19.799999999999997"/>
    <n v="3.0790821599999994E-2"/>
    <n v="7"/>
    <n v="45"/>
    <n v="0.78539816339744828"/>
    <n v="5"/>
    <n v="25"/>
    <n v="0.43633231299858238"/>
    <x v="310"/>
    <n v="66.988395736775004"/>
    <n v="8.3735494670968755"/>
    <n v="33.494197868387502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44"/>
    <x v="7"/>
    <x v="6"/>
    <x v="6"/>
    <s v="quinata"/>
    <n v="0.48"/>
    <x v="6"/>
    <n v="9.6999999999999993"/>
    <n v="7.3898285999999995E-3"/>
    <n v="5"/>
    <n v="41"/>
    <n v="0.71558499331767511"/>
    <n v="5"/>
    <n v="14"/>
    <n v="0.24434609527920614"/>
    <x v="311"/>
    <n v="11.440953841710565"/>
    <n v="1.4301192302138206"/>
    <n v="5.7204769208552824"/>
  </r>
  <r>
    <x v="3"/>
    <s v="NM, AM, EC, EL, RH"/>
    <x v="6"/>
    <s v="SO"/>
    <n v="8.4109999999999996"/>
    <n v="83.313580000000002"/>
    <n v="50"/>
    <n v="-24"/>
    <n v="-4.0863577716916133"/>
    <n v="-7.1320397530477392E-2"/>
    <n v="21.053522721748294"/>
    <n v="345"/>
    <x v="5"/>
    <x v="1"/>
    <x v="5"/>
    <s v="tibourbou"/>
    <n v="0.24"/>
    <x v="5"/>
    <n v="32.049999999999997"/>
    <n v="8.0676484349999994E-2"/>
    <n v="14"/>
    <n v="64"/>
    <n v="1.1170107212763709"/>
    <n v="6"/>
    <n v="16"/>
    <n v="0.27925268031909273"/>
    <x v="312"/>
    <n v="166.88936800876559"/>
    <n v="20.861171001095698"/>
    <n v="83.444684004382793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74"/>
    <x v="7"/>
    <x v="6"/>
    <x v="6"/>
    <s v="quinata"/>
    <n v="0.48"/>
    <x v="6"/>
    <n v="15.5"/>
    <n v="1.8869235000000002E-2"/>
    <n v="6"/>
    <n v="50"/>
    <n v="0.87266462599716477"/>
    <n v="6"/>
    <n v="15"/>
    <n v="0.26179938779914941"/>
    <x v="313"/>
    <n v="37.114217821639237"/>
    <n v="4.6392772277049046"/>
    <n v="18.557108910819618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75"/>
    <x v="0"/>
    <x v="0"/>
    <x v="0"/>
    <s v="ferruginea"/>
    <n v="0.37"/>
    <x v="0"/>
    <n v="12.25"/>
    <n v="1.1785908750000001E-2"/>
    <n v="8"/>
    <n v="62"/>
    <n v="1.0821041362364843"/>
    <n v="5"/>
    <n v="10"/>
    <n v="0.17453292519943295"/>
    <x v="314"/>
    <n v="23.717982900226247"/>
    <n v="2.9647478625282808"/>
    <n v="11.858991450113123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76"/>
    <x v="0"/>
    <x v="0"/>
    <x v="0"/>
    <s v="ferruginea"/>
    <n v="0.37"/>
    <x v="0"/>
    <n v="11.15"/>
    <n v="9.7642891500000009E-3"/>
    <n v="8"/>
    <n v="50"/>
    <n v="0.87266462599716477"/>
    <n v="6"/>
    <n v="22"/>
    <n v="0.38397243543875248"/>
    <x v="315"/>
    <n v="20.91714093328779"/>
    <n v="2.6146426166609738"/>
    <n v="10.458570466643895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77"/>
    <x v="0"/>
    <x v="0"/>
    <x v="0"/>
    <s v="ferruginea"/>
    <n v="0.37"/>
    <x v="0"/>
    <n v="7.35"/>
    <n v="4.2429271499999999E-3"/>
    <n v="8"/>
    <n v="20"/>
    <n v="0.3490658503988659"/>
    <n v="5"/>
    <n v="25"/>
    <n v="0.43633231299858238"/>
    <x v="316"/>
    <n v="5.7164425875437379"/>
    <n v="0.71455532344296724"/>
    <n v="2.858221293771869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78"/>
    <x v="28"/>
    <x v="16"/>
    <x v="21"/>
    <s v="ferruginea"/>
    <n v="0.49"/>
    <x v="7"/>
    <n v="5.65"/>
    <n v="2.5071931500000003E-3"/>
    <n v="6"/>
    <n v="50"/>
    <n v="0.87266462599716477"/>
    <n v="5"/>
    <n v="10"/>
    <n v="0.17453292519943295"/>
    <x v="317"/>
    <n v="5.079197340684841"/>
    <n v="0.63489966758560512"/>
    <n v="2.5395986703424205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79"/>
    <x v="0"/>
    <x v="0"/>
    <x v="0"/>
    <s v="ferruginea"/>
    <n v="0.37"/>
    <x v="0"/>
    <n v="6.1999999999999993"/>
    <n v="3.0190775999999996E-3"/>
    <n v="9"/>
    <n v="70"/>
    <n v="1.2217304763960306"/>
    <n v="5"/>
    <n v="-6"/>
    <n v="-0.10471975511965978"/>
    <x v="318"/>
    <n v="6.595091186723061"/>
    <n v="0.82438639834038263"/>
    <n v="3.2975455933615305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0"/>
    <x v="0"/>
    <x v="0"/>
    <x v="0"/>
    <s v="ferruginea"/>
    <n v="0.37"/>
    <x v="0"/>
    <n v="12.25"/>
    <n v="1.1785908750000001E-2"/>
    <n v="6"/>
    <n v="46"/>
    <n v="0.8028514559173916"/>
    <n v="5"/>
    <n v="27"/>
    <n v="0.47123889803846897"/>
    <x v="319"/>
    <n v="19.914576362034101"/>
    <n v="2.4893220452542626"/>
    <n v="9.9572881810170504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1"/>
    <x v="7"/>
    <x v="6"/>
    <x v="6"/>
    <s v="quinata"/>
    <n v="0.48"/>
    <x v="6"/>
    <n v="12.9"/>
    <n v="1.3069841400000001E-2"/>
    <n v="6"/>
    <n v="30"/>
    <n v="0.52359877559829882"/>
    <n v="6"/>
    <n v="25"/>
    <n v="0.43633231299858238"/>
    <x v="320"/>
    <n v="23.807842391749301"/>
    <n v="2.9759802989686626"/>
    <n v="11.90392119587465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2"/>
    <x v="29"/>
    <x v="7"/>
    <x v="1"/>
    <s v="-"/>
    <n v="0.69"/>
    <x v="7"/>
    <n v="6.45"/>
    <n v="3.2674603500000001E-3"/>
    <n v="5"/>
    <n v="44"/>
    <n v="0.76794487087750496"/>
    <n v="6"/>
    <n v="29"/>
    <n v="0.50614548307835561"/>
    <x v="321"/>
    <n v="10.399706661802426"/>
    <n v="1.2999633327253033"/>
    <n v="5.1998533309012132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3"/>
    <x v="7"/>
    <x v="6"/>
    <x v="6"/>
    <s v="quinata"/>
    <n v="0.48"/>
    <x v="6"/>
    <n v="12.35"/>
    <n v="1.1979117149999999E-2"/>
    <n v="9"/>
    <n v="50"/>
    <n v="0.87266462599716477"/>
    <n v="5"/>
    <n v="30"/>
    <n v="0.52359877559829882"/>
    <x v="322"/>
    <n v="36.062785536554998"/>
    <n v="4.5078481920693747"/>
    <n v="18.031392768277499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5"/>
    <x v="17"/>
    <x v="10"/>
    <x v="13"/>
    <s v="sp."/>
    <n v="0.57999999999999996"/>
    <x v="7"/>
    <n v="5.95"/>
    <n v="2.7805123500000005E-3"/>
    <n v="7"/>
    <n v="69"/>
    <n v="1.2042771838760873"/>
    <n v="5"/>
    <n v="1"/>
    <n v="1.7453292519943295E-2"/>
    <x v="323"/>
    <n v="7.8582491275014581"/>
    <n v="0.98228114093768226"/>
    <n v="3.929124563750729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6"/>
    <x v="17"/>
    <x v="10"/>
    <x v="13"/>
    <s v="sp."/>
    <n v="0.57999999999999996"/>
    <x v="7"/>
    <n v="13.05"/>
    <n v="1.3375558350000002E-2"/>
    <n v="8"/>
    <n v="66"/>
    <n v="1.1519173063162575"/>
    <n v="7"/>
    <n v="0"/>
    <n v="0"/>
    <x v="324"/>
    <n v="37.74181119416766"/>
    <n v="4.7177263992709575"/>
    <n v="18.87090559708383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7"/>
    <x v="17"/>
    <x v="10"/>
    <x v="13"/>
    <s v="sp."/>
    <n v="0.57999999999999996"/>
    <x v="7"/>
    <n v="7.8"/>
    <n v="4.7783736E-3"/>
    <n v="9"/>
    <n v="76"/>
    <n v="1.3264502315156905"/>
    <n v="5"/>
    <n v="-4"/>
    <n v="-6.9813170079773182E-2"/>
    <x v="325"/>
    <n v="16.317747104808703"/>
    <n v="2.0397183881010879"/>
    <n v="8.1588735524043514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4"/>
    <x v="14"/>
    <x v="0"/>
    <x v="0"/>
    <s v="allenii"/>
    <n v="0.48"/>
    <x v="7"/>
    <n v="8.3000000000000007"/>
    <n v="5.4106206000000016E-3"/>
    <n v="9"/>
    <n v="70"/>
    <n v="1.2217304763960306"/>
    <n v="5"/>
    <n v="2"/>
    <n v="3.4906585039886591E-2"/>
    <x v="326"/>
    <n v="15.777105333391095"/>
    <n v="1.9721381666738869"/>
    <n v="7.8885526666955474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8"/>
    <x v="3"/>
    <x v="3"/>
    <x v="3"/>
    <s v="parahyba"/>
    <n v="0.315"/>
    <x v="3"/>
    <n v="36.15"/>
    <n v="0.10263783915000001"/>
    <n v="10"/>
    <n v="76"/>
    <n v="1.3264502315156905"/>
    <n v="5"/>
    <n v="25"/>
    <n v="0.43633231299858238"/>
    <x v="327"/>
    <n v="226.79902351550206"/>
    <n v="28.349877939437757"/>
    <n v="113.39951175775103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89"/>
    <x v="3"/>
    <x v="3"/>
    <x v="3"/>
    <s v="parahyba"/>
    <n v="0.315"/>
    <x v="3"/>
    <n v="20.2"/>
    <n v="3.20474616E-2"/>
    <n v="7"/>
    <n v="70"/>
    <n v="1.2217304763960306"/>
    <n v="5"/>
    <n v="25"/>
    <n v="0.43633231299858238"/>
    <x v="328"/>
    <n v="56.892752637803603"/>
    <n v="7.1115940797254504"/>
    <n v="28.446376318901802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0"/>
    <x v="29"/>
    <x v="7"/>
    <x v="1"/>
    <s v="-"/>
    <n v="0.69"/>
    <x v="7"/>
    <n v="7.5"/>
    <n v="4.4178749999999999E-3"/>
    <n v="6"/>
    <n v="47"/>
    <n v="0.82030474843733492"/>
    <n v="5"/>
    <n v="29"/>
    <n v="0.50614548307835561"/>
    <x v="329"/>
    <n v="14.681938789103503"/>
    <n v="1.8352423486379379"/>
    <n v="7.3409693945517516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1"/>
    <x v="30"/>
    <x v="17"/>
    <x v="22"/>
    <s v="glabra"/>
    <n v="0.64"/>
    <x v="7"/>
    <n v="7"/>
    <n v="3.8484600000000002E-3"/>
    <n v="7"/>
    <n v="55"/>
    <n v="0.95993108859688125"/>
    <n v="6"/>
    <n v="26"/>
    <n v="0.4537856055185257"/>
    <x v="330"/>
    <n v="14.572652443889801"/>
    <n v="1.8215815554862251"/>
    <n v="7.2863262219449005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2"/>
    <x v="3"/>
    <x v="3"/>
    <x v="3"/>
    <s v="parahyba"/>
    <n v="0.315"/>
    <x v="3"/>
    <n v="37.25"/>
    <n v="0.10897915875"/>
    <n v="14"/>
    <n v="57"/>
    <n v="0.99483767363676789"/>
    <n v="6"/>
    <n v="26"/>
    <n v="0.4537856055185257"/>
    <x v="331"/>
    <n v="288.43388385177656"/>
    <n v="36.05423548147207"/>
    <n v="144.21694192588828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3"/>
    <x v="0"/>
    <x v="0"/>
    <x v="0"/>
    <s v="ferruginea"/>
    <n v="0.37"/>
    <x v="0"/>
    <n v="15.2"/>
    <n v="1.81458816E-2"/>
    <n v="6"/>
    <n v="55"/>
    <n v="0.95993108859688125"/>
    <n v="5"/>
    <n v="30"/>
    <n v="0.52359877559829882"/>
    <x v="332"/>
    <n v="33.399267564528273"/>
    <n v="4.1749084455660341"/>
    <n v="16.699633782264137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4"/>
    <x v="0"/>
    <x v="0"/>
    <x v="0"/>
    <s v="ferruginea"/>
    <n v="0.37"/>
    <x v="0"/>
    <n v="9.75"/>
    <n v="7.4662087500000007E-3"/>
    <n v="6"/>
    <n v="45"/>
    <n v="0.78539816339744828"/>
    <n v="5"/>
    <n v="30"/>
    <n v="0.52359877559829882"/>
    <x v="333"/>
    <n v="13.255625788404705"/>
    <n v="1.6569532235505882"/>
    <n v="6.6278128942023526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5"/>
    <x v="0"/>
    <x v="0"/>
    <x v="0"/>
    <s v="ferruginea"/>
    <n v="0.37"/>
    <x v="0"/>
    <n v="6"/>
    <n v="2.8274400000000001E-3"/>
    <n v="5"/>
    <n v="54"/>
    <n v="0.94247779607693793"/>
    <n v="5"/>
    <n v="30"/>
    <n v="0.52359877559829882"/>
    <x v="334"/>
    <n v="5.1743531309402737"/>
    <n v="0.64679414136753421"/>
    <n v="2.5871765654701369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6"/>
    <x v="7"/>
    <x v="6"/>
    <x v="6"/>
    <s v="quinata"/>
    <n v="0.48"/>
    <x v="6"/>
    <n v="22.5"/>
    <n v="3.9760875000000001E-2"/>
    <n v="7"/>
    <n v="50"/>
    <n v="0.87266462599716477"/>
    <n v="5"/>
    <n v="6"/>
    <n v="0.10471975511965978"/>
    <x v="335"/>
    <n v="71.761261767790359"/>
    <n v="8.9701577209737948"/>
    <n v="35.880630883895179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7"/>
    <x v="22"/>
    <x v="14"/>
    <x v="17"/>
    <s v="alchorneoides"/>
    <n v="0.64"/>
    <x v="9"/>
    <n v="28.15"/>
    <n v="6.2236863149999995E-2"/>
    <n v="12"/>
    <n v="65"/>
    <n v="1.1344640137963142"/>
    <n v="5"/>
    <n v="5"/>
    <n v="8.7266462599716474E-2"/>
    <x v="233"/>
    <n v="264.84895902561681"/>
    <n v="33.106119878202101"/>
    <n v="132.4244795128084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9"/>
    <x v="22"/>
    <x v="14"/>
    <x v="17"/>
    <s v="alchorneoides"/>
    <n v="0.64"/>
    <x v="9"/>
    <n v="12.7"/>
    <n v="1.26677166E-2"/>
    <n v="10"/>
    <n v="40"/>
    <n v="0.69813170079773179"/>
    <n v="5"/>
    <n v="5"/>
    <n v="8.7266462599716474E-2"/>
    <x v="336"/>
    <n v="37.083780334693301"/>
    <n v="4.6354725418366627"/>
    <n v="18.541890167346651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198"/>
    <x v="22"/>
    <x v="14"/>
    <x v="17"/>
    <s v="alchorneoides"/>
    <n v="0.64"/>
    <x v="9"/>
    <n v="22.35"/>
    <n v="3.9232497150000004E-2"/>
    <n v="11"/>
    <n v="70"/>
    <n v="1.2217304763960306"/>
    <n v="5"/>
    <n v="5"/>
    <n v="8.7266462599716474E-2"/>
    <x v="337"/>
    <n v="163.94050866826259"/>
    <n v="20.492563583532824"/>
    <n v="81.970254334131297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200"/>
    <x v="1"/>
    <x v="1"/>
    <x v="1"/>
    <s v="-"/>
    <n v="0.57999999999999996"/>
    <x v="1"/>
    <n v="11.85"/>
    <n v="1.1028783149999999E-2"/>
    <n v="19"/>
    <n v="70"/>
    <n v="1.2217304763960306"/>
    <n v="5"/>
    <n v="10"/>
    <n v="0.17453292519943295"/>
    <x v="338"/>
    <n v="76.224463656680243"/>
    <n v="9.5280579570850303"/>
    <n v="38.112231828340121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2149"/>
    <x v="22"/>
    <x v="14"/>
    <x v="17"/>
    <s v="alchorneoides"/>
    <n v="0.64"/>
    <x v="9"/>
    <n v="39.15"/>
    <n v="0.12038002515"/>
    <n v="9"/>
    <n v="69"/>
    <n v="1.2042771838760873"/>
    <n v="5"/>
    <n v="27"/>
    <n v="0.47123889803846897"/>
    <x v="339"/>
    <n v="466.19158561245388"/>
    <n v="58.273948201556735"/>
    <n v="233.09579280622694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9147"/>
    <x v="7"/>
    <x v="6"/>
    <x v="6"/>
    <s v="quinata"/>
    <n v="0.48"/>
    <x v="6"/>
    <n v="19.45"/>
    <n v="2.9711878349999998E-2"/>
    <n v="6"/>
    <n v="65"/>
    <n v="1.1344640137963142"/>
    <n v="7"/>
    <n v="20"/>
    <n v="0.3490658503988659"/>
    <x v="340"/>
    <n v="71.389940714985073"/>
    <n v="8.9237425893731341"/>
    <n v="35.694970357492537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9148"/>
    <x v="7"/>
    <x v="6"/>
    <x v="6"/>
    <s v="quinata"/>
    <n v="0.48"/>
    <x v="6"/>
    <n v="14.75"/>
    <n v="1.708735875E-2"/>
    <n v="9"/>
    <n v="73"/>
    <n v="1.2740903539558606"/>
    <n v="5"/>
    <n v="4"/>
    <n v="6.9813170079773182E-2"/>
    <x v="341"/>
    <n v="48.141883545770114"/>
    <n v="6.0177354432212642"/>
    <n v="24.070941772885057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9146"/>
    <x v="29"/>
    <x v="7"/>
    <x v="1"/>
    <s v="-"/>
    <n v="0.69"/>
    <x v="7"/>
    <n v="12.75"/>
    <n v="1.2767658750000001E-2"/>
    <n v="7"/>
    <n v="55"/>
    <n v="0.95993108859688125"/>
    <n v="6"/>
    <n v="31"/>
    <n v="0.54105206811824214"/>
    <x v="342"/>
    <n v="50.778296539159051"/>
    <n v="6.3472870673948814"/>
    <n v="25.389148269579525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9145"/>
    <x v="0"/>
    <x v="0"/>
    <x v="0"/>
    <s v="ferruginea"/>
    <n v="0.37"/>
    <x v="0"/>
    <n v="12.8"/>
    <n v="1.2867993600000002E-2"/>
    <n v="7"/>
    <n v="43"/>
    <n v="0.75049157835756175"/>
    <n v="7"/>
    <n v="30"/>
    <n v="0.52359877559829882"/>
    <x v="343"/>
    <n v="26.802672759586041"/>
    <n v="3.3503340949482552"/>
    <n v="13.401336379793021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9144"/>
    <x v="20"/>
    <x v="12"/>
    <x v="15"/>
    <s v="dolichopoda"/>
    <n v="0.54"/>
    <x v="7"/>
    <n v="10.25"/>
    <n v="8.2516087500000002E-3"/>
    <n v="6"/>
    <n v="53"/>
    <n v="0.92502450355699462"/>
    <n v="5"/>
    <n v="15"/>
    <n v="0.26179938779914941"/>
    <x v="344"/>
    <n v="18.868553236463878"/>
    <n v="2.3585691545579848"/>
    <n v="9.4342766182319391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9143"/>
    <x v="20"/>
    <x v="12"/>
    <x v="15"/>
    <s v="dolichopoda"/>
    <n v="0.54"/>
    <x v="7"/>
    <n v="12.3"/>
    <n v="1.1882316600000001E-2"/>
    <n v="8"/>
    <n v="39"/>
    <n v="0.68067840827778847"/>
    <n v="5"/>
    <n v="15"/>
    <n v="0.26179938779914941"/>
    <x v="345"/>
    <n v="27.578231779887666"/>
    <n v="3.4472789724859583"/>
    <n v="13.789115889943833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9142"/>
    <x v="29"/>
    <x v="7"/>
    <x v="1"/>
    <s v="-"/>
    <n v="0.69"/>
    <x v="7"/>
    <n v="6"/>
    <n v="2.8274400000000001E-3"/>
    <n v="7"/>
    <n v="45"/>
    <n v="0.78539816339744828"/>
    <n v="5"/>
    <n v="20"/>
    <n v="0.3490658503988659"/>
    <x v="346"/>
    <n v="9.4484525590470163"/>
    <n v="1.181056569880877"/>
    <n v="4.7242262795235082"/>
  </r>
  <r>
    <x v="4"/>
    <s v="NM, AM, EC, EL, RH"/>
    <x v="7"/>
    <s v="SO"/>
    <n v="8.4113100000000003"/>
    <n v="83.313739999999996"/>
    <n v="50"/>
    <n v="20"/>
    <n v="4.9331548755868928"/>
    <n v="8.6099795089802519E-2"/>
    <n v="21.078079490328182"/>
    <n v="9141"/>
    <x v="29"/>
    <x v="7"/>
    <x v="1"/>
    <s v="-"/>
    <n v="0.69"/>
    <x v="7"/>
    <n v="5.45"/>
    <n v="2.3328343500000001E-3"/>
    <n v="6"/>
    <n v="50"/>
    <n v="0.87266462599716477"/>
    <n v="7"/>
    <n v="10"/>
    <n v="0.17453292519943295"/>
    <x v="347"/>
    <n v="6.9383720822383141"/>
    <n v="0.86729651027978927"/>
    <n v="3.4691860411191571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365"/>
    <x v="0"/>
    <x v="0"/>
    <x v="0"/>
    <s v="ferruginea"/>
    <n v="0.37"/>
    <x v="0"/>
    <n v="16.3"/>
    <n v="2.08672926E-2"/>
    <n v="13"/>
    <n v="70"/>
    <n v="1.2217304763960306"/>
    <n v="5"/>
    <n v="13"/>
    <n v="0.22689280275926285"/>
    <x v="348"/>
    <n v="66.153641444670498"/>
    <n v="8.2692051805838123"/>
    <n v="33.076820722335249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56"/>
    <x v="7"/>
    <x v="6"/>
    <x v="6"/>
    <s v="quinata"/>
    <n v="0.48"/>
    <x v="6"/>
    <n v="20.25"/>
    <n v="3.2206308750000003E-2"/>
    <n v="10"/>
    <n v="50"/>
    <n v="0.87266462599716477"/>
    <n v="5"/>
    <n v="3"/>
    <n v="5.235987755982989E-2"/>
    <x v="349"/>
    <n v="77.84284225684074"/>
    <n v="9.7303552821050925"/>
    <n v="38.92142112842037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303"/>
    <x v="7"/>
    <x v="6"/>
    <x v="6"/>
    <s v="quinata"/>
    <n v="0.48"/>
    <x v="6"/>
    <n v="14.25"/>
    <n v="1.594852875E-2"/>
    <n v="8"/>
    <n v="30"/>
    <n v="0.52359877559829882"/>
    <n v="6"/>
    <n v="16"/>
    <n v="0.27925268031909273"/>
    <x v="350"/>
    <n v="29.282097815861672"/>
    <n v="3.660262226982709"/>
    <n v="14.641048907930836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351"/>
    <x v="0"/>
    <x v="0"/>
    <x v="0"/>
    <s v="ferruginea"/>
    <n v="0.37"/>
    <x v="0"/>
    <n v="32.950000000000003"/>
    <n v="8.5271074350000017E-2"/>
    <n v="18"/>
    <n v="48"/>
    <n v="0.83775804095727824"/>
    <n v="7"/>
    <n v="16"/>
    <n v="0.27925268031909273"/>
    <x v="351"/>
    <n v="282.69059433599512"/>
    <n v="35.336324291999389"/>
    <n v="141.34529716799756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304"/>
    <x v="7"/>
    <x v="6"/>
    <x v="6"/>
    <s v="quinata"/>
    <n v="0.48"/>
    <x v="6"/>
    <n v="6.65"/>
    <n v="3.4732351500000006E-3"/>
    <n v="8"/>
    <n v="35"/>
    <n v="0.6108652381980153"/>
    <n v="5"/>
    <n v="10"/>
    <n v="0.17453292519943295"/>
    <x v="352"/>
    <n v="6.7586327820508627"/>
    <n v="0.84482909775635784"/>
    <n v="3.3793163910254314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14"/>
    <x v="3"/>
    <x v="3"/>
    <x v="3"/>
    <s v="parahyba"/>
    <n v="0.315"/>
    <x v="3"/>
    <n v="22.25"/>
    <n v="3.8882208750000001E-2"/>
    <n v="13"/>
    <n v="5"/>
    <n v="8.7266462599716474E-2"/>
    <n v="5"/>
    <n v="26"/>
    <n v="0.4537856055185257"/>
    <x v="353"/>
    <n v="27.651808177910233"/>
    <n v="3.4564760222387791"/>
    <n v="13.825904088955117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78"/>
    <x v="0"/>
    <x v="0"/>
    <x v="0"/>
    <s v="ferruginea"/>
    <n v="0.37"/>
    <x v="0"/>
    <n v="23.1"/>
    <n v="4.1909729400000005E-2"/>
    <n v="10"/>
    <n v="80"/>
    <n v="1.3962634015954636"/>
    <n v="6"/>
    <n v="15"/>
    <n v="0.26179938779914941"/>
    <x v="354"/>
    <n v="109.9228397453455"/>
    <n v="13.740354968168187"/>
    <n v="54.961419872672749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313"/>
    <x v="0"/>
    <x v="0"/>
    <x v="0"/>
    <s v="ferruginea"/>
    <n v="0.37"/>
    <x v="0"/>
    <n v="22.5"/>
    <n v="3.9760875000000001E-2"/>
    <n v="15"/>
    <n v="75"/>
    <n v="1.3089969389957472"/>
    <n v="7"/>
    <n v="15"/>
    <n v="0.26179938779914941"/>
    <x v="355"/>
    <n v="146.40178422626607"/>
    <n v="18.300223028283259"/>
    <n v="73.200892113133037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81"/>
    <x v="3"/>
    <x v="3"/>
    <x v="3"/>
    <s v="parahyba"/>
    <n v="0.315"/>
    <x v="3"/>
    <n v="24.5"/>
    <n v="4.7143635000000003E-2"/>
    <n v="14"/>
    <n v="74"/>
    <n v="1.2915436464758039"/>
    <n v="5"/>
    <n v="28"/>
    <n v="0.48869219055841229"/>
    <x v="356"/>
    <n v="143.47402013949701"/>
    <n v="17.934252517437127"/>
    <n v="71.737010069748507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76"/>
    <x v="3"/>
    <x v="3"/>
    <x v="3"/>
    <s v="parahyba"/>
    <n v="0.315"/>
    <x v="3"/>
    <n v="5.65"/>
    <n v="2.5071931500000003E-3"/>
    <n v="6"/>
    <n v="76"/>
    <n v="1.3264502315156905"/>
    <n v="5"/>
    <n v="34"/>
    <n v="0.59341194567807209"/>
    <x v="357"/>
    <n v="5.1451075137537812"/>
    <n v="0.64313843921922265"/>
    <n v="2.5725537568768906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72"/>
    <x v="31"/>
    <x v="18"/>
    <x v="23"/>
    <s v="panamensis"/>
    <n v="0.57999999999999996"/>
    <x v="1"/>
    <n v="19.399999999999999"/>
    <n v="2.9559314399999998E-2"/>
    <n v="8"/>
    <n v="50"/>
    <n v="0.87266462599716477"/>
    <n v="6"/>
    <n v="38"/>
    <n v="0.66322511575784526"/>
    <x v="358"/>
    <n v="105.01049467788424"/>
    <n v="13.12631183473553"/>
    <n v="52.505247338942119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24"/>
    <x v="0"/>
    <x v="0"/>
    <x v="0"/>
    <s v="ferruginea"/>
    <n v="0.37"/>
    <x v="0"/>
    <n v="23.049999999999997"/>
    <n v="4.1728498349999997E-2"/>
    <n v="11"/>
    <n v="54"/>
    <n v="0.94247779607693793"/>
    <n v="6"/>
    <n v="18"/>
    <n v="0.31415926535897931"/>
    <x v="359"/>
    <n v="103.61950777114106"/>
    <n v="12.952438471392632"/>
    <n v="51.80975388557053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28"/>
    <x v="7"/>
    <x v="6"/>
    <x v="6"/>
    <s v="quinata"/>
    <n v="0.48"/>
    <x v="6"/>
    <n v="14.7"/>
    <n v="1.69717086E-2"/>
    <n v="10"/>
    <n v="40"/>
    <n v="0.69813170079773179"/>
    <n v="8"/>
    <n v="19"/>
    <n v="0.33161255787892263"/>
    <x v="360"/>
    <n v="48.221532713357462"/>
    <n v="6.0276915891696827"/>
    <n v="24.110766356678731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93"/>
    <x v="7"/>
    <x v="6"/>
    <x v="6"/>
    <s v="quinata"/>
    <n v="0.48"/>
    <x v="6"/>
    <n v="7.9499999999999993"/>
    <n v="4.9639243499999992E-3"/>
    <n v="7"/>
    <n v="20"/>
    <n v="0.3490658503988659"/>
    <n v="6"/>
    <n v="30"/>
    <n v="0.52359877559829882"/>
    <x v="361"/>
    <n v="9.352455346738104"/>
    <n v="1.169056918342263"/>
    <n v="4.676227673369052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29"/>
    <x v="0"/>
    <x v="0"/>
    <x v="0"/>
    <s v="ferruginea"/>
    <n v="0.37"/>
    <x v="0"/>
    <n v="7.35"/>
    <n v="4.2429271499999999E-3"/>
    <n v="8"/>
    <n v="20"/>
    <n v="0.3490658503988659"/>
    <n v="5"/>
    <n v="35"/>
    <n v="0.6108652381980153"/>
    <x v="362"/>
    <n v="6.5491197981026819"/>
    <n v="0.81863997476283523"/>
    <n v="3.2745598990513409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25"/>
    <x v="8"/>
    <x v="1"/>
    <x v="7"/>
    <s v="appendiculatus"/>
    <n v="0.23"/>
    <x v="7"/>
    <n v="23.35"/>
    <n v="4.2821775150000012E-2"/>
    <n v="16"/>
    <n v="52"/>
    <n v="0.90757121103705141"/>
    <n v="5"/>
    <n v="36"/>
    <n v="0.62831853071795862"/>
    <x v="363"/>
    <n v="96.031920686909814"/>
    <n v="12.003990085863727"/>
    <n v="48.015960343454907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67"/>
    <x v="7"/>
    <x v="6"/>
    <x v="6"/>
    <s v="quinata"/>
    <n v="0.48"/>
    <x v="6"/>
    <n v="11.85"/>
    <n v="1.1028783149999999E-2"/>
    <n v="7"/>
    <n v="34"/>
    <n v="0.59341194567807209"/>
    <n v="5"/>
    <n v="10"/>
    <n v="0.17453292519943295"/>
    <x v="364"/>
    <n v="17.688966070398077"/>
    <n v="2.2111207587997597"/>
    <n v="8.8444830351990387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23"/>
    <x v="3"/>
    <x v="3"/>
    <x v="3"/>
    <s v="parahyba"/>
    <n v="0.315"/>
    <x v="3"/>
    <n v="21.25"/>
    <n v="3.546571875E-2"/>
    <n v="21"/>
    <n v="70"/>
    <n v="1.2217304763960306"/>
    <n v="7"/>
    <n v="1"/>
    <n v="1.7453292519943295E-2"/>
    <x v="365"/>
    <n v="136.05696313688873"/>
    <n v="17.007120392111091"/>
    <n v="68.028481568444363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27"/>
    <x v="0"/>
    <x v="0"/>
    <x v="0"/>
    <s v="ferruginea"/>
    <n v="0.37"/>
    <x v="0"/>
    <n v="11"/>
    <n v="9.5033400000000007E-3"/>
    <n v="8"/>
    <n v="36"/>
    <n v="0.62831853071795862"/>
    <n v="5"/>
    <n v="10"/>
    <n v="0.17453292519943295"/>
    <x v="366"/>
    <n v="13.897343643009711"/>
    <n v="1.7371679553762138"/>
    <n v="6.9486718215048553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43"/>
    <x v="0"/>
    <x v="0"/>
    <x v="0"/>
    <s v="ferruginea"/>
    <n v="0.37"/>
    <x v="0"/>
    <n v="10.75"/>
    <n v="9.0762787499999997E-3"/>
    <n v="8"/>
    <n v="49"/>
    <n v="0.85521133347722145"/>
    <n v="5"/>
    <n v="10"/>
    <n v="0.17453292519943295"/>
    <x v="367"/>
    <n v="16.28873504826306"/>
    <n v="2.0360918810328825"/>
    <n v="8.1443675241315301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41"/>
    <x v="7"/>
    <x v="6"/>
    <x v="6"/>
    <s v="quinata"/>
    <n v="0.48"/>
    <x v="6"/>
    <n v="19.649999999999999"/>
    <n v="3.0326061149999996E-2"/>
    <n v="9"/>
    <n v="49"/>
    <n v="0.85521133347722145"/>
    <n v="6"/>
    <n v="10"/>
    <n v="0.17453292519943295"/>
    <x v="368"/>
    <n v="72.796246292901856"/>
    <n v="9.099530786612732"/>
    <n v="36.398123146450928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316"/>
    <x v="0"/>
    <x v="0"/>
    <x v="0"/>
    <s v="ferruginea"/>
    <n v="0.37"/>
    <x v="0"/>
    <n v="23.7"/>
    <n v="4.4115132599999995E-2"/>
    <n v="12"/>
    <n v="55"/>
    <n v="0.95993108859688125"/>
    <n v="5"/>
    <n v="15"/>
    <n v="0.26179938779914941"/>
    <x v="369"/>
    <n v="112.71471284019927"/>
    <n v="14.089339105024909"/>
    <n v="56.357356420099634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63"/>
    <x v="0"/>
    <x v="0"/>
    <x v="0"/>
    <s v="ferruginea"/>
    <n v="0.37"/>
    <x v="0"/>
    <n v="13"/>
    <n v="1.327326E-2"/>
    <n v="10"/>
    <n v="32"/>
    <n v="0.55850536063818546"/>
    <n v="6"/>
    <n v="15"/>
    <n v="0.26179938779914941"/>
    <x v="370"/>
    <n v="23.113170713250451"/>
    <n v="2.8891463391563064"/>
    <n v="11.556585356625225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45"/>
    <x v="7"/>
    <x v="6"/>
    <x v="6"/>
    <s v="quinata"/>
    <n v="0.48"/>
    <x v="6"/>
    <n v="10"/>
    <n v="7.8539999999999999E-3"/>
    <n v="8"/>
    <n v="53"/>
    <n v="0.92502450355699462"/>
    <n v="5"/>
    <n v="1"/>
    <n v="1.7453292519943295E-2"/>
    <x v="371"/>
    <n v="17.095378938664123"/>
    <n v="2.1369223673330153"/>
    <n v="8.5476894693320613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64"/>
    <x v="7"/>
    <x v="6"/>
    <x v="6"/>
    <s v="quinata"/>
    <n v="0.48"/>
    <x v="6"/>
    <n v="11.55"/>
    <n v="1.0477432350000001E-2"/>
    <n v="8"/>
    <n v="50"/>
    <n v="0.87266462599716477"/>
    <n v="8"/>
    <n v="0"/>
    <n v="0"/>
    <x v="259"/>
    <n v="21.280701062440318"/>
    <n v="2.6600876328050398"/>
    <n v="10.640350531220159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80"/>
    <x v="0"/>
    <x v="0"/>
    <x v="0"/>
    <s v="ferruginea"/>
    <n v="0.37"/>
    <x v="0"/>
    <n v="17.149999999999999"/>
    <n v="2.3100381149999998E-2"/>
    <n v="11"/>
    <n v="65"/>
    <n v="1.1344640137963142"/>
    <n v="5"/>
    <n v="0"/>
    <n v="0"/>
    <x v="234"/>
    <n v="55.352365913268351"/>
    <n v="6.9190457391585438"/>
    <n v="27.676182956634175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92"/>
    <x v="7"/>
    <x v="6"/>
    <x v="6"/>
    <s v="quinata"/>
    <n v="0.48"/>
    <x v="6"/>
    <n v="11.5"/>
    <n v="1.0386915E-2"/>
    <n v="8"/>
    <n v="55"/>
    <n v="0.95993108859688125"/>
    <n v="7"/>
    <n v="0"/>
    <n v="0"/>
    <x v="372"/>
    <n v="22.480587683177905"/>
    <n v="2.8100734603972382"/>
    <n v="11.240293841588953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60"/>
    <x v="3"/>
    <x v="3"/>
    <x v="3"/>
    <s v="parahyba"/>
    <n v="0.315"/>
    <x v="3"/>
    <n v="20.100000000000001"/>
    <n v="3.1730945400000002E-2"/>
    <n v="23"/>
    <n v="75"/>
    <n v="1.3089969389957472"/>
    <n v="5"/>
    <n v="-3"/>
    <n v="-5.235987755982989E-2"/>
    <x v="373"/>
    <n v="134.68415051795702"/>
    <n v="16.835518814744628"/>
    <n v="67.342075258978511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99"/>
    <x v="7"/>
    <x v="6"/>
    <x v="6"/>
    <s v="quinata"/>
    <n v="0.48"/>
    <x v="6"/>
    <n v="6.5"/>
    <n v="3.3183150000000001E-3"/>
    <n v="9"/>
    <n v="25"/>
    <n v="0.43633231299858238"/>
    <n v="8"/>
    <n v="-2"/>
    <n v="-3.4906585039886591E-2"/>
    <x v="374"/>
    <n v="4.2930111210587709"/>
    <n v="0.53662639013234636"/>
    <n v="2.1465055605293855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51"/>
    <x v="0"/>
    <x v="0"/>
    <x v="0"/>
    <s v="ferruginea"/>
    <n v="0.37"/>
    <x v="0"/>
    <n v="7.1"/>
    <n v="3.9592014E-3"/>
    <n v="12"/>
    <n v="52"/>
    <n v="0.90757121103705141"/>
    <n v="9"/>
    <n v="-5"/>
    <n v="-8.7266462599716474E-2"/>
    <x v="375"/>
    <n v="9.2503106051807986"/>
    <n v="1.1562888256475998"/>
    <n v="4.6251553025903993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21"/>
    <x v="0"/>
    <x v="0"/>
    <x v="0"/>
    <s v="ferruginea"/>
    <n v="0.37"/>
    <x v="0"/>
    <n v="34.150000000000006"/>
    <n v="9.1595115150000031E-2"/>
    <n v="17"/>
    <n v="75"/>
    <n v="1.3089969389957472"/>
    <n v="5"/>
    <n v="3"/>
    <n v="5.235987755982989E-2"/>
    <x v="376"/>
    <n v="327.84559449737344"/>
    <n v="40.98069931217168"/>
    <n v="163.92279724868672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26"/>
    <x v="0"/>
    <x v="0"/>
    <x v="0"/>
    <s v="ferruginea"/>
    <n v="0.37"/>
    <x v="0"/>
    <n v="22.9"/>
    <n v="4.1187161399999998E-2"/>
    <n v="14"/>
    <n v="72"/>
    <n v="1.2566370614359172"/>
    <n v="6"/>
    <n v="8"/>
    <n v="0.13962634015954636"/>
    <x v="377"/>
    <n v="132.4854522914878"/>
    <n v="16.560681536435975"/>
    <n v="66.242726145743902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18"/>
    <x v="8"/>
    <x v="1"/>
    <x v="7"/>
    <s v="appendiculatus"/>
    <n v="0.23"/>
    <x v="7"/>
    <n v="21.65"/>
    <n v="3.6813465149999995E-2"/>
    <n v="17"/>
    <n v="80"/>
    <n v="1.3962634015954636"/>
    <n v="5"/>
    <n v="7"/>
    <n v="0.12217304763960307"/>
    <x v="378"/>
    <n v="92.366317003644767"/>
    <n v="11.545789625455596"/>
    <n v="46.183158501822383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54"/>
    <x v="7"/>
    <x v="6"/>
    <x v="6"/>
    <s v="quinata"/>
    <n v="0.48"/>
    <x v="6"/>
    <n v="11.15"/>
    <n v="9.7642891500000009E-3"/>
    <n v="8"/>
    <n v="49"/>
    <n v="0.85521133347722145"/>
    <n v="6"/>
    <n v="2"/>
    <n v="3.4906585039886591E-2"/>
    <x v="379"/>
    <n v="20.278753762803767"/>
    <n v="2.5348442203504709"/>
    <n v="10.139376881401883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31"/>
    <x v="0"/>
    <x v="0"/>
    <x v="0"/>
    <s v="ferruginea"/>
    <n v="0.37"/>
    <x v="0"/>
    <n v="22.5"/>
    <n v="3.9760875000000001E-2"/>
    <n v="20"/>
    <n v="64"/>
    <n v="1.1170107212763709"/>
    <n v="8"/>
    <n v="5"/>
    <n v="8.7266462599716474E-2"/>
    <x v="380"/>
    <n v="166.34835132283612"/>
    <n v="20.793543915354515"/>
    <n v="83.174175661418062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302"/>
    <x v="0"/>
    <x v="0"/>
    <x v="0"/>
    <s v="ferruginea"/>
    <n v="0.37"/>
    <x v="0"/>
    <n v="27.950000000000003"/>
    <n v="6.1355644350000023E-2"/>
    <n v="14"/>
    <n v="65"/>
    <n v="1.1344640137963142"/>
    <n v="6"/>
    <n v="0"/>
    <n v="0"/>
    <x v="381"/>
    <n v="173.92766686338533"/>
    <n v="21.740958357923166"/>
    <n v="86.963833431692663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33"/>
    <x v="0"/>
    <x v="0"/>
    <x v="0"/>
    <s v="ferruginea"/>
    <n v="0.37"/>
    <x v="0"/>
    <n v="6.75"/>
    <n v="3.57847875E-3"/>
    <n v="8"/>
    <n v="43"/>
    <n v="0.75049157835756175"/>
    <n v="6"/>
    <n v="0"/>
    <n v="0"/>
    <x v="382"/>
    <n v="5.4415591345934642"/>
    <n v="0.68019489182418302"/>
    <n v="2.7207795672967321"/>
  </r>
  <r>
    <x v="3"/>
    <s v="NM, AM, EC, EL, RH"/>
    <x v="8"/>
    <s v="SO"/>
    <n v="8.4099900000000005"/>
    <n v="83.314719999999994"/>
    <n v="50"/>
    <n v="-15"/>
    <n v="-6.61659150558995"/>
    <n v="-0.11548130703203342"/>
    <n v="21.140809612582899"/>
    <n v="256"/>
    <x v="7"/>
    <x v="6"/>
    <x v="6"/>
    <s v="quinata"/>
    <n v="0.48"/>
    <x v="6"/>
    <n v="20.05"/>
    <n v="3.1573276350000005E-2"/>
    <n v="7"/>
    <n v="44"/>
    <n v="0.76794487087750496"/>
    <n v="5"/>
    <n v="20"/>
    <n v="0.3490658503988659"/>
    <x v="383"/>
    <n v="64.103725906343655"/>
    <n v="8.0129657382929569"/>
    <n v="32.051862953171828"/>
  </r>
  <r>
    <x v="4"/>
    <s v="NM, AM, EC, EL, RH"/>
    <x v="9"/>
    <s v="SO"/>
    <n v="8.41099"/>
    <n v="83.314139999999995"/>
    <n v="50"/>
    <n v="8"/>
    <n v="12.473321948616089"/>
    <n v="0.21770053666462572"/>
    <n v="21"/>
    <n v="1882"/>
    <x v="7"/>
    <x v="6"/>
    <x v="6"/>
    <s v="quinata"/>
    <n v="0.48"/>
    <x v="6"/>
    <n v="7.1"/>
    <n v="3.9592014E-3"/>
    <n v="6"/>
    <n v="30"/>
    <n v="0.52359877559829882"/>
    <n v="5"/>
    <n v="18"/>
    <n v="0.31415926535897931"/>
    <x v="384"/>
    <n v="6.8475709568295242"/>
    <n v="0.85594636960369053"/>
    <n v="3.4237854784147621"/>
  </r>
  <r>
    <x v="4"/>
    <s v="NM, AM, EC, EL, RH"/>
    <x v="9"/>
    <s v="SO"/>
    <n v="8.41099"/>
    <n v="83.314139999999995"/>
    <n v="50"/>
    <n v="8"/>
    <n v="12.473321948616089"/>
    <n v="0.21770053666462572"/>
    <n v="21"/>
    <n v="1878"/>
    <x v="29"/>
    <x v="7"/>
    <x v="1"/>
    <s v="-"/>
    <n v="0.69"/>
    <x v="7"/>
    <n v="5.6"/>
    <n v="2.4630143999999996E-3"/>
    <n v="8"/>
    <n v="55"/>
    <n v="0.95993108859688125"/>
    <n v="5"/>
    <n v="18"/>
    <n v="0.31415926535897931"/>
    <x v="385"/>
    <n v="11.043574653554717"/>
    <n v="1.3804468316943397"/>
    <n v="5.5217873267773587"/>
  </r>
  <r>
    <x v="4"/>
    <s v="NM, AM, EC, EL, RH"/>
    <x v="9"/>
    <s v="SO"/>
    <n v="8.41099"/>
    <n v="83.314139999999995"/>
    <n v="50"/>
    <n v="8"/>
    <n v="12.473321948616089"/>
    <n v="0.21770053666462572"/>
    <n v="21"/>
    <n v="1879"/>
    <x v="3"/>
    <x v="3"/>
    <x v="3"/>
    <s v="parahyba"/>
    <n v="0.315"/>
    <x v="3"/>
    <n v="11.05"/>
    <n v="9.5899303500000012E-3"/>
    <n v="9"/>
    <n v="50"/>
    <n v="0.87266462599716477"/>
    <n v="6"/>
    <n v="4"/>
    <n v="6.9813170079773182E-2"/>
    <x v="386"/>
    <n v="15.421562511439603"/>
    <n v="1.9276953139299504"/>
    <n v="7.7107812557198017"/>
  </r>
  <r>
    <x v="4"/>
    <s v="NM, AM, EC, EL, RH"/>
    <x v="9"/>
    <s v="SO"/>
    <n v="8.41099"/>
    <n v="83.314139999999995"/>
    <n v="50"/>
    <n v="8"/>
    <n v="12.473321948616089"/>
    <n v="0.21770053666462572"/>
    <n v="21"/>
    <n v="1880"/>
    <x v="25"/>
    <x v="5"/>
    <x v="1"/>
    <s v="-"/>
    <n v="0.57999999999999996"/>
    <x v="1"/>
    <n v="18.899999999999999"/>
    <n v="2.8055273399999994E-2"/>
    <n v="9"/>
    <n v="60"/>
    <n v="1.0471975511965976"/>
    <n v="5"/>
    <n v="10"/>
    <n v="0.17453292519943295"/>
    <x v="387"/>
    <n v="92.185565153630108"/>
    <n v="11.523195644203764"/>
    <n v="46.092782576815054"/>
  </r>
  <r>
    <x v="4"/>
    <s v="NM, AM, EC, EL, RH"/>
    <x v="9"/>
    <s v="SO"/>
    <n v="8.41099"/>
    <n v="83.314139999999995"/>
    <n v="50"/>
    <n v="8"/>
    <n v="12.473321948616089"/>
    <n v="0.21770053666462572"/>
    <n v="21"/>
    <n v="1877"/>
    <x v="7"/>
    <x v="6"/>
    <x v="6"/>
    <s v="quinata"/>
    <n v="0.48"/>
    <x v="6"/>
    <n v="8.3000000000000007"/>
    <n v="5.4106206000000016E-3"/>
    <n v="6"/>
    <n v="43"/>
    <n v="0.75049157835756175"/>
    <n v="5"/>
    <n v="16"/>
    <n v="0.27925268031909273"/>
    <x v="388"/>
    <n v="10.2758224074311"/>
    <n v="1.2844778009288875"/>
    <n v="5.1379112037155501"/>
  </r>
  <r>
    <x v="4"/>
    <s v="NM, AM, EC, EL, RH"/>
    <x v="9"/>
    <s v="SO"/>
    <n v="8.41099"/>
    <n v="83.314139999999995"/>
    <n v="50"/>
    <n v="8"/>
    <n v="12.473321948616089"/>
    <n v="0.21770053666462572"/>
    <n v="21"/>
    <n v="1886"/>
    <x v="0"/>
    <x v="0"/>
    <x v="0"/>
    <s v="ferruginea"/>
    <n v="0.37"/>
    <x v="0"/>
    <n v="6.8"/>
    <n v="3.6316895999999998E-3"/>
    <n v="7"/>
    <n v="53"/>
    <n v="0.92502450355699462"/>
    <n v="6"/>
    <n v="14"/>
    <n v="0.24434609527920614"/>
    <x v="389"/>
    <n v="6.7865641812856694"/>
    <n v="0.84832052266070868"/>
    <n v="3.3932820906428347"/>
  </r>
  <r>
    <x v="4"/>
    <s v="NM, AM, EC, EL, RH"/>
    <x v="9"/>
    <s v="SO"/>
    <n v="8.41099"/>
    <n v="83.314139999999995"/>
    <n v="50"/>
    <n v="8"/>
    <n v="12.473321948616089"/>
    <n v="0.21770053666462572"/>
    <n v="21"/>
    <n v="1876"/>
    <x v="3"/>
    <x v="3"/>
    <x v="3"/>
    <s v="parahyba"/>
    <n v="0.315"/>
    <x v="3"/>
    <n v="24.5"/>
    <n v="4.7143635000000003E-2"/>
    <n v="18"/>
    <n v="70"/>
    <n v="1.2217304763960306"/>
    <n v="5"/>
    <n v="13"/>
    <n v="0.22689280275926285"/>
    <x v="390"/>
    <n v="162.46156240896144"/>
    <n v="20.30769530112018"/>
    <n v="81.230781204480721"/>
  </r>
  <r>
    <x v="4"/>
    <s v="NM, AM, EC, EL, RH"/>
    <x v="9"/>
    <s v="SO"/>
    <n v="8.41099"/>
    <n v="83.314139999999995"/>
    <n v="50"/>
    <n v="8"/>
    <n v="12.473321948616089"/>
    <n v="0.21770053666462572"/>
    <n v="21"/>
    <n v="1875"/>
    <x v="25"/>
    <x v="5"/>
    <x v="1"/>
    <s v="-"/>
    <n v="0.57999999999999996"/>
    <x v="1"/>
    <n v="16.55"/>
    <n v="2.1512302350000005E-2"/>
    <n v="12"/>
    <n v="70"/>
    <n v="1.2217304763960306"/>
    <n v="5"/>
    <n v="15"/>
    <n v="0.26179938779914941"/>
    <x v="391"/>
    <n v="98.222874598945339"/>
    <n v="12.277859324868167"/>
    <n v="49.111437299472669"/>
  </r>
  <r>
    <x v="4"/>
    <s v="NM, AM, EC, EL, RH"/>
    <x v="9"/>
    <s v="SO"/>
    <n v="8.41099"/>
    <n v="83.314139999999995"/>
    <n v="50"/>
    <n v="8"/>
    <n v="12.473321948616089"/>
    <n v="0.21770053666462572"/>
    <n v="21"/>
    <n v="1874"/>
    <x v="14"/>
    <x v="0"/>
    <x v="0"/>
    <s v="allenii"/>
    <n v="0.48"/>
    <x v="7"/>
    <n v="11.7"/>
    <n v="1.0751340599999999E-2"/>
    <n v="8"/>
    <n v="64"/>
    <n v="1.1170107212763709"/>
    <n v="5"/>
    <n v="14"/>
    <n v="0.24434609527920614"/>
    <x v="392"/>
    <n v="29.325037706843954"/>
    <n v="3.6656297133554943"/>
    <n v="14.662518853421977"/>
  </r>
  <r>
    <x v="4"/>
    <s v="NM, AM, EC, EL, RH"/>
    <x v="9"/>
    <s v="SO"/>
    <n v="8.41099"/>
    <n v="83.314139999999995"/>
    <n v="50"/>
    <n v="8"/>
    <n v="12.473321948616089"/>
    <n v="0.21770053666462572"/>
    <n v="21"/>
    <n v="1873"/>
    <x v="7"/>
    <x v="6"/>
    <x v="6"/>
    <s v="quinata"/>
    <n v="0.48"/>
    <x v="6"/>
    <n v="15"/>
    <n v="1.76715E-2"/>
    <n v="8"/>
    <n v="45"/>
    <n v="0.78539816339744828"/>
    <n v="6"/>
    <n v="6"/>
    <n v="0.10471975511965978"/>
    <x v="393"/>
    <n v="35.614240177920991"/>
    <n v="4.4517800222401238"/>
    <n v="17.807120088960495"/>
  </r>
  <r>
    <x v="4"/>
    <s v="NM, AM, EC, EL, RH"/>
    <x v="9"/>
    <s v="SO"/>
    <n v="8.41099"/>
    <n v="83.314139999999995"/>
    <n v="50"/>
    <n v="8"/>
    <n v="12.473321948616089"/>
    <n v="0.21770053666462572"/>
    <n v="21"/>
    <n v="1871"/>
    <x v="0"/>
    <x v="0"/>
    <x v="0"/>
    <s v="ferruginea"/>
    <n v="0.37"/>
    <x v="0"/>
    <n v="9.9499999999999993"/>
    <n v="7.7756563499999992E-3"/>
    <n v="9"/>
    <n v="50"/>
    <n v="0.87266462599716477"/>
    <n v="5"/>
    <n v="8"/>
    <n v="0.13962634015954636"/>
    <x v="394"/>
    <n v="15.392894138461799"/>
    <n v="1.9241117673077248"/>
    <n v="7.6964470692308993"/>
  </r>
  <r>
    <x v="4"/>
    <s v="NM, AM, EC, EL, RH"/>
    <x v="9"/>
    <s v="SO"/>
    <n v="8.41099"/>
    <n v="83.314139999999995"/>
    <n v="50"/>
    <n v="8"/>
    <n v="12.473321948616089"/>
    <n v="0.21770053666462572"/>
    <n v="21"/>
    <n v="1872"/>
    <x v="3"/>
    <x v="3"/>
    <x v="3"/>
    <s v="parahyba"/>
    <n v="0.315"/>
    <x v="3"/>
    <n v="13.25"/>
    <n v="1.378867875E-2"/>
    <n v="11"/>
    <n v="68"/>
    <n v="1.1868238913561442"/>
    <n v="6"/>
    <n v="5"/>
    <n v="8.7266462599716474E-2"/>
    <x v="395"/>
    <n v="31.12899523721639"/>
    <n v="3.8911244046520488"/>
    <n v="15.564497618608195"/>
  </r>
  <r>
    <x v="4"/>
    <s v="NM, AM, EC, EL, RH"/>
    <x v="9"/>
    <s v="SO"/>
    <n v="8.41099"/>
    <n v="83.314139999999995"/>
    <n v="50"/>
    <n v="8"/>
    <n v="12.473321948616089"/>
    <n v="0.21770053666462572"/>
    <n v="21"/>
    <n v="1870"/>
    <x v="0"/>
    <x v="0"/>
    <x v="0"/>
    <s v="ferruginea"/>
    <n v="0.37"/>
    <x v="0"/>
    <n v="10.9"/>
    <n v="9.3313374000000004E-3"/>
    <n v="11"/>
    <n v="45"/>
    <n v="0.78539816339744828"/>
    <n v="7"/>
    <n v="3"/>
    <n v="5.235987755982989E-2"/>
    <x v="396"/>
    <n v="19.405073034092634"/>
    <n v="2.4256341292615793"/>
    <n v="9.7025365170463171"/>
  </r>
  <r>
    <x v="4"/>
    <s v="NM, AM, EC, EL, RH"/>
    <x v="9"/>
    <s v="SO"/>
    <n v="8.41099"/>
    <n v="83.314139999999995"/>
    <n v="50"/>
    <n v="8"/>
    <n v="12.473321948616089"/>
    <n v="0.21770053666462572"/>
    <n v="21"/>
    <n v="1861"/>
    <x v="7"/>
    <x v="6"/>
    <x v="6"/>
    <s v="quinata"/>
    <n v="0.48"/>
    <x v="6"/>
    <n v="20.450000000000003"/>
    <n v="3.2845624350000012E-2"/>
    <n v="10"/>
    <n v="45"/>
    <n v="0.78539816339744828"/>
    <n v="6"/>
    <n v="3"/>
    <n v="5.235987755982989E-2"/>
    <x v="397"/>
    <n v="73.736521063091473"/>
    <n v="9.2170651328864341"/>
    <n v="36.868260531545737"/>
  </r>
  <r>
    <x v="4"/>
    <s v="NM, AM, EC, EL, RH"/>
    <x v="9"/>
    <s v="SO"/>
    <n v="8.41099"/>
    <n v="83.314139999999995"/>
    <n v="50"/>
    <n v="8"/>
    <n v="12.473321948616089"/>
    <n v="0.21770053666462572"/>
    <n v="21"/>
    <n v="1867"/>
    <x v="7"/>
    <x v="6"/>
    <x v="6"/>
    <s v="quinata"/>
    <n v="0.48"/>
    <x v="6"/>
    <n v="14.75"/>
    <n v="1.708735875E-2"/>
    <n v="11"/>
    <n v="51"/>
    <n v="0.89011791851710809"/>
    <n v="6"/>
    <n v="4"/>
    <n v="6.9813170079773182E-2"/>
    <x v="398"/>
    <n v="47.848051636428387"/>
    <n v="5.9810064545535484"/>
    <n v="23.924025818214194"/>
  </r>
  <r>
    <x v="4"/>
    <s v="NM, AM, EC, EL, RH"/>
    <x v="9"/>
    <s v="SO"/>
    <n v="8.41099"/>
    <n v="83.314139999999995"/>
    <n v="50"/>
    <n v="8"/>
    <n v="12.473321948616089"/>
    <n v="0.21770053666462572"/>
    <n v="21"/>
    <n v="1866"/>
    <x v="0"/>
    <x v="0"/>
    <x v="0"/>
    <s v="ferruginea"/>
    <n v="0.37"/>
    <x v="0"/>
    <n v="7.75"/>
    <n v="4.7173087500000004E-3"/>
    <n v="10"/>
    <n v="45"/>
    <n v="0.78539816339744828"/>
    <n v="7"/>
    <n v="5"/>
    <n v="8.7266462599716474E-2"/>
    <x v="399"/>
    <n v="9.5233254763348594"/>
    <n v="1.1904156845418574"/>
    <n v="4.7616627381674297"/>
  </r>
  <r>
    <x v="4"/>
    <s v="NM, AM, EC, EL, RH"/>
    <x v="9"/>
    <s v="SO"/>
    <n v="8.41099"/>
    <n v="83.314139999999995"/>
    <n v="50"/>
    <n v="8"/>
    <n v="12.473321948616089"/>
    <n v="0.21770053666462572"/>
    <n v="21"/>
    <n v="1868"/>
    <x v="25"/>
    <x v="5"/>
    <x v="1"/>
    <s v="-"/>
    <n v="0.57999999999999996"/>
    <x v="1"/>
    <n v="12.95"/>
    <n v="1.3171354349999999E-2"/>
    <n v="18"/>
    <n v="57"/>
    <n v="0.99483767363676789"/>
    <n v="8"/>
    <n v="2"/>
    <n v="3.4906585039886591E-2"/>
    <x v="400"/>
    <n v="74.685586629677374"/>
    <n v="9.3356983287096718"/>
    <n v="37.342793314838687"/>
  </r>
  <r>
    <x v="4"/>
    <s v="NM, AM, EC, EL, RH"/>
    <x v="9"/>
    <s v="SO"/>
    <n v="8.41099"/>
    <n v="83.314139999999995"/>
    <n v="50"/>
    <n v="8"/>
    <n v="12.473321948616089"/>
    <n v="0.21770053666462572"/>
    <n v="21"/>
    <n v="1865"/>
    <x v="0"/>
    <x v="0"/>
    <x v="0"/>
    <s v="ferruginea"/>
    <n v="0.37"/>
    <x v="0"/>
    <n v="11.35"/>
    <n v="1.0117719149999999E-2"/>
    <n v="8"/>
    <n v="42"/>
    <n v="0.73303828583761843"/>
    <n v="6"/>
    <n v="3"/>
    <n v="5.235987755982989E-2"/>
    <x v="401"/>
    <n v="14.850200437375664"/>
    <n v="1.856275054671958"/>
    <n v="7.4251002186878319"/>
  </r>
  <r>
    <x v="4"/>
    <s v="NM, AM, EC, EL, RH"/>
    <x v="9"/>
    <s v="SO"/>
    <n v="8.41099"/>
    <n v="83.314139999999995"/>
    <n v="50"/>
    <n v="8"/>
    <n v="12.473321948616089"/>
    <n v="0.21770053666462572"/>
    <n v="21"/>
    <n v="1864"/>
    <x v="0"/>
    <x v="0"/>
    <x v="0"/>
    <s v="ferruginea"/>
    <n v="0.37"/>
    <x v="0"/>
    <n v="6.15"/>
    <n v="2.9705791500000004E-3"/>
    <n v="8"/>
    <n v="48"/>
    <n v="0.83775804095727824"/>
    <n v="7"/>
    <n v="12"/>
    <n v="0.20943951023931956"/>
    <x v="402"/>
    <n v="5.9228528832901217"/>
    <n v="0.74035661041126521"/>
    <n v="2.9614264416450609"/>
  </r>
  <r>
    <x v="4"/>
    <s v="NM, AM, EC, EL, RH"/>
    <x v="9"/>
    <s v="SO"/>
    <n v="8.41099"/>
    <n v="83.314139999999995"/>
    <n v="50"/>
    <n v="8"/>
    <n v="12.473321948616089"/>
    <n v="0.21770053666462572"/>
    <n v="21"/>
    <n v="1861"/>
    <x v="7"/>
    <x v="6"/>
    <x v="6"/>
    <s v="quinata"/>
    <n v="0.48"/>
    <x v="6"/>
    <n v="12.6"/>
    <n v="1.2469010399999999E-2"/>
    <n v="7"/>
    <n v="42"/>
    <n v="0.73303828583761843"/>
    <n v="6"/>
    <n v="15"/>
    <n v="0.26179938779914941"/>
    <x v="403"/>
    <n v="25.479510722985907"/>
    <n v="3.1849388403732384"/>
    <n v="12.739755361492954"/>
  </r>
  <r>
    <x v="4"/>
    <s v="NM, AM, EC, EL, RH"/>
    <x v="9"/>
    <s v="SO"/>
    <n v="8.41099"/>
    <n v="83.314139999999995"/>
    <n v="50"/>
    <n v="8"/>
    <n v="12.473321948616089"/>
    <n v="0.21770053666462572"/>
    <n v="21"/>
    <n v="1862"/>
    <x v="32"/>
    <x v="2"/>
    <x v="24"/>
    <s v="cedron"/>
    <n v="0.47"/>
    <x v="7"/>
    <n v="5.95"/>
    <n v="2.7805123500000005E-3"/>
    <n v="8"/>
    <n v="44"/>
    <n v="0.76794487087750496"/>
    <n v="5"/>
    <n v="6"/>
    <n v="0.10471975511965978"/>
    <x v="404"/>
    <n v="5.9509852856827257"/>
    <n v="0.74387316071034071"/>
    <n v="2.9754926428413628"/>
  </r>
  <r>
    <x v="4"/>
    <s v="NM, AM, EC, EL, RH"/>
    <x v="9"/>
    <s v="SO"/>
    <n v="8.41099"/>
    <n v="83.314139999999995"/>
    <n v="50"/>
    <n v="8"/>
    <n v="12.473321948616089"/>
    <n v="0.21770053666462572"/>
    <n v="21"/>
    <n v="1863"/>
    <x v="32"/>
    <x v="2"/>
    <x v="24"/>
    <s v="cedron"/>
    <n v="0.47"/>
    <x v="7"/>
    <n v="5.75"/>
    <n v="2.59672875E-3"/>
    <n v="8"/>
    <n v="44"/>
    <n v="0.76794487087750496"/>
    <n v="5"/>
    <n v="6"/>
    <n v="0.10471975511965978"/>
    <x v="405"/>
    <n v="5.6706320008549067"/>
    <n v="0.70882900010686334"/>
    <n v="2.8353160004274534"/>
  </r>
  <r>
    <x v="4"/>
    <s v="NM, AM, EC, EL, RH"/>
    <x v="9"/>
    <s v="SO"/>
    <n v="8.41099"/>
    <n v="83.314139999999995"/>
    <n v="50"/>
    <n v="8"/>
    <n v="12.473321948616089"/>
    <n v="0.21770053666462572"/>
    <n v="21"/>
    <n v="1860"/>
    <x v="7"/>
    <x v="6"/>
    <x v="6"/>
    <s v="quinata"/>
    <n v="0.48"/>
    <x v="6"/>
    <n v="8.0500000000000007"/>
    <n v="5.0895883500000011E-3"/>
    <n v="10"/>
    <n v="30"/>
    <n v="0.52359877559829882"/>
    <n v="6"/>
    <n v="5"/>
    <n v="8.7266462599716474E-2"/>
    <x v="406"/>
    <n v="9.7895884668447728"/>
    <n v="1.2236985583555966"/>
    <n v="4.8947942334223864"/>
  </r>
  <r>
    <x v="4"/>
    <s v="NM, AM, EC, EL, RH"/>
    <x v="9"/>
    <s v="SO"/>
    <n v="8.41099"/>
    <n v="83.314139999999995"/>
    <n v="50"/>
    <n v="8"/>
    <n v="12.473321948616089"/>
    <n v="0.21770053666462572"/>
    <n v="21"/>
    <n v="1859"/>
    <x v="33"/>
    <x v="6"/>
    <x v="25"/>
    <s v="pyramidale"/>
    <n v="0.14000000000000001"/>
    <x v="9"/>
    <n v="38.1"/>
    <n v="0.11400944940000002"/>
    <n v="16"/>
    <n v="70"/>
    <n v="1.2217304763960306"/>
    <n v="5"/>
    <n v="3"/>
    <n v="5.235987755982989E-2"/>
    <x v="407"/>
    <n v="148.89652442288173"/>
    <n v="18.612065552860216"/>
    <n v="74.448262211440863"/>
  </r>
  <r>
    <x v="4"/>
    <s v="NM, AM, EC, EL, RH"/>
    <x v="9"/>
    <s v="SO"/>
    <n v="8.41099"/>
    <n v="83.314139999999995"/>
    <n v="50"/>
    <n v="8"/>
    <n v="12.473321948616089"/>
    <n v="0.21770053666462572"/>
    <n v="21"/>
    <n v="1857"/>
    <x v="3"/>
    <x v="3"/>
    <x v="3"/>
    <s v="parahyba"/>
    <n v="0.315"/>
    <x v="3"/>
    <n v="14.35"/>
    <n v="1.6173153150000001E-2"/>
    <n v="13"/>
    <n v="69"/>
    <n v="1.2042771838760873"/>
    <n v="5"/>
    <n v="15"/>
    <n v="0.26179938779914941"/>
    <x v="408"/>
    <n v="45.036656892047169"/>
    <n v="5.6295821115058962"/>
    <n v="22.518328446023585"/>
  </r>
  <r>
    <x v="4"/>
    <s v="NM, AM, EC, EL, RH"/>
    <x v="9"/>
    <s v="SO"/>
    <n v="8.41099"/>
    <n v="83.314139999999995"/>
    <n v="50"/>
    <n v="8"/>
    <n v="12.473321948616089"/>
    <n v="0.21770053666462572"/>
    <n v="21"/>
    <n v="1858"/>
    <x v="3"/>
    <x v="3"/>
    <x v="3"/>
    <s v="parahyba"/>
    <n v="0.315"/>
    <x v="3"/>
    <n v="8.0500000000000007"/>
    <n v="5.0895883500000011E-3"/>
    <n v="10"/>
    <n v="40"/>
    <n v="0.69813170079773179"/>
    <n v="10"/>
    <n v="10"/>
    <n v="0.17453292519943295"/>
    <x v="409"/>
    <n v="9.5142948921017041"/>
    <n v="1.189286861512713"/>
    <n v="4.757147446050852"/>
  </r>
  <r>
    <x v="4"/>
    <s v="NM, AM, EC, EL, RH"/>
    <x v="9"/>
    <s v="SO"/>
    <n v="8.41099"/>
    <n v="83.314139999999995"/>
    <n v="50"/>
    <n v="8"/>
    <n v="12.473321948616089"/>
    <n v="0.21770053666462572"/>
    <n v="21"/>
    <n v="1856"/>
    <x v="14"/>
    <x v="0"/>
    <x v="0"/>
    <s v="allenii"/>
    <n v="0.48"/>
    <x v="7"/>
    <n v="25.45"/>
    <n v="5.087055435E-2"/>
    <n v="11"/>
    <n v="50"/>
    <n v="0.87266462599716477"/>
    <n v="9"/>
    <n v="8"/>
    <n v="0.13962634015954636"/>
    <x v="410"/>
    <n v="144.41229072386199"/>
    <n v="18.051536340482748"/>
    <n v="72.206145361930993"/>
  </r>
  <r>
    <x v="4"/>
    <s v="NM, AM, EC, EL, RH"/>
    <x v="9"/>
    <s v="SO"/>
    <n v="8.41099"/>
    <n v="83.314139999999995"/>
    <n v="50"/>
    <n v="8"/>
    <n v="12.473321948616089"/>
    <n v="0.21770053666462572"/>
    <n v="21"/>
    <n v="1855"/>
    <x v="14"/>
    <x v="0"/>
    <x v="0"/>
    <s v="allenii"/>
    <n v="0.48"/>
    <x v="7"/>
    <n v="13.3"/>
    <n v="1.3892940600000002E-2"/>
    <n v="11"/>
    <n v="50"/>
    <n v="0.87266462599716477"/>
    <n v="8"/>
    <n v="13"/>
    <n v="0.22689280275926285"/>
    <x v="411"/>
    <n v="44.894888283406871"/>
    <n v="5.6118610354258589"/>
    <n v="22.447444141703436"/>
  </r>
  <r>
    <x v="4"/>
    <s v="NM, AM, EC, EL, RH"/>
    <x v="9"/>
    <s v="SO"/>
    <n v="8.41099"/>
    <n v="83.314139999999995"/>
    <n v="50"/>
    <n v="8"/>
    <n v="12.473321948616089"/>
    <n v="0.21770053666462572"/>
    <n v="21"/>
    <n v="1854"/>
    <x v="0"/>
    <x v="0"/>
    <x v="0"/>
    <s v="ferruginea"/>
    <n v="0.37"/>
    <x v="0"/>
    <n v="8.4"/>
    <n v="5.5417824000000004E-3"/>
    <n v="9"/>
    <n v="58"/>
    <n v="1.0122909661567112"/>
    <n v="6"/>
    <n v="15"/>
    <n v="0.26179938779914941"/>
    <x v="412"/>
    <n v="13.394491753895108"/>
    <n v="1.6743114692368886"/>
    <n v="6.6972458769475542"/>
  </r>
  <r>
    <x v="4"/>
    <s v="NM, AM, EC, EL, RH"/>
    <x v="9"/>
    <s v="SO"/>
    <n v="8.41099"/>
    <n v="83.314139999999995"/>
    <n v="50"/>
    <n v="8"/>
    <n v="12.473321948616089"/>
    <n v="0.21770053666462572"/>
    <n v="21"/>
    <n v="1853"/>
    <x v="7"/>
    <x v="6"/>
    <x v="6"/>
    <s v="quinata"/>
    <n v="0.48"/>
    <x v="6"/>
    <n v="15"/>
    <n v="1.76715E-2"/>
    <n v="7"/>
    <n v="45"/>
    <n v="0.78539816339744828"/>
    <n v="8"/>
    <n v="15"/>
    <n v="0.26179938779914941"/>
    <x v="413"/>
    <n v="39.523406809635638"/>
    <n v="4.9404258512044548"/>
    <n v="19.761703404817819"/>
  </r>
  <r>
    <x v="4"/>
    <s v="NM, AM, EC, EL, RH"/>
    <x v="9"/>
    <s v="SO"/>
    <n v="8.41099"/>
    <n v="83.314139999999995"/>
    <n v="50"/>
    <n v="8"/>
    <n v="12.473321948616089"/>
    <n v="0.21770053666462572"/>
    <n v="21"/>
    <n v="1852"/>
    <x v="3"/>
    <x v="3"/>
    <x v="3"/>
    <s v="parahyba"/>
    <n v="0.315"/>
    <x v="3"/>
    <n v="18.649999999999999"/>
    <n v="2.7317979149999998E-2"/>
    <n v="15"/>
    <n v="78"/>
    <n v="1.3613568165555769"/>
    <n v="5"/>
    <n v="15"/>
    <n v="0.26179938779914941"/>
    <x v="414"/>
    <n v="86.728556488326305"/>
    <n v="10.841069561040788"/>
    <n v="43.364278244163152"/>
  </r>
  <r>
    <x v="4"/>
    <s v="NM, AM, EC, EL, RH"/>
    <x v="9"/>
    <s v="SO"/>
    <n v="8.41099"/>
    <n v="83.314139999999995"/>
    <n v="50"/>
    <n v="8"/>
    <n v="12.473321948616089"/>
    <n v="0.21770053666462572"/>
    <n v="21"/>
    <n v="1851"/>
    <x v="0"/>
    <x v="0"/>
    <x v="0"/>
    <s v="ferruginea"/>
    <n v="0.37"/>
    <x v="0"/>
    <n v="7"/>
    <n v="3.8484600000000002E-3"/>
    <n v="7"/>
    <n v="45"/>
    <n v="0.78539816339744828"/>
    <n v="7"/>
    <n v="25"/>
    <n v="0.43633231299858238"/>
    <x v="415"/>
    <n v="8.2592803015696816"/>
    <n v="1.0324100376962102"/>
    <n v="4.1296401507848408"/>
  </r>
  <r>
    <x v="4"/>
    <s v="NM, AM, EC, EL, RH"/>
    <x v="9"/>
    <s v="SO"/>
    <n v="8.41099"/>
    <n v="83.314139999999995"/>
    <n v="50"/>
    <n v="8"/>
    <n v="12.473321948616089"/>
    <n v="0.21770053666462572"/>
    <n v="21"/>
    <n v="1850"/>
    <x v="3"/>
    <x v="3"/>
    <x v="3"/>
    <s v="parahyba"/>
    <n v="0.315"/>
    <x v="3"/>
    <n v="19.55"/>
    <n v="3.0018184350000005E-2"/>
    <n v="17"/>
    <n v="80"/>
    <n v="1.3962634015954636"/>
    <n v="5"/>
    <n v="5"/>
    <n v="8.7266462599716474E-2"/>
    <x v="416"/>
    <n v="101.50610505571457"/>
    <n v="12.688263131964321"/>
    <n v="50.753052527857285"/>
  </r>
  <r>
    <x v="4"/>
    <s v="NM, AM, EC, EL, RH"/>
    <x v="9"/>
    <s v="SO"/>
    <n v="8.41099"/>
    <n v="83.314139999999995"/>
    <n v="50"/>
    <n v="8"/>
    <n v="12.473321948616089"/>
    <n v="0.21770053666462572"/>
    <n v="21"/>
    <n v="1847"/>
    <x v="7"/>
    <x v="6"/>
    <x v="6"/>
    <s v="quinata"/>
    <n v="0.48"/>
    <x v="6"/>
    <n v="15.55"/>
    <n v="1.899116835E-2"/>
    <n v="6"/>
    <n v="35"/>
    <n v="0.6108652381980153"/>
    <n v="5"/>
    <n v="15"/>
    <n v="0.26179938779914941"/>
    <x v="417"/>
    <n v="29.209905780521179"/>
    <n v="3.6512382225651474"/>
    <n v="14.60495289026059"/>
  </r>
  <r>
    <x v="4"/>
    <s v="NM, AM, EC, EL, RH"/>
    <x v="9"/>
    <s v="SO"/>
    <n v="8.41099"/>
    <n v="83.314139999999995"/>
    <n v="50"/>
    <n v="8"/>
    <n v="12.473321948616089"/>
    <n v="0.21770053666462572"/>
    <n v="21"/>
    <n v="1848"/>
    <x v="25"/>
    <x v="5"/>
    <x v="1"/>
    <s v="-"/>
    <n v="0.57999999999999996"/>
    <x v="1"/>
    <n v="18.8"/>
    <n v="2.7759177600000004E-2"/>
    <n v="10"/>
    <n v="48"/>
    <n v="0.83775804095727824"/>
    <n v="5"/>
    <n v="15"/>
    <n v="0.26179938779914941"/>
    <x v="418"/>
    <n v="88.56165617308406"/>
    <n v="11.070207021635508"/>
    <n v="44.28082808654203"/>
  </r>
  <r>
    <x v="4"/>
    <s v="NM, AM, EC, EL, RH"/>
    <x v="9"/>
    <s v="SO"/>
    <n v="8.41099"/>
    <n v="83.314139999999995"/>
    <n v="50"/>
    <n v="8"/>
    <n v="12.473321948616089"/>
    <n v="0.21770053666462572"/>
    <n v="21"/>
    <n v="1849"/>
    <x v="25"/>
    <x v="5"/>
    <x v="1"/>
    <s v="-"/>
    <n v="0.57999999999999996"/>
    <x v="1"/>
    <n v="24.7"/>
    <n v="4.7916468599999998E-2"/>
    <n v="9"/>
    <n v="40"/>
    <n v="0.69813170079773179"/>
    <n v="5"/>
    <n v="15"/>
    <n v="0.26179938779914941"/>
    <x v="419"/>
    <n v="121.54539217888087"/>
    <n v="15.193174022360109"/>
    <n v="60.772696089440437"/>
  </r>
  <r>
    <x v="4"/>
    <s v="NM, AM, EC, EL, RH"/>
    <x v="9"/>
    <s v="SO"/>
    <n v="8.41099"/>
    <n v="83.314139999999995"/>
    <n v="50"/>
    <n v="8"/>
    <n v="12.473321948616089"/>
    <n v="0.21770053666462572"/>
    <n v="21"/>
    <n v="1846"/>
    <x v="3"/>
    <x v="3"/>
    <x v="3"/>
    <s v="parahyba"/>
    <n v="0.315"/>
    <x v="3"/>
    <n v="15"/>
    <n v="1.76715E-2"/>
    <n v="10"/>
    <n v="64"/>
    <n v="1.1170107212763709"/>
    <n v="5"/>
    <n v="13"/>
    <n v="0.22689280275926285"/>
    <x v="420"/>
    <n v="37.488678629220722"/>
    <n v="4.6860848286525902"/>
    <n v="18.744339314610361"/>
  </r>
  <r>
    <x v="4"/>
    <s v="NM, AM, EC, EL, RH"/>
    <x v="9"/>
    <s v="SO"/>
    <n v="8.41099"/>
    <n v="83.314139999999995"/>
    <n v="50"/>
    <n v="8"/>
    <n v="12.473321948616089"/>
    <n v="0.21770053666462572"/>
    <n v="21"/>
    <n v="1844"/>
    <x v="0"/>
    <x v="0"/>
    <x v="0"/>
    <s v="ferruginea"/>
    <n v="0.37"/>
    <x v="0"/>
    <n v="8.8000000000000007"/>
    <n v="6.0821376000000016E-3"/>
    <n v="8"/>
    <n v="42"/>
    <n v="0.73303828583761843"/>
    <n v="6"/>
    <n v="13"/>
    <n v="0.22689280275926285"/>
    <x v="421"/>
    <n v="10.871179764745778"/>
    <n v="1.3588974705932222"/>
    <n v="5.4355898823728888"/>
  </r>
  <r>
    <x v="4"/>
    <s v="NM, AM, EC, EL, RH"/>
    <x v="9"/>
    <s v="SO"/>
    <n v="8.41099"/>
    <n v="83.314139999999995"/>
    <n v="50"/>
    <n v="8"/>
    <n v="12.473321948616089"/>
    <n v="0.21770053666462572"/>
    <n v="21"/>
    <n v="1845"/>
    <x v="12"/>
    <x v="6"/>
    <x v="11"/>
    <s v="pentandra"/>
    <n v="0.35"/>
    <x v="7"/>
    <n v="11"/>
    <n v="9.5033400000000007E-3"/>
    <n v="11"/>
    <n v="50"/>
    <n v="0.87266462599716477"/>
    <n v="5"/>
    <n v="10"/>
    <n v="0.17453292519943295"/>
    <x v="422"/>
    <n v="21.342559089698554"/>
    <n v="2.6678198862123192"/>
    <n v="10.671279544849277"/>
  </r>
  <r>
    <x v="4"/>
    <s v="NM, AM, EC, EL, RH"/>
    <x v="9"/>
    <s v="SO"/>
    <n v="8.41099"/>
    <n v="83.314139999999995"/>
    <n v="50"/>
    <n v="8"/>
    <n v="12.473321948616089"/>
    <n v="0.21770053666462572"/>
    <n v="21"/>
    <n v="1841"/>
    <x v="25"/>
    <x v="5"/>
    <x v="1"/>
    <s v="-"/>
    <n v="0.57999999999999996"/>
    <x v="1"/>
    <n v="6.75"/>
    <n v="3.57847875E-3"/>
    <n v="6"/>
    <n v="45"/>
    <n v="0.78539816339744828"/>
    <n v="5"/>
    <n v="20"/>
    <n v="0.3490658503988659"/>
    <x v="423"/>
    <n v="9.0117497606478931"/>
    <n v="1.1264687200809866"/>
    <n v="4.5058748803239466"/>
  </r>
  <r>
    <x v="4"/>
    <s v="NM, AM, EC, EL, RH"/>
    <x v="9"/>
    <s v="SO"/>
    <n v="8.41099"/>
    <n v="83.314139999999995"/>
    <n v="50"/>
    <n v="8"/>
    <n v="12.473321948616089"/>
    <n v="0.21770053666462572"/>
    <n v="21"/>
    <n v="1842"/>
    <x v="13"/>
    <x v="5"/>
    <x v="1"/>
    <s v="-"/>
    <n v="0.57999999999999996"/>
    <x v="1"/>
    <n v="9.6"/>
    <n v="7.2382464000000004E-3"/>
    <n v="7"/>
    <n v="50"/>
    <n v="0.87266462599716477"/>
    <n v="6"/>
    <n v="15"/>
    <n v="0.26179938779914941"/>
    <x v="424"/>
    <n v="20.117402800671577"/>
    <n v="2.5146753500839472"/>
    <n v="10.058701400335789"/>
  </r>
  <r>
    <x v="4"/>
    <s v="NM, AM, EC, EL, RH"/>
    <x v="9"/>
    <s v="SO"/>
    <n v="8.41099"/>
    <n v="83.314139999999995"/>
    <n v="50"/>
    <n v="8"/>
    <n v="12.473321948616089"/>
    <n v="0.21770053666462572"/>
    <n v="21"/>
    <n v="1843"/>
    <x v="25"/>
    <x v="5"/>
    <x v="1"/>
    <s v="-"/>
    <n v="0.57999999999999996"/>
    <x v="1"/>
    <n v="7.4499999999999993"/>
    <n v="4.3591663499999997E-3"/>
    <n v="8"/>
    <n v="43"/>
    <n v="0.75049157835756175"/>
    <n v="5"/>
    <n v="15"/>
    <n v="0.26179938779914941"/>
    <x v="425"/>
    <n v="12.209231827247637"/>
    <n v="1.5261539784059546"/>
    <n v="6.1046159136238183"/>
  </r>
  <r>
    <x v="4"/>
    <s v="NM, AM, EC, EL, RH"/>
    <x v="9"/>
    <s v="SO"/>
    <n v="8.41099"/>
    <n v="83.314139999999995"/>
    <n v="50"/>
    <n v="8"/>
    <n v="12.473321948616089"/>
    <n v="0.21770053666462572"/>
    <n v="21"/>
    <n v="1840"/>
    <x v="25"/>
    <x v="5"/>
    <x v="1"/>
    <s v="-"/>
    <n v="0.57999999999999996"/>
    <x v="1"/>
    <n v="8.9499999999999993"/>
    <n v="6.2912503499999994E-3"/>
    <n v="12"/>
    <n v="58"/>
    <n v="1.0122909661567112"/>
    <n v="5"/>
    <n v="15"/>
    <n v="0.26179938779914941"/>
    <x v="426"/>
    <n v="28.374282272020448"/>
    <n v="3.546785284002556"/>
    <n v="14.187141136010224"/>
  </r>
  <r>
    <x v="4"/>
    <s v="NM, AM, EC, EL, RH"/>
    <x v="9"/>
    <s v="SO"/>
    <n v="8.41099"/>
    <n v="83.314139999999995"/>
    <n v="50"/>
    <n v="8"/>
    <n v="12.473321948616089"/>
    <n v="0.21770053666462572"/>
    <n v="21"/>
    <n v="1839"/>
    <x v="29"/>
    <x v="7"/>
    <x v="1"/>
    <s v="-"/>
    <n v="0.69"/>
    <x v="7"/>
    <n v="11"/>
    <n v="9.5033400000000007E-3"/>
    <n v="10"/>
    <n v="57"/>
    <n v="0.99483767363676789"/>
    <n v="5"/>
    <n v="16"/>
    <n v="0.27925268031909273"/>
    <x v="427"/>
    <n v="42.314141254438418"/>
    <n v="5.2892676568048023"/>
    <n v="21.157070627219209"/>
  </r>
  <r>
    <x v="4"/>
    <s v="NM, AM, EC, EL, RH"/>
    <x v="9"/>
    <s v="SO"/>
    <n v="8.41099"/>
    <n v="83.314139999999995"/>
    <n v="50"/>
    <n v="8"/>
    <n v="12.473321948616089"/>
    <n v="0.21770053666462572"/>
    <n v="21"/>
    <n v="1838"/>
    <x v="0"/>
    <x v="0"/>
    <x v="0"/>
    <s v="ferruginea"/>
    <n v="0.37"/>
    <x v="0"/>
    <n v="9.25"/>
    <n v="6.7200787500000005E-3"/>
    <n v="12"/>
    <n v="58"/>
    <n v="1.0122909661567112"/>
    <n v="7"/>
    <n v="17"/>
    <n v="0.29670597283903605"/>
    <x v="428"/>
    <n v="21.002496634060552"/>
    <n v="2.625312079257569"/>
    <n v="10.501248317030276"/>
  </r>
  <r>
    <x v="4"/>
    <s v="NM, AM, EC, EL, RH"/>
    <x v="9"/>
    <s v="SO"/>
    <n v="8.41099"/>
    <n v="83.314139999999995"/>
    <n v="50"/>
    <n v="8"/>
    <n v="12.473321948616089"/>
    <n v="0.21770053666462572"/>
    <n v="21"/>
    <n v="1837"/>
    <x v="25"/>
    <x v="5"/>
    <x v="1"/>
    <s v="-"/>
    <n v="0.57999999999999996"/>
    <x v="1"/>
    <n v="16.55"/>
    <n v="2.1512302350000005E-2"/>
    <n v="12"/>
    <n v="63"/>
    <n v="1.0995574287564276"/>
    <n v="5"/>
    <n v="17"/>
    <n v="0.29670597283903605"/>
    <x v="429"/>
    <n v="95.16083133062746"/>
    <n v="11.895103916328432"/>
    <n v="47.58041566531373"/>
  </r>
  <r>
    <x v="4"/>
    <s v="NM, AM, EC, EL, RH"/>
    <x v="9"/>
    <s v="SO"/>
    <n v="8.41099"/>
    <n v="83.314139999999995"/>
    <n v="50"/>
    <n v="8"/>
    <n v="12.473321948616089"/>
    <n v="0.21770053666462572"/>
    <n v="21"/>
    <n v="1835"/>
    <x v="25"/>
    <x v="5"/>
    <x v="1"/>
    <s v="-"/>
    <n v="0.57999999999999996"/>
    <x v="1"/>
    <n v="27.9"/>
    <n v="6.1136321399999999E-2"/>
    <n v="13"/>
    <n v="65"/>
    <n v="1.1344640137963142"/>
    <n v="6"/>
    <n v="19"/>
    <n v="0.33161255787892263"/>
    <x v="430"/>
    <n v="284.96470450927637"/>
    <n v="35.620588063659547"/>
    <n v="142.48235225463819"/>
  </r>
  <r>
    <x v="4"/>
    <s v="NM, AM, EC, EL, RH"/>
    <x v="9"/>
    <s v="SO"/>
    <n v="8.41099"/>
    <n v="83.314139999999995"/>
    <n v="50"/>
    <n v="8"/>
    <n v="12.473321948616089"/>
    <n v="0.21770053666462572"/>
    <n v="21"/>
    <n v="1836"/>
    <x v="4"/>
    <x v="4"/>
    <x v="4"/>
    <s v="latifolia"/>
    <n v="0.75"/>
    <x v="4"/>
    <n v="32.65"/>
    <n v="8.3725407149999986E-2"/>
    <n v="10"/>
    <n v="63"/>
    <n v="1.0995574287564276"/>
    <n v="6"/>
    <n v="22"/>
    <n v="0.38397243543875248"/>
    <x v="431"/>
    <n v="401.08837333882002"/>
    <n v="50.136046667352502"/>
    <n v="200.54418666941001"/>
  </r>
  <r>
    <x v="4"/>
    <s v="NM, AM, EC, EL, RH"/>
    <x v="9"/>
    <s v="SO"/>
    <n v="8.41099"/>
    <n v="83.314139999999995"/>
    <n v="50"/>
    <n v="8"/>
    <n v="12.473321948616089"/>
    <n v="0.21770053666462572"/>
    <n v="21"/>
    <n v="1834"/>
    <x v="25"/>
    <x v="5"/>
    <x v="1"/>
    <s v="-"/>
    <n v="0.57999999999999996"/>
    <x v="1"/>
    <n v="17.399999999999999"/>
    <n v="2.3778770399999996E-2"/>
    <n v="10"/>
    <n v="40"/>
    <n v="0.69813170079773179"/>
    <n v="5"/>
    <n v="25"/>
    <n v="0.43633231299858238"/>
    <x v="432"/>
    <n v="75.046987312473092"/>
    <n v="9.3808734140591366"/>
    <n v="37.523493656236546"/>
  </r>
  <r>
    <x v="4"/>
    <s v="NM, AM, EC, EL, RH"/>
    <x v="9"/>
    <s v="SO"/>
    <n v="8.41099"/>
    <n v="83.314139999999995"/>
    <n v="50"/>
    <n v="8"/>
    <n v="12.473321948616089"/>
    <n v="0.21770053666462572"/>
    <n v="21"/>
    <n v="1832"/>
    <x v="29"/>
    <x v="7"/>
    <x v="1"/>
    <s v="-"/>
    <n v="0.69"/>
    <x v="7"/>
    <n v="7.8"/>
    <n v="4.7783736E-3"/>
    <n v="8"/>
    <n v="58"/>
    <n v="1.0122909661567112"/>
    <n v="6"/>
    <n v="5"/>
    <n v="8.7266462599716474E-2"/>
    <x v="433"/>
    <n v="16.883027000950751"/>
    <n v="2.1103783751188439"/>
    <n v="8.4415135004753754"/>
  </r>
  <r>
    <x v="5"/>
    <s v="NM, AM"/>
    <x v="10"/>
    <s v="SO"/>
    <n v="8.4108499999999999"/>
    <n v="83.313320000000004"/>
    <n v="100"/>
    <n v="-5"/>
    <n v="-19.983330554894014"/>
    <n v="-0.34877491369728597"/>
    <n v="21"/>
    <n v="120"/>
    <x v="14"/>
    <x v="0"/>
    <x v="0"/>
    <s v="allenii"/>
    <n v="0.48"/>
    <x v="7"/>
    <n v="13.4"/>
    <n v="1.41026424E-2"/>
    <n v="13"/>
    <n v="65"/>
    <n v="1.1344640137963142"/>
    <n v="6"/>
    <n v="15"/>
    <n v="0.26179938779914941"/>
    <x v="434"/>
    <n v="58.43544522523645"/>
    <n v="7.3044306531545562"/>
    <n v="29.217722612618225"/>
  </r>
  <r>
    <x v="5"/>
    <s v="NM, AM"/>
    <x v="10"/>
    <s v="SO"/>
    <n v="8.4108499999999999"/>
    <n v="83.313320000000004"/>
    <n v="100"/>
    <n v="-5"/>
    <n v="-19.983330554894014"/>
    <n v="-0.34877491369728597"/>
    <n v="21"/>
    <n v="121"/>
    <x v="7"/>
    <x v="6"/>
    <x v="6"/>
    <s v="quinata"/>
    <n v="0.48"/>
    <x v="6"/>
    <n v="14.5"/>
    <n v="1.6513035000000002E-2"/>
    <n v="11"/>
    <n v="60"/>
    <n v="1.0471975511965976"/>
    <n v="5"/>
    <n v="15"/>
    <n v="0.26179938779914941"/>
    <x v="239"/>
    <n v="55.691394107580138"/>
    <n v="6.9614242634475172"/>
    <n v="27.845697053790069"/>
  </r>
  <r>
    <x v="5"/>
    <s v="NM, AM"/>
    <x v="10"/>
    <s v="SO"/>
    <n v="8.4108499999999999"/>
    <n v="83.313320000000004"/>
    <n v="100"/>
    <n v="-5"/>
    <n v="-19.983330554894014"/>
    <n v="-0.34877491369728597"/>
    <n v="21"/>
    <n v="113"/>
    <x v="3"/>
    <x v="3"/>
    <x v="3"/>
    <s v="parahyba"/>
    <n v="0.315"/>
    <x v="3"/>
    <n v="20"/>
    <n v="3.1415999999999999E-2"/>
    <n v="28"/>
    <n v="77"/>
    <n v="1.3439035240356338"/>
    <n v="5"/>
    <n v="20"/>
    <n v="0.3490658503988659"/>
    <x v="435"/>
    <n v="173.28382744167044"/>
    <n v="21.660478430208805"/>
    <n v="86.64191372083522"/>
  </r>
  <r>
    <x v="5"/>
    <s v="NM, AM"/>
    <x v="10"/>
    <s v="SO"/>
    <n v="8.4108499999999999"/>
    <n v="83.313320000000004"/>
    <n v="100"/>
    <n v="-5"/>
    <n v="-19.983330554894014"/>
    <n v="-0.34877491369728597"/>
    <n v="21"/>
    <n v="114"/>
    <x v="3"/>
    <x v="3"/>
    <x v="3"/>
    <s v="parahyba"/>
    <n v="0.315"/>
    <x v="3"/>
    <n v="17"/>
    <n v="2.2698060000000003E-2"/>
    <n v="22"/>
    <n v="77"/>
    <n v="1.3439035240356338"/>
    <n v="5"/>
    <n v="20"/>
    <n v="0.3490658503988659"/>
    <x v="436"/>
    <n v="103.30688740379881"/>
    <n v="12.913360925474851"/>
    <n v="51.653443701899405"/>
  </r>
  <r>
    <x v="5"/>
    <s v="NM, AM"/>
    <x v="10"/>
    <s v="SO"/>
    <n v="8.4108499999999999"/>
    <n v="83.313320000000004"/>
    <n v="100"/>
    <n v="-5"/>
    <n v="-19.983330554894014"/>
    <n v="-0.34877491369728597"/>
    <n v="21"/>
    <n v="115"/>
    <x v="3"/>
    <x v="3"/>
    <x v="3"/>
    <s v="parahyba"/>
    <n v="0.315"/>
    <x v="3"/>
    <n v="10"/>
    <n v="7.8539999999999999E-3"/>
    <n v="17"/>
    <n v="70"/>
    <n v="1.2217304763960306"/>
    <n v="5"/>
    <n v="20"/>
    <n v="0.3490658503988659"/>
    <x v="437"/>
    <n v="29.581454412848348"/>
    <n v="3.6976818016060435"/>
    <n v="14.790727206424174"/>
  </r>
  <r>
    <x v="5"/>
    <s v="NM, AM"/>
    <x v="10"/>
    <s v="SO"/>
    <n v="8.4108499999999999"/>
    <n v="83.313320000000004"/>
    <n v="100"/>
    <n v="-5"/>
    <n v="-19.983330554894014"/>
    <n v="-0.34877491369728597"/>
    <n v="21"/>
    <n v="121"/>
    <x v="0"/>
    <x v="0"/>
    <x v="0"/>
    <s v="ferruginea"/>
    <n v="0.37"/>
    <x v="0"/>
    <n v="13"/>
    <n v="1.327326E-2"/>
    <n v="15"/>
    <n v="60"/>
    <n v="1.0471975511965976"/>
    <n v="6"/>
    <n v="18"/>
    <n v="0.31415926535897931"/>
    <x v="438"/>
    <n v="47.803095124189227"/>
    <n v="5.9753868905236533"/>
    <n v="23.901547562094613"/>
  </r>
  <r>
    <x v="5"/>
    <s v="NM, AM"/>
    <x v="10"/>
    <s v="SO"/>
    <n v="8.4108499999999999"/>
    <n v="83.313320000000004"/>
    <n v="100"/>
    <n v="-5"/>
    <n v="-19.983330554894014"/>
    <n v="-0.34877491369728597"/>
    <n v="21"/>
    <n v="111"/>
    <x v="7"/>
    <x v="6"/>
    <x v="6"/>
    <s v="quinata"/>
    <n v="0.48"/>
    <x v="6"/>
    <n v="7.2"/>
    <n v="4.0715136000000008E-3"/>
    <n v="12"/>
    <n v="45"/>
    <n v="0.78539816339744828"/>
    <n v="6"/>
    <n v="18"/>
    <n v="0.31415926535897931"/>
    <x v="439"/>
    <n v="14.309963857175511"/>
    <n v="1.7887454821469388"/>
    <n v="7.1549819285877554"/>
  </r>
  <r>
    <x v="5"/>
    <s v="NM, AM"/>
    <x v="10"/>
    <s v="SO"/>
    <n v="8.4108499999999999"/>
    <n v="83.313320000000004"/>
    <n v="100"/>
    <n v="-5"/>
    <n v="-19.983330554894014"/>
    <n v="-0.34877491369728597"/>
    <n v="21"/>
    <n v="110"/>
    <x v="0"/>
    <x v="0"/>
    <x v="0"/>
    <s v="ferruginea"/>
    <n v="0.37"/>
    <x v="0"/>
    <n v="13.8"/>
    <n v="1.4957157600000003E-2"/>
    <n v="11"/>
    <n v="53"/>
    <n v="0.92502450355699462"/>
    <n v="6"/>
    <n v="18"/>
    <n v="0.31415926535897931"/>
    <x v="440"/>
    <n v="39.10518429631982"/>
    <n v="4.8881480370399775"/>
    <n v="19.55259214815991"/>
  </r>
  <r>
    <x v="5"/>
    <s v="NM, AM"/>
    <x v="10"/>
    <s v="SO"/>
    <n v="8.4108499999999999"/>
    <n v="83.313320000000004"/>
    <n v="100"/>
    <n v="-5"/>
    <n v="-19.983330554894014"/>
    <n v="-0.34877491369728597"/>
    <n v="21"/>
    <n v="109"/>
    <x v="7"/>
    <x v="6"/>
    <x v="6"/>
    <s v="quinata"/>
    <n v="0.48"/>
    <x v="6"/>
    <n v="10"/>
    <n v="7.8539999999999999E-3"/>
    <n v="12"/>
    <n v="60"/>
    <n v="1.0471975511965976"/>
    <n v="5"/>
    <n v="13"/>
    <n v="0.22689280275926285"/>
    <x v="441"/>
    <n v="29.369031167568263"/>
    <n v="3.6711288959460329"/>
    <n v="14.684515583784131"/>
  </r>
  <r>
    <x v="5"/>
    <s v="NM, AM"/>
    <x v="10"/>
    <s v="SO"/>
    <n v="8.4108499999999999"/>
    <n v="83.313320000000004"/>
    <n v="100"/>
    <n v="-5"/>
    <n v="-19.983330554894014"/>
    <n v="-0.34877491369728597"/>
    <n v="21"/>
    <n v="108"/>
    <x v="0"/>
    <x v="0"/>
    <x v="0"/>
    <s v="ferruginea"/>
    <n v="0.37"/>
    <x v="0"/>
    <n v="8"/>
    <n v="5.0265600000000002E-3"/>
    <n v="12"/>
    <n v="62"/>
    <n v="1.0821041362364843"/>
    <n v="5"/>
    <n v="20"/>
    <n v="0.3490658503988659"/>
    <x v="442"/>
    <n v="16.086919618407695"/>
    <n v="2.0108649523009618"/>
    <n v="8.0434598092038474"/>
  </r>
  <r>
    <x v="5"/>
    <s v="NM, AM"/>
    <x v="10"/>
    <s v="SO"/>
    <n v="8.4108499999999999"/>
    <n v="83.313320000000004"/>
    <n v="100"/>
    <n v="-5"/>
    <n v="-19.983330554894014"/>
    <n v="-0.34877491369728597"/>
    <n v="21"/>
    <n v="107"/>
    <x v="7"/>
    <x v="6"/>
    <x v="6"/>
    <s v="quinata"/>
    <n v="0.48"/>
    <x v="6"/>
    <n v="22"/>
    <n v="3.8013360000000003E-2"/>
    <n v="13"/>
    <n v="62"/>
    <n v="1.0821041362364843"/>
    <n v="7"/>
    <n v="19"/>
    <n v="0.33161255787892263"/>
    <x v="443"/>
    <n v="152.82845220940712"/>
    <n v="19.10355652617589"/>
    <n v="76.414226104703559"/>
  </r>
  <r>
    <x v="5"/>
    <s v="NM, AM"/>
    <x v="10"/>
    <s v="SO"/>
    <n v="8.4108499999999999"/>
    <n v="83.313320000000004"/>
    <n v="100"/>
    <n v="-5"/>
    <n v="-19.983330554894014"/>
    <n v="-0.34877491369728597"/>
    <n v="21"/>
    <n v="106"/>
    <x v="15"/>
    <x v="9"/>
    <x v="12"/>
    <s v="insularis"/>
    <n v="0.53"/>
    <x v="7"/>
    <n v="7.3"/>
    <n v="4.1853966000000003E-3"/>
    <n v="9"/>
    <n v="63"/>
    <n v="1.0995574287564276"/>
    <n v="7"/>
    <n v="19"/>
    <n v="0.33161255787892263"/>
    <x v="444"/>
    <n v="16.05895011772472"/>
    <n v="2.00736876471559"/>
    <n v="8.02947505886236"/>
  </r>
  <r>
    <x v="5"/>
    <s v="NM, AM"/>
    <x v="10"/>
    <s v="SO"/>
    <n v="8.4108499999999999"/>
    <n v="83.313320000000004"/>
    <n v="100"/>
    <n v="-5"/>
    <n v="-19.983330554894014"/>
    <n v="-0.34877491369728597"/>
    <n v="21"/>
    <n v="105"/>
    <x v="14"/>
    <x v="0"/>
    <x v="0"/>
    <s v="allenii"/>
    <n v="0.48"/>
    <x v="7"/>
    <n v="18"/>
    <n v="2.5446960000000001E-2"/>
    <n v="17"/>
    <n v="65"/>
    <n v="1.1344640137963142"/>
    <n v="6"/>
    <n v="17"/>
    <n v="0.29670597283903605"/>
    <x v="445"/>
    <n v="129.00954231095156"/>
    <n v="16.126192788868945"/>
    <n v="64.50477115547578"/>
  </r>
  <r>
    <x v="5"/>
    <s v="NM, AM"/>
    <x v="10"/>
    <s v="SO"/>
    <n v="8.4108499999999999"/>
    <n v="83.313320000000004"/>
    <n v="100"/>
    <n v="-5"/>
    <n v="-19.983330554894014"/>
    <n v="-0.34877491369728597"/>
    <n v="21"/>
    <n v="104"/>
    <x v="7"/>
    <x v="6"/>
    <x v="6"/>
    <s v="quinata"/>
    <n v="0.48"/>
    <x v="6"/>
    <n v="17"/>
    <n v="2.2698060000000003E-2"/>
    <n v="12"/>
    <n v="60"/>
    <n v="1.0471975511965976"/>
    <n v="5"/>
    <n v="20"/>
    <n v="0.3490658503988659"/>
    <x v="446"/>
    <n v="83.43953148662888"/>
    <n v="10.42994143582861"/>
    <n v="41.71976574331444"/>
  </r>
  <r>
    <x v="5"/>
    <s v="NM, AM"/>
    <x v="10"/>
    <s v="SO"/>
    <n v="8.4108499999999999"/>
    <n v="83.313320000000004"/>
    <n v="100"/>
    <n v="-5"/>
    <n v="-19.983330554894014"/>
    <n v="-0.34877491369728597"/>
    <n v="21"/>
    <n v="103"/>
    <x v="25"/>
    <x v="5"/>
    <x v="1"/>
    <s v="-"/>
    <n v="0.57999999999999996"/>
    <x v="1"/>
    <n v="9.5"/>
    <n v="7.088235E-3"/>
    <n v="12"/>
    <n v="63"/>
    <n v="1.0995574287564276"/>
    <n v="5"/>
    <n v="22"/>
    <n v="0.38397243543875248"/>
    <x v="447"/>
    <n v="34.579664174048368"/>
    <n v="4.322458021756046"/>
    <n v="17.289832087024184"/>
  </r>
  <r>
    <x v="5"/>
    <s v="NM, AM"/>
    <x v="10"/>
    <s v="SO"/>
    <n v="8.4108499999999999"/>
    <n v="83.313320000000004"/>
    <n v="100"/>
    <n v="-5"/>
    <n v="-19.983330554894014"/>
    <n v="-0.34877491369728597"/>
    <n v="21"/>
    <n v="102"/>
    <x v="7"/>
    <x v="6"/>
    <x v="6"/>
    <s v="quinata"/>
    <n v="0.48"/>
    <x v="6"/>
    <n v="18"/>
    <n v="2.5446960000000001E-2"/>
    <n v="10"/>
    <n v="53"/>
    <n v="0.92502450355699462"/>
    <n v="5"/>
    <n v="20"/>
    <n v="0.3490658503988659"/>
    <x v="448"/>
    <n v="75.43224538303339"/>
    <n v="9.4290306728791737"/>
    <n v="37.716122691516695"/>
  </r>
  <r>
    <x v="5"/>
    <s v="NM, AM"/>
    <x v="10"/>
    <s v="SO"/>
    <n v="8.4108499999999999"/>
    <n v="83.313320000000004"/>
    <n v="100"/>
    <n v="-5"/>
    <n v="-19.983330554894014"/>
    <n v="-0.34877491369728597"/>
    <n v="21"/>
    <n v="101"/>
    <x v="7"/>
    <x v="6"/>
    <x v="6"/>
    <s v="quinata"/>
    <n v="0.48"/>
    <x v="6"/>
    <n v="21"/>
    <n v="3.4636140000000003E-2"/>
    <n v="13"/>
    <n v="64"/>
    <n v="1.1170107212763709"/>
    <n v="5"/>
    <n v="12"/>
    <n v="0.20943951023931956"/>
    <x v="449"/>
    <n v="130.11973887986625"/>
    <n v="16.264967359983281"/>
    <n v="65.059869439933124"/>
  </r>
  <r>
    <x v="5"/>
    <s v="NM, AM"/>
    <x v="10"/>
    <s v="SO"/>
    <n v="8.4108499999999999"/>
    <n v="83.313320000000004"/>
    <n v="100"/>
    <n v="-5"/>
    <n v="-19.983330554894014"/>
    <n v="-0.34877491369728597"/>
    <n v="21"/>
    <n v="122"/>
    <x v="7"/>
    <x v="6"/>
    <x v="6"/>
    <s v="quinata"/>
    <n v="0.48"/>
    <x v="6"/>
    <n v="27.3"/>
    <n v="5.8535076600000006E-2"/>
    <n v="15"/>
    <n v="65"/>
    <n v="1.1344640137963142"/>
    <n v="5"/>
    <n v="15"/>
    <n v="0.26179938779914941"/>
    <x v="450"/>
    <n v="247.00171184288712"/>
    <n v="30.87521398036089"/>
    <n v="123.50085592144356"/>
  </r>
  <r>
    <x v="5"/>
    <s v="NM, AM"/>
    <x v="10"/>
    <s v="SO"/>
    <n v="8.4108499999999999"/>
    <n v="83.313320000000004"/>
    <n v="100"/>
    <n v="-5"/>
    <n v="-19.983330554894014"/>
    <n v="-0.34877491369728597"/>
    <n v="21"/>
    <n v="123"/>
    <x v="3"/>
    <x v="3"/>
    <x v="3"/>
    <s v="parahyba"/>
    <n v="0.315"/>
    <x v="3"/>
    <n v="8"/>
    <n v="5.0265600000000002E-3"/>
    <n v="12"/>
    <n v="55"/>
    <n v="0.95993108859688125"/>
    <n v="5"/>
    <n v="17"/>
    <n v="0.29670597283903605"/>
    <x v="451"/>
    <n v="12.754868223843175"/>
    <n v="1.5943585279803969"/>
    <n v="6.3774341119215876"/>
  </r>
  <r>
    <x v="5"/>
    <s v="NM, AM"/>
    <x v="10"/>
    <s v="SO"/>
    <n v="8.4108499999999999"/>
    <n v="83.313320000000004"/>
    <n v="100"/>
    <n v="-5"/>
    <n v="-19.983330554894014"/>
    <n v="-0.34877491369728597"/>
    <n v="21"/>
    <n v="124"/>
    <x v="14"/>
    <x v="0"/>
    <x v="0"/>
    <s v="allenii"/>
    <n v="0.48"/>
    <x v="7"/>
    <n v="17.3"/>
    <n v="2.3506236600000004E-2"/>
    <n v="16"/>
    <n v="72"/>
    <n v="1.2566370614359172"/>
    <n v="5"/>
    <n v="17"/>
    <n v="0.29670597283903605"/>
    <x v="452"/>
    <n v="116.57063447718255"/>
    <n v="14.571329309647819"/>
    <n v="58.285317238591276"/>
  </r>
  <r>
    <x v="5"/>
    <s v="NM, AM"/>
    <x v="10"/>
    <s v="SO"/>
    <n v="8.4108499999999999"/>
    <n v="83.313320000000004"/>
    <n v="100"/>
    <n v="-5"/>
    <n v="-19.983330554894014"/>
    <n v="-0.34877491369728597"/>
    <n v="21"/>
    <n v="125"/>
    <x v="7"/>
    <x v="6"/>
    <x v="6"/>
    <s v="quinata"/>
    <n v="0.48"/>
    <x v="6"/>
    <n v="23.5"/>
    <n v="4.3373715E-2"/>
    <n v="14"/>
    <n v="65"/>
    <n v="1.1344640137963142"/>
    <n v="6"/>
    <n v="20"/>
    <n v="0.3490658503988659"/>
    <x v="453"/>
    <n v="184.60166153881724"/>
    <n v="23.075207692352155"/>
    <n v="92.30083076940862"/>
  </r>
  <r>
    <x v="5"/>
    <s v="NM, AM"/>
    <x v="10"/>
    <s v="SO"/>
    <n v="8.4108499999999999"/>
    <n v="83.313320000000004"/>
    <n v="100"/>
    <n v="-5"/>
    <n v="-19.983330554894014"/>
    <n v="-0.34877491369728597"/>
    <n v="21"/>
    <m/>
    <x v="0"/>
    <x v="0"/>
    <x v="0"/>
    <s v="ferruginea"/>
    <n v="0.37"/>
    <x v="0"/>
    <n v="9"/>
    <n v="6.3617400000000003E-3"/>
    <n v="7"/>
    <n v="52"/>
    <n v="0.90757121103705141"/>
    <n v="6"/>
    <n v="20"/>
    <n v="0.3490658503988659"/>
    <x v="454"/>
    <n v="12.711596404884585"/>
    <n v="1.5889495506105731"/>
    <n v="6.3557982024422923"/>
  </r>
  <r>
    <x v="5"/>
    <s v="NM, AM"/>
    <x v="10"/>
    <s v="SO"/>
    <n v="8.4108499999999999"/>
    <n v="83.313320000000004"/>
    <n v="100"/>
    <n v="-5"/>
    <n v="-19.983330554894014"/>
    <n v="-0.34877491369728597"/>
    <n v="21"/>
    <n v="127"/>
    <x v="7"/>
    <x v="6"/>
    <x v="6"/>
    <s v="quinata"/>
    <n v="0.48"/>
    <x v="6"/>
    <n v="16.600000000000001"/>
    <n v="2.1642482400000006E-2"/>
    <n v="11"/>
    <n v="75"/>
    <n v="1.3089969389957472"/>
    <n v="5"/>
    <n v="10"/>
    <n v="0.17453292519943295"/>
    <x v="455"/>
    <n v="76.007104322391768"/>
    <n v="9.500888040298971"/>
    <n v="38.003552161195884"/>
  </r>
  <r>
    <x v="5"/>
    <s v="NM, AM"/>
    <x v="10"/>
    <s v="SO"/>
    <n v="8.4108499999999999"/>
    <n v="83.313320000000004"/>
    <n v="100"/>
    <n v="-5"/>
    <n v="-19.983330554894014"/>
    <n v="-0.34877491369728597"/>
    <n v="21"/>
    <n v="128"/>
    <x v="14"/>
    <x v="0"/>
    <x v="0"/>
    <s v="allenii"/>
    <n v="0.48"/>
    <x v="7"/>
    <n v="10.4"/>
    <n v="8.494886400000002E-3"/>
    <n v="15"/>
    <n v="65"/>
    <n v="1.1344640137963142"/>
    <n v="5"/>
    <n v="10"/>
    <n v="0.17453292519943295"/>
    <x v="456"/>
    <n v="39.164269329193367"/>
    <n v="4.8955336661491708"/>
    <n v="19.582134664596683"/>
  </r>
  <r>
    <x v="5"/>
    <s v="NM, AM"/>
    <x v="10"/>
    <s v="SO"/>
    <n v="8.4108499999999999"/>
    <n v="83.313320000000004"/>
    <n v="100"/>
    <n v="-5"/>
    <n v="-19.983330554894014"/>
    <n v="-0.34877491369728597"/>
    <n v="21"/>
    <n v="129"/>
    <x v="14"/>
    <x v="0"/>
    <x v="0"/>
    <s v="allenii"/>
    <n v="0.48"/>
    <x v="7"/>
    <n v="28"/>
    <n v="6.1575360000000003E-2"/>
    <n v="17"/>
    <n v="75"/>
    <n v="1.3089969389957472"/>
    <n v="5"/>
    <n v="10"/>
    <n v="0.17453292519943295"/>
    <x v="457"/>
    <n v="298.11840663784102"/>
    <n v="37.264800829730127"/>
    <n v="149.05920331892051"/>
  </r>
  <r>
    <x v="5"/>
    <s v="NM, AM"/>
    <x v="10"/>
    <s v="SO"/>
    <n v="8.4108499999999999"/>
    <n v="83.313320000000004"/>
    <n v="100"/>
    <n v="-5"/>
    <n v="-19.983330554894014"/>
    <n v="-0.34877491369728597"/>
    <n v="21"/>
    <n v="126"/>
    <x v="7"/>
    <x v="6"/>
    <x v="6"/>
    <s v="quinata"/>
    <n v="0.48"/>
    <x v="6"/>
    <n v="17"/>
    <n v="2.2698060000000003E-2"/>
    <n v="15"/>
    <n v="65"/>
    <n v="1.1344640137963142"/>
    <n v="5"/>
    <n v="16"/>
    <n v="0.27925268031909273"/>
    <x v="458"/>
    <n v="101.91952628377155"/>
    <n v="12.739940785471443"/>
    <n v="50.959763141885773"/>
  </r>
  <r>
    <x v="5"/>
    <s v="NM, AM"/>
    <x v="10"/>
    <s v="SO"/>
    <n v="8.4108499999999999"/>
    <n v="83.313320000000004"/>
    <n v="100"/>
    <n v="-5"/>
    <n v="-19.983330554894014"/>
    <n v="-0.34877491369728597"/>
    <n v="21"/>
    <n v="131"/>
    <x v="7"/>
    <x v="6"/>
    <x v="6"/>
    <s v="quinata"/>
    <n v="0.48"/>
    <x v="6"/>
    <n v="23.5"/>
    <n v="4.3373715E-2"/>
    <n v="10"/>
    <n v="60"/>
    <n v="1.0471975511965976"/>
    <n v="5"/>
    <n v="19"/>
    <n v="0.33161255787892263"/>
    <x v="459"/>
    <n v="131.65305030324888"/>
    <n v="16.456631287906109"/>
    <n v="65.826525151624438"/>
  </r>
  <r>
    <x v="5"/>
    <s v="NM, AM"/>
    <x v="10"/>
    <s v="SO"/>
    <n v="8.4108499999999999"/>
    <n v="83.313320000000004"/>
    <n v="100"/>
    <n v="-5"/>
    <n v="-19.983330554894014"/>
    <n v="-0.34877491369728597"/>
    <n v="21"/>
    <n v="130"/>
    <x v="7"/>
    <x v="6"/>
    <x v="6"/>
    <s v="quinata"/>
    <n v="0.48"/>
    <x v="6"/>
    <n v="13.6"/>
    <n v="1.4526758399999999E-2"/>
    <n v="10"/>
    <n v="45"/>
    <n v="0.78539816339744828"/>
    <n v="6"/>
    <n v="14"/>
    <n v="0.24434609527920614"/>
    <x v="460"/>
    <n v="39.447489795347785"/>
    <n v="4.9309362244184731"/>
    <n v="19.723744897673892"/>
  </r>
  <r>
    <x v="5"/>
    <s v="NM, AM"/>
    <x v="10"/>
    <s v="SO"/>
    <n v="8.4108499999999999"/>
    <n v="83.313320000000004"/>
    <n v="100"/>
    <n v="-5"/>
    <n v="-19.983330554894014"/>
    <n v="-0.34877491369728597"/>
    <n v="21"/>
    <n v="132"/>
    <x v="7"/>
    <x v="6"/>
    <x v="6"/>
    <s v="quinata"/>
    <n v="0.48"/>
    <x v="6"/>
    <n v="16.5"/>
    <n v="2.1382515000000001E-2"/>
    <n v="13"/>
    <n v="65"/>
    <n v="1.1344640137963142"/>
    <n v="5"/>
    <n v="15"/>
    <n v="0.26179938779914941"/>
    <x v="461"/>
    <n v="84.837473806894224"/>
    <n v="10.604684225861778"/>
    <n v="42.418736903447112"/>
  </r>
  <r>
    <x v="5"/>
    <s v="NM, AM"/>
    <x v="10"/>
    <s v="SO"/>
    <n v="8.4108499999999999"/>
    <n v="83.313320000000004"/>
    <n v="100"/>
    <n v="-5"/>
    <n v="-19.983330554894014"/>
    <n v="-0.34877491369728597"/>
    <n v="21"/>
    <n v="133"/>
    <x v="1"/>
    <x v="1"/>
    <x v="1"/>
    <s v="-"/>
    <n v="0.57999999999999996"/>
    <x v="1"/>
    <n v="16.5"/>
    <n v="2.1382515000000001E-2"/>
    <n v="14"/>
    <n v="60"/>
    <n v="1.0471975511965976"/>
    <n v="5"/>
    <n v="15"/>
    <n v="0.26179938779914941"/>
    <x v="462"/>
    <n v="103.84703187400612"/>
    <n v="12.980878984250765"/>
    <n v="51.92351593700306"/>
  </r>
  <r>
    <x v="5"/>
    <s v="NM, AM"/>
    <x v="10"/>
    <s v="SO"/>
    <n v="8.4108499999999999"/>
    <n v="83.313320000000004"/>
    <n v="100"/>
    <n v="-5"/>
    <n v="-19.983330554894014"/>
    <n v="-0.34877491369728597"/>
    <n v="21"/>
    <n v="134"/>
    <x v="15"/>
    <x v="9"/>
    <x v="12"/>
    <s v="insularis"/>
    <n v="0.53"/>
    <x v="7"/>
    <n v="10.4"/>
    <n v="8.494886400000002E-3"/>
    <n v="13"/>
    <n v="65"/>
    <n v="1.1344640137963142"/>
    <n v="5"/>
    <n v="20"/>
    <n v="0.3490658503988659"/>
    <x v="463"/>
    <n v="40.269714799579489"/>
    <n v="5.0337143499474362"/>
    <n v="20.134857399789745"/>
  </r>
  <r>
    <x v="5"/>
    <s v="NM, AM"/>
    <x v="10"/>
    <s v="SO"/>
    <n v="8.4108499999999999"/>
    <n v="83.313320000000004"/>
    <n v="100"/>
    <n v="-5"/>
    <n v="-19.983330554894014"/>
    <n v="-0.34877491369728597"/>
    <n v="21"/>
    <n v="135"/>
    <x v="7"/>
    <x v="6"/>
    <x v="6"/>
    <s v="quinata"/>
    <n v="0.48"/>
    <x v="6"/>
    <n v="16.5"/>
    <n v="2.1382515000000001E-2"/>
    <n v="11"/>
    <n v="55"/>
    <n v="0.95993108859688125"/>
    <n v="5"/>
    <n v="18"/>
    <n v="0.31415926535897931"/>
    <x v="464"/>
    <n v="69.371061203534794"/>
    <n v="8.6713826504418492"/>
    <n v="34.685530601767397"/>
  </r>
  <r>
    <x v="5"/>
    <s v="NM, AM"/>
    <x v="10"/>
    <s v="SO"/>
    <n v="8.4108499999999999"/>
    <n v="83.313320000000004"/>
    <n v="100"/>
    <n v="-5"/>
    <n v="-19.983330554894014"/>
    <n v="-0.34877491369728597"/>
    <n v="21"/>
    <n v="136"/>
    <x v="34"/>
    <x v="19"/>
    <x v="26"/>
    <s v="myriantha"/>
    <n v="0.44"/>
    <x v="7"/>
    <n v="15.6"/>
    <n v="1.91134944E-2"/>
    <n v="15"/>
    <n v="70"/>
    <n v="1.2217304763960306"/>
    <n v="5"/>
    <n v="16"/>
    <n v="0.27925268031909273"/>
    <x v="465"/>
    <n v="82.413191970909907"/>
    <n v="10.301648996363738"/>
    <n v="41.206595985454953"/>
  </r>
  <r>
    <x v="5"/>
    <s v="NM, AM"/>
    <x v="10"/>
    <s v="SO"/>
    <n v="8.4108499999999999"/>
    <n v="83.313320000000004"/>
    <n v="100"/>
    <n v="-5"/>
    <n v="-19.983330554894014"/>
    <n v="-0.34877491369728597"/>
    <n v="21"/>
    <n v="137"/>
    <x v="7"/>
    <x v="6"/>
    <x v="6"/>
    <s v="quinata"/>
    <n v="0.48"/>
    <x v="6"/>
    <n v="18"/>
    <n v="2.5446960000000001E-2"/>
    <n v="9"/>
    <n v="60"/>
    <n v="1.0471975511965976"/>
    <n v="5"/>
    <n v="18"/>
    <n v="0.31415926535897931"/>
    <x v="466"/>
    <n v="72.817682900975782"/>
    <n v="9.1022103626219728"/>
    <n v="36.408841450487891"/>
  </r>
  <r>
    <x v="5"/>
    <s v="NM, AM"/>
    <x v="10"/>
    <s v="SO"/>
    <n v="8.4108499999999999"/>
    <n v="83.313320000000004"/>
    <n v="100"/>
    <n v="-5"/>
    <n v="-19.983330554894014"/>
    <n v="-0.34877491369728597"/>
    <n v="21"/>
    <m/>
    <x v="14"/>
    <x v="0"/>
    <x v="0"/>
    <s v="allenii"/>
    <n v="0.48"/>
    <x v="7"/>
    <n v="8.5"/>
    <n v="5.6745150000000006E-3"/>
    <n v="10"/>
    <n v="60"/>
    <n v="1.0471975511965976"/>
    <n v="5"/>
    <n v="15"/>
    <n v="0.26179938779914941"/>
    <x v="467"/>
    <n v="18.865493346855256"/>
    <n v="2.358186668356907"/>
    <n v="9.4327466734276282"/>
  </r>
  <r>
    <x v="5"/>
    <s v="NM, AM"/>
    <x v="10"/>
    <s v="SO"/>
    <n v="8.4108499999999999"/>
    <n v="83.313320000000004"/>
    <n v="100"/>
    <n v="-5"/>
    <n v="-19.983330554894014"/>
    <n v="-0.34877491369728597"/>
    <n v="21"/>
    <n v="138"/>
    <x v="7"/>
    <x v="6"/>
    <x v="6"/>
    <s v="quinata"/>
    <n v="0.48"/>
    <x v="6"/>
    <n v="18"/>
    <n v="2.5446960000000001E-2"/>
    <n v="12"/>
    <n v="50"/>
    <n v="0.87266462599716477"/>
    <n v="5"/>
    <n v="11"/>
    <n v="0.19198621771937624"/>
    <x v="468"/>
    <n v="78.719300846392969"/>
    <n v="9.8399126057991211"/>
    <n v="39.359650423196484"/>
  </r>
  <r>
    <x v="5"/>
    <s v="NM, AM"/>
    <x v="10"/>
    <s v="SO"/>
    <n v="8.4108499999999999"/>
    <n v="83.313320000000004"/>
    <n v="100"/>
    <n v="-5"/>
    <n v="-19.983330554894014"/>
    <n v="-0.34877491369728597"/>
    <n v="21"/>
    <n v="139"/>
    <x v="7"/>
    <x v="6"/>
    <x v="6"/>
    <s v="quinata"/>
    <n v="0.48"/>
    <x v="6"/>
    <n v="20"/>
    <n v="3.1415999999999999E-2"/>
    <n v="12"/>
    <n v="65"/>
    <n v="1.1344640137963142"/>
    <n v="5"/>
    <n v="15"/>
    <n v="0.26179938779914941"/>
    <x v="469"/>
    <n v="113.84944838622432"/>
    <n v="14.231181048278041"/>
    <n v="56.924724193112162"/>
  </r>
  <r>
    <x v="5"/>
    <s v="NM, AM"/>
    <x v="10"/>
    <s v="SO"/>
    <n v="8.4108499999999999"/>
    <n v="83.313320000000004"/>
    <n v="100"/>
    <n v="-5"/>
    <n v="-19.983330554894014"/>
    <n v="-0.34877491369728597"/>
    <n v="21"/>
    <n v="140"/>
    <x v="7"/>
    <x v="6"/>
    <x v="6"/>
    <s v="quinata"/>
    <n v="0.48"/>
    <x v="6"/>
    <n v="17.8"/>
    <n v="2.4884613600000004E-2"/>
    <n v="10"/>
    <n v="60"/>
    <n v="1.0471975511965976"/>
    <n v="5"/>
    <n v="15"/>
    <n v="0.26179938779914941"/>
    <x v="467"/>
    <n v="75.709467362584519"/>
    <n v="9.4636834203230649"/>
    <n v="37.854733681292259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0"/>
    <x v="7"/>
    <x v="6"/>
    <x v="6"/>
    <s v="quinata"/>
    <n v="0.48"/>
    <x v="6"/>
    <n v="27"/>
    <n v="5.725566E-2"/>
    <n v="9"/>
    <n v="56"/>
    <n v="0.97738438111682457"/>
    <n v="5"/>
    <n v="8.1999999999999993"/>
    <n v="0.143116998663535"/>
    <x v="470"/>
    <n v="137.69083365237674"/>
    <n v="17.211354206547092"/>
    <n v="68.845416826188369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1"/>
    <x v="3"/>
    <x v="3"/>
    <x v="3"/>
    <s v="parahyba"/>
    <n v="0.315"/>
    <x v="3"/>
    <n v="18.100000000000001"/>
    <n v="2.5730489400000008E-2"/>
    <n v="16"/>
    <n v="57"/>
    <n v="0.99483767363676789"/>
    <n v="6"/>
    <n v="17.5"/>
    <n v="0.30543261909900765"/>
    <x v="471"/>
    <n v="78.389632167902136"/>
    <n v="9.7987040209877669"/>
    <n v="39.194816083951068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3"/>
    <x v="14"/>
    <x v="0"/>
    <x v="0"/>
    <s v="allenii"/>
    <n v="0.48"/>
    <x v="7"/>
    <n v="22.5"/>
    <n v="3.9760875000000001E-2"/>
    <n v="15"/>
    <n v="61.5"/>
    <n v="1.0733774899765127"/>
    <n v="5"/>
    <n v="15.5"/>
    <n v="0.27052603405912107"/>
    <x v="472"/>
    <n v="167.70137224056697"/>
    <n v="20.962671530070871"/>
    <n v="83.850686120283484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2"/>
    <x v="7"/>
    <x v="6"/>
    <x v="6"/>
    <s v="quinata"/>
    <n v="0.48"/>
    <x v="6"/>
    <n v="18.5"/>
    <n v="2.6880315000000002E-2"/>
    <n v="9"/>
    <n v="64.5"/>
    <n v="1.1257373675363425"/>
    <n v="5"/>
    <n v="8.5"/>
    <n v="0.14835298641951802"/>
    <x v="473"/>
    <n v="72.980303905666233"/>
    <n v="9.1225379882082791"/>
    <n v="36.490151952833116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4"/>
    <x v="7"/>
    <x v="6"/>
    <x v="6"/>
    <s v="quinata"/>
    <n v="0.48"/>
    <x v="6"/>
    <n v="10"/>
    <n v="7.8539999999999999E-3"/>
    <n v="6"/>
    <n v="35.5"/>
    <n v="0.61959188445798696"/>
    <n v="6"/>
    <n v="14.5"/>
    <n v="0.2530727415391778"/>
    <x v="474"/>
    <n v="13.370768663785928"/>
    <n v="1.6713460829732409"/>
    <n v="6.6853843318929638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5"/>
    <x v="0"/>
    <x v="0"/>
    <x v="0"/>
    <s v="ferruginea"/>
    <n v="0.37"/>
    <x v="0"/>
    <n v="23.1"/>
    <n v="4.1909729400000005E-2"/>
    <n v="9"/>
    <n v="57"/>
    <n v="0.99483767363676789"/>
    <n v="8"/>
    <n v="10"/>
    <n v="0.17453292519943295"/>
    <x v="475"/>
    <n v="87.436384301154334"/>
    <n v="10.929548037644292"/>
    <n v="43.718192150577167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6"/>
    <x v="7"/>
    <x v="6"/>
    <x v="6"/>
    <s v="quinata"/>
    <n v="0.48"/>
    <x v="6"/>
    <n v="12"/>
    <n v="1.130976E-2"/>
    <n v="11"/>
    <n v="51"/>
    <n v="0.89011791851710809"/>
    <n v="7"/>
    <n v="9"/>
    <n v="0.15707963267948966"/>
    <x v="476"/>
    <n v="35.016767001892696"/>
    <n v="4.3770958752365869"/>
    <n v="17.508383500946348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7"/>
    <x v="14"/>
    <x v="0"/>
    <x v="0"/>
    <s v="allenii"/>
    <n v="0.48"/>
    <x v="7"/>
    <n v="27.1"/>
    <n v="5.7680561400000011E-2"/>
    <n v="12"/>
    <n v="75"/>
    <n v="1.3089969389957472"/>
    <n v="5"/>
    <n v="15"/>
    <n v="0.26179938779914941"/>
    <x v="477"/>
    <n v="212.66528782094844"/>
    <n v="26.583160977618554"/>
    <n v="106.33264391047422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8"/>
    <x v="7"/>
    <x v="6"/>
    <x v="6"/>
    <s v="quinata"/>
    <n v="0.48"/>
    <x v="6"/>
    <n v="11.8"/>
    <n v="1.0935909600000002E-2"/>
    <n v="9"/>
    <n v="62"/>
    <n v="1.0821041362364843"/>
    <n v="5"/>
    <n v="15"/>
    <n v="0.26179938779914941"/>
    <x v="478"/>
    <n v="32.593114325574874"/>
    <n v="4.0741392906968592"/>
    <n v="16.296557162787437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59"/>
    <x v="1"/>
    <x v="1"/>
    <x v="1"/>
    <s v="-"/>
    <n v="0.57999999999999996"/>
    <x v="1"/>
    <n v="14"/>
    <n v="1.5393840000000001E-2"/>
    <n v="11"/>
    <n v="61"/>
    <n v="1.064650843716541"/>
    <n v="5"/>
    <n v="15"/>
    <n v="0.26179938779914941"/>
    <x v="479"/>
    <n v="62.797704190300458"/>
    <n v="7.8497130237875572"/>
    <n v="31.398852095150229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0"/>
    <x v="1"/>
    <x v="1"/>
    <x v="1"/>
    <s v="-"/>
    <n v="0.57999999999999996"/>
    <x v="1"/>
    <n v="32"/>
    <n v="8.0424960000000004E-2"/>
    <n v="11"/>
    <n v="61"/>
    <n v="1.064650843716541"/>
    <n v="5"/>
    <n v="15"/>
    <n v="0.26179938779914941"/>
    <x v="479"/>
    <n v="297.1016193315802"/>
    <n v="37.137702416447524"/>
    <n v="148.5508096657901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1"/>
    <x v="1"/>
    <x v="1"/>
    <x v="1"/>
    <s v="-"/>
    <n v="0.57999999999999996"/>
    <x v="1"/>
    <n v="9.6"/>
    <n v="7.2382464000000004E-3"/>
    <n v="11"/>
    <n v="61"/>
    <n v="1.064650843716541"/>
    <n v="5"/>
    <n v="15"/>
    <n v="0.26179938779914941"/>
    <x v="479"/>
    <n v="30.89533991693105"/>
    <n v="3.8619174896163813"/>
    <n v="15.447669958465525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3"/>
    <x v="7"/>
    <x v="6"/>
    <x v="6"/>
    <s v="quinata"/>
    <n v="0.48"/>
    <x v="6"/>
    <n v="17.5"/>
    <n v="2.4052875000000001E-2"/>
    <n v="7"/>
    <n v="57"/>
    <n v="0.99483767363676789"/>
    <n v="6"/>
    <n v="19"/>
    <n v="0.33161255787892263"/>
    <x v="480"/>
    <n v="58.474766510363004"/>
    <n v="7.3093458137953755"/>
    <n v="29.237383255181502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2"/>
    <x v="34"/>
    <x v="19"/>
    <x v="26"/>
    <s v="myriantha"/>
    <n v="0.44"/>
    <x v="7"/>
    <n v="9.1"/>
    <n v="6.5038973999999991E-3"/>
    <n v="9"/>
    <n v="60"/>
    <n v="1.0471975511965976"/>
    <n v="6"/>
    <n v="18"/>
    <n v="0.31415926535897931"/>
    <x v="481"/>
    <n v="19.190668359571717"/>
    <n v="2.3988335449464646"/>
    <n v="9.5953341797858585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4"/>
    <x v="7"/>
    <x v="6"/>
    <x v="6"/>
    <s v="quinata"/>
    <n v="0.48"/>
    <x v="6"/>
    <n v="13.6"/>
    <n v="1.4526758399999999E-2"/>
    <n v="10"/>
    <n v="60"/>
    <n v="1.0471975511965976"/>
    <n v="6"/>
    <n v="15"/>
    <n v="0.26179938779914941"/>
    <x v="482"/>
    <n v="46.761936922147477"/>
    <n v="5.8452421152684346"/>
    <n v="23.380968461073738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6"/>
    <x v="7"/>
    <x v="6"/>
    <x v="6"/>
    <s v="quinata"/>
    <n v="0.48"/>
    <x v="6"/>
    <n v="21.7"/>
    <n v="3.6983700600000002E-2"/>
    <n v="9"/>
    <n v="61"/>
    <n v="1.064650843716541"/>
    <n v="5"/>
    <n v="16"/>
    <n v="0.27925268031909273"/>
    <x v="483"/>
    <n v="102.54998553342743"/>
    <n v="12.818748191678429"/>
    <n v="51.274992766713716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5"/>
    <x v="11"/>
    <x v="3"/>
    <x v="10"/>
    <s v="versicolor"/>
    <n v="0.54300000000000004"/>
    <x v="8"/>
    <n v="14.5"/>
    <n v="1.6513035000000002E-2"/>
    <n v="8"/>
    <n v="62"/>
    <n v="1.0821041362364843"/>
    <n v="6"/>
    <n v="10"/>
    <n v="0.17453292519943295"/>
    <x v="484"/>
    <n v="47.664704638585341"/>
    <n v="5.9580880798231677"/>
    <n v="23.832352319292671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7"/>
    <x v="3"/>
    <x v="3"/>
    <x v="3"/>
    <s v="parahyba"/>
    <n v="0.315"/>
    <x v="3"/>
    <n v="10.5"/>
    <n v="8.6590350000000007E-3"/>
    <n v="7"/>
    <n v="59"/>
    <n v="1.0297442586766545"/>
    <n v="5"/>
    <n v="11"/>
    <n v="0.19198621771937624"/>
    <x v="485"/>
    <n v="13.484126376863477"/>
    <n v="1.6855157971079346"/>
    <n v="6.7420631884317386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8"/>
    <x v="0"/>
    <x v="0"/>
    <x v="0"/>
    <s v="ferruginea"/>
    <n v="0.37"/>
    <x v="0"/>
    <n v="8.5"/>
    <n v="5.6745150000000006E-3"/>
    <n v="6"/>
    <n v="60"/>
    <n v="1.0471975511965976"/>
    <n v="5"/>
    <n v="22"/>
    <n v="0.38397243543875248"/>
    <x v="486"/>
    <n v="10.707451875926544"/>
    <n v="1.3384314844908181"/>
    <n v="5.3537259379632722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69"/>
    <x v="7"/>
    <x v="6"/>
    <x v="6"/>
    <s v="quinata"/>
    <n v="0.48"/>
    <x v="6"/>
    <n v="19.8"/>
    <n v="3.0790821600000004E-2"/>
    <n v="8"/>
    <n v="58"/>
    <n v="1.0122909661567112"/>
    <n v="5"/>
    <n v="14"/>
    <n v="0.24434609527920614"/>
    <x v="487"/>
    <n v="75.258757434492139"/>
    <n v="9.4073446793115174"/>
    <n v="37.62937871724607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70"/>
    <x v="7"/>
    <x v="6"/>
    <x v="6"/>
    <s v="quinata"/>
    <n v="0.48"/>
    <x v="6"/>
    <n v="24"/>
    <n v="4.5239040000000001E-2"/>
    <n v="8"/>
    <n v="56"/>
    <n v="0.97738438111682457"/>
    <n v="6"/>
    <n v="14"/>
    <n v="0.24434609527920614"/>
    <x v="488"/>
    <n v="109.19075251796242"/>
    <n v="13.648844064745303"/>
    <n v="54.595376258981211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71"/>
    <x v="7"/>
    <x v="6"/>
    <x v="6"/>
    <s v="quinata"/>
    <n v="0.48"/>
    <x v="6"/>
    <n v="22.8"/>
    <n v="4.0828233600000007E-2"/>
    <n v="9"/>
    <n v="52"/>
    <n v="0.90757121103705141"/>
    <n v="5"/>
    <n v="8"/>
    <n v="0.13962634015954636"/>
    <x v="489"/>
    <n v="95.738012233219251"/>
    <n v="11.967251529152406"/>
    <n v="47.869006116609626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72"/>
    <x v="1"/>
    <x v="1"/>
    <x v="1"/>
    <s v="-"/>
    <n v="0.57999999999999996"/>
    <x v="1"/>
    <n v="6.7"/>
    <n v="3.5256606000000001E-3"/>
    <n v="9"/>
    <n v="55"/>
    <n v="0.95993108859688125"/>
    <n v="6"/>
    <n v="10"/>
    <n v="0.17453292519943295"/>
    <x v="490"/>
    <n v="12.303240489509161"/>
    <n v="1.5379050611886451"/>
    <n v="6.1516202447545805"/>
  </r>
  <r>
    <x v="4"/>
    <s v="NM, AM, EC, EL, RH"/>
    <x v="10"/>
    <s v="SO"/>
    <n v="8.4108499999999999"/>
    <n v="83.313320000000004"/>
    <n v="100"/>
    <n v="-5"/>
    <n v="-19.983330554894014"/>
    <n v="-0.34877491369728597"/>
    <n v="21"/>
    <n v="173"/>
    <x v="1"/>
    <x v="1"/>
    <x v="1"/>
    <s v="-"/>
    <n v="0.57999999999999996"/>
    <x v="1"/>
    <n v="7"/>
    <n v="3.8484600000000002E-3"/>
    <n v="6"/>
    <n v="51"/>
    <n v="0.89011791851710809"/>
    <n v="6"/>
    <n v="6"/>
    <n v="0.10471975511965978"/>
    <x v="491"/>
    <n v="8.6361519370400437"/>
    <n v="1.0795189921300055"/>
    <n v="4.3180759685200218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005"/>
    <x v="3"/>
    <x v="3"/>
    <x v="3"/>
    <s v="parahyba"/>
    <n v="0.315"/>
    <x v="3"/>
    <n v="21.5"/>
    <n v="3.6305114999999999E-2"/>
    <n v="21"/>
    <n v="70"/>
    <n v="1.2217304763960306"/>
    <n v="6"/>
    <n v="7"/>
    <n v="0.12217304763960307"/>
    <x v="492"/>
    <n v="143.08833323466226"/>
    <n v="17.886041654332782"/>
    <n v="71.544166617331129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025"/>
    <x v="1"/>
    <x v="1"/>
    <x v="1"/>
    <s v="-"/>
    <n v="0.57999999999999996"/>
    <x v="1"/>
    <n v="17.600000000000001"/>
    <n v="2.4328550400000006E-2"/>
    <n v="12"/>
    <n v="39"/>
    <n v="0.68067840827778847"/>
    <n v="6"/>
    <n v="8"/>
    <n v="0.13962634015954636"/>
    <x v="493"/>
    <n v="75.375883325309459"/>
    <n v="9.4219854156636824"/>
    <n v="37.68794166265473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018"/>
    <x v="0"/>
    <x v="0"/>
    <x v="0"/>
    <s v="ferruginea"/>
    <n v="0.37"/>
    <x v="0"/>
    <n v="13.2"/>
    <n v="1.3684809599999999E-2"/>
    <n v="10"/>
    <n v="60"/>
    <n v="1.0471975511965976"/>
    <n v="6"/>
    <n v="5"/>
    <n v="8.7266462599716474E-2"/>
    <x v="494"/>
    <n v="31.323062811875122"/>
    <n v="3.9153828514843902"/>
    <n v="15.661531405937561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032"/>
    <x v="1"/>
    <x v="1"/>
    <x v="1"/>
    <s v="-"/>
    <n v="0.57999999999999996"/>
    <x v="1"/>
    <n v="6"/>
    <n v="2.8274400000000001E-3"/>
    <n v="10"/>
    <n v="45"/>
    <n v="0.78539816339744828"/>
    <n v="6"/>
    <n v="8"/>
    <n v="0.13962634015954636"/>
    <x v="495"/>
    <n v="9.4296002559947603"/>
    <n v="1.178700031999345"/>
    <n v="4.7148001279973801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70"/>
    <x v="3"/>
    <x v="3"/>
    <x v="3"/>
    <s v="parahyba"/>
    <n v="0.315"/>
    <x v="3"/>
    <n v="11"/>
    <n v="9.5033400000000007E-3"/>
    <n v="11"/>
    <n v="61"/>
    <n v="1.064650843716541"/>
    <n v="6"/>
    <n v="10"/>
    <n v="0.17453292519943295"/>
    <x v="496"/>
    <n v="21.993141710663625"/>
    <n v="2.7491427138329532"/>
    <n v="10.996570855331813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80"/>
    <x v="35"/>
    <x v="20"/>
    <x v="27"/>
    <s v="sp."/>
    <n v="0.66"/>
    <x v="7"/>
    <n v="8.9"/>
    <n v="6.2211534000000011E-3"/>
    <n v="8"/>
    <n v="42"/>
    <n v="0.73303828583761843"/>
    <n v="6"/>
    <n v="7"/>
    <n v="0.12217304763960307"/>
    <x v="180"/>
    <n v="17.467936038167331"/>
    <n v="2.1834920047709163"/>
    <n v="8.7339680190836653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15"/>
    <x v="22"/>
    <x v="14"/>
    <x v="17"/>
    <s v="alchorneoides"/>
    <n v="0.64"/>
    <x v="9"/>
    <n v="73.5"/>
    <n v="0.42429271500000004"/>
    <n v="18"/>
    <n v="82"/>
    <n v="1.4311699866353502"/>
    <n v="6"/>
    <n v="8"/>
    <n v="0.13962634015954636"/>
    <x v="497"/>
    <n v="2575.9952420056079"/>
    <n v="321.99940525070099"/>
    <n v="1287.997621002804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06"/>
    <x v="0"/>
    <x v="0"/>
    <x v="0"/>
    <s v="ferruginea"/>
    <n v="0.37"/>
    <x v="0"/>
    <n v="18"/>
    <n v="2.5446960000000001E-2"/>
    <n v="11"/>
    <n v="63"/>
    <n v="1.0995574287564276"/>
    <n v="6"/>
    <n v="6"/>
    <n v="0.10471975511965978"/>
    <x v="498"/>
    <n v="63.241492061339549"/>
    <n v="7.9051865076674437"/>
    <n v="31.620746030669775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66"/>
    <x v="3"/>
    <x v="3"/>
    <x v="3"/>
    <s v="parahyba"/>
    <n v="0.315"/>
    <x v="3"/>
    <n v="6"/>
    <n v="2.8274400000000001E-3"/>
    <n v="7"/>
    <n v="55"/>
    <n v="0.95993108859688125"/>
    <n v="6"/>
    <n v="11"/>
    <n v="0.19198621771937624"/>
    <x v="499"/>
    <n v="4.6608693987415917"/>
    <n v="0.58260867484269896"/>
    <n v="2.3304346993707958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33"/>
    <x v="13"/>
    <x v="5"/>
    <x v="1"/>
    <s v="-"/>
    <n v="0.57999999999999996"/>
    <x v="1"/>
    <n v="8.9"/>
    <n v="6.2211534000000011E-3"/>
    <n v="8"/>
    <n v="57"/>
    <n v="0.99483767363676789"/>
    <n v="6"/>
    <n v="7"/>
    <n v="0.12217304763960307"/>
    <x v="500"/>
    <n v="18.691651017159167"/>
    <n v="2.3364563771448958"/>
    <n v="9.3458255085795834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21"/>
    <x v="0"/>
    <x v="0"/>
    <x v="0"/>
    <s v="ferruginea"/>
    <n v="0.37"/>
    <x v="0"/>
    <n v="18.3"/>
    <n v="2.6302260600000005E-2"/>
    <n v="13"/>
    <n v="67"/>
    <n v="1.1693705988362009"/>
    <n v="7"/>
    <n v="5"/>
    <n v="8.7266462599716474E-2"/>
    <x v="501"/>
    <n v="77.798383620334604"/>
    <n v="9.7247979525418256"/>
    <n v="38.899191810167302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35"/>
    <x v="21"/>
    <x v="13"/>
    <x v="16"/>
    <s v="sp."/>
    <n v="0.48"/>
    <x v="7"/>
    <n v="11.3"/>
    <n v="1.0028772600000001E-2"/>
    <n v="9"/>
    <n v="43"/>
    <n v="0.75049157835756175"/>
    <n v="6"/>
    <n v="6"/>
    <n v="0.10471975511965978"/>
    <x v="502"/>
    <n v="22.411818979718799"/>
    <n v="2.8014773724648498"/>
    <n v="11.205909489859399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03"/>
    <x v="0"/>
    <x v="0"/>
    <x v="0"/>
    <s v="ferruginea"/>
    <n v="0.37"/>
    <x v="0"/>
    <n v="19.5"/>
    <n v="2.9864835000000003E-2"/>
    <n v="16"/>
    <n v="55"/>
    <n v="0.95993108859688125"/>
    <n v="6"/>
    <n v="4"/>
    <n v="6.9813170079773182E-2"/>
    <x v="503"/>
    <n v="93.865195688021601"/>
    <n v="11.7331494610027"/>
    <n v="46.9325978440108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36"/>
    <x v="3"/>
    <x v="3"/>
    <x v="3"/>
    <s v="parahyba"/>
    <n v="0.315"/>
    <x v="3"/>
    <n v="12.4"/>
    <n v="1.2076310400000002E-2"/>
    <n v="11"/>
    <n v="40"/>
    <n v="0.69813170079773179"/>
    <n v="5"/>
    <n v="23"/>
    <n v="0.4014257279586958"/>
    <x v="504"/>
    <n v="23.550275831192273"/>
    <n v="2.9437844788990342"/>
    <n v="11.775137915596137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32"/>
    <x v="13"/>
    <x v="5"/>
    <x v="1"/>
    <s v="-"/>
    <n v="0.57999999999999996"/>
    <x v="1"/>
    <n v="6.2"/>
    <n v="3.0190776000000004E-3"/>
    <n v="8"/>
    <n v="25"/>
    <n v="0.43633231299858238"/>
    <n v="6"/>
    <n v="20"/>
    <n v="0.3490658503988659"/>
    <x v="505"/>
    <n v="7.048922977002662"/>
    <n v="0.88111537212533275"/>
    <n v="3.524461488501331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97"/>
    <x v="36"/>
    <x v="2"/>
    <x v="2"/>
    <s v="amara"/>
    <n v="0.41699999999999998"/>
    <x v="2"/>
    <n v="9.5"/>
    <n v="7.088235E-3"/>
    <n v="10"/>
    <n v="25"/>
    <n v="0.43633231299858238"/>
    <n v="8"/>
    <n v="15"/>
    <n v="0.26179938779914941"/>
    <x v="506"/>
    <n v="13.245808767628901"/>
    <n v="1.6557260959536126"/>
    <n v="6.6229043838144506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23"/>
    <x v="0"/>
    <x v="0"/>
    <x v="0"/>
    <s v="ferruginea"/>
    <n v="0.37"/>
    <x v="0"/>
    <n v="18.7"/>
    <n v="2.74646526E-2"/>
    <n v="13"/>
    <n v="60"/>
    <n v="1.0471975511965976"/>
    <n v="6"/>
    <n v="15"/>
    <n v="0.26179938779914941"/>
    <x v="507"/>
    <n v="82.445964559755055"/>
    <n v="10.305745569969382"/>
    <n v="41.222982279877527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22"/>
    <x v="4"/>
    <x v="4"/>
    <x v="4"/>
    <s v="latifolia"/>
    <n v="0.75"/>
    <x v="4"/>
    <n v="5.2"/>
    <n v="2.1237216000000005E-3"/>
    <n v="6"/>
    <n v="27"/>
    <n v="0.47123889803846897"/>
    <n v="5"/>
    <n v="10"/>
    <n v="0.17453292519943295"/>
    <x v="508"/>
    <n v="4.3706159035552377"/>
    <n v="0.54632698794440471"/>
    <n v="2.1853079517776188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53"/>
    <x v="35"/>
    <x v="20"/>
    <x v="27"/>
    <s v="sp."/>
    <n v="0.66"/>
    <x v="7"/>
    <n v="14"/>
    <n v="1.5393840000000001E-2"/>
    <n v="11"/>
    <n v="62"/>
    <n v="1.0821041362364843"/>
    <n v="5"/>
    <n v="4"/>
    <n v="6.9813170079773182E-2"/>
    <x v="509"/>
    <n v="65.681757033404892"/>
    <n v="8.2102196291756115"/>
    <n v="32.840878516702446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48"/>
    <x v="0"/>
    <x v="0"/>
    <x v="0"/>
    <s v="ferruginea"/>
    <n v="0.37"/>
    <x v="0"/>
    <n v="23.5"/>
    <n v="4.3373715E-2"/>
    <n v="16"/>
    <n v="72"/>
    <n v="1.2566370614359172"/>
    <n v="5"/>
    <n v="7"/>
    <n v="0.12217304763960307"/>
    <x v="510"/>
    <n v="154.52341182728537"/>
    <n v="19.315426478410672"/>
    <n v="77.261705913642686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63"/>
    <x v="37"/>
    <x v="4"/>
    <x v="28"/>
    <s v="latifolia"/>
    <n v="0.57999999999999996"/>
    <x v="7"/>
    <n v="10.5"/>
    <n v="8.6590350000000007E-3"/>
    <n v="8"/>
    <n v="50"/>
    <n v="0.87266462599716477"/>
    <n v="5"/>
    <n v="10"/>
    <n v="0.17453292519943295"/>
    <x v="511"/>
    <n v="24.072075249328872"/>
    <n v="3.009009406166109"/>
    <n v="12.036037624664436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02"/>
    <x v="37"/>
    <x v="4"/>
    <x v="28"/>
    <s v="latifolia"/>
    <n v="0.57999999999999996"/>
    <x v="7"/>
    <n v="8.1999999999999993"/>
    <n v="5.2810295999999998E-3"/>
    <n v="6"/>
    <n v="48"/>
    <n v="0.83775804095727824"/>
    <n v="5"/>
    <n v="10"/>
    <n v="0.17453292519943295"/>
    <x v="512"/>
    <n v="11.704590671181002"/>
    <n v="1.4630738338976252"/>
    <n v="5.852295335590501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41"/>
    <x v="37"/>
    <x v="4"/>
    <x v="28"/>
    <s v="latifolia"/>
    <n v="0.57999999999999996"/>
    <x v="7"/>
    <n v="12.7"/>
    <n v="1.26677166E-2"/>
    <n v="6"/>
    <n v="58"/>
    <n v="1.0122909661567112"/>
    <n v="5"/>
    <n v="10"/>
    <n v="0.17453292519943295"/>
    <x v="513"/>
    <n v="29.588893684954389"/>
    <n v="3.6986117106192986"/>
    <n v="14.794446842477194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11"/>
    <x v="37"/>
    <x v="4"/>
    <x v="28"/>
    <s v="latifolia"/>
    <n v="0.57999999999999996"/>
    <x v="7"/>
    <n v="11"/>
    <n v="9.5033400000000007E-3"/>
    <n v="8"/>
    <n v="24"/>
    <n v="0.41887902047863912"/>
    <n v="5"/>
    <n v="10"/>
    <n v="0.17453292519943295"/>
    <x v="514"/>
    <n v="15.977803130039991"/>
    <n v="1.9972253912549989"/>
    <n v="7.9889015650199955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39"/>
    <x v="1"/>
    <x v="1"/>
    <x v="1"/>
    <s v="-"/>
    <n v="0.57999999999999996"/>
    <x v="1"/>
    <n v="21"/>
    <n v="3.4636140000000003E-2"/>
    <n v="16"/>
    <n v="72"/>
    <n v="1.2566370614359172"/>
    <n v="6"/>
    <n v="12"/>
    <n v="0.20943951023931956"/>
    <x v="515"/>
    <n v="198.06549735766748"/>
    <n v="24.758187169708435"/>
    <n v="99.032748678833741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55"/>
    <x v="3"/>
    <x v="3"/>
    <x v="3"/>
    <s v="parahyba"/>
    <n v="0.315"/>
    <x v="3"/>
    <n v="17.899999999999999"/>
    <n v="2.5165001399999998E-2"/>
    <n v="18"/>
    <n v="78"/>
    <n v="1.3613568165555769"/>
    <n v="5"/>
    <n v="12"/>
    <n v="0.20943951023931956"/>
    <x v="516"/>
    <n v="92.89505414609927"/>
    <n v="11.611881768262409"/>
    <n v="46.447527073049635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59"/>
    <x v="4"/>
    <x v="4"/>
    <x v="4"/>
    <s v="latifolia"/>
    <n v="0.75"/>
    <x v="4"/>
    <n v="18.2"/>
    <n v="2.6015589599999996E-2"/>
    <n v="7"/>
    <n v="40"/>
    <n v="0.69813170079773179"/>
    <n v="5"/>
    <n v="14"/>
    <n v="0.24434609527920614"/>
    <x v="517"/>
    <n v="71.207991444117923"/>
    <n v="8.9009989305147403"/>
    <n v="35.603995722058961"/>
  </r>
  <r>
    <x v="0"/>
    <s v="NM, AM, EC, EL"/>
    <x v="11"/>
    <s v="SO"/>
    <n v="8.4089200000000002"/>
    <n v="83.312650000000005"/>
    <n v="100"/>
    <n v="7"/>
    <n v="14.262373326599949"/>
    <n v="0.24892537369778567"/>
    <n v="21"/>
    <n v="660"/>
    <x v="4"/>
    <x v="4"/>
    <x v="4"/>
    <s v="latifolia"/>
    <n v="0.75"/>
    <x v="4"/>
    <n v="6.1"/>
    <n v="2.9224733999999998E-3"/>
    <n v="7"/>
    <n v="40"/>
    <n v="0.69813170079773179"/>
    <n v="5"/>
    <n v="14"/>
    <n v="0.24434609527920614"/>
    <x v="517"/>
    <n v="9.1204153375263139"/>
    <n v="1.1400519171907892"/>
    <n v="4.560207668763157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14"/>
    <x v="13"/>
    <x v="5"/>
    <x v="1"/>
    <s v="-"/>
    <n v="0.57999999999999996"/>
    <x v="1"/>
    <n v="8.1"/>
    <n v="5.1530094000000002E-3"/>
    <n v="7"/>
    <n v="60"/>
    <n v="1.0471975511965976"/>
    <n v="5"/>
    <n v="20"/>
    <n v="0.3490658503988659"/>
    <x v="518"/>
    <n v="16.313656958379561"/>
    <n v="2.0392071197974451"/>
    <n v="8.1568284791897803"/>
  </r>
  <r>
    <x v="0"/>
    <s v="NM, AM, EC, EL"/>
    <x v="11"/>
    <s v="SO"/>
    <n v="8.4089200000000002"/>
    <n v="83.312650000000005"/>
    <n v="100"/>
    <n v="7"/>
    <n v="14.262373326599949"/>
    <n v="0.24892537369778567"/>
    <n v="21"/>
    <n v="588"/>
    <x v="21"/>
    <x v="13"/>
    <x v="16"/>
    <s v="sp."/>
    <n v="0.48"/>
    <x v="7"/>
    <n v="10"/>
    <n v="7.8539999999999999E-3"/>
    <n v="8"/>
    <n v="46"/>
    <n v="0.8028514559173916"/>
    <n v="5"/>
    <n v="20"/>
    <n v="0.3490658503988659"/>
    <x v="519"/>
    <n v="19.537393147772789"/>
    <n v="2.4421741434715987"/>
    <n v="9.7686965738863947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55"/>
    <x v="17"/>
    <x v="10"/>
    <x v="13"/>
    <s v="sp."/>
    <n v="0.57999999999999996"/>
    <x v="7"/>
    <n v="26"/>
    <n v="5.3093040000000001E-2"/>
    <n v="16"/>
    <n v="58"/>
    <n v="1.0122909661567112"/>
    <n v="7"/>
    <n v="17"/>
    <n v="0.29670597283903605"/>
    <x v="520"/>
    <n v="281.56139628713686"/>
    <n v="35.195174535892107"/>
    <n v="140.78069814356843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72"/>
    <x v="1"/>
    <x v="1"/>
    <x v="1"/>
    <s v="-"/>
    <n v="0.57999999999999996"/>
    <x v="1"/>
    <n v="7.5"/>
    <n v="4.4178749999999999E-3"/>
    <n v="9"/>
    <n v="52"/>
    <n v="0.90757121103705141"/>
    <n v="5"/>
    <n v="20"/>
    <n v="0.3490658503988659"/>
    <x v="521"/>
    <n v="15.86773184906375"/>
    <n v="1.9834664811329688"/>
    <n v="7.933865924531875"/>
  </r>
  <r>
    <x v="0"/>
    <s v="NM, AM, EC, EL"/>
    <x v="11"/>
    <s v="SO"/>
    <n v="8.4089200000000002"/>
    <n v="83.312650000000005"/>
    <n v="100"/>
    <n v="7"/>
    <n v="14.262373326599949"/>
    <n v="0.24892537369778567"/>
    <n v="21"/>
    <n v="781"/>
    <x v="3"/>
    <x v="3"/>
    <x v="3"/>
    <s v="parahyba"/>
    <n v="0.315"/>
    <x v="3"/>
    <n v="25.2"/>
    <n v="4.9876041599999997E-2"/>
    <n v="8"/>
    <n v="75"/>
    <n v="1.3089969389957472"/>
    <n v="5"/>
    <n v="17"/>
    <n v="0.29670597283903605"/>
    <x v="522"/>
    <n v="90.863736890339382"/>
    <n v="11.357967111292423"/>
    <n v="45.431868445169691"/>
  </r>
  <r>
    <x v="6"/>
    <s v="NM, AM"/>
    <x v="12"/>
    <s v="SO"/>
    <n v="8.4121500000000005"/>
    <n v="83.312619999999995"/>
    <n v="100"/>
    <n v="10"/>
    <n v="9.9666444232592379"/>
    <n v="0.17395076056140502"/>
    <n v="21"/>
    <n v="33"/>
    <x v="1"/>
    <x v="1"/>
    <x v="1"/>
    <s v="-"/>
    <n v="0.57999999999999996"/>
    <x v="1"/>
    <n v="19.8"/>
    <n v="3.0790821600000004E-2"/>
    <n v="8"/>
    <n v="40"/>
    <n v="0.69813170079773179"/>
    <n v="5"/>
    <n v="19"/>
    <n v="0.33161255787892263"/>
    <x v="523"/>
    <n v="76.90887930418684"/>
    <n v="9.613609913023355"/>
    <n v="38.45443965209342"/>
  </r>
  <r>
    <x v="6"/>
    <s v="NM, AM"/>
    <x v="12"/>
    <s v="SO"/>
    <n v="8.4121500000000005"/>
    <n v="83.312619999999995"/>
    <n v="100"/>
    <n v="10"/>
    <n v="9.9666444232592379"/>
    <n v="0.17395076056140502"/>
    <n v="21"/>
    <n v="31"/>
    <x v="1"/>
    <x v="1"/>
    <x v="1"/>
    <s v="-"/>
    <n v="0.57999999999999996"/>
    <x v="1"/>
    <n v="24"/>
    <n v="4.5239040000000001E-2"/>
    <n v="9"/>
    <n v="47"/>
    <n v="0.82030474843733492"/>
    <n v="5"/>
    <n v="19"/>
    <n v="0.33161255787892263"/>
    <x v="524"/>
    <n v="132.36249198612774"/>
    <n v="16.545311498265967"/>
    <n v="66.181245993063868"/>
  </r>
  <r>
    <x v="6"/>
    <s v="NM, AM"/>
    <x v="12"/>
    <s v="SO"/>
    <n v="8.4121500000000005"/>
    <n v="83.312619999999995"/>
    <n v="100"/>
    <n v="10"/>
    <n v="9.9666444232592379"/>
    <n v="0.17395076056140502"/>
    <n v="21"/>
    <n v="57"/>
    <x v="7"/>
    <x v="6"/>
    <x v="6"/>
    <s v="quinata"/>
    <n v="0.48"/>
    <x v="6"/>
    <n v="17"/>
    <n v="2.2698060000000003E-2"/>
    <n v="7"/>
    <n v="37"/>
    <n v="0.64577182323790194"/>
    <n v="5"/>
    <n v="10"/>
    <n v="0.17453292519943295"/>
    <x v="525"/>
    <n v="36.902888850878846"/>
    <n v="4.6128611063598557"/>
    <n v="18.451444425439423"/>
  </r>
  <r>
    <x v="6"/>
    <s v="NM, AM"/>
    <x v="12"/>
    <s v="SO"/>
    <n v="8.4121500000000005"/>
    <n v="83.312619999999995"/>
    <n v="100"/>
    <n v="10"/>
    <n v="9.9666444232592379"/>
    <n v="0.17395076056140502"/>
    <n v="21"/>
    <n v="58"/>
    <x v="7"/>
    <x v="6"/>
    <x v="6"/>
    <s v="quinata"/>
    <n v="0.48"/>
    <x v="6"/>
    <n v="15.5"/>
    <n v="1.8869235000000002E-2"/>
    <n v="9"/>
    <n v="51"/>
    <n v="0.89011791851710809"/>
    <n v="5"/>
    <n v="11"/>
    <n v="0.19198621771937624"/>
    <x v="526"/>
    <n v="47.240325780129986"/>
    <n v="5.9050407225162482"/>
    <n v="23.620162890064993"/>
  </r>
  <r>
    <x v="6"/>
    <s v="NM, AM"/>
    <x v="12"/>
    <s v="SO"/>
    <n v="8.4121500000000005"/>
    <n v="83.312619999999995"/>
    <n v="100"/>
    <n v="10"/>
    <n v="9.9666444232592379"/>
    <n v="0.17395076056140502"/>
    <n v="21"/>
    <n v="59"/>
    <x v="0"/>
    <x v="0"/>
    <x v="0"/>
    <s v="ferruginea"/>
    <n v="0.37"/>
    <x v="0"/>
    <n v="15.5"/>
    <n v="1.8869235000000002E-2"/>
    <n v="10"/>
    <n v="48"/>
    <n v="0.83775804095727824"/>
    <n v="5"/>
    <n v="19"/>
    <n v="0.33161255787892263"/>
    <x v="527"/>
    <n v="41.827644005897888"/>
    <n v="5.228455500737236"/>
    <n v="20.913822002948944"/>
  </r>
  <r>
    <x v="6"/>
    <s v="NM, AM"/>
    <x v="12"/>
    <s v="SO"/>
    <n v="8.4121500000000005"/>
    <n v="83.312619999999995"/>
    <n v="100"/>
    <n v="10"/>
    <n v="9.9666444232592379"/>
    <n v="0.17395076056140502"/>
    <n v="21"/>
    <n v="66"/>
    <x v="1"/>
    <x v="1"/>
    <x v="1"/>
    <s v="-"/>
    <n v="0.57999999999999996"/>
    <x v="1"/>
    <n v="27.5"/>
    <n v="5.9395875000000001E-2"/>
    <n v="9"/>
    <n v="63"/>
    <n v="1.0995574287564276"/>
    <n v="5"/>
    <n v="20"/>
    <n v="0.3490658503988659"/>
    <x v="528"/>
    <n v="200.54890761717351"/>
    <n v="25.068613452146689"/>
    <n v="100.27445380858676"/>
  </r>
  <r>
    <x v="6"/>
    <s v="NM, AM"/>
    <x v="12"/>
    <s v="SO"/>
    <n v="8.4121500000000005"/>
    <n v="83.312619999999995"/>
    <n v="100"/>
    <n v="10"/>
    <n v="9.9666444232592379"/>
    <n v="0.17395076056140502"/>
    <n v="21"/>
    <n v="64"/>
    <x v="38"/>
    <x v="21"/>
    <x v="29"/>
    <s v="odorata"/>
    <n v="0.46"/>
    <x v="7"/>
    <n v="40.799999999999997"/>
    <n v="0.1307408256"/>
    <n v="15"/>
    <n v="65"/>
    <n v="1.1344640137963142"/>
    <n v="5"/>
    <n v="13"/>
    <n v="0.22689280275926285"/>
    <x v="529"/>
    <n v="499.70203283354482"/>
    <n v="62.462754104193102"/>
    <n v="249.85101641677241"/>
  </r>
  <r>
    <x v="6"/>
    <s v="NM, AM"/>
    <x v="12"/>
    <s v="SO"/>
    <n v="8.4121500000000005"/>
    <n v="83.312619999999995"/>
    <n v="100"/>
    <n v="10"/>
    <n v="9.9666444232592379"/>
    <n v="0.17395076056140502"/>
    <n v="21"/>
    <n v="46"/>
    <x v="1"/>
    <x v="1"/>
    <x v="1"/>
    <s v="-"/>
    <n v="0.57999999999999996"/>
    <x v="1"/>
    <n v="35.200000000000003"/>
    <n v="9.7314201600000025E-2"/>
    <n v="13"/>
    <n v="50"/>
    <n v="0.87266462599716477"/>
    <n v="5"/>
    <n v="12"/>
    <n v="0.20943951023931956"/>
    <x v="530"/>
    <n v="357.95150366169815"/>
    <n v="44.743937957712269"/>
    <n v="178.97575183084908"/>
  </r>
  <r>
    <x v="6"/>
    <s v="NM, AM"/>
    <x v="12"/>
    <s v="SO"/>
    <n v="8.4121500000000005"/>
    <n v="83.312619999999995"/>
    <n v="100"/>
    <n v="10"/>
    <n v="9.9666444232592379"/>
    <n v="0.17395076056140502"/>
    <n v="21"/>
    <n v="67"/>
    <x v="7"/>
    <x v="6"/>
    <x v="6"/>
    <s v="quinata"/>
    <n v="0.48"/>
    <x v="6"/>
    <n v="16.3"/>
    <n v="2.08672926E-2"/>
    <n v="10"/>
    <n v="31"/>
    <n v="0.54105206811824214"/>
    <n v="6"/>
    <n v="14"/>
    <n v="0.24434609527920614"/>
    <x v="531"/>
    <n v="43.614483676024371"/>
    <n v="5.4518104595030463"/>
    <n v="21.807241838012185"/>
  </r>
  <r>
    <x v="6"/>
    <s v="NM, AM"/>
    <x v="12"/>
    <s v="SO"/>
    <n v="8.4121500000000005"/>
    <n v="83.312619999999995"/>
    <n v="100"/>
    <n v="10"/>
    <n v="9.9666444232592379"/>
    <n v="0.17395076056140502"/>
    <n v="21"/>
    <n v="36"/>
    <x v="7"/>
    <x v="6"/>
    <x v="6"/>
    <s v="quinata"/>
    <n v="0.48"/>
    <x v="6"/>
    <n v="25"/>
    <n v="4.9087499999999999E-2"/>
    <n v="15"/>
    <n v="53"/>
    <n v="0.92502450355699462"/>
    <n v="6"/>
    <n v="13"/>
    <n v="0.22689280275926285"/>
    <x v="532"/>
    <n v="188.65691736143123"/>
    <n v="23.582114670178903"/>
    <n v="94.328458680715613"/>
  </r>
  <r>
    <x v="6"/>
    <s v="NM, AM"/>
    <x v="12"/>
    <s v="SO"/>
    <n v="8.4121500000000005"/>
    <n v="83.312619999999995"/>
    <n v="100"/>
    <n v="10"/>
    <n v="9.9666444232592379"/>
    <n v="0.17395076056140502"/>
    <n v="21"/>
    <n v="37"/>
    <x v="7"/>
    <x v="6"/>
    <x v="6"/>
    <s v="quinata"/>
    <n v="0.48"/>
    <x v="6"/>
    <n v="18.2"/>
    <n v="2.6015589599999996E-2"/>
    <n v="10"/>
    <n v="52"/>
    <n v="0.90757121103705141"/>
    <n v="5"/>
    <n v="10"/>
    <n v="0.17453292519943295"/>
    <x v="533"/>
    <n v="69.915457050376119"/>
    <n v="8.7394321312970149"/>
    <n v="34.95772852518806"/>
  </r>
  <r>
    <x v="6"/>
    <s v="NM, AM"/>
    <x v="12"/>
    <s v="SO"/>
    <n v="8.4121500000000005"/>
    <n v="83.312619999999995"/>
    <n v="100"/>
    <n v="10"/>
    <n v="9.9666444232592379"/>
    <n v="0.17395076056140502"/>
    <n v="21"/>
    <n v="40"/>
    <x v="1"/>
    <x v="1"/>
    <x v="1"/>
    <s v="-"/>
    <n v="0.57999999999999996"/>
    <x v="1"/>
    <n v="20"/>
    <n v="3.1415999999999999E-2"/>
    <n v="15"/>
    <n v="77"/>
    <n v="1.3439035240356338"/>
    <n v="6"/>
    <n v="10"/>
    <n v="0.17453292519943295"/>
    <x v="534"/>
    <n v="172.36851449641591"/>
    <n v="21.546064312051989"/>
    <n v="86.184257248207956"/>
  </r>
  <r>
    <x v="6"/>
    <s v="NM, AM"/>
    <x v="12"/>
    <s v="SO"/>
    <n v="8.4121500000000005"/>
    <n v="83.312619999999995"/>
    <n v="100"/>
    <n v="10"/>
    <n v="9.9666444232592379"/>
    <n v="0.17395076056140502"/>
    <n v="21"/>
    <n v="56"/>
    <x v="1"/>
    <x v="1"/>
    <x v="1"/>
    <s v="-"/>
    <n v="0.57999999999999996"/>
    <x v="1"/>
    <n v="21"/>
    <n v="3.4636140000000003E-2"/>
    <n v="15"/>
    <n v="77"/>
    <n v="1.3439035240356338"/>
    <n v="6"/>
    <n v="10"/>
    <n v="0.17453292519943295"/>
    <x v="534"/>
    <n v="188.92690980545916"/>
    <n v="23.615863725682395"/>
    <n v="94.46345490272958"/>
  </r>
  <r>
    <x v="6"/>
    <s v="NM, AM"/>
    <x v="12"/>
    <s v="SO"/>
    <n v="8.4121500000000005"/>
    <n v="83.312619999999995"/>
    <n v="100"/>
    <n v="10"/>
    <n v="9.9666444232592379"/>
    <n v="0.17395076056140502"/>
    <n v="21"/>
    <n v="43"/>
    <x v="7"/>
    <x v="6"/>
    <x v="6"/>
    <s v="quinata"/>
    <n v="0.48"/>
    <x v="6"/>
    <n v="21"/>
    <n v="3.4636140000000003E-2"/>
    <n v="10"/>
    <n v="63"/>
    <n v="1.0995574287564276"/>
    <n v="5"/>
    <n v="10"/>
    <n v="0.17453292519943295"/>
    <x v="535"/>
    <n v="101.58944093873929"/>
    <n v="12.698680117342411"/>
    <n v="50.794720469369643"/>
  </r>
  <r>
    <x v="6"/>
    <s v="NM, AM"/>
    <x v="12"/>
    <s v="SO"/>
    <n v="8.4121500000000005"/>
    <n v="83.312619999999995"/>
    <n v="100"/>
    <n v="10"/>
    <n v="9.9666444232592379"/>
    <n v="0.17395076056140502"/>
    <n v="21"/>
    <n v="32"/>
    <x v="1"/>
    <x v="1"/>
    <x v="1"/>
    <s v="-"/>
    <n v="0.57999999999999996"/>
    <x v="1"/>
    <n v="28.4"/>
    <n v="6.33472224E-2"/>
    <n v="12"/>
    <n v="55"/>
    <n v="0.95993108859688125"/>
    <n v="6"/>
    <n v="13"/>
    <n v="0.22689280275926285"/>
    <x v="536"/>
    <n v="242.79552547079578"/>
    <n v="30.349440683849473"/>
    <n v="121.39776273539789"/>
  </r>
  <r>
    <x v="6"/>
    <s v="NM, AM"/>
    <x v="12"/>
    <s v="SO"/>
    <n v="8.4121500000000005"/>
    <n v="83.312619999999995"/>
    <n v="100"/>
    <n v="10"/>
    <n v="9.9666444232592379"/>
    <n v="0.17395076056140502"/>
    <n v="21"/>
    <n v="47"/>
    <x v="1"/>
    <x v="1"/>
    <x v="1"/>
    <s v="-"/>
    <n v="0.57999999999999996"/>
    <x v="1"/>
    <n v="20.5"/>
    <n v="3.3006435000000001E-2"/>
    <n v="14"/>
    <n v="61"/>
    <n v="1.064650843716541"/>
    <n v="5"/>
    <n v="16"/>
    <n v="0.27925268031909273"/>
    <x v="537"/>
    <n v="158.41400363430083"/>
    <n v="19.801750454287603"/>
    <n v="79.207001817150413"/>
  </r>
  <r>
    <x v="6"/>
    <s v="NM, AM"/>
    <x v="12"/>
    <s v="SO"/>
    <n v="8.4121500000000005"/>
    <n v="83.312619999999995"/>
    <n v="100"/>
    <n v="10"/>
    <n v="9.9666444232592379"/>
    <n v="0.17395076056140502"/>
    <n v="21"/>
    <n v="84"/>
    <x v="7"/>
    <x v="6"/>
    <x v="6"/>
    <s v="quinata"/>
    <n v="0.48"/>
    <x v="6"/>
    <n v="15.5"/>
    <n v="1.8869235000000002E-2"/>
    <n v="9"/>
    <n v="47"/>
    <n v="0.82030474843733492"/>
    <n v="5"/>
    <n v="16"/>
    <n v="0.27925268031909273"/>
    <x v="538"/>
    <n v="47.30742840920265"/>
    <n v="5.9134285511503313"/>
    <n v="23.653714204601325"/>
  </r>
  <r>
    <x v="6"/>
    <s v="NM, AM"/>
    <x v="12"/>
    <s v="SO"/>
    <n v="8.4121500000000005"/>
    <n v="83.312619999999995"/>
    <n v="100"/>
    <n v="10"/>
    <n v="9.9666444232592379"/>
    <n v="0.17395076056140502"/>
    <n v="21"/>
    <n v="85"/>
    <x v="0"/>
    <x v="0"/>
    <x v="0"/>
    <s v="ferruginea"/>
    <n v="0.37"/>
    <x v="0"/>
    <n v="17.2"/>
    <n v="2.3235273599999998E-2"/>
    <n v="14"/>
    <n v="65"/>
    <n v="1.1344640137963142"/>
    <n v="5"/>
    <n v="22"/>
    <n v="0.38397243543875248"/>
    <x v="539"/>
    <n v="79.464680160787864"/>
    <n v="9.933085020098483"/>
    <n v="39.732340080393932"/>
  </r>
  <r>
    <x v="6"/>
    <s v="NM, AM"/>
    <x v="12"/>
    <s v="SO"/>
    <n v="8.4121500000000005"/>
    <n v="83.312619999999995"/>
    <n v="100"/>
    <n v="10"/>
    <n v="9.9666444232592379"/>
    <n v="0.17395076056140502"/>
    <n v="21"/>
    <n v="53"/>
    <x v="7"/>
    <x v="6"/>
    <x v="6"/>
    <s v="quinata"/>
    <n v="0.48"/>
    <x v="6"/>
    <n v="11"/>
    <n v="9.5033400000000007E-3"/>
    <n v="15"/>
    <n v="39"/>
    <n v="0.68067840827778847"/>
    <n v="5"/>
    <n v="9"/>
    <n v="0.15707963267948966"/>
    <x v="540"/>
    <n v="31.405780103021289"/>
    <n v="3.9257225128776612"/>
    <n v="15.702890051510645"/>
  </r>
  <r>
    <x v="6"/>
    <s v="NM, AM"/>
    <x v="12"/>
    <s v="SO"/>
    <n v="8.4121500000000005"/>
    <n v="83.312619999999995"/>
    <n v="100"/>
    <n v="10"/>
    <n v="9.9666444232592379"/>
    <n v="0.17395076056140502"/>
    <n v="21"/>
    <n v="55"/>
    <x v="7"/>
    <x v="6"/>
    <x v="6"/>
    <s v="quinata"/>
    <n v="0.48"/>
    <x v="6"/>
    <n v="13.5"/>
    <n v="1.4313915E-2"/>
    <n v="9"/>
    <n v="72"/>
    <n v="1.2566370614359172"/>
    <n v="5"/>
    <n v="7"/>
    <n v="0.12217304763960307"/>
    <x v="541"/>
    <n v="41.670833159013952"/>
    <n v="5.208854144876744"/>
    <n v="20.835416579506976"/>
  </r>
  <r>
    <x v="6"/>
    <s v="NM, AM"/>
    <x v="12"/>
    <s v="SO"/>
    <n v="8.4121500000000005"/>
    <n v="83.312619999999995"/>
    <n v="100"/>
    <n v="10"/>
    <n v="9.9666444232592379"/>
    <n v="0.17395076056140502"/>
    <n v="21"/>
    <n v="41"/>
    <x v="7"/>
    <x v="6"/>
    <x v="6"/>
    <s v="quinata"/>
    <n v="0.48"/>
    <x v="6"/>
    <n v="12"/>
    <n v="1.130976E-2"/>
    <n v="10"/>
    <n v="55"/>
    <n v="0.95993108859688125"/>
    <n v="5"/>
    <n v="4"/>
    <n v="6.9813170079773182E-2"/>
    <x v="542"/>
    <n v="31.237344011733121"/>
    <n v="3.9046680014666402"/>
    <n v="15.618672005866561"/>
  </r>
  <r>
    <x v="6"/>
    <s v="NM, AM"/>
    <x v="12"/>
    <s v="SO"/>
    <n v="8.4121500000000005"/>
    <n v="83.312619999999995"/>
    <n v="100"/>
    <n v="10"/>
    <n v="9.9666444232592379"/>
    <n v="0.17395076056140502"/>
    <n v="21"/>
    <n v="35"/>
    <x v="21"/>
    <x v="13"/>
    <x v="16"/>
    <s v="sp."/>
    <n v="0.48"/>
    <x v="7"/>
    <n v="6.8"/>
    <n v="3.6316895999999998E-3"/>
    <n v="7"/>
    <n v="44"/>
    <n v="0.76794487087750496"/>
    <n v="5"/>
    <n v="13"/>
    <n v="0.22689280275926285"/>
    <x v="543"/>
    <n v="7.6903614645886966"/>
    <n v="0.96129518307358708"/>
    <n v="3.8451807322943483"/>
  </r>
  <r>
    <x v="6"/>
    <s v="NM, AM"/>
    <x v="12"/>
    <s v="SO"/>
    <n v="8.4121500000000005"/>
    <n v="83.312619999999995"/>
    <n v="100"/>
    <n v="10"/>
    <n v="9.9666444232592379"/>
    <n v="0.17395076056140502"/>
    <n v="21"/>
    <n v="64"/>
    <x v="15"/>
    <x v="9"/>
    <x v="12"/>
    <s v="insularis"/>
    <n v="0.53"/>
    <x v="7"/>
    <n v="10.3"/>
    <n v="8.3323086000000011E-3"/>
    <n v="9"/>
    <n v="57"/>
    <n v="0.99483767363676789"/>
    <n v="5"/>
    <n v="14"/>
    <n v="0.24434609527920614"/>
    <x v="544"/>
    <n v="26.342627967069788"/>
    <n v="3.2928284958837235"/>
    <n v="13.171313983534894"/>
  </r>
  <r>
    <x v="7"/>
    <s v="NM, AM"/>
    <x v="12"/>
    <s v="SO"/>
    <n v="8.4121500000000005"/>
    <n v="83.312619999999995"/>
    <n v="100"/>
    <n v="10"/>
    <n v="9.9666444232592379"/>
    <n v="0.17395076056140502"/>
    <n v="21"/>
    <n v="1103"/>
    <x v="7"/>
    <x v="6"/>
    <x v="6"/>
    <s v="quinata"/>
    <n v="0.48"/>
    <x v="6"/>
    <n v="16.399999999999999"/>
    <n v="2.1124118399999999E-2"/>
    <n v="7"/>
    <n v="30"/>
    <n v="0.52359877559829882"/>
    <n v="6"/>
    <n v="24"/>
    <n v="0.41887902047863912"/>
    <x v="545"/>
    <n v="39.950574731670386"/>
    <n v="4.9938218414587983"/>
    <n v="19.975287365835193"/>
  </r>
  <r>
    <x v="7"/>
    <s v="NM, AM"/>
    <x v="12"/>
    <s v="SO"/>
    <n v="8.4121500000000005"/>
    <n v="83.312619999999995"/>
    <n v="100"/>
    <n v="10"/>
    <n v="9.9666444232592379"/>
    <n v="0.17395076056140502"/>
    <n v="21"/>
    <n v="1105"/>
    <x v="21"/>
    <x v="13"/>
    <x v="16"/>
    <s v="sp."/>
    <n v="0.48"/>
    <x v="7"/>
    <n v="8.6999999999999993"/>
    <n v="5.944692599999999E-3"/>
    <n v="8"/>
    <n v="44"/>
    <n v="0.76794487087750496"/>
    <n v="6"/>
    <n v="24"/>
    <n v="0.41887902047863912"/>
    <x v="546"/>
    <n v="16.043946660882369"/>
    <n v="2.0054933326102962"/>
    <n v="8.0219733304411847"/>
  </r>
  <r>
    <x v="7"/>
    <s v="NM, AM"/>
    <x v="12"/>
    <s v="SO"/>
    <n v="8.4121500000000005"/>
    <n v="83.312619999999995"/>
    <n v="100"/>
    <n v="10"/>
    <n v="9.9666444232592379"/>
    <n v="0.17395076056140502"/>
    <n v="21"/>
    <n v="1100"/>
    <x v="7"/>
    <x v="6"/>
    <x v="6"/>
    <s v="quinata"/>
    <n v="0.48"/>
    <x v="6"/>
    <n v="13.8"/>
    <n v="1.4957157600000003E-2"/>
    <n v="8"/>
    <n v="40"/>
    <n v="0.69813170079773179"/>
    <n v="7"/>
    <n v="0"/>
    <n v="0"/>
    <x v="547"/>
    <n v="25.216755150154356"/>
    <n v="3.1520943937692945"/>
    <n v="12.608377575077178"/>
  </r>
  <r>
    <x v="7"/>
    <s v="NM, AM"/>
    <x v="12"/>
    <s v="SO"/>
    <n v="8.4121500000000005"/>
    <n v="83.312619999999995"/>
    <n v="100"/>
    <n v="10"/>
    <n v="9.9666444232592379"/>
    <n v="0.17395076056140502"/>
    <n v="21"/>
    <n v="1106"/>
    <x v="1"/>
    <x v="1"/>
    <x v="1"/>
    <s v="-"/>
    <n v="0.57999999999999996"/>
    <x v="1"/>
    <n v="5.3"/>
    <n v="2.2061886000000002E-3"/>
    <n v="5"/>
    <n v="30"/>
    <n v="0.52359877559829882"/>
    <n v="6"/>
    <n v="15"/>
    <n v="0.26179938779914941"/>
    <x v="548"/>
    <n v="3.9849606974128542"/>
    <n v="0.49812008717660677"/>
    <n v="1.9924803487064271"/>
  </r>
  <r>
    <x v="7"/>
    <s v="NM, AM"/>
    <x v="12"/>
    <s v="SO"/>
    <n v="8.4121500000000005"/>
    <n v="83.312619999999995"/>
    <n v="100"/>
    <n v="10"/>
    <n v="9.9666444232592379"/>
    <n v="0.17395076056140502"/>
    <n v="21"/>
    <n v="1116"/>
    <x v="7"/>
    <x v="6"/>
    <x v="6"/>
    <s v="quinata"/>
    <n v="0.48"/>
    <x v="6"/>
    <n v="11.5"/>
    <n v="1.0386915E-2"/>
    <n v="6"/>
    <n v="20"/>
    <n v="0.3490658503988659"/>
    <n v="6"/>
    <n v="25"/>
    <n v="0.43633231299858238"/>
    <x v="549"/>
    <n v="16.078715118375055"/>
    <n v="2.0098393897968818"/>
    <n v="8.0393575591875273"/>
  </r>
  <r>
    <x v="7"/>
    <s v="NM, AM"/>
    <x v="12"/>
    <s v="SO"/>
    <n v="8.4121500000000005"/>
    <n v="83.312619999999995"/>
    <n v="100"/>
    <n v="10"/>
    <n v="9.9666444232592379"/>
    <n v="0.17395076056140502"/>
    <n v="21"/>
    <n v="1104"/>
    <x v="7"/>
    <x v="6"/>
    <x v="6"/>
    <s v="quinata"/>
    <n v="0.48"/>
    <x v="6"/>
    <n v="11.2"/>
    <n v="9.8520575999999985E-3"/>
    <n v="6"/>
    <n v="20"/>
    <n v="0.3490658503988659"/>
    <n v="6"/>
    <n v="25"/>
    <n v="0.43633231299858238"/>
    <x v="549"/>
    <n v="15.29921977035394"/>
    <n v="1.9124024712942425"/>
    <n v="7.6496098851769698"/>
  </r>
  <r>
    <x v="7"/>
    <s v="NM, AM"/>
    <x v="12"/>
    <s v="SO"/>
    <n v="8.4121500000000005"/>
    <n v="83.312619999999995"/>
    <n v="100"/>
    <n v="10"/>
    <n v="9.9666444232592379"/>
    <n v="0.17395076056140502"/>
    <n v="21"/>
    <n v="1107"/>
    <x v="7"/>
    <x v="6"/>
    <x v="6"/>
    <s v="quinata"/>
    <n v="0.48"/>
    <x v="6"/>
    <n v="9.1999999999999993"/>
    <n v="6.6476255999999992E-3"/>
    <n v="6"/>
    <n v="20"/>
    <n v="0.3490658503988659"/>
    <n v="6"/>
    <n v="25"/>
    <n v="0.43633231299858238"/>
    <x v="549"/>
    <n v="10.569647799004459"/>
    <n v="1.3212059748755574"/>
    <n v="5.2848238995022294"/>
  </r>
  <r>
    <x v="7"/>
    <s v="NM, AM"/>
    <x v="12"/>
    <s v="SO"/>
    <n v="8.4121500000000005"/>
    <n v="83.312619999999995"/>
    <n v="100"/>
    <n v="10"/>
    <n v="9.9666444232592379"/>
    <n v="0.17395076056140502"/>
    <n v="21"/>
    <n v="1101"/>
    <x v="21"/>
    <x v="13"/>
    <x v="16"/>
    <s v="sp."/>
    <n v="0.48"/>
    <x v="7"/>
    <n v="8.8000000000000007"/>
    <n v="6.0821376000000016E-3"/>
    <n v="10"/>
    <n v="40"/>
    <n v="0.69813170079773179"/>
    <n v="6"/>
    <n v="20"/>
    <n v="0.3490658503988659"/>
    <x v="550"/>
    <n v="17.31999900183812"/>
    <n v="2.164999875229765"/>
    <n v="8.65999950091906"/>
  </r>
  <r>
    <x v="7"/>
    <s v="NM, AM"/>
    <x v="12"/>
    <s v="SO"/>
    <n v="8.4121500000000005"/>
    <n v="83.312619999999995"/>
    <n v="100"/>
    <n v="10"/>
    <n v="9.9666444232592379"/>
    <n v="0.17395076056140502"/>
    <n v="21"/>
    <n v="1114"/>
    <x v="15"/>
    <x v="9"/>
    <x v="12"/>
    <s v="insularis"/>
    <n v="0.53"/>
    <x v="7"/>
    <n v="5.5"/>
    <n v="2.3758350000000002E-3"/>
    <n v="6"/>
    <n v="20"/>
    <n v="0.3490658503988659"/>
    <n v="6"/>
    <n v="25"/>
    <n v="0.43633231299858238"/>
    <x v="549"/>
    <n v="4.4103576695847808"/>
    <n v="0.5512947086980976"/>
    <n v="2.2051788347923904"/>
  </r>
  <r>
    <x v="7"/>
    <s v="NM, AM"/>
    <x v="12"/>
    <s v="SO"/>
    <n v="8.4121500000000005"/>
    <n v="83.312619999999995"/>
    <n v="100"/>
    <n v="10"/>
    <n v="9.9666444232592379"/>
    <n v="0.17395076056140502"/>
    <n v="21"/>
    <n v="1108"/>
    <x v="15"/>
    <x v="9"/>
    <x v="12"/>
    <s v="insularis"/>
    <n v="0.53"/>
    <x v="7"/>
    <n v="8.6"/>
    <n v="5.8088183999999996E-3"/>
    <n v="6"/>
    <n v="20"/>
    <n v="0.3490658503988659"/>
    <n v="6"/>
    <n v="25"/>
    <n v="0.43633231299858238"/>
    <x v="549"/>
    <n v="10.219956404927309"/>
    <n v="1.2774945506159137"/>
    <n v="5.1099782024636546"/>
  </r>
  <r>
    <x v="7"/>
    <s v="NM, AM"/>
    <x v="12"/>
    <s v="SO"/>
    <n v="8.4121500000000005"/>
    <n v="83.312619999999995"/>
    <n v="100"/>
    <n v="10"/>
    <n v="9.9666444232592379"/>
    <n v="0.17395076056140502"/>
    <n v="21"/>
    <n v="1109"/>
    <x v="15"/>
    <x v="9"/>
    <x v="12"/>
    <s v="insularis"/>
    <n v="0.53"/>
    <x v="7"/>
    <n v="11.1"/>
    <n v="9.6769134000000007E-3"/>
    <n v="8"/>
    <n v="44"/>
    <n v="0.76794487087750496"/>
    <n v="6"/>
    <n v="24"/>
    <n v="0.41887902047863912"/>
    <x v="546"/>
    <n v="27.840355011425491"/>
    <n v="3.4800443764281863"/>
    <n v="13.920177505712745"/>
  </r>
  <r>
    <x v="7"/>
    <s v="NM, AM"/>
    <x v="12"/>
    <s v="SO"/>
    <n v="8.4121500000000005"/>
    <n v="83.312619999999995"/>
    <n v="100"/>
    <n v="10"/>
    <n v="9.9666444232592379"/>
    <n v="0.17395076056140502"/>
    <n v="21"/>
    <n v="1110"/>
    <x v="7"/>
    <x v="6"/>
    <x v="6"/>
    <s v="quinata"/>
    <n v="0.48"/>
    <x v="6"/>
    <n v="14.3"/>
    <n v="1.60606446E-2"/>
    <n v="6"/>
    <n v="20"/>
    <n v="0.3490658503988659"/>
    <n v="6"/>
    <n v="25"/>
    <n v="0.43633231299858238"/>
    <x v="549"/>
    <n v="24.219833377273389"/>
    <n v="3.0274791721591736"/>
    <n v="12.109916688636694"/>
  </r>
  <r>
    <x v="7"/>
    <s v="NM, AM"/>
    <x v="12"/>
    <s v="SO"/>
    <n v="8.4121500000000005"/>
    <n v="83.312619999999995"/>
    <n v="100"/>
    <n v="10"/>
    <n v="9.9666444232592379"/>
    <n v="0.17395076056140502"/>
    <n v="21"/>
    <n v="1111"/>
    <x v="14"/>
    <x v="0"/>
    <x v="0"/>
    <s v="allenii"/>
    <n v="0.48"/>
    <x v="7"/>
    <n v="8.3000000000000007"/>
    <n v="5.4106206000000016E-3"/>
    <n v="6"/>
    <n v="20"/>
    <n v="0.3490658503988659"/>
    <n v="6"/>
    <n v="25"/>
    <n v="0.43633231299858238"/>
    <x v="549"/>
    <n v="8.7097605258033681"/>
    <n v="1.088720065725421"/>
    <n v="4.3548802629016841"/>
  </r>
  <r>
    <x v="7"/>
    <s v="NM, AM"/>
    <x v="12"/>
    <s v="SO"/>
    <n v="8.4121500000000005"/>
    <n v="83.312619999999995"/>
    <n v="100"/>
    <n v="10"/>
    <n v="9.9666444232592379"/>
    <n v="0.17395076056140502"/>
    <n v="21"/>
    <n v="1112"/>
    <x v="17"/>
    <x v="10"/>
    <x v="13"/>
    <s v="sp."/>
    <n v="0.57999999999999996"/>
    <x v="7"/>
    <n v="9"/>
    <n v="6.3617400000000003E-3"/>
    <n v="9"/>
    <n v="55"/>
    <n v="0.95993108859688125"/>
    <n v="6"/>
    <n v="22"/>
    <n v="0.38397243543875248"/>
    <x v="551"/>
    <n v="24.302159025569619"/>
    <n v="3.0377698781962024"/>
    <n v="12.151079512784809"/>
  </r>
  <r>
    <x v="7"/>
    <s v="NM, AM"/>
    <x v="12"/>
    <s v="SO"/>
    <n v="8.4121500000000005"/>
    <n v="83.312619999999995"/>
    <n v="100"/>
    <n v="10"/>
    <n v="9.9666444232592379"/>
    <n v="0.17395076056140502"/>
    <n v="21"/>
    <n v="1113"/>
    <x v="17"/>
    <x v="10"/>
    <x v="13"/>
    <s v="sp."/>
    <n v="0.57999999999999996"/>
    <x v="7"/>
    <n v="8.1999999999999993"/>
    <n v="5.2810295999999998E-3"/>
    <n v="6"/>
    <n v="20"/>
    <n v="0.3490658503988659"/>
    <n v="6"/>
    <n v="25"/>
    <n v="0.43633231299858238"/>
    <x v="549"/>
    <n v="10.17103137285541"/>
    <n v="1.2713789216069262"/>
    <n v="5.0855156864277049"/>
  </r>
  <r>
    <x v="7"/>
    <s v="NM, AM"/>
    <x v="12"/>
    <s v="SO"/>
    <n v="8.4121500000000005"/>
    <n v="83.312619999999995"/>
    <n v="100"/>
    <n v="10"/>
    <n v="9.9666444232592379"/>
    <n v="0.17395076056140502"/>
    <n v="21"/>
    <n v="1115"/>
    <x v="15"/>
    <x v="9"/>
    <x v="12"/>
    <s v="insularis"/>
    <n v="0.53"/>
    <x v="7"/>
    <n v="6.4"/>
    <n v="3.2169984000000006E-3"/>
    <n v="7"/>
    <n v="30"/>
    <n v="0.52359877559829882"/>
    <n v="6"/>
    <n v="24"/>
    <n v="0.41887902047863912"/>
    <x v="545"/>
    <n v="7.4763134728771501"/>
    <n v="0.93453918410964376"/>
    <n v="3.738156736438575"/>
  </r>
  <r>
    <x v="7"/>
    <s v="NM, AM"/>
    <x v="12"/>
    <s v="SO"/>
    <n v="8.4121500000000005"/>
    <n v="83.312619999999995"/>
    <n v="100"/>
    <n v="10"/>
    <n v="9.9666444232592379"/>
    <n v="0.17395076056140502"/>
    <n v="21"/>
    <n v="1125"/>
    <x v="39"/>
    <x v="5"/>
    <x v="1"/>
    <s v="-"/>
    <n v="0.57999999999999996"/>
    <x v="1"/>
    <n v="16"/>
    <n v="2.0106240000000001E-2"/>
    <n v="6"/>
    <n v="20"/>
    <n v="0.3490658503988659"/>
    <n v="5"/>
    <n v="25"/>
    <n v="0.43633231299858238"/>
    <x v="552"/>
    <n v="32.635367187603158"/>
    <n v="4.0794208984503948"/>
    <n v="16.317683593801579"/>
  </r>
  <r>
    <x v="7"/>
    <s v="NM, AM"/>
    <x v="12"/>
    <s v="SO"/>
    <n v="8.4121500000000005"/>
    <n v="83.312619999999995"/>
    <n v="100"/>
    <n v="10"/>
    <n v="9.9666444232592379"/>
    <n v="0.17395076056140502"/>
    <n v="21"/>
    <n v="1122"/>
    <x v="15"/>
    <x v="9"/>
    <x v="12"/>
    <s v="insularis"/>
    <n v="0.53"/>
    <x v="7"/>
    <n v="6.5"/>
    <n v="3.3183150000000001E-3"/>
    <n v="6"/>
    <n v="20"/>
    <n v="0.3490658503988659"/>
    <n v="6"/>
    <n v="25"/>
    <n v="0.43633231299858238"/>
    <x v="549"/>
    <n v="6.0376657351049072"/>
    <n v="0.7547082168881134"/>
    <n v="3.0188328675524536"/>
  </r>
  <r>
    <x v="7"/>
    <s v="NM, AM"/>
    <x v="12"/>
    <s v="SO"/>
    <n v="8.4121500000000005"/>
    <n v="83.312619999999995"/>
    <n v="100"/>
    <n v="10"/>
    <n v="9.9666444232592379"/>
    <n v="0.17395076056140502"/>
    <n v="21"/>
    <n v="1102"/>
    <x v="29"/>
    <x v="7"/>
    <x v="1"/>
    <s v="-"/>
    <n v="0.69"/>
    <x v="7"/>
    <n v="5.4"/>
    <n v="2.2902264000000004E-3"/>
    <n v="5"/>
    <n v="30"/>
    <n v="0.52359877559829882"/>
    <n v="6"/>
    <n v="15"/>
    <n v="0.26179938779914941"/>
    <x v="548"/>
    <n v="4.8593872223783556"/>
    <n v="0.60742340279729445"/>
    <n v="2.4296936111891778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70"/>
    <x v="3"/>
    <x v="3"/>
    <x v="3"/>
    <s v="parahyba"/>
    <n v="0.315"/>
    <x v="3"/>
    <n v="7.9"/>
    <n v="4.9016814000000008E-3"/>
    <n v="6"/>
    <n v="41"/>
    <n v="0.71558499331767511"/>
    <n v="5"/>
    <n v="20"/>
    <n v="0.3490658503988659"/>
    <x v="553"/>
    <n v="6.4935454495835012"/>
    <n v="0.81169318119793765"/>
    <n v="3.2467727247917506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881"/>
    <x v="28"/>
    <x v="16"/>
    <x v="21"/>
    <s v="ferruginea"/>
    <n v="0.49"/>
    <x v="7"/>
    <n v="9.1999999999999993"/>
    <n v="6.6476255999999992E-3"/>
    <n v="6"/>
    <n v="60"/>
    <n v="1.0471975511965976"/>
    <n v="6"/>
    <n v="12"/>
    <n v="0.20943951023931956"/>
    <x v="554"/>
    <n v="14.830283053914124"/>
    <n v="1.8537853817392655"/>
    <n v="7.4151415269570622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59"/>
    <x v="28"/>
    <x v="16"/>
    <x v="21"/>
    <s v="ferruginea"/>
    <n v="0.49"/>
    <x v="7"/>
    <n v="7.1"/>
    <n v="3.9592014E-3"/>
    <n v="9"/>
    <n v="20"/>
    <n v="0.3490658503988659"/>
    <n v="10"/>
    <n v="6"/>
    <n v="0.10471975511965978"/>
    <x v="555"/>
    <n v="5.9890563220828463"/>
    <n v="0.74863204026035579"/>
    <n v="2.9945281610414232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60"/>
    <x v="26"/>
    <x v="15"/>
    <x v="20"/>
    <s v="sp."/>
    <n v="0.78"/>
    <x v="7"/>
    <n v="14.5"/>
    <n v="1.6513035000000002E-2"/>
    <n v="12"/>
    <n v="63"/>
    <n v="1.0995574287564276"/>
    <n v="6"/>
    <n v="14"/>
    <n v="0.24434609527920614"/>
    <x v="556"/>
    <n v="97.969168747118587"/>
    <n v="12.246146093389823"/>
    <n v="48.984584373559294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634"/>
    <x v="26"/>
    <x v="15"/>
    <x v="20"/>
    <s v="sp."/>
    <n v="0.78"/>
    <x v="7"/>
    <n v="18.2"/>
    <n v="2.6015589599999996E-2"/>
    <n v="12"/>
    <n v="63"/>
    <n v="1.0995574287564276"/>
    <n v="6"/>
    <n v="14"/>
    <n v="0.24434609527920614"/>
    <x v="556"/>
    <n v="150.19372495150472"/>
    <n v="18.77421561893809"/>
    <n v="75.09686247575236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590"/>
    <x v="32"/>
    <x v="2"/>
    <x v="24"/>
    <s v="cedron"/>
    <n v="0.47"/>
    <x v="7"/>
    <n v="6"/>
    <n v="2.8274400000000001E-3"/>
    <n v="5"/>
    <n v="25"/>
    <n v="0.43633231299858238"/>
    <n v="5"/>
    <n v="25"/>
    <n v="0.43633231299858238"/>
    <x v="557"/>
    <n v="4.2948640607636426"/>
    <n v="0.53685800759545532"/>
    <n v="2.1474320303818213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55"/>
    <x v="40"/>
    <x v="10"/>
    <x v="30"/>
    <s v="arborea"/>
    <n v="0.7"/>
    <x v="7"/>
    <n v="42.6"/>
    <n v="0.14253125040000003"/>
    <n v="15"/>
    <n v="66"/>
    <n v="1.1519173063162575"/>
    <n v="6"/>
    <n v="19"/>
    <n v="0.33161255787892263"/>
    <x v="558"/>
    <n v="852.23485846181961"/>
    <n v="106.52935730772745"/>
    <n v="426.11742923090981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882"/>
    <x v="34"/>
    <x v="19"/>
    <x v="26"/>
    <s v="myriantha"/>
    <n v="0.44"/>
    <x v="7"/>
    <n v="6.6"/>
    <n v="3.4212023999999996E-3"/>
    <n v="7"/>
    <n v="46"/>
    <n v="0.8028514559173916"/>
    <n v="5"/>
    <n v="20"/>
    <n v="0.3490658503988659"/>
    <x v="559"/>
    <n v="7.494141383640506"/>
    <n v="0.93676767295506325"/>
    <n v="3.747070691820253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19"/>
    <x v="22"/>
    <x v="14"/>
    <x v="17"/>
    <s v="alchorneoides"/>
    <n v="0.64"/>
    <x v="9"/>
    <n v="5.6"/>
    <n v="2.4630143999999996E-3"/>
    <n v="8"/>
    <n v="32"/>
    <n v="0.55850536063818546"/>
    <n v="8"/>
    <n v="20"/>
    <n v="0.3490658503988659"/>
    <x v="560"/>
    <n v="8.0765540377727429"/>
    <n v="1.0095692547215929"/>
    <n v="4.0382770188863715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886"/>
    <x v="0"/>
    <x v="0"/>
    <x v="0"/>
    <s v="ferruginea"/>
    <n v="0.37"/>
    <x v="0"/>
    <n v="9"/>
    <n v="6.3617400000000003E-3"/>
    <n v="9"/>
    <n v="40"/>
    <n v="0.69813170079773179"/>
    <n v="8"/>
    <n v="11"/>
    <n v="0.19198621771937624"/>
    <x v="561"/>
    <n v="12.305994881506514"/>
    <n v="1.5382493601883143"/>
    <n v="6.1529974407532571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15"/>
    <x v="17"/>
    <x v="10"/>
    <x v="13"/>
    <s v="sp."/>
    <n v="0.57999999999999996"/>
    <x v="7"/>
    <n v="12.2"/>
    <n v="1.1689893599999999E-2"/>
    <n v="10"/>
    <n v="45"/>
    <n v="0.78539816339744828"/>
    <n v="7"/>
    <n v="10"/>
    <n v="0.17453292519943295"/>
    <x v="562"/>
    <n v="37.420928490995102"/>
    <n v="4.6776160613743878"/>
    <n v="18.710464245497551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84"/>
    <x v="7"/>
    <x v="6"/>
    <x v="6"/>
    <s v="quinata"/>
    <n v="0.48"/>
    <x v="6"/>
    <n v="19.7"/>
    <n v="3.0480588600000001E-2"/>
    <n v="11"/>
    <n v="65"/>
    <n v="1.1344640137963142"/>
    <n v="7"/>
    <n v="10"/>
    <n v="0.17453292519943295"/>
    <x v="563"/>
    <n v="102.22097162949126"/>
    <n v="12.777621453686407"/>
    <n v="51.11048581474563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21"/>
    <x v="7"/>
    <x v="6"/>
    <x v="6"/>
    <s v="quinata"/>
    <n v="0.48"/>
    <x v="6"/>
    <n v="27.8"/>
    <n v="6.0698853600000005E-2"/>
    <n v="11"/>
    <n v="65"/>
    <n v="1.1344640137963142"/>
    <n v="5"/>
    <n v="15"/>
    <n v="0.26179938779914941"/>
    <x v="564"/>
    <n v="196.60971308109342"/>
    <n v="24.576214135136677"/>
    <n v="98.304856540546709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31"/>
    <x v="18"/>
    <x v="11"/>
    <x v="14"/>
    <s v="sp."/>
    <n v="0.68"/>
    <x v="7"/>
    <n v="6.5"/>
    <n v="3.3183150000000001E-3"/>
    <n v="11"/>
    <n v="49"/>
    <n v="0.85521133347722145"/>
    <n v="5"/>
    <n v="19"/>
    <n v="0.33161255787892263"/>
    <x v="565"/>
    <n v="15.769392246861749"/>
    <n v="1.9711740308577186"/>
    <n v="7.8846961234308743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1011"/>
    <x v="3"/>
    <x v="3"/>
    <x v="3"/>
    <s v="parahyba"/>
    <n v="0.315"/>
    <x v="3"/>
    <n v="30.8"/>
    <n v="7.4506185600000011E-2"/>
    <n v="20"/>
    <n v="70"/>
    <n v="1.2217304763960306"/>
    <n v="7"/>
    <n v="15"/>
    <n v="0.26179938779914941"/>
    <x v="566"/>
    <n v="283.0706585148875"/>
    <n v="35.383832314360937"/>
    <n v="141.53532925744375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846"/>
    <x v="7"/>
    <x v="6"/>
    <x v="6"/>
    <s v="quinata"/>
    <n v="0.48"/>
    <x v="6"/>
    <n v="19.2"/>
    <n v="2.8952985600000002E-2"/>
    <n v="11"/>
    <n v="60"/>
    <n v="1.0471975511965976"/>
    <n v="6"/>
    <n v="20"/>
    <n v="0.3490658503988659"/>
    <x v="567"/>
    <n v="100.61539607391254"/>
    <n v="12.576924509239067"/>
    <n v="50.307698036956268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864"/>
    <x v="7"/>
    <x v="6"/>
    <x v="6"/>
    <s v="quinata"/>
    <n v="0.48"/>
    <x v="6"/>
    <n v="15.5"/>
    <n v="1.8869235000000002E-2"/>
    <n v="10"/>
    <n v="66"/>
    <n v="1.1519173063162575"/>
    <n v="5"/>
    <n v="20"/>
    <n v="0.3490658503988659"/>
    <x v="568"/>
    <n v="63.268678326312696"/>
    <n v="7.9085847907890869"/>
    <n v="31.634339163156348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68"/>
    <x v="1"/>
    <x v="1"/>
    <x v="1"/>
    <s v="-"/>
    <n v="0.57999999999999996"/>
    <x v="1"/>
    <n v="5.6"/>
    <n v="2.4630143999999996E-3"/>
    <n v="5"/>
    <n v="45"/>
    <n v="0.78539816339744828"/>
    <n v="6"/>
    <n v="18"/>
    <n v="0.31415926535897931"/>
    <x v="569"/>
    <n v="5.7775456467565354"/>
    <n v="0.72219320584456692"/>
    <n v="2.8887728233782677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872"/>
    <x v="0"/>
    <x v="0"/>
    <x v="0"/>
    <s v="ferruginea"/>
    <n v="0.37"/>
    <x v="0"/>
    <n v="6.3"/>
    <n v="3.1172525999999998E-3"/>
    <n v="9"/>
    <n v="51"/>
    <n v="0.89011791851710809"/>
    <n v="6"/>
    <n v="20"/>
    <n v="0.3490658503988659"/>
    <x v="570"/>
    <n v="7.6881238684511688"/>
    <n v="0.9610154835563961"/>
    <n v="3.8440619342255844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871"/>
    <x v="7"/>
    <x v="6"/>
    <x v="6"/>
    <s v="quinata"/>
    <n v="0.48"/>
    <x v="6"/>
    <n v="17.899999999999999"/>
    <n v="2.5165001399999998E-2"/>
    <n v="8"/>
    <n v="65"/>
    <n v="1.1344640137963142"/>
    <n v="6"/>
    <n v="15"/>
    <n v="0.26179938779914941"/>
    <x v="571"/>
    <n v="68.165167338446963"/>
    <n v="8.5206459173058704"/>
    <n v="34.082583669223482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98"/>
    <x v="7"/>
    <x v="6"/>
    <x v="6"/>
    <s v="quinata"/>
    <n v="0.48"/>
    <x v="6"/>
    <n v="25"/>
    <n v="4.9087499999999999E-2"/>
    <n v="10"/>
    <n v="70"/>
    <n v="1.2217304763960306"/>
    <n v="5"/>
    <n v="20"/>
    <n v="0.3490658503988659"/>
    <x v="572"/>
    <n v="158.93430818995247"/>
    <n v="19.866788523744059"/>
    <n v="79.467154094976237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42"/>
    <x v="7"/>
    <x v="6"/>
    <x v="6"/>
    <s v="quinata"/>
    <n v="0.48"/>
    <x v="6"/>
    <n v="19.7"/>
    <n v="3.0480588600000001E-2"/>
    <n v="12"/>
    <n v="55"/>
    <n v="0.95993108859688125"/>
    <n v="8"/>
    <n v="19"/>
    <n v="0.33161255787892263"/>
    <x v="573"/>
    <n v="112.92012258726344"/>
    <n v="14.115015323407929"/>
    <n v="56.460061293631718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943"/>
    <x v="3"/>
    <x v="3"/>
    <x v="3"/>
    <s v="parahyba"/>
    <n v="0.315"/>
    <x v="3"/>
    <n v="10.1"/>
    <n v="8.0118654000000001E-3"/>
    <n v="9"/>
    <n v="59"/>
    <n v="1.0297442586766545"/>
    <n v="6"/>
    <n v="19"/>
    <n v="0.33161255787892263"/>
    <x v="574"/>
    <n v="17.084830051320072"/>
    <n v="2.135603756415009"/>
    <n v="8.542415025660036"/>
  </r>
  <r>
    <x v="2"/>
    <s v="NM, AM, EC, EL"/>
    <x v="13"/>
    <s v="SO"/>
    <n v="8.4086999999999996"/>
    <n v="83.311729999999997"/>
    <n v="100"/>
    <n v="15"/>
    <n v="6.61659150558995"/>
    <n v="0.11548130703203342"/>
    <n v="21.140809612582899"/>
    <n v="1009"/>
    <x v="41"/>
    <x v="22"/>
    <x v="31"/>
    <s v="crassifolia"/>
    <n v="0.57999999999999996"/>
    <x v="7"/>
    <n v="29.8"/>
    <n v="6.9746661600000009E-2"/>
    <n v="13"/>
    <n v="75"/>
    <n v="1.3089969389957472"/>
    <n v="6"/>
    <n v="17"/>
    <n v="0.29670597283903605"/>
    <x v="575"/>
    <n v="335.23394012231881"/>
    <n v="41.904242515289852"/>
    <n v="167.61697006115941"/>
  </r>
  <r>
    <x v="8"/>
    <s v="NM, AM, EC"/>
    <x v="14"/>
    <s v="SO"/>
    <n v="8.4087700000000005"/>
    <n v="83.312860000000001"/>
    <n v="100"/>
    <n v="9"/>
    <n v="11.081094898603839"/>
    <n v="0.19340159070658419"/>
    <n v="21"/>
    <n v="7007"/>
    <x v="3"/>
    <x v="3"/>
    <x v="3"/>
    <s v="parahyba"/>
    <n v="0.315"/>
    <x v="3"/>
    <n v="14.6"/>
    <n v="1.6741586400000001E-2"/>
    <n v="14"/>
    <n v="62"/>
    <n v="1.0821041362364843"/>
    <n v="5"/>
    <n v="16"/>
    <n v="0.27925268031909273"/>
    <x v="576"/>
    <n v="47.527863191713557"/>
    <n v="5.9409828989641946"/>
    <n v="23.763931595856779"/>
  </r>
  <r>
    <x v="8"/>
    <s v="NM, AM, EC"/>
    <x v="14"/>
    <s v="SO"/>
    <n v="8.4087700000000005"/>
    <n v="83.312860000000001"/>
    <n v="100"/>
    <n v="9"/>
    <n v="11.081094898603839"/>
    <n v="0.19340159070658419"/>
    <n v="21"/>
    <n v="7014"/>
    <x v="17"/>
    <x v="10"/>
    <x v="13"/>
    <s v="sp."/>
    <n v="0.57999999999999996"/>
    <x v="7"/>
    <n v="20.100000000000001"/>
    <n v="3.1730945400000002E-2"/>
    <n v="13"/>
    <n v="71"/>
    <n v="1.2391837689159739"/>
    <n v="5"/>
    <n v="16"/>
    <n v="0.27925268031909273"/>
    <x v="577"/>
    <n v="153.1485483032541"/>
    <n v="19.143568537906763"/>
    <n v="76.574274151627051"/>
  </r>
  <r>
    <x v="8"/>
    <s v="NM, AM, EC"/>
    <x v="14"/>
    <s v="SO"/>
    <n v="8.4087700000000005"/>
    <n v="83.312860000000001"/>
    <n v="100"/>
    <n v="9"/>
    <n v="11.081094898603839"/>
    <n v="0.19340159070658419"/>
    <n v="21"/>
    <n v="6021"/>
    <x v="20"/>
    <x v="12"/>
    <x v="15"/>
    <s v="dolichopoda"/>
    <n v="0.54"/>
    <x v="7"/>
    <n v="7.3"/>
    <n v="4.1853966000000003E-3"/>
    <n v="8"/>
    <n v="28"/>
    <n v="0.48869219055841229"/>
    <n v="5"/>
    <n v="17"/>
    <n v="0.29670597283903605"/>
    <x v="578"/>
    <n v="8.6254903697193637"/>
    <n v="1.0781862962149205"/>
    <n v="4.3127451848596818"/>
  </r>
  <r>
    <x v="8"/>
    <s v="NM, AM, EC"/>
    <x v="14"/>
    <s v="SO"/>
    <n v="8.4087700000000005"/>
    <n v="83.312860000000001"/>
    <n v="100"/>
    <n v="9"/>
    <n v="11.081094898603839"/>
    <n v="0.19340159070658419"/>
    <n v="21"/>
    <n v="6017"/>
    <x v="20"/>
    <x v="12"/>
    <x v="15"/>
    <s v="dolichopoda"/>
    <n v="0.54"/>
    <x v="7"/>
    <n v="7.3"/>
    <n v="4.1853966000000003E-3"/>
    <n v="8"/>
    <n v="26"/>
    <n v="0.4537856055185257"/>
    <n v="5"/>
    <n v="17"/>
    <n v="0.29670597283903605"/>
    <x v="579"/>
    <n v="8.2382986830400036"/>
    <n v="1.0297873353800004"/>
    <n v="4.1191493415200018"/>
  </r>
  <r>
    <x v="8"/>
    <s v="NM, AM, EC"/>
    <x v="14"/>
    <s v="SO"/>
    <n v="8.4087700000000005"/>
    <n v="83.312860000000001"/>
    <n v="100"/>
    <n v="9"/>
    <n v="11.081094898603839"/>
    <n v="0.19340159070658419"/>
    <n v="21"/>
    <n v="549"/>
    <x v="21"/>
    <x v="13"/>
    <x v="16"/>
    <s v="sp."/>
    <n v="0.48"/>
    <x v="7"/>
    <n v="11.5"/>
    <n v="1.0386915E-2"/>
    <n v="14"/>
    <n v="67"/>
    <n v="1.1693705988362009"/>
    <n v="5"/>
    <n v="9"/>
    <n v="0.15707963267948966"/>
    <x v="580"/>
    <n v="44.868354143074676"/>
    <n v="5.6085442678843345"/>
    <n v="22.434177071537338"/>
  </r>
  <r>
    <x v="8"/>
    <s v="NM, AM, EC"/>
    <x v="14"/>
    <s v="SO"/>
    <n v="8.4087700000000005"/>
    <n v="83.312860000000001"/>
    <n v="100"/>
    <n v="9"/>
    <n v="11.081094898603839"/>
    <n v="0.19340159070658419"/>
    <n v="21"/>
    <n v="523"/>
    <x v="20"/>
    <x v="12"/>
    <x v="15"/>
    <s v="dolichopoda"/>
    <n v="0.54"/>
    <x v="7"/>
    <n v="6.4"/>
    <n v="3.2169984000000006E-3"/>
    <n v="8"/>
    <n v="48"/>
    <n v="0.83775804095727824"/>
    <n v="6"/>
    <n v="7"/>
    <n v="0.12217304763960307"/>
    <x v="581"/>
    <n v="8.4917747354517239"/>
    <n v="1.0614718419314655"/>
    <n v="4.2458873677258619"/>
  </r>
  <r>
    <x v="8"/>
    <s v="NM, AM, EC"/>
    <x v="14"/>
    <s v="SO"/>
    <n v="8.4087700000000005"/>
    <n v="83.312860000000001"/>
    <n v="100"/>
    <n v="9"/>
    <n v="11.081094898603839"/>
    <n v="0.19340159070658419"/>
    <n v="21"/>
    <n v="7008"/>
    <x v="20"/>
    <x v="12"/>
    <x v="15"/>
    <s v="dolichopoda"/>
    <n v="0.54"/>
    <x v="7"/>
    <n v="9.5"/>
    <n v="7.088235E-3"/>
    <n v="7"/>
    <n v="65"/>
    <n v="1.1344640137963142"/>
    <n v="5"/>
    <n v="7"/>
    <n v="0.12217304763960307"/>
    <x v="582"/>
    <n v="18.539736479965153"/>
    <n v="2.3174670599956442"/>
    <n v="9.2698682399825767"/>
  </r>
  <r>
    <x v="8"/>
    <s v="NM, AM, EC"/>
    <x v="14"/>
    <s v="SO"/>
    <n v="8.4087700000000005"/>
    <n v="83.312860000000001"/>
    <n v="100"/>
    <n v="9"/>
    <n v="11.081094898603839"/>
    <n v="0.19340159070658419"/>
    <n v="21"/>
    <n v="519"/>
    <x v="20"/>
    <x v="12"/>
    <x v="15"/>
    <s v="dolichopoda"/>
    <n v="0.54"/>
    <x v="7"/>
    <n v="9.1"/>
    <n v="6.5038973999999991E-3"/>
    <n v="7"/>
    <n v="43"/>
    <n v="0.75049157835756175"/>
    <n v="5"/>
    <n v="16"/>
    <n v="0.27925268031909273"/>
    <x v="583"/>
    <n v="15.240410071856411"/>
    <n v="1.9050512589820514"/>
    <n v="7.6202050359282056"/>
  </r>
  <r>
    <x v="8"/>
    <s v="NM, AM, EC"/>
    <x v="14"/>
    <s v="SO"/>
    <n v="8.4087700000000005"/>
    <n v="83.312860000000001"/>
    <n v="100"/>
    <n v="9"/>
    <n v="11.081094898603839"/>
    <n v="0.19340159070658419"/>
    <n v="21"/>
    <n v="534"/>
    <x v="0"/>
    <x v="0"/>
    <x v="0"/>
    <s v="ferruginea"/>
    <n v="0.37"/>
    <x v="0"/>
    <n v="12"/>
    <n v="1.130976E-2"/>
    <n v="12"/>
    <n v="56"/>
    <n v="0.97738438111682457"/>
    <n v="7"/>
    <n v="15"/>
    <n v="0.26179938779914941"/>
    <x v="584"/>
    <n v="33.038579059451564"/>
    <n v="4.1298223824314455"/>
    <n v="16.519289529725782"/>
  </r>
  <r>
    <x v="8"/>
    <s v="NM, AM, EC"/>
    <x v="14"/>
    <s v="SO"/>
    <n v="8.4087700000000005"/>
    <n v="83.312860000000001"/>
    <n v="100"/>
    <n v="9"/>
    <n v="11.081094898603839"/>
    <n v="0.19340159070658419"/>
    <n v="21"/>
    <n v="557"/>
    <x v="20"/>
    <x v="12"/>
    <x v="15"/>
    <s v="dolichopoda"/>
    <n v="0.54"/>
    <x v="7"/>
    <n v="7.6"/>
    <n v="4.5364704E-3"/>
    <n v="8"/>
    <n v="46"/>
    <n v="0.8028514559173916"/>
    <n v="5"/>
    <n v="16"/>
    <n v="0.27925268031909273"/>
    <x v="585"/>
    <n v="12.482795993057888"/>
    <n v="1.560349499132236"/>
    <n v="6.2413979965289439"/>
  </r>
  <r>
    <x v="8"/>
    <s v="NM, AM, EC"/>
    <x v="14"/>
    <s v="SO"/>
    <n v="8.4087700000000005"/>
    <n v="83.312860000000001"/>
    <n v="100"/>
    <n v="9"/>
    <n v="11.081094898603839"/>
    <n v="0.19340159070658419"/>
    <n v="21"/>
    <n v="6031"/>
    <x v="5"/>
    <x v="1"/>
    <x v="5"/>
    <s v="tibourbou"/>
    <n v="0.24"/>
    <x v="5"/>
    <n v="12.9"/>
    <n v="1.3069841400000001E-2"/>
    <n v="11"/>
    <n v="64"/>
    <n v="1.1170107212763709"/>
    <n v="5"/>
    <n v="8"/>
    <n v="0.13962634015954636"/>
    <x v="586"/>
    <n v="22.818431189186477"/>
    <n v="2.8523038986483096"/>
    <n v="11.409215594593238"/>
  </r>
  <r>
    <x v="8"/>
    <s v="NM, AM, EC"/>
    <x v="14"/>
    <s v="SO"/>
    <n v="8.4087700000000005"/>
    <n v="83.312860000000001"/>
    <n v="100"/>
    <n v="9"/>
    <n v="11.081094898603839"/>
    <n v="0.19340159070658419"/>
    <n v="21"/>
    <n v="7010"/>
    <x v="0"/>
    <x v="0"/>
    <x v="0"/>
    <s v="ferruginea"/>
    <n v="0.37"/>
    <x v="0"/>
    <n v="6.4"/>
    <n v="3.2169984000000006E-3"/>
    <n v="9"/>
    <n v="46"/>
    <n v="0.8028514559173916"/>
    <n v="7"/>
    <n v="9"/>
    <n v="0.15707963267948966"/>
    <x v="587"/>
    <n v="6.6971689056725561"/>
    <n v="0.83714611320906951"/>
    <n v="3.348584452836278"/>
  </r>
  <r>
    <x v="8"/>
    <s v="NM, AM, EC"/>
    <x v="14"/>
    <s v="SO"/>
    <n v="8.4087700000000005"/>
    <n v="83.312860000000001"/>
    <n v="100"/>
    <n v="9"/>
    <n v="11.081094898603839"/>
    <n v="0.19340159070658419"/>
    <n v="21"/>
    <n v="6030"/>
    <x v="42"/>
    <x v="23"/>
    <x v="32"/>
    <s v="ulmifolia"/>
    <n v="0.51"/>
    <x v="7"/>
    <n v="7.2"/>
    <n v="4.0715136000000008E-3"/>
    <n v="5"/>
    <n v="5"/>
    <n v="8.7266462599716474E-2"/>
    <n v="7"/>
    <n v="13"/>
    <n v="0.22689280275926285"/>
    <x v="588"/>
    <n v="3.2497925327007211"/>
    <n v="0.40622406658759014"/>
    <n v="1.6248962663503606"/>
  </r>
  <r>
    <x v="8"/>
    <s v="NM, AM, EC"/>
    <x v="14"/>
    <s v="SO"/>
    <n v="8.4087700000000005"/>
    <n v="83.312860000000001"/>
    <n v="100"/>
    <n v="9"/>
    <n v="11.081094898603839"/>
    <n v="0.19340159070658419"/>
    <n v="21"/>
    <n v="6041"/>
    <x v="1"/>
    <x v="1"/>
    <x v="1"/>
    <s v="-"/>
    <n v="0.57999999999999996"/>
    <x v="1"/>
    <n v="20.5"/>
    <n v="3.3006435000000001E-2"/>
    <n v="17"/>
    <n v="71"/>
    <n v="1.2391837689159739"/>
    <n v="6"/>
    <n v="14"/>
    <n v="0.24434609527920614"/>
    <x v="589"/>
    <n v="200.73722948668046"/>
    <n v="25.092153685835058"/>
    <n v="100.36861474334023"/>
  </r>
  <r>
    <x v="8"/>
    <s v="NM, AM, EC"/>
    <x v="14"/>
    <s v="SO"/>
    <n v="8.4087700000000005"/>
    <n v="83.312860000000001"/>
    <n v="100"/>
    <n v="9"/>
    <n v="11.081094898603839"/>
    <n v="0.19340159070658419"/>
    <n v="21"/>
    <n v="7020"/>
    <x v="23"/>
    <x v="11"/>
    <x v="18"/>
    <s v="insipida"/>
    <n v="0.38"/>
    <x v="7"/>
    <n v="48.8"/>
    <n v="0.18703829759999999"/>
    <n v="10"/>
    <n v="59"/>
    <n v="1.0297442586766545"/>
    <n v="8"/>
    <n v="11"/>
    <n v="0.19198621771937624"/>
    <x v="590"/>
    <n v="410.27463950665879"/>
    <n v="51.284329938332348"/>
    <n v="205.13731975332939"/>
  </r>
  <r>
    <x v="8"/>
    <s v="NM, AM, EC"/>
    <x v="14"/>
    <s v="SO"/>
    <n v="8.4087700000000005"/>
    <n v="83.312860000000001"/>
    <n v="100"/>
    <n v="9"/>
    <n v="11.081094898603839"/>
    <n v="0.19340159070658419"/>
    <n v="21"/>
    <n v="6033"/>
    <x v="20"/>
    <x v="12"/>
    <x v="15"/>
    <s v="dolichopoda"/>
    <n v="0.54"/>
    <x v="7"/>
    <n v="6.3"/>
    <n v="3.1172525999999998E-3"/>
    <n v="6"/>
    <n v="46"/>
    <n v="0.8028514559173916"/>
    <n v="5"/>
    <n v="10"/>
    <n v="0.17453292519943295"/>
    <x v="591"/>
    <n v="6.4994889032108611"/>
    <n v="0.81243611290135764"/>
    <n v="3.2497444516054306"/>
  </r>
  <r>
    <x v="8"/>
    <s v="NM, AM, EC"/>
    <x v="14"/>
    <s v="SO"/>
    <n v="8.4087700000000005"/>
    <n v="83.312860000000001"/>
    <n v="100"/>
    <n v="9"/>
    <n v="11.081094898603839"/>
    <n v="0.19340159070658419"/>
    <n v="21"/>
    <n v="6010"/>
    <x v="20"/>
    <x v="12"/>
    <x v="15"/>
    <s v="dolichopoda"/>
    <n v="0.54"/>
    <x v="7"/>
    <n v="7.4"/>
    <n v="4.3008504000000003E-3"/>
    <n v="6"/>
    <n v="63"/>
    <n v="1.0995574287564276"/>
    <n v="5"/>
    <n v="9"/>
    <n v="0.15707963267948966"/>
    <x v="592"/>
    <n v="10.293455879506833"/>
    <n v="1.2866819849383542"/>
    <n v="5.1467279397534167"/>
  </r>
  <r>
    <x v="8"/>
    <s v="NM, AM, EC"/>
    <x v="14"/>
    <s v="SO"/>
    <n v="8.4087700000000005"/>
    <n v="83.312860000000001"/>
    <n v="100"/>
    <n v="9"/>
    <n v="11.081094898603839"/>
    <n v="0.19340159070658419"/>
    <n v="21"/>
    <n v="6002"/>
    <x v="20"/>
    <x v="12"/>
    <x v="15"/>
    <s v="dolichopoda"/>
    <n v="0.54"/>
    <x v="7"/>
    <n v="5.3"/>
    <n v="2.2061886000000002E-3"/>
    <n v="6"/>
    <n v="53"/>
    <n v="0.92502450355699462"/>
    <n v="5"/>
    <n v="1"/>
    <n v="1.7453292519943295E-2"/>
    <x v="593"/>
    <n v="4.4359612369813792"/>
    <n v="0.5544951546226724"/>
    <n v="2.2179806184906896"/>
  </r>
  <r>
    <x v="8"/>
    <s v="NM, AM, EC"/>
    <x v="14"/>
    <s v="SO"/>
    <n v="8.4087700000000005"/>
    <n v="83.312860000000001"/>
    <n v="100"/>
    <n v="9"/>
    <n v="11.081094898603839"/>
    <n v="0.19340159070658419"/>
    <n v="21"/>
    <n v="568"/>
    <x v="20"/>
    <x v="12"/>
    <x v="15"/>
    <s v="dolichopoda"/>
    <n v="0.54"/>
    <x v="7"/>
    <n v="5.6"/>
    <n v="2.4630143999999996E-3"/>
    <n v="6"/>
    <n v="30"/>
    <n v="0.52359877559829882"/>
    <n v="5"/>
    <n v="4"/>
    <n v="6.9813170079773182E-2"/>
    <x v="594"/>
    <n v="3.4538148721304842"/>
    <n v="0.43172685901631053"/>
    <n v="1.7269074360652421"/>
  </r>
  <r>
    <x v="8"/>
    <s v="NM, AM, EC"/>
    <x v="14"/>
    <s v="SO"/>
    <n v="8.4087700000000005"/>
    <n v="83.312860000000001"/>
    <n v="100"/>
    <n v="9"/>
    <n v="11.081094898603839"/>
    <n v="0.19340159070658419"/>
    <n v="21"/>
    <n v="530"/>
    <x v="0"/>
    <x v="0"/>
    <x v="0"/>
    <s v="ferruginea"/>
    <n v="0.37"/>
    <x v="0"/>
    <n v="6.3"/>
    <n v="3.1172525999999998E-3"/>
    <n v="9"/>
    <n v="52"/>
    <n v="0.90757121103705141"/>
    <n v="5"/>
    <n v="10"/>
    <n v="0.17453292519943295"/>
    <x v="595"/>
    <n v="6.8172179047053332"/>
    <n v="0.85215223808816665"/>
    <n v="3.4086089523526666"/>
  </r>
  <r>
    <x v="8"/>
    <s v="NM, AM, EC"/>
    <x v="14"/>
    <s v="SO"/>
    <n v="8.4087700000000005"/>
    <n v="83.312860000000001"/>
    <n v="100"/>
    <n v="9"/>
    <n v="11.081094898603839"/>
    <n v="0.19340159070658419"/>
    <n v="21"/>
    <n v="7002"/>
    <x v="1"/>
    <x v="1"/>
    <x v="1"/>
    <s v="-"/>
    <n v="0.57999999999999996"/>
    <x v="1"/>
    <n v="23"/>
    <n v="4.154766E-2"/>
    <n v="13"/>
    <n v="75"/>
    <n v="1.3089969389957472"/>
    <n v="5"/>
    <n v="9"/>
    <n v="0.15707963267948966"/>
    <x v="596"/>
    <n v="192.8211243418086"/>
    <n v="24.102640542726075"/>
    <n v="96.410562170904299"/>
  </r>
  <r>
    <x v="8"/>
    <s v="NM, AM, EC"/>
    <x v="14"/>
    <s v="SO"/>
    <n v="8.4087700000000005"/>
    <n v="83.312860000000001"/>
    <n v="100"/>
    <n v="9"/>
    <n v="11.081094898603839"/>
    <n v="0.19340159070658419"/>
    <n v="21"/>
    <n v="6028"/>
    <x v="29"/>
    <x v="7"/>
    <x v="1"/>
    <s v="-"/>
    <n v="0.69"/>
    <x v="7"/>
    <n v="6"/>
    <n v="2.8274400000000001E-3"/>
    <n v="7"/>
    <n v="49"/>
    <n v="0.85521133347722145"/>
    <n v="7"/>
    <n v="6"/>
    <n v="0.10471975511965978"/>
    <x v="597"/>
    <n v="8.5854499852336303"/>
    <n v="1.0731812481542038"/>
    <n v="4.2927249926168152"/>
  </r>
  <r>
    <x v="8"/>
    <s v="NM, AM, EC"/>
    <x v="14"/>
    <s v="SO"/>
    <n v="8.4087700000000005"/>
    <n v="83.312860000000001"/>
    <n v="100"/>
    <n v="9"/>
    <n v="11.081094898603839"/>
    <n v="0.19340159070658419"/>
    <n v="21"/>
    <n v="7003"/>
    <x v="29"/>
    <x v="7"/>
    <x v="1"/>
    <s v="-"/>
    <n v="0.69"/>
    <x v="7"/>
    <n v="5.9"/>
    <n v="2.7339774000000004E-3"/>
    <n v="9"/>
    <n v="52"/>
    <n v="0.90757121103705141"/>
    <n v="5"/>
    <n v="14"/>
    <n v="0.24434609527920614"/>
    <x v="598"/>
    <n v="11.261570743223038"/>
    <n v="1.4076963429028797"/>
    <n v="5.6307853716115188"/>
  </r>
  <r>
    <x v="8"/>
    <s v="NM, AM, EC"/>
    <x v="14"/>
    <s v="SO"/>
    <n v="8.4087700000000005"/>
    <n v="83.312860000000001"/>
    <n v="100"/>
    <n v="9"/>
    <n v="11.081094898603839"/>
    <n v="0.19340159070658419"/>
    <n v="21"/>
    <n v="6012"/>
    <x v="13"/>
    <x v="5"/>
    <x v="1"/>
    <s v="-"/>
    <n v="0.57999999999999996"/>
    <x v="1"/>
    <n v="7.8"/>
    <n v="4.7783736E-3"/>
    <n v="5"/>
    <n v="19"/>
    <n v="0.33161255787892263"/>
    <n v="5"/>
    <n v="5"/>
    <n v="8.7266462599716474E-2"/>
    <x v="599"/>
    <n v="4.3689163666171469"/>
    <n v="0.54611454582714336"/>
    <n v="2.1844581833085734"/>
  </r>
  <r>
    <x v="8"/>
    <s v="NM, AM, EC"/>
    <x v="14"/>
    <s v="SO"/>
    <n v="8.4087700000000005"/>
    <n v="83.312860000000001"/>
    <n v="100"/>
    <n v="9"/>
    <n v="11.081094898603839"/>
    <n v="0.19340159070658419"/>
    <n v="21"/>
    <n v="7004"/>
    <x v="15"/>
    <x v="9"/>
    <x v="12"/>
    <s v="insularis"/>
    <n v="0.53"/>
    <x v="7"/>
    <n v="6"/>
    <n v="2.8274400000000001E-3"/>
    <n v="8"/>
    <n v="36"/>
    <n v="0.62831853071795862"/>
    <n v="6"/>
    <n v="6"/>
    <n v="0.10471975511965978"/>
    <x v="600"/>
    <n v="5.9798054173079178"/>
    <n v="0.74747567716348973"/>
    <n v="2.9899027086539589"/>
  </r>
  <r>
    <x v="8"/>
    <s v="NM, AM, EC"/>
    <x v="14"/>
    <s v="SO"/>
    <n v="8.4087700000000005"/>
    <n v="83.312860000000001"/>
    <n v="100"/>
    <n v="9"/>
    <n v="11.081094898603839"/>
    <n v="0.19340159070658419"/>
    <n v="21"/>
    <n v="522"/>
    <x v="43"/>
    <x v="24"/>
    <x v="33"/>
    <s v="integerrima"/>
    <n v="0.69"/>
    <x v="7"/>
    <n v="8"/>
    <n v="5.0265600000000002E-3"/>
    <n v="6"/>
    <n v="43"/>
    <n v="0.75049157835756175"/>
    <n v="6"/>
    <n v="21"/>
    <n v="0.36651914291880922"/>
    <x v="601"/>
    <n v="15.268849716075639"/>
    <n v="1.9086062145094549"/>
    <n v="7.6344248580378196"/>
  </r>
  <r>
    <x v="8"/>
    <s v="NM, AM, EC"/>
    <x v="14"/>
    <s v="SO"/>
    <n v="8.4087700000000005"/>
    <n v="83.312860000000001"/>
    <n v="100"/>
    <n v="9"/>
    <n v="11.081094898603839"/>
    <n v="0.19340159070658419"/>
    <n v="21"/>
    <n v="548"/>
    <x v="22"/>
    <x v="14"/>
    <x v="17"/>
    <s v="alchorneoides"/>
    <n v="0.64"/>
    <x v="9"/>
    <n v="6.8"/>
    <n v="3.6316895999999998E-3"/>
    <n v="7"/>
    <n v="23"/>
    <n v="0.4014257279586958"/>
    <n v="7"/>
    <n v="18"/>
    <n v="0.31415926535897931"/>
    <x v="602"/>
    <n v="8.3449751524344915"/>
    <n v="1.0431218940543114"/>
    <n v="4.1724875762172458"/>
  </r>
  <r>
    <x v="8"/>
    <s v="NM, AM, EC"/>
    <x v="14"/>
    <s v="SO"/>
    <n v="8.4087700000000005"/>
    <n v="83.312860000000001"/>
    <n v="100"/>
    <n v="9"/>
    <n v="11.081094898603839"/>
    <n v="0.19340159070658419"/>
    <n v="21"/>
    <n v="7016"/>
    <x v="20"/>
    <x v="12"/>
    <x v="15"/>
    <s v="dolichopoda"/>
    <n v="0.54"/>
    <x v="7"/>
    <n v="7.6"/>
    <n v="4.5364704E-3"/>
    <n v="8"/>
    <n v="20"/>
    <n v="0.3490658503988659"/>
    <n v="6"/>
    <n v="18"/>
    <n v="0.31415926535897931"/>
    <x v="603"/>
    <n v="8.2483813972091387"/>
    <n v="1.0310476746511423"/>
    <n v="4.1241906986045693"/>
  </r>
  <r>
    <x v="8"/>
    <s v="NM, AM, EC"/>
    <x v="14"/>
    <s v="SO"/>
    <n v="8.4087700000000005"/>
    <n v="83.312860000000001"/>
    <n v="100"/>
    <n v="9"/>
    <n v="11.081094898603839"/>
    <n v="0.19340159070658419"/>
    <n v="21"/>
    <n v="580"/>
    <x v="17"/>
    <x v="10"/>
    <x v="13"/>
    <s v="sp."/>
    <n v="0.57999999999999996"/>
    <x v="7"/>
    <n v="7.3"/>
    <n v="4.1853966000000003E-3"/>
    <n v="8"/>
    <n v="30"/>
    <n v="0.52359877559829882"/>
    <n v="7"/>
    <n v="19"/>
    <n v="0.33161255787892263"/>
    <x v="604"/>
    <n v="10.978590246113475"/>
    <n v="1.3723237807641844"/>
    <n v="5.4892951230567375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20"/>
    <x v="7"/>
    <x v="6"/>
    <x v="6"/>
    <s v="quinata"/>
    <n v="0.48"/>
    <x v="6"/>
    <n v="7.6"/>
    <n v="4.5364704E-3"/>
    <n v="7"/>
    <n v="25"/>
    <n v="0.43633231299858238"/>
    <n v="5"/>
    <n v="26"/>
    <n v="0.4537856055185257"/>
    <x v="605"/>
    <n v="8.227566175513477"/>
    <n v="1.0284457719391846"/>
    <n v="4.1137830877567385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52"/>
    <x v="25"/>
    <x v="5"/>
    <x v="1"/>
    <s v="-"/>
    <n v="0.57999999999999996"/>
    <x v="1"/>
    <n v="18.45"/>
    <n v="2.6735212349999999E-2"/>
    <n v="11"/>
    <n v="50"/>
    <n v="0.87266462599716477"/>
    <n v="7"/>
    <n v="22"/>
    <n v="0.38397243543875248"/>
    <x v="606"/>
    <n v="106.72619264034637"/>
    <n v="13.340774080043296"/>
    <n v="53.363096320173184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34"/>
    <x v="7"/>
    <x v="6"/>
    <x v="6"/>
    <s v="quinata"/>
    <n v="0.48"/>
    <x v="6"/>
    <n v="7.85"/>
    <n v="4.8398311499999996E-3"/>
    <n v="11"/>
    <n v="12"/>
    <n v="0.20943951023931956"/>
    <n v="9"/>
    <n v="20"/>
    <n v="0.3490658503988659"/>
    <x v="607"/>
    <n v="9.0864648829115673"/>
    <n v="1.1358081103639459"/>
    <n v="4.5432324414557836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36"/>
    <x v="0"/>
    <x v="0"/>
    <x v="0"/>
    <s v="ferruginea"/>
    <n v="0.37"/>
    <x v="0"/>
    <n v="13.5"/>
    <n v="1.4313915E-2"/>
    <n v="8"/>
    <n v="53"/>
    <n v="0.92502450355699462"/>
    <n v="7"/>
    <n v="16"/>
    <n v="0.27925268031909273"/>
    <x v="608"/>
    <n v="29.774424971113586"/>
    <n v="3.7218031213891982"/>
    <n v="14.887212485556793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69"/>
    <x v="7"/>
    <x v="6"/>
    <x v="6"/>
    <s v="quinata"/>
    <n v="0.48"/>
    <x v="6"/>
    <n v="14.1"/>
    <n v="1.5614537400000001E-2"/>
    <n v="7"/>
    <n v="35"/>
    <n v="0.6108652381980153"/>
    <n v="7"/>
    <n v="13"/>
    <n v="0.22689280275926285"/>
    <x v="609"/>
    <n v="28.399131163566036"/>
    <n v="3.5498913954457545"/>
    <n v="14.199565581783018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70"/>
    <x v="29"/>
    <x v="7"/>
    <x v="1"/>
    <s v="-"/>
    <n v="0.69"/>
    <x v="7"/>
    <n v="5.65"/>
    <n v="2.5071931500000003E-3"/>
    <n v="8"/>
    <n v="40"/>
    <n v="0.69813170079773179"/>
    <n v="7"/>
    <n v="13"/>
    <n v="0.22689280275926285"/>
    <x v="610"/>
    <n v="8.5069374377144431"/>
    <n v="1.0633671797143054"/>
    <n v="4.2534687188572216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56"/>
    <x v="0"/>
    <x v="0"/>
    <x v="0"/>
    <s v="ferruginea"/>
    <n v="0.37"/>
    <x v="0"/>
    <n v="5.45"/>
    <n v="2.3328343500000001E-3"/>
    <n v="7"/>
    <n v="50"/>
    <n v="0.87266462599716477"/>
    <n v="6"/>
    <n v="5"/>
    <n v="8.7266462599716474E-2"/>
    <x v="611"/>
    <n v="3.9081882896816711"/>
    <n v="0.48852353621020889"/>
    <n v="1.9540941448408355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57"/>
    <x v="0"/>
    <x v="0"/>
    <x v="0"/>
    <s v="ferruginea"/>
    <n v="0.37"/>
    <x v="0"/>
    <n v="5.4"/>
    <n v="2.2902264000000004E-3"/>
    <n v="7"/>
    <n v="50"/>
    <n v="0.87266462599716477"/>
    <n v="6"/>
    <n v="5"/>
    <n v="8.7266462599716474E-2"/>
    <x v="611"/>
    <n v="3.8410532083298756"/>
    <n v="0.48013165104123445"/>
    <n v="1.9205266041649378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58"/>
    <x v="0"/>
    <x v="0"/>
    <x v="0"/>
    <s v="ferruginea"/>
    <n v="0.37"/>
    <x v="0"/>
    <n v="6.2"/>
    <n v="3.0190776000000004E-3"/>
    <n v="7"/>
    <n v="50"/>
    <n v="0.87266462599716477"/>
    <n v="6"/>
    <n v="5"/>
    <n v="8.7266462599716474E-2"/>
    <x v="611"/>
    <n v="4.9801959534271125"/>
    <n v="0.62252449417838907"/>
    <n v="2.4900979767135563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35"/>
    <x v="25"/>
    <x v="5"/>
    <x v="1"/>
    <s v="-"/>
    <n v="0.57999999999999996"/>
    <x v="1"/>
    <n v="9.1"/>
    <n v="6.5038973999999991E-3"/>
    <n v="8"/>
    <n v="50"/>
    <n v="0.87266462599716477"/>
    <n v="6"/>
    <n v="-2"/>
    <n v="-3.4906585039886591E-2"/>
    <x v="612"/>
    <n v="15.717824472641565"/>
    <n v="1.9647280590801957"/>
    <n v="7.8589122363207826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55"/>
    <x v="7"/>
    <x v="6"/>
    <x v="6"/>
    <s v="quinata"/>
    <n v="0.48"/>
    <x v="6"/>
    <n v="8.35"/>
    <n v="5.4760051500000002E-3"/>
    <n v="5"/>
    <n v="25"/>
    <n v="0.43633231299858238"/>
    <n v="5"/>
    <n v="-2"/>
    <n v="-3.4906585039886591E-2"/>
    <x v="613"/>
    <n v="3.9195541963029474"/>
    <n v="0.48994427453786843"/>
    <n v="1.9597770981514737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68"/>
    <x v="25"/>
    <x v="5"/>
    <x v="1"/>
    <s v="-"/>
    <n v="0.57999999999999996"/>
    <x v="1"/>
    <n v="10.25"/>
    <n v="8.2516087500000002E-3"/>
    <n v="7"/>
    <n v="25"/>
    <n v="0.43633231299858238"/>
    <n v="11"/>
    <n v="1"/>
    <n v="1.7453292519943295E-2"/>
    <x v="614"/>
    <n v="10.866664485132018"/>
    <n v="1.3583330606415023"/>
    <n v="5.4333322425660091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85"/>
    <x v="25"/>
    <x v="5"/>
    <x v="1"/>
    <s v="-"/>
    <n v="0.57999999999999996"/>
    <x v="1"/>
    <n v="18.75"/>
    <n v="2.761171875E-2"/>
    <n v="13"/>
    <n v="63"/>
    <n v="1.0995574287564276"/>
    <n v="5"/>
    <n v="15"/>
    <n v="0.26179938779914941"/>
    <x v="615"/>
    <n v="127.04510847025708"/>
    <n v="15.880638558782135"/>
    <n v="63.522554235128538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21"/>
    <x v="0"/>
    <x v="0"/>
    <x v="0"/>
    <s v="ferruginea"/>
    <n v="0.37"/>
    <x v="0"/>
    <n v="10.3"/>
    <n v="8.3323086000000011E-3"/>
    <n v="7"/>
    <n v="50"/>
    <n v="0.87266462599716477"/>
    <n v="5"/>
    <n v="16"/>
    <n v="0.27925268031909273"/>
    <x v="616"/>
    <n v="14.691826203652994"/>
    <n v="1.8364782754566242"/>
    <n v="7.3459131018264969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29"/>
    <x v="25"/>
    <x v="5"/>
    <x v="1"/>
    <s v="-"/>
    <n v="0.57999999999999996"/>
    <x v="1"/>
    <n v="8.85"/>
    <n v="6.1514491499999992E-3"/>
    <n v="9"/>
    <n v="69"/>
    <n v="1.2042771838760873"/>
    <n v="7"/>
    <n v="8"/>
    <n v="0.13962634015954636"/>
    <x v="617"/>
    <n v="22.98544363428563"/>
    <n v="2.8731804542857038"/>
    <n v="11.492721817142815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54"/>
    <x v="7"/>
    <x v="6"/>
    <x v="6"/>
    <s v="quinata"/>
    <n v="0.48"/>
    <x v="6"/>
    <n v="9.1"/>
    <n v="6.5038973999999991E-3"/>
    <n v="5"/>
    <n v="30"/>
    <n v="0.52359877559829882"/>
    <n v="6"/>
    <n v="5"/>
    <n v="8.7266462599716474E-2"/>
    <x v="618"/>
    <n v="6.9956699072022044"/>
    <n v="0.87445873840027555"/>
    <n v="3.4978349536011022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18"/>
    <x v="25"/>
    <x v="5"/>
    <x v="1"/>
    <s v="-"/>
    <n v="0.57999999999999996"/>
    <x v="1"/>
    <n v="17.549999999999997"/>
    <n v="2.4190516349999993E-2"/>
    <n v="14"/>
    <n v="50"/>
    <n v="0.87266462599716477"/>
    <n v="5"/>
    <n v="-2"/>
    <n v="-3.4906585039886591E-2"/>
    <x v="619"/>
    <n v="93.022318654518742"/>
    <n v="11.627789831814843"/>
    <n v="46.511159327259371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19"/>
    <x v="25"/>
    <x v="5"/>
    <x v="1"/>
    <s v="-"/>
    <n v="0.57999999999999996"/>
    <x v="1"/>
    <n v="17.75"/>
    <n v="2.4745008750000002E-2"/>
    <n v="14"/>
    <n v="60"/>
    <n v="1.0471975511965976"/>
    <n v="5"/>
    <n v="-2"/>
    <n v="-3.4906585039886591E-2"/>
    <x v="620"/>
    <n v="106.83115722420943"/>
    <n v="13.353894653026179"/>
    <n v="53.415578612104717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25"/>
    <x v="7"/>
    <x v="6"/>
    <x v="6"/>
    <s v="quinata"/>
    <n v="0.48"/>
    <x v="6"/>
    <n v="6.1999999999999993"/>
    <n v="3.0190775999999996E-3"/>
    <n v="6"/>
    <n v="25"/>
    <n v="0.43633231299858238"/>
    <n v="7"/>
    <n v="23"/>
    <n v="0.4014257279586958"/>
    <x v="621"/>
    <n v="5.7344389469689245"/>
    <n v="0.71680486837111557"/>
    <n v="2.8672194734844623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17"/>
    <x v="3"/>
    <x v="3"/>
    <x v="3"/>
    <s v="parahyba"/>
    <n v="0.315"/>
    <x v="3"/>
    <n v="12.399999999999999"/>
    <n v="1.2076310399999998E-2"/>
    <n v="11"/>
    <n v="65"/>
    <n v="1.1344640137963142"/>
    <n v="5"/>
    <n v="17"/>
    <n v="0.29670597283903605"/>
    <x v="622"/>
    <n v="29.411305452729302"/>
    <n v="3.6764131815911627"/>
    <n v="14.705652726364651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27"/>
    <x v="0"/>
    <x v="0"/>
    <x v="0"/>
    <s v="ferruginea"/>
    <n v="0.37"/>
    <x v="0"/>
    <n v="11.65"/>
    <n v="1.0659645150000001E-2"/>
    <n v="10"/>
    <n v="65"/>
    <n v="1.1344640137963142"/>
    <n v="5"/>
    <n v="22"/>
    <n v="0.38397243543875248"/>
    <x v="623"/>
    <n v="29.187386596804238"/>
    <n v="3.6484233246005298"/>
    <n v="14.593693298402119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28"/>
    <x v="7"/>
    <x v="6"/>
    <x v="6"/>
    <s v="quinata"/>
    <n v="0.48"/>
    <x v="6"/>
    <n v="12.1"/>
    <n v="1.14990414E-2"/>
    <n v="9"/>
    <n v="-5"/>
    <n v="-8.7266462599716474E-2"/>
    <n v="10"/>
    <n v="20"/>
    <n v="0.3490658503988659"/>
    <x v="624"/>
    <n v="10.508062520404634"/>
    <n v="1.3135078150505792"/>
    <n v="5.2540312602023169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23"/>
    <x v="25"/>
    <x v="5"/>
    <x v="1"/>
    <s v="-"/>
    <n v="0.57999999999999996"/>
    <x v="1"/>
    <n v="19.850000000000001"/>
    <n v="3.0946527150000003E-2"/>
    <n v="12"/>
    <n v="68"/>
    <n v="1.1868238913561442"/>
    <n v="9"/>
    <n v="5"/>
    <n v="8.7266462599716474E-2"/>
    <x v="625"/>
    <n v="131.41704257947845"/>
    <n v="16.427130322434806"/>
    <n v="65.708521289739224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46"/>
    <x v="25"/>
    <x v="5"/>
    <x v="1"/>
    <s v="-"/>
    <n v="0.57999999999999996"/>
    <x v="1"/>
    <n v="8.1"/>
    <n v="5.1530094000000002E-3"/>
    <n v="12"/>
    <n v="55"/>
    <n v="0.95993108859688125"/>
    <n v="7"/>
    <n v="12"/>
    <n v="0.20943951023931956"/>
    <x v="626"/>
    <n v="23.162999916499853"/>
    <n v="2.8953749895624816"/>
    <n v="11.581499958249927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33"/>
    <x v="7"/>
    <x v="6"/>
    <x v="6"/>
    <s v="quinata"/>
    <n v="0.48"/>
    <x v="6"/>
    <n v="12.1"/>
    <n v="1.14990414E-2"/>
    <n v="7"/>
    <n v="20"/>
    <n v="0.3490658503988659"/>
    <n v="5"/>
    <n v="25"/>
    <n v="0.43633231299858238"/>
    <x v="627"/>
    <n v="17.39964257572089"/>
    <n v="2.1749553219651112"/>
    <n v="8.6998212878604448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32"/>
    <x v="25"/>
    <x v="5"/>
    <x v="1"/>
    <s v="-"/>
    <n v="0.57999999999999996"/>
    <x v="1"/>
    <n v="18.100000000000001"/>
    <n v="2.5730489400000008E-2"/>
    <n v="10"/>
    <n v="70"/>
    <n v="1.2217304763960306"/>
    <n v="6"/>
    <n v="15"/>
    <n v="0.26179938779914941"/>
    <x v="628"/>
    <n v="102.08526974530309"/>
    <n v="12.760658718162887"/>
    <n v="51.042634872651547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31"/>
    <x v="0"/>
    <x v="0"/>
    <x v="0"/>
    <s v="ferruginea"/>
    <n v="0.37"/>
    <x v="0"/>
    <n v="18.600000000000001"/>
    <n v="2.7171698400000003E-2"/>
    <n v="14"/>
    <n v="70"/>
    <n v="1.2217304763960306"/>
    <n v="5"/>
    <n v="5"/>
    <n v="8.7266462599716474E-2"/>
    <x v="629"/>
    <n v="86.283208120095026"/>
    <n v="10.785401015011878"/>
    <n v="43.141604060047513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30"/>
    <x v="25"/>
    <x v="5"/>
    <x v="1"/>
    <s v="-"/>
    <n v="0.57999999999999996"/>
    <x v="1"/>
    <n v="15.9"/>
    <n v="1.98556974E-2"/>
    <n v="11"/>
    <n v="74"/>
    <n v="1.2915436464758039"/>
    <n v="6"/>
    <n v="0"/>
    <n v="0"/>
    <x v="630"/>
    <n v="77.426725346053004"/>
    <n v="9.6783406682566255"/>
    <n v="38.713362673026502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41"/>
    <x v="7"/>
    <x v="6"/>
    <x v="6"/>
    <s v="quinata"/>
    <n v="0.48"/>
    <x v="6"/>
    <n v="15.100000000000001"/>
    <n v="1.7907905400000004E-2"/>
    <n v="7"/>
    <n v="74"/>
    <n v="1.2915436464758039"/>
    <n v="5"/>
    <n v="5"/>
    <n v="8.7266462599716474E-2"/>
    <x v="631"/>
    <n v="40.793050239374764"/>
    <n v="5.0991312799218456"/>
    <n v="20.396525119687382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67"/>
    <x v="15"/>
    <x v="9"/>
    <x v="12"/>
    <s v="insularis"/>
    <n v="0.53"/>
    <x v="7"/>
    <n v="12.7"/>
    <n v="1.26677166E-2"/>
    <n v="12"/>
    <n v="60"/>
    <n v="1.0471975511965976"/>
    <n v="7"/>
    <n v="0"/>
    <n v="0"/>
    <x v="632"/>
    <n v="45.871315936053705"/>
    <n v="5.7339144920067131"/>
    <n v="22.935657968026852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22"/>
    <x v="14"/>
    <x v="0"/>
    <x v="0"/>
    <s v="allenii"/>
    <n v="0.48"/>
    <x v="7"/>
    <n v="12.850000000000001"/>
    <n v="1.2968721150000003E-2"/>
    <n v="9"/>
    <n v="55"/>
    <n v="0.95993108859688125"/>
    <n v="6"/>
    <n v="10"/>
    <n v="0.17453292519943295"/>
    <x v="490"/>
    <n v="35.033313326933047"/>
    <n v="4.3791641658666309"/>
    <n v="17.516656663466524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11"/>
    <x v="14"/>
    <x v="0"/>
    <x v="0"/>
    <s v="allenii"/>
    <n v="0.48"/>
    <x v="7"/>
    <n v="6.55"/>
    <n v="3.3695623499999999E-3"/>
    <n v="11"/>
    <n v="53"/>
    <n v="0.92502450355699462"/>
    <n v="5"/>
    <n v="7"/>
    <n v="0.12217304763960307"/>
    <x v="633"/>
    <n v="10.946021829508799"/>
    <n v="1.3682527286885999"/>
    <n v="5.4730109147543997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42"/>
    <x v="7"/>
    <x v="6"/>
    <x v="6"/>
    <s v="quinata"/>
    <n v="0.48"/>
    <x v="6"/>
    <n v="12.6"/>
    <n v="1.2469010399999999E-2"/>
    <n v="6"/>
    <n v="33"/>
    <n v="0.57595865315812877"/>
    <n v="5"/>
    <n v="23"/>
    <n v="0.4014257279586958"/>
    <x v="634"/>
    <n v="21.560155123770635"/>
    <n v="2.6950193904713293"/>
    <n v="10.780077561885317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38"/>
    <x v="7"/>
    <x v="6"/>
    <x v="6"/>
    <s v="quinata"/>
    <n v="0.48"/>
    <x v="6"/>
    <n v="9.9499999999999993"/>
    <n v="7.7756563499999992E-3"/>
    <n v="7"/>
    <n v="23"/>
    <n v="0.4014257279586958"/>
    <n v="6"/>
    <n v="6"/>
    <n v="0.10471975511965978"/>
    <x v="635"/>
    <n v="9.1447697387804876"/>
    <n v="1.143096217347561"/>
    <n v="4.5723848693902438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62"/>
    <x v="17"/>
    <x v="10"/>
    <x v="13"/>
    <s v="sp."/>
    <n v="0.57999999999999996"/>
    <x v="7"/>
    <n v="10.8"/>
    <n v="9.1609056000000015E-3"/>
    <n v="10"/>
    <n v="40"/>
    <n v="0.69813170079773179"/>
    <n v="8"/>
    <n v="7"/>
    <n v="0.12217304763960307"/>
    <x v="636"/>
    <n v="26.764223739444194"/>
    <n v="3.3455279674305243"/>
    <n v="13.382111869722097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64"/>
    <x v="7"/>
    <x v="6"/>
    <x v="6"/>
    <s v="quinata"/>
    <n v="0.48"/>
    <x v="6"/>
    <n v="16.95"/>
    <n v="2.2564738349999999E-2"/>
    <n v="9"/>
    <n v="23"/>
    <n v="0.4014257279586958"/>
    <n v="8"/>
    <n v="5"/>
    <n v="8.7266462599716474E-2"/>
    <x v="637"/>
    <n v="30.779640089739033"/>
    <n v="3.8474550112173791"/>
    <n v="15.389820044869516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03"/>
    <x v="7"/>
    <x v="6"/>
    <x v="6"/>
    <s v="quinata"/>
    <n v="0.48"/>
    <x v="6"/>
    <n v="6.35"/>
    <n v="3.16692915E-3"/>
    <n v="6"/>
    <n v="35"/>
    <n v="0.6108652381980153"/>
    <n v="6"/>
    <n v="-1"/>
    <n v="-1.7453292519943295E-2"/>
    <x v="638"/>
    <n v="3.9027130877340448"/>
    <n v="0.4878391359667556"/>
    <n v="1.9513565438670224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08"/>
    <x v="17"/>
    <x v="10"/>
    <x v="13"/>
    <s v="sp."/>
    <n v="0.57999999999999996"/>
    <x v="7"/>
    <n v="26.75"/>
    <n v="5.6200278750000006E-2"/>
    <n v="9"/>
    <n v="80"/>
    <n v="1.3962634015954636"/>
    <n v="6"/>
    <n v="-2"/>
    <n v="-3.4906585039886591E-2"/>
    <x v="639"/>
    <n v="170.5417167010512"/>
    <n v="21.3177145876314"/>
    <n v="85.2708583505256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09"/>
    <x v="21"/>
    <x v="13"/>
    <x v="16"/>
    <s v="sp."/>
    <n v="0.48"/>
    <x v="7"/>
    <n v="9.4499999999999993"/>
    <n v="7.0138183499999984E-3"/>
    <n v="6"/>
    <n v="65"/>
    <n v="1.1344640137963142"/>
    <n v="6"/>
    <n v="2"/>
    <n v="3.4906585039886591E-2"/>
    <x v="640"/>
    <n v="13.51346192688157"/>
    <n v="1.6891827408601963"/>
    <n v="6.7567309634407851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63"/>
    <x v="25"/>
    <x v="5"/>
    <x v="1"/>
    <s v="-"/>
    <n v="0.57999999999999996"/>
    <x v="1"/>
    <n v="6.4499999999999993"/>
    <n v="3.2674603499999997E-3"/>
    <n v="11"/>
    <n v="62"/>
    <n v="1.0821041362364843"/>
    <n v="6"/>
    <n v="-4"/>
    <n v="-6.9813170079773182E-2"/>
    <x v="641"/>
    <n v="12.576556357523799"/>
    <n v="1.5720695446904749"/>
    <n v="6.2882781787618995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20"/>
    <x v="25"/>
    <x v="5"/>
    <x v="1"/>
    <s v="-"/>
    <n v="0.57999999999999996"/>
    <x v="1"/>
    <n v="9.5500000000000007"/>
    <n v="7.1630443500000016E-3"/>
    <n v="12"/>
    <n v="72"/>
    <n v="1.2566370614359172"/>
    <n v="6"/>
    <n v="-4"/>
    <n v="-6.9813170079773182E-2"/>
    <x v="642"/>
    <n v="30.802214224073786"/>
    <n v="3.8502767780092233"/>
    <n v="15.401107112036893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39"/>
    <x v="17"/>
    <x v="10"/>
    <x v="13"/>
    <s v="sp."/>
    <n v="0.57999999999999996"/>
    <x v="7"/>
    <n v="15.149999999999999"/>
    <n v="1.8026697149999996E-2"/>
    <n v="12"/>
    <n v="71"/>
    <n v="1.2391837689159739"/>
    <n v="5"/>
    <n v="0"/>
    <n v="0"/>
    <x v="643"/>
    <n v="75.547486144469346"/>
    <n v="9.4434357680586682"/>
    <n v="37.773743072234673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84"/>
    <x v="25"/>
    <x v="5"/>
    <x v="1"/>
    <s v="-"/>
    <n v="0.57999999999999996"/>
    <x v="1"/>
    <n v="9"/>
    <n v="6.3617400000000003E-3"/>
    <n v="14"/>
    <n v="64"/>
    <n v="1.1170107212763709"/>
    <n v="5"/>
    <n v="1"/>
    <n v="1.7453292519943295E-2"/>
    <x v="644"/>
    <n v="31.483439505838955"/>
    <n v="3.9354299382298694"/>
    <n v="15.741719752919478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66"/>
    <x v="25"/>
    <x v="5"/>
    <x v="1"/>
    <s v="-"/>
    <n v="0.57999999999999996"/>
    <x v="1"/>
    <n v="17.2"/>
    <n v="2.3235273599999998E-2"/>
    <n v="15"/>
    <n v="60"/>
    <n v="1.0471975511965976"/>
    <n v="6"/>
    <n v="20"/>
    <n v="0.3490658503988659"/>
    <x v="645"/>
    <n v="125.01392374677482"/>
    <n v="15.626740468346853"/>
    <n v="62.506961873387411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10"/>
    <x v="25"/>
    <x v="5"/>
    <x v="1"/>
    <s v="-"/>
    <n v="0.57999999999999996"/>
    <x v="1"/>
    <n v="9.3000000000000007"/>
    <n v="6.7929246000000007E-3"/>
    <n v="14"/>
    <n v="63"/>
    <n v="1.0995574287564276"/>
    <n v="6"/>
    <n v="15"/>
    <n v="0.26179938779914941"/>
    <x v="646"/>
    <n v="36.845041575247386"/>
    <n v="4.6056301969059232"/>
    <n v="18.422520787623693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94"/>
    <x v="25"/>
    <x v="5"/>
    <x v="1"/>
    <s v="-"/>
    <n v="0.57999999999999996"/>
    <x v="1"/>
    <n v="6.9"/>
    <n v="3.7392894000000008E-3"/>
    <n v="12"/>
    <n v="60"/>
    <n v="1.0471975511965976"/>
    <n v="5"/>
    <n v="15"/>
    <n v="0.26179938779914941"/>
    <x v="647"/>
    <n v="17.706806062893531"/>
    <n v="2.2133507578616913"/>
    <n v="8.8534030314467653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98"/>
    <x v="25"/>
    <x v="5"/>
    <x v="1"/>
    <s v="-"/>
    <n v="0.57999999999999996"/>
    <x v="1"/>
    <n v="18.899999999999999"/>
    <n v="2.8055273399999994E-2"/>
    <n v="16"/>
    <n v="55"/>
    <n v="0.95993108859688125"/>
    <n v="5"/>
    <n v="20"/>
    <n v="0.3490658503988659"/>
    <x v="648"/>
    <n v="147.14111267927746"/>
    <n v="18.392639084909682"/>
    <n v="73.570556339638728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50"/>
    <x v="0"/>
    <x v="0"/>
    <x v="0"/>
    <s v="ferruginea"/>
    <n v="0.37"/>
    <x v="0"/>
    <n v="28.35"/>
    <n v="6.3124365150000014E-2"/>
    <n v="9"/>
    <n v="69"/>
    <n v="1.2042771838760873"/>
    <n v="6"/>
    <n v="10"/>
    <n v="0.17453292519943295"/>
    <x v="649"/>
    <n v="135.33888710836388"/>
    <n v="16.917360888545485"/>
    <n v="67.669443554181939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48"/>
    <x v="1"/>
    <x v="1"/>
    <x v="1"/>
    <s v="-"/>
    <n v="0.57999999999999996"/>
    <x v="1"/>
    <n v="15.75"/>
    <n v="1.948282875E-2"/>
    <n v="10"/>
    <n v="55"/>
    <n v="0.95993108859688125"/>
    <n v="7"/>
    <n v="10"/>
    <n v="0.17453292519943295"/>
    <x v="650"/>
    <n v="68.14250007014499"/>
    <n v="8.5178125087681238"/>
    <n v="34.071250035072495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73"/>
    <x v="15"/>
    <x v="9"/>
    <x v="12"/>
    <s v="insularis"/>
    <n v="0.53"/>
    <x v="7"/>
    <n v="6.5"/>
    <n v="3.3183150000000001E-3"/>
    <n v="6"/>
    <n v="43"/>
    <n v="0.75049157835756175"/>
    <n v="6"/>
    <n v="13"/>
    <n v="0.22689280275926285"/>
    <x v="651"/>
    <n v="7.0884030761303842"/>
    <n v="0.88605038451629803"/>
    <n v="3.5442015380651921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15"/>
    <x v="5"/>
    <x v="1"/>
    <x v="5"/>
    <s v="tibourbou"/>
    <n v="0.24"/>
    <x v="5"/>
    <n v="10.1"/>
    <n v="8.0118654000000001E-3"/>
    <n v="6"/>
    <n v="40"/>
    <n v="0.69813170079773179"/>
    <n v="5"/>
    <n v="15"/>
    <n v="0.26179938779914941"/>
    <x v="652"/>
    <n v="7.3206278911968026"/>
    <n v="0.91507848639960032"/>
    <n v="3.6603139455984013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05"/>
    <x v="20"/>
    <x v="12"/>
    <x v="15"/>
    <s v="dolichopoda"/>
    <n v="0.54"/>
    <x v="7"/>
    <n v="6.5"/>
    <n v="3.3183150000000001E-3"/>
    <n v="8"/>
    <n v="25"/>
    <n v="0.43633231299858238"/>
    <n v="8"/>
    <n v="22"/>
    <n v="0.38397243543875248"/>
    <x v="653"/>
    <n v="8.3748981515296492"/>
    <n v="1.0468622689412062"/>
    <n v="4.1874490757648246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02"/>
    <x v="25"/>
    <x v="5"/>
    <x v="1"/>
    <s v="-"/>
    <n v="0.57999999999999996"/>
    <x v="1"/>
    <n v="11.25"/>
    <n v="9.9402187500000003E-3"/>
    <n v="10"/>
    <n v="55"/>
    <n v="0.95993108859688125"/>
    <n v="7"/>
    <n v="28"/>
    <n v="0.48869219055841229"/>
    <x v="654"/>
    <n v="43.643409558323732"/>
    <n v="5.4554261947904665"/>
    <n v="21.821704779161866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05"/>
    <x v="17"/>
    <x v="10"/>
    <x v="13"/>
    <s v="sp."/>
    <n v="0.57999999999999996"/>
    <x v="7"/>
    <n v="10.85"/>
    <n v="9.2459251500000006E-3"/>
    <n v="8"/>
    <n v="30"/>
    <n v="0.52359877559829882"/>
    <n v="7"/>
    <n v="28"/>
    <n v="0.48869219055841229"/>
    <x v="655"/>
    <n v="26.597977926826495"/>
    <n v="3.3247472408533119"/>
    <n v="13.298988963413247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215"/>
    <x v="17"/>
    <x v="10"/>
    <x v="13"/>
    <s v="sp."/>
    <n v="0.57999999999999996"/>
    <x v="7"/>
    <n v="11.75"/>
    <n v="1.084342875E-2"/>
    <n v="8"/>
    <n v="15"/>
    <n v="0.26179938779914941"/>
    <n v="7"/>
    <n v="28"/>
    <n v="0.48869219055841229"/>
    <x v="656"/>
    <n v="23.138243781795943"/>
    <n v="2.8922804727244928"/>
    <n v="11.569121890897971"/>
  </r>
  <r>
    <x v="3"/>
    <s v="NM, AM, EC, EL, RH"/>
    <x v="15"/>
    <s v="SO"/>
    <n v="8.4103899999999996"/>
    <n v="83.313820000000007"/>
    <n v="100"/>
    <n v="28"/>
    <n v="3.4776037446826735"/>
    <n v="6.0695635424396897E-2"/>
    <n v="21.038741046347479"/>
    <n v="326"/>
    <x v="8"/>
    <x v="1"/>
    <x v="7"/>
    <s v="appendiculatus"/>
    <n v="0.23"/>
    <x v="7"/>
    <n v="12.5"/>
    <n v="1.2271875E-2"/>
    <n v="10"/>
    <n v="58"/>
    <n v="1.0122909661567112"/>
    <n v="6"/>
    <n v="18"/>
    <n v="0.31415926535897931"/>
    <x v="657"/>
    <n v="20.207476797942746"/>
    <n v="2.5259345997428433"/>
    <n v="10.103738398971373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672"/>
    <x v="8"/>
    <x v="1"/>
    <x v="7"/>
    <s v="appendiculatus"/>
    <n v="0.23"/>
    <x v="7"/>
    <n v="8.1999999999999993"/>
    <n v="5.2810295999999998E-3"/>
    <n v="6"/>
    <n v="48"/>
    <n v="0.83775804095727824"/>
    <n v="5"/>
    <n v="20"/>
    <n v="0.3490658503988659"/>
    <x v="658"/>
    <n v="5.6319113030180006"/>
    <n v="0.70398891287725007"/>
    <n v="2.8159556515090003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54"/>
    <x v="5"/>
    <x v="1"/>
    <x v="5"/>
    <s v="tibourbou"/>
    <n v="0.24"/>
    <x v="5"/>
    <n v="20.8"/>
    <n v="3.3979545600000008E-2"/>
    <n v="8"/>
    <n v="50"/>
    <n v="0.87266462599716477"/>
    <n v="7"/>
    <n v="20"/>
    <n v="0.3490658503988659"/>
    <x v="659"/>
    <n v="45.703786485288845"/>
    <n v="5.7129733106611056"/>
    <n v="22.851893242644422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69"/>
    <x v="10"/>
    <x v="8"/>
    <x v="9"/>
    <s v="mexicana"/>
    <n v="0.55000000000000004"/>
    <x v="7"/>
    <n v="26.2"/>
    <n v="5.3912997599999998E-2"/>
    <n v="17"/>
    <n v="53"/>
    <n v="0.92502450355699462"/>
    <n v="7"/>
    <n v="15"/>
    <n v="0.26179938779914941"/>
    <x v="660"/>
    <n v="268.02454647010916"/>
    <n v="33.503068308763645"/>
    <n v="134.01227323505458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692"/>
    <x v="3"/>
    <x v="3"/>
    <x v="3"/>
    <s v="parahyba"/>
    <n v="0.315"/>
    <x v="3"/>
    <n v="17.5"/>
    <n v="2.4052875000000001E-2"/>
    <n v="23"/>
    <n v="56"/>
    <n v="0.97738438111682457"/>
    <n v="10"/>
    <n v="12"/>
    <n v="0.20943951023931956"/>
    <x v="661"/>
    <n v="100.21175025958784"/>
    <n v="12.526468782448481"/>
    <n v="50.105875129793922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66"/>
    <x v="3"/>
    <x v="3"/>
    <x v="3"/>
    <s v="parahyba"/>
    <n v="0.315"/>
    <x v="3"/>
    <n v="23"/>
    <n v="4.154766E-2"/>
    <n v="21"/>
    <n v="71"/>
    <n v="1.2391837689159739"/>
    <n v="5"/>
    <n v="10"/>
    <n v="0.17453292519943295"/>
    <x v="662"/>
    <n v="164.36514310193922"/>
    <n v="20.545642887742403"/>
    <n v="82.182571550969612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674"/>
    <x v="3"/>
    <x v="3"/>
    <x v="3"/>
    <s v="parahyba"/>
    <n v="0.315"/>
    <x v="3"/>
    <n v="9.8000000000000007"/>
    <n v="7.5429816000000018E-3"/>
    <n v="11"/>
    <n v="58"/>
    <n v="1.0122909661567112"/>
    <n v="5"/>
    <n v="10"/>
    <n v="0.17453292519943295"/>
    <x v="663"/>
    <n v="16.972019729696786"/>
    <n v="2.1215024662120983"/>
    <n v="8.486009864848393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20"/>
    <x v="3"/>
    <x v="3"/>
    <x v="3"/>
    <s v="parahyba"/>
    <n v="0.315"/>
    <x v="3"/>
    <n v="14"/>
    <n v="1.5393840000000001E-2"/>
    <n v="14"/>
    <n v="60"/>
    <n v="1.0471975511965976"/>
    <n v="5"/>
    <n v="19"/>
    <n v="0.33161255787892263"/>
    <x v="664"/>
    <n v="43.960648629911176"/>
    <n v="5.4950810787388971"/>
    <n v="21.980324314955588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589"/>
    <x v="3"/>
    <x v="3"/>
    <x v="3"/>
    <s v="parahyba"/>
    <n v="0.315"/>
    <x v="3"/>
    <n v="7.9"/>
    <n v="4.9016814000000008E-3"/>
    <n v="8"/>
    <n v="42"/>
    <n v="0.73303828583761843"/>
    <n v="5"/>
    <n v="12"/>
    <n v="0.20943951023931956"/>
    <x v="665"/>
    <n v="7.2970893345996588"/>
    <n v="0.91213616682495735"/>
    <n v="3.6485446672998294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77"/>
    <x v="0"/>
    <x v="0"/>
    <x v="0"/>
    <s v="ferruginea"/>
    <n v="0.37"/>
    <x v="0"/>
    <n v="45.8"/>
    <n v="0.16474864559999999"/>
    <n v="14"/>
    <n v="70"/>
    <n v="1.2217304763960306"/>
    <n v="6"/>
    <n v="22"/>
    <n v="0.38397243543875248"/>
    <x v="666"/>
    <n v="528.14886259053583"/>
    <n v="66.018607823816978"/>
    <n v="264.07443129526791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603"/>
    <x v="3"/>
    <x v="3"/>
    <x v="3"/>
    <s v="parahyba"/>
    <n v="0.315"/>
    <x v="3"/>
    <n v="16"/>
    <n v="2.0106240000000001E-2"/>
    <n v="13"/>
    <n v="68"/>
    <n v="1.1868238913561442"/>
    <n v="5"/>
    <n v="22"/>
    <n v="0.38397243543875248"/>
    <x v="667"/>
    <n v="57.177928702321296"/>
    <n v="7.147241087790162"/>
    <n v="28.588964351160648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52"/>
    <x v="13"/>
    <x v="5"/>
    <x v="1"/>
    <s v="-"/>
    <n v="0.57999999999999996"/>
    <x v="1"/>
    <n v="8.5"/>
    <n v="5.6745150000000006E-3"/>
    <n v="7"/>
    <n v="30"/>
    <n v="0.52359877559829882"/>
    <n v="6"/>
    <n v="21"/>
    <n v="0.36651914291880922"/>
    <x v="668"/>
    <n v="13.235250431649249"/>
    <n v="1.6544063039561561"/>
    <n v="6.6176252158246243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595"/>
    <x v="13"/>
    <x v="5"/>
    <x v="1"/>
    <s v="-"/>
    <n v="0.57999999999999996"/>
    <x v="1"/>
    <n v="11.5"/>
    <n v="1.0386915E-2"/>
    <n v="7"/>
    <n v="10"/>
    <n v="0.17453292519943295"/>
    <n v="6"/>
    <n v="18"/>
    <n v="0.31415926535897931"/>
    <x v="669"/>
    <n v="13.166127871766461"/>
    <n v="1.6457659839708076"/>
    <n v="6.5830639358832306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649"/>
    <x v="0"/>
    <x v="0"/>
    <x v="0"/>
    <s v="ferruginea"/>
    <n v="0.37"/>
    <x v="0"/>
    <n v="12.3"/>
    <n v="1.1882316600000001E-2"/>
    <n v="7"/>
    <n v="30"/>
    <n v="0.52359877559829882"/>
    <n v="6"/>
    <n v="18"/>
    <n v="0.31415926535897931"/>
    <x v="670"/>
    <n v="16.518035341107737"/>
    <n v="2.0647544176384671"/>
    <n v="8.2590176705538685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49"/>
    <x v="0"/>
    <x v="0"/>
    <x v="0"/>
    <s v="ferruginea"/>
    <n v="0.37"/>
    <x v="0"/>
    <n v="6.3"/>
    <n v="3.1172525999999998E-3"/>
    <n v="9"/>
    <n v="20"/>
    <n v="0.3490658503988659"/>
    <n v="7"/>
    <n v="20"/>
    <n v="0.3490658503988659"/>
    <x v="671"/>
    <n v="4.7930608448395615"/>
    <n v="0.59913260560494519"/>
    <n v="2.3965304224197808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30"/>
    <x v="38"/>
    <x v="21"/>
    <x v="29"/>
    <s v="odorata"/>
    <n v="0.46"/>
    <x v="7"/>
    <n v="10.9"/>
    <n v="9.3313374000000004E-3"/>
    <n v="9"/>
    <n v="50"/>
    <n v="0.87266462599716477"/>
    <n v="5"/>
    <n v="16"/>
    <n v="0.27925268031909273"/>
    <x v="672"/>
    <n v="24.31077199899288"/>
    <n v="3.03884649987411"/>
    <n v="12.15538599949644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643"/>
    <x v="3"/>
    <x v="3"/>
    <x v="3"/>
    <s v="parahyba"/>
    <n v="0.315"/>
    <x v="3"/>
    <n v="11.5"/>
    <n v="1.0386915E-2"/>
    <n v="13"/>
    <n v="52"/>
    <n v="0.90757121103705141"/>
    <n v="5"/>
    <n v="10"/>
    <n v="0.17453292519943295"/>
    <x v="673"/>
    <n v="24.856745512964899"/>
    <n v="3.1070931891206124"/>
    <n v="12.42837275648245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591"/>
    <x v="3"/>
    <x v="3"/>
    <x v="3"/>
    <s v="parahyba"/>
    <n v="0.315"/>
    <x v="3"/>
    <n v="5.8"/>
    <n v="2.6420856E-3"/>
    <n v="9"/>
    <n v="30"/>
    <n v="0.52359877559829882"/>
    <n v="5"/>
    <n v="11"/>
    <n v="0.19198621771937624"/>
    <x v="674"/>
    <n v="3.5158785269452077"/>
    <n v="0.43948481586815097"/>
    <n v="1.7579392634726039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75"/>
    <x v="1"/>
    <x v="1"/>
    <x v="1"/>
    <s v="-"/>
    <n v="0.57999999999999996"/>
    <x v="1"/>
    <n v="6.2"/>
    <n v="3.0190776000000004E-3"/>
    <n v="7"/>
    <n v="40"/>
    <n v="0.69813170079773179"/>
    <n v="6"/>
    <n v="15"/>
    <n v="0.26179938779914941"/>
    <x v="675"/>
    <n v="7.8017896031301568"/>
    <n v="0.9752237003912696"/>
    <n v="3.9008948015650784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746"/>
    <x v="28"/>
    <x v="16"/>
    <x v="21"/>
    <s v="ferruginea"/>
    <n v="0.49"/>
    <x v="7"/>
    <n v="7.7"/>
    <n v="4.6566366000000007E-3"/>
    <n v="7"/>
    <n v="30"/>
    <n v="0.52359877559829882"/>
    <n v="5"/>
    <n v="19"/>
    <n v="0.33161255787892263"/>
    <x v="676"/>
    <n v="8.562233339223015"/>
    <n v="1.0702791674028769"/>
    <n v="4.2811166696115075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619"/>
    <x v="8"/>
    <x v="1"/>
    <x v="7"/>
    <s v="appendiculatus"/>
    <n v="0.23"/>
    <x v="7"/>
    <n v="7.9"/>
    <n v="4.9016814000000008E-3"/>
    <n v="8"/>
    <n v="30"/>
    <n v="0.52359877559829882"/>
    <n v="7"/>
    <n v="13"/>
    <n v="0.22689280275926285"/>
    <x v="677"/>
    <n v="4.7738625285907155"/>
    <n v="0.59673281607383943"/>
    <n v="2.3869312642953577"/>
  </r>
  <r>
    <x v="0"/>
    <s v="NM, AM, EC, EL"/>
    <x v="16"/>
    <s v="NE"/>
    <n v="8.4085599999999996"/>
    <n v="83.312899999999999"/>
    <n v="100"/>
    <n v="-17"/>
    <n v="-5.8255767953622053"/>
    <n v="-0.1016754959068504"/>
    <n v="21.109017558230889"/>
    <n v="654"/>
    <x v="3"/>
    <x v="3"/>
    <x v="3"/>
    <s v="parahyba"/>
    <n v="0.315"/>
    <x v="3"/>
    <n v="10.4"/>
    <n v="8.494886400000002E-3"/>
    <n v="12"/>
    <n v="38"/>
    <n v="0.66322511575784526"/>
    <n v="6"/>
    <n v="19"/>
    <n v="0.33161255787892263"/>
    <x v="678"/>
    <n v="17.477577566860369"/>
    <n v="2.1846971958575461"/>
    <n v="8.7387887834301843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823"/>
    <x v="17"/>
    <x v="10"/>
    <x v="13"/>
    <s v="sp."/>
    <n v="0.57999999999999996"/>
    <x v="7"/>
    <n v="22"/>
    <n v="3.8013360000000003E-2"/>
    <n v="17"/>
    <n v="65"/>
    <n v="1.1344640137963142"/>
    <n v="6"/>
    <n v="16"/>
    <n v="0.27925268031909273"/>
    <x v="679"/>
    <n v="223.5240415939345"/>
    <n v="27.940505199241812"/>
    <n v="111.76202079696725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13"/>
    <x v="0"/>
    <x v="0"/>
    <x v="0"/>
    <s v="ferruginea"/>
    <n v="0.37"/>
    <x v="0"/>
    <n v="11"/>
    <n v="9.5033400000000007E-3"/>
    <n v="9"/>
    <n v="57"/>
    <n v="0.99483767363676789"/>
    <n v="7"/>
    <n v="8"/>
    <n v="0.13962634015954636"/>
    <x v="680"/>
    <n v="20.725759361550935"/>
    <n v="2.5907199201938669"/>
    <n v="10.362879680775468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29"/>
    <x v="11"/>
    <x v="3"/>
    <x v="10"/>
    <s v="versicolor"/>
    <n v="0.54300000000000004"/>
    <x v="8"/>
    <n v="7"/>
    <n v="3.8484600000000002E-3"/>
    <n v="9"/>
    <n v="45"/>
    <n v="0.78539816339744828"/>
    <n v="5"/>
    <n v="16"/>
    <n v="0.27925268031909273"/>
    <x v="681"/>
    <n v="11.611481838107942"/>
    <n v="1.4514352297634927"/>
    <n v="5.8057409190539708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23"/>
    <x v="44"/>
    <x v="9"/>
    <x v="12"/>
    <s v="sp."/>
    <n v="0.53"/>
    <x v="7"/>
    <n v="16.600000000000001"/>
    <n v="2.1642482400000006E-2"/>
    <n v="11"/>
    <n v="55"/>
    <n v="0.95993108859688125"/>
    <n v="7"/>
    <n v="12"/>
    <n v="0.20943951023931956"/>
    <x v="682"/>
    <n v="76.397693952639287"/>
    <n v="9.5497117440799109"/>
    <n v="38.198846976319643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06"/>
    <x v="12"/>
    <x v="6"/>
    <x v="11"/>
    <s v="pentandra"/>
    <n v="0.35"/>
    <x v="7"/>
    <n v="123.5"/>
    <n v="1.197911715"/>
    <n v="27"/>
    <n v="54"/>
    <n v="0.94247779607693793"/>
    <n v="14"/>
    <n v="10"/>
    <n v="0.17453292519943295"/>
    <x v="683"/>
    <n v="4962.0530085966529"/>
    <n v="620.25662607458162"/>
    <n v="2481.0265042983265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17"/>
    <x v="7"/>
    <x v="6"/>
    <x v="6"/>
    <s v="quinata"/>
    <n v="0.48"/>
    <x v="6"/>
    <n v="13.1"/>
    <n v="1.34782494E-2"/>
    <n v="6"/>
    <n v="26"/>
    <n v="0.4537856055185257"/>
    <n v="7"/>
    <n v="26"/>
    <n v="0.4537856055185257"/>
    <x v="684"/>
    <n v="25.184696133129577"/>
    <n v="3.1480870166411972"/>
    <n v="12.592348066564789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892"/>
    <x v="7"/>
    <x v="6"/>
    <x v="6"/>
    <s v="quinata"/>
    <n v="0.48"/>
    <x v="6"/>
    <n v="14.6"/>
    <n v="1.6741586400000001E-2"/>
    <n v="9"/>
    <n v="36"/>
    <n v="0.62831853071795862"/>
    <n v="8"/>
    <n v="22"/>
    <n v="0.38397243543875248"/>
    <x v="685"/>
    <n v="43.90372927144638"/>
    <n v="5.4879661589307975"/>
    <n v="21.95186463572319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87"/>
    <x v="0"/>
    <x v="0"/>
    <x v="0"/>
    <s v="ferruginea"/>
    <n v="0.37"/>
    <x v="0"/>
    <n v="7.7"/>
    <n v="4.6566366000000007E-3"/>
    <n v="11"/>
    <n v="42"/>
    <n v="0.73303828583761843"/>
    <n v="7"/>
    <n v="20"/>
    <n v="0.3490658503988659"/>
    <x v="686"/>
    <n v="12.034550347964609"/>
    <n v="1.5043187934955762"/>
    <n v="6.0172751739823047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856"/>
    <x v="7"/>
    <x v="6"/>
    <x v="6"/>
    <s v="quinata"/>
    <n v="0.48"/>
    <x v="6"/>
    <n v="16"/>
    <n v="2.0106240000000001E-2"/>
    <n v="8"/>
    <n v="38"/>
    <n v="0.66322511575784526"/>
    <n v="7"/>
    <n v="23"/>
    <n v="0.4014257279586958"/>
    <x v="687"/>
    <n v="48.436296559210966"/>
    <n v="6.0545370699013707"/>
    <n v="24.218148279605483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87"/>
    <x v="0"/>
    <x v="0"/>
    <x v="0"/>
    <s v="ferruginea"/>
    <n v="0.37"/>
    <x v="0"/>
    <n v="7.6"/>
    <n v="4.5364704E-3"/>
    <n v="11"/>
    <n v="35"/>
    <n v="0.6108652381980153"/>
    <n v="8"/>
    <n v="19"/>
    <n v="0.33161255787892263"/>
    <x v="688"/>
    <n v="10.788571596590696"/>
    <n v="1.348571449573837"/>
    <n v="5.394285798295348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894"/>
    <x v="14"/>
    <x v="0"/>
    <x v="0"/>
    <s v="allenii"/>
    <n v="0.48"/>
    <x v="7"/>
    <n v="6.8"/>
    <n v="3.6316895999999998E-3"/>
    <n v="8"/>
    <n v="35"/>
    <n v="0.6108652381980153"/>
    <n v="6"/>
    <n v="20"/>
    <n v="0.3490658503988659"/>
    <x v="689"/>
    <n v="8.4767282065761993"/>
    <n v="1.0595910258220249"/>
    <n v="4.2383641032880996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10"/>
    <x v="0"/>
    <x v="0"/>
    <x v="0"/>
    <s v="ferruginea"/>
    <n v="0.37"/>
    <x v="0"/>
    <n v="7"/>
    <n v="3.8484600000000002E-3"/>
    <n v="8"/>
    <n v="28"/>
    <n v="0.48869219055841229"/>
    <n v="6"/>
    <n v="15"/>
    <n v="0.26179938779914941"/>
    <x v="690"/>
    <n v="5.6786294779682276"/>
    <n v="0.70982868474602845"/>
    <n v="2.8393147389841138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88"/>
    <x v="0"/>
    <x v="0"/>
    <x v="0"/>
    <s v="ferruginea"/>
    <n v="0.37"/>
    <x v="0"/>
    <n v="7"/>
    <n v="3.8484600000000002E-3"/>
    <n v="10"/>
    <n v="35"/>
    <n v="0.6108652381980153"/>
    <n v="8"/>
    <n v="18"/>
    <n v="0.31415926535897931"/>
    <x v="691"/>
    <n v="8.5533019961723866"/>
    <n v="1.0691627495215483"/>
    <n v="4.2766509980861933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03"/>
    <x v="0"/>
    <x v="0"/>
    <x v="0"/>
    <s v="ferruginea"/>
    <n v="0.37"/>
    <x v="0"/>
    <n v="10.1"/>
    <n v="8.0118654000000001E-3"/>
    <n v="7"/>
    <n v="53"/>
    <n v="0.92502450355699462"/>
    <n v="5"/>
    <n v="15"/>
    <n v="0.26179938779914941"/>
    <x v="692"/>
    <n v="14.444355932187101"/>
    <n v="1.8055444915233876"/>
    <n v="7.2221779660935503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00"/>
    <x v="0"/>
    <x v="0"/>
    <x v="0"/>
    <s v="ferruginea"/>
    <n v="0.37"/>
    <x v="0"/>
    <n v="5"/>
    <n v="1.9635E-3"/>
    <n v="5"/>
    <n v="42"/>
    <n v="0.73303828583761843"/>
    <n v="5"/>
    <n v="19"/>
    <n v="0.33161255787892263"/>
    <x v="693"/>
    <n v="2.837244980779599"/>
    <n v="0.35465562259744987"/>
    <n v="1.4186224903897995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03"/>
    <x v="0"/>
    <x v="0"/>
    <x v="0"/>
    <s v="ferruginea"/>
    <n v="0.37"/>
    <x v="0"/>
    <n v="11"/>
    <n v="9.5033400000000007E-3"/>
    <n v="11"/>
    <n v="65"/>
    <n v="1.1344640137963142"/>
    <n v="5"/>
    <n v="16"/>
    <n v="0.27925268031909273"/>
    <x v="191"/>
    <n v="27.126788158996664"/>
    <n v="3.390848519874583"/>
    <n v="13.563394079498332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891"/>
    <x v="0"/>
    <x v="0"/>
    <x v="0"/>
    <s v="ferruginea"/>
    <n v="0.37"/>
    <x v="0"/>
    <n v="5.8"/>
    <n v="2.6420856E-3"/>
    <n v="8"/>
    <n v="40"/>
    <n v="0.69813170079773179"/>
    <n v="7"/>
    <n v="15"/>
    <n v="0.26179938779914941"/>
    <x v="694"/>
    <n v="5.1394729220172035"/>
    <n v="0.64243411525215044"/>
    <n v="2.5697364610086018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08"/>
    <x v="0"/>
    <x v="0"/>
    <x v="0"/>
    <s v="ferruginea"/>
    <n v="0.37"/>
    <x v="0"/>
    <n v="5.2"/>
    <n v="2.1237216000000005E-3"/>
    <n v="9"/>
    <n v="24"/>
    <n v="0.41887902047863912"/>
    <n v="8"/>
    <n v="14"/>
    <n v="0.24434609527920614"/>
    <x v="695"/>
    <n v="3.4124243530672542"/>
    <n v="0.42655304413340678"/>
    <n v="1.7062121765336271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971"/>
    <x v="0"/>
    <x v="0"/>
    <x v="0"/>
    <s v="ferruginea"/>
    <n v="0.37"/>
    <x v="0"/>
    <n v="8.9"/>
    <n v="6.2211534000000011E-3"/>
    <n v="13"/>
    <n v="45"/>
    <n v="0.78539816339744828"/>
    <n v="8"/>
    <n v="5"/>
    <n v="8.7266462599716474E-2"/>
    <x v="696"/>
    <n v="16.006411014461516"/>
    <n v="2.0008013768076895"/>
    <n v="8.0032055072307582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9"/>
    <x v="7"/>
    <x v="6"/>
    <x v="6"/>
    <s v="quinata"/>
    <n v="0.48"/>
    <x v="6"/>
    <n v="26.4"/>
    <n v="5.4739238399999994E-2"/>
    <n v="15"/>
    <n v="62"/>
    <n v="1.0821041362364843"/>
    <n v="9"/>
    <n v="7"/>
    <n v="0.12217304763960307"/>
    <x v="697"/>
    <n v="223.88738190535594"/>
    <n v="27.985922738169492"/>
    <n v="111.94369095267797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1"/>
    <x v="17"/>
    <x v="10"/>
    <x v="13"/>
    <s v="sp."/>
    <n v="0.57999999999999996"/>
    <x v="7"/>
    <n v="8.9"/>
    <n v="6.2211534000000011E-3"/>
    <n v="11"/>
    <n v="65"/>
    <n v="1.1344640137963142"/>
    <n v="5"/>
    <n v="1"/>
    <n v="1.7453292519943295E-2"/>
    <x v="698"/>
    <n v="24.810944055655114"/>
    <n v="3.1013680069568892"/>
    <n v="12.405472027827557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4"/>
    <x v="7"/>
    <x v="6"/>
    <x v="6"/>
    <s v="quinata"/>
    <n v="0.48"/>
    <x v="6"/>
    <n v="14.5"/>
    <n v="1.6513035000000002E-2"/>
    <n v="10"/>
    <n v="40"/>
    <n v="0.69813170079773179"/>
    <n v="6"/>
    <n v="20"/>
    <n v="0.3490658503988659"/>
    <x v="550"/>
    <n v="44.288633767592394"/>
    <n v="5.5360792209490493"/>
    <n v="22.144316883796197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0"/>
    <x v="7"/>
    <x v="6"/>
    <x v="6"/>
    <s v="quinata"/>
    <n v="0.48"/>
    <x v="6"/>
    <n v="10.4"/>
    <n v="8.494886400000002E-3"/>
    <n v="7"/>
    <n v="50"/>
    <n v="0.87266462599716477"/>
    <n v="5"/>
    <n v="7"/>
    <n v="0.12217304763960307"/>
    <x v="699"/>
    <n v="17.05219858729399"/>
    <n v="2.1315248234117488"/>
    <n v="8.526099293646995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8"/>
    <x v="29"/>
    <x v="7"/>
    <x v="1"/>
    <s v="-"/>
    <n v="0.69"/>
    <x v="7"/>
    <n v="8.5"/>
    <n v="5.6745150000000006E-3"/>
    <n v="7"/>
    <n v="55"/>
    <n v="0.95993108859688125"/>
    <n v="6"/>
    <n v="3"/>
    <n v="5.235987755982989E-2"/>
    <x v="700"/>
    <n v="16.611464620619415"/>
    <n v="2.0764330775774269"/>
    <n v="8.3057323103097076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2"/>
    <x v="45"/>
    <x v="25"/>
    <x v="34"/>
    <s v="simaruba"/>
    <n v="0.28999999999999998"/>
    <x v="7"/>
    <n v="17.3"/>
    <n v="2.3506236600000004E-2"/>
    <n v="12"/>
    <n v="70"/>
    <n v="1.2217304763960306"/>
    <n v="6"/>
    <n v="0"/>
    <n v="0"/>
    <x v="701"/>
    <n v="50.243461457136938"/>
    <n v="6.2804326821421173"/>
    <n v="25.121730728568469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7"/>
    <x v="7"/>
    <x v="6"/>
    <x v="6"/>
    <s v="quinata"/>
    <n v="0.48"/>
    <x v="6"/>
    <n v="12"/>
    <n v="1.130976E-2"/>
    <n v="8"/>
    <n v="50"/>
    <n v="0.87266462599716477"/>
    <n v="6"/>
    <n v="5"/>
    <n v="8.7266462599716474E-2"/>
    <x v="702"/>
    <n v="24.695666848388779"/>
    <n v="3.0869583560485974"/>
    <n v="12.347833424194389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6"/>
    <x v="0"/>
    <x v="0"/>
    <x v="0"/>
    <s v="ferruginea"/>
    <n v="0.37"/>
    <x v="0"/>
    <n v="8.1999999999999993"/>
    <n v="5.2810295999999998E-3"/>
    <n v="10"/>
    <n v="57"/>
    <n v="0.99483767363676789"/>
    <n v="7"/>
    <n v="20"/>
    <n v="0.3490658503988659"/>
    <x v="703"/>
    <n v="14.8811016074339"/>
    <n v="1.8601377009292375"/>
    <n v="7.4405508037169499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3"/>
    <x v="17"/>
    <x v="10"/>
    <x v="13"/>
    <s v="sp."/>
    <n v="0.57999999999999996"/>
    <x v="7"/>
    <n v="6.7"/>
    <n v="3.5256606000000001E-3"/>
    <n v="9"/>
    <n v="30"/>
    <n v="0.52359877559829882"/>
    <n v="6"/>
    <n v="15"/>
    <n v="0.26179938779914941"/>
    <x v="704"/>
    <n v="9.0271636525705468"/>
    <n v="1.1283954565713183"/>
    <n v="4.5135818262852734"/>
  </r>
  <r>
    <x v="2"/>
    <s v="NM, AM, EC, EL"/>
    <x v="17"/>
    <s v="SO"/>
    <n v="8.4100400000000004"/>
    <n v="83.314229999999995"/>
    <n v="100"/>
    <n v="19"/>
    <n v="5.1996716132404543"/>
    <n v="9.0751389673531108E-2"/>
    <n v="21.086773802174438"/>
    <n v="1025"/>
    <x v="0"/>
    <x v="0"/>
    <x v="0"/>
    <s v="ferruginea"/>
    <n v="0.37"/>
    <x v="0"/>
    <n v="12.6"/>
    <n v="1.2469010399999999E-2"/>
    <n v="11"/>
    <n v="50"/>
    <n v="0.87266462599716477"/>
    <n v="6"/>
    <n v="20"/>
    <n v="0.3490658503988659"/>
    <x v="705"/>
    <n v="32.490276890784223"/>
    <n v="4.0612846113480279"/>
    <n v="16.245138445392111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6007"/>
    <x v="23"/>
    <x v="11"/>
    <x v="18"/>
    <s v="insipida"/>
    <n v="0.38"/>
    <x v="7"/>
    <n v="17.600000000000001"/>
    <n v="2.4328550400000006E-2"/>
    <n v="11"/>
    <n v="70"/>
    <n v="1.2217304763960306"/>
    <n v="5"/>
    <n v="4"/>
    <n v="6.9813170079773182E-2"/>
    <x v="706"/>
    <n v="63.604156946298254"/>
    <n v="7.9505196182872817"/>
    <n v="31.802078473149127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73"/>
    <x v="0"/>
    <x v="0"/>
    <x v="0"/>
    <s v="ferruginea"/>
    <n v="0.37"/>
    <x v="0"/>
    <n v="7.8"/>
    <n v="4.7783736E-3"/>
    <n v="8"/>
    <n v="47"/>
    <n v="0.82030474843733492"/>
    <n v="5"/>
    <n v="10"/>
    <n v="0.17453292519943295"/>
    <x v="707"/>
    <n v="8.6852003480940585"/>
    <n v="1.0856500435117573"/>
    <n v="4.3426001740470292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7017"/>
    <x v="4"/>
    <x v="4"/>
    <x v="4"/>
    <s v="latifolia"/>
    <n v="0.75"/>
    <x v="4"/>
    <n v="8.8000000000000007"/>
    <n v="6.0821376000000016E-3"/>
    <n v="8"/>
    <n v="60"/>
    <n v="1.0471975511965976"/>
    <n v="5"/>
    <n v="2"/>
    <n v="3.4906585039886591E-2"/>
    <x v="708"/>
    <n v="22.304106841362696"/>
    <n v="2.788013355170337"/>
    <n v="11.152053420681348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72"/>
    <x v="17"/>
    <x v="10"/>
    <x v="13"/>
    <s v="sp."/>
    <n v="0.57999999999999996"/>
    <x v="7"/>
    <n v="23.7"/>
    <n v="4.4115132599999995E-2"/>
    <n v="11"/>
    <n v="55"/>
    <n v="0.95993108859688125"/>
    <n v="5"/>
    <n v="-3"/>
    <n v="-5.235987755982989E-2"/>
    <x v="709"/>
    <n v="137.23076896696077"/>
    <n v="17.153846120870096"/>
    <n v="68.615384483480383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67"/>
    <x v="17"/>
    <x v="10"/>
    <x v="13"/>
    <s v="sp."/>
    <n v="0.57999999999999996"/>
    <x v="7"/>
    <n v="14.6"/>
    <n v="1.6741586400000001E-2"/>
    <n v="14"/>
    <n v="60"/>
    <n v="1.0471975511965976"/>
    <n v="5"/>
    <n v="-1"/>
    <n v="-1.7453292519943295E-2"/>
    <x v="710"/>
    <n v="74.500252405012688"/>
    <n v="9.312531550626586"/>
    <n v="37.250126202506344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86"/>
    <x v="1"/>
    <x v="1"/>
    <x v="1"/>
    <s v="-"/>
    <n v="0.57999999999999996"/>
    <x v="1"/>
    <n v="9.1999999999999993"/>
    <n v="6.6476255999999992E-3"/>
    <n v="9"/>
    <n v="54"/>
    <n v="0.94247779607693793"/>
    <n v="6"/>
    <n v="16"/>
    <n v="0.27925268031909273"/>
    <x v="711"/>
    <n v="23.628327787145452"/>
    <n v="2.9535409733931814"/>
    <n v="11.814163893572726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6013"/>
    <x v="0"/>
    <x v="0"/>
    <x v="0"/>
    <s v="ferruginea"/>
    <n v="0.37"/>
    <x v="0"/>
    <n v="22.2"/>
    <n v="3.8707653600000003E-2"/>
    <n v="12"/>
    <n v="73"/>
    <n v="1.2740903539558606"/>
    <n v="5"/>
    <n v="8"/>
    <n v="0.13962634015954636"/>
    <x v="712"/>
    <n v="108.47737024159248"/>
    <n v="13.55967128019906"/>
    <n v="54.238685120796241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74"/>
    <x v="3"/>
    <x v="3"/>
    <x v="3"/>
    <s v="parahyba"/>
    <n v="0.315"/>
    <x v="3"/>
    <n v="29.7"/>
    <n v="6.9279348599999999E-2"/>
    <n v="14"/>
    <n v="67"/>
    <n v="1.1693705988362009"/>
    <n v="5"/>
    <n v="8"/>
    <n v="0.13962634015954636"/>
    <x v="713"/>
    <n v="178.6774414914488"/>
    <n v="22.3346801864311"/>
    <n v="89.338720745724402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6020"/>
    <x v="14"/>
    <x v="0"/>
    <x v="0"/>
    <s v="allenii"/>
    <n v="0.48"/>
    <x v="7"/>
    <n v="7.5"/>
    <n v="4.4178749999999999E-3"/>
    <n v="7"/>
    <n v="35"/>
    <n v="0.6108652381980153"/>
    <n v="7"/>
    <n v="11"/>
    <n v="0.19198621771937624"/>
    <x v="714"/>
    <n v="8.3185853026702237"/>
    <n v="1.039823162833778"/>
    <n v="4.1592926513351118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6015"/>
    <x v="0"/>
    <x v="0"/>
    <x v="0"/>
    <s v="ferruginea"/>
    <n v="0.37"/>
    <x v="0"/>
    <n v="11.8"/>
    <n v="1.0935909600000002E-2"/>
    <n v="9"/>
    <n v="50"/>
    <n v="0.87266462599716477"/>
    <n v="8"/>
    <n v="8"/>
    <n v="0.13962634015954636"/>
    <x v="715"/>
    <n v="22.305459036380451"/>
    <n v="2.7881823795475564"/>
    <n v="11.152729518190226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54"/>
    <x v="1"/>
    <x v="1"/>
    <x v="1"/>
    <s v="-"/>
    <n v="0.57999999999999996"/>
    <x v="1"/>
    <n v="22"/>
    <n v="3.8013360000000003E-2"/>
    <n v="11"/>
    <n v="69"/>
    <n v="1.2042771838760873"/>
    <n v="5"/>
    <n v="15"/>
    <n v="0.26179938779914941"/>
    <x v="716"/>
    <n v="155.07504383058492"/>
    <n v="19.384380478823115"/>
    <n v="77.537521915292459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62"/>
    <x v="1"/>
    <x v="1"/>
    <x v="1"/>
    <s v="-"/>
    <n v="0.57999999999999996"/>
    <x v="1"/>
    <n v="11.8"/>
    <n v="1.0935909600000002E-2"/>
    <n v="12"/>
    <n v="49"/>
    <n v="0.85521133347722145"/>
    <n v="7"/>
    <n v="8"/>
    <n v="0.13962634015954636"/>
    <x v="717"/>
    <n v="42.060522312215539"/>
    <n v="5.2575652890269424"/>
    <n v="21.03026115610777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84"/>
    <x v="1"/>
    <x v="1"/>
    <x v="1"/>
    <s v="-"/>
    <n v="0.57999999999999996"/>
    <x v="1"/>
    <n v="7.1"/>
    <n v="3.9592014E-3"/>
    <n v="6"/>
    <n v="40"/>
    <n v="0.69813170079773179"/>
    <n v="5"/>
    <n v="-2"/>
    <n v="-3.4906585039886591E-2"/>
    <x v="718"/>
    <n v="6.309483161857254"/>
    <n v="0.78868539523215675"/>
    <n v="3.154741580928627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7024"/>
    <x v="3"/>
    <x v="3"/>
    <x v="3"/>
    <s v="parahyba"/>
    <n v="0.315"/>
    <x v="3"/>
    <n v="25.3"/>
    <n v="5.0272668600000008E-2"/>
    <n v="14"/>
    <n v="69"/>
    <n v="1.2042771838760873"/>
    <n v="7"/>
    <n v="7"/>
    <n v="0.12217304763960307"/>
    <x v="719"/>
    <n v="135.28675287656762"/>
    <n v="16.910844109570952"/>
    <n v="67.643376438283809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6022"/>
    <x v="0"/>
    <x v="0"/>
    <x v="0"/>
    <s v="ferruginea"/>
    <n v="0.37"/>
    <x v="0"/>
    <n v="7.5"/>
    <n v="4.4178749999999999E-3"/>
    <n v="7"/>
    <n v="38"/>
    <n v="0.66322511575784526"/>
    <n v="6"/>
    <n v="13"/>
    <n v="0.22689280275926285"/>
    <x v="720"/>
    <n v="6.8657204219046086"/>
    <n v="0.85821505273807608"/>
    <n v="3.4328602109523043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6038"/>
    <x v="23"/>
    <x v="11"/>
    <x v="18"/>
    <s v="insipida"/>
    <n v="0.38"/>
    <x v="7"/>
    <n v="24"/>
    <n v="4.5239040000000001E-2"/>
    <n v="10"/>
    <n v="70"/>
    <n v="1.2217304763960306"/>
    <n v="5"/>
    <n v="19"/>
    <n v="0.33161255787892263"/>
    <x v="721"/>
    <n v="117.34989094301248"/>
    <n v="14.66873636787656"/>
    <n v="58.674945471506241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18"/>
    <x v="1"/>
    <x v="1"/>
    <x v="1"/>
    <s v="-"/>
    <n v="0.57999999999999996"/>
    <x v="1"/>
    <n v="8.1999999999999993"/>
    <n v="5.2810295999999998E-3"/>
    <n v="7"/>
    <n v="38"/>
    <n v="0.66322511575784526"/>
    <n v="5"/>
    <n v="13"/>
    <n v="0.22689280275926285"/>
    <x v="722"/>
    <n v="11.926019122216065"/>
    <n v="1.4907523902770081"/>
    <n v="5.9630095611080325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492"/>
    <x v="0"/>
    <x v="0"/>
    <x v="0"/>
    <s v="ferruginea"/>
    <n v="0.37"/>
    <x v="0"/>
    <n v="50.2"/>
    <n v="0.19792394160000004"/>
    <n v="18"/>
    <n v="68"/>
    <n v="1.1868238913561442"/>
    <n v="8"/>
    <n v="2"/>
    <n v="3.4906585039886591E-2"/>
    <x v="723"/>
    <n v="687.32051142751357"/>
    <n v="85.915063928439196"/>
    <n v="343.66025571375678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71"/>
    <x v="3"/>
    <x v="3"/>
    <x v="3"/>
    <s v="parahyba"/>
    <n v="0.315"/>
    <x v="3"/>
    <n v="22.8"/>
    <n v="4.0828233600000007E-2"/>
    <n v="19"/>
    <n v="65"/>
    <n v="1.1344640137963142"/>
    <n v="5"/>
    <n v="15"/>
    <n v="0.26179938779914941"/>
    <x v="724"/>
    <n v="145.42535917449041"/>
    <n v="18.178169896811301"/>
    <n v="72.712679587245205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497"/>
    <x v="22"/>
    <x v="14"/>
    <x v="17"/>
    <s v="alchorneoides"/>
    <n v="0.64"/>
    <x v="9"/>
    <n v="6"/>
    <n v="2.8274400000000001E-3"/>
    <n v="8"/>
    <n v="65"/>
    <n v="1.1344640137963142"/>
    <n v="5"/>
    <n v="10"/>
    <n v="0.17453292519943295"/>
    <x v="725"/>
    <n v="10.605049789058603"/>
    <n v="1.3256312236323253"/>
    <n v="5.3025248945293013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83"/>
    <x v="3"/>
    <x v="3"/>
    <x v="3"/>
    <s v="parahyba"/>
    <n v="0.315"/>
    <x v="3"/>
    <n v="13.3"/>
    <n v="1.3892940600000002E-2"/>
    <n v="14"/>
    <n v="61"/>
    <n v="1.064650843716541"/>
    <n v="5"/>
    <n v="10"/>
    <n v="0.17453292519943295"/>
    <x v="726"/>
    <n v="38.172629209263491"/>
    <n v="4.7715786511579363"/>
    <n v="19.086314604631745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08"/>
    <x v="3"/>
    <x v="3"/>
    <x v="3"/>
    <s v="parahyba"/>
    <n v="0.315"/>
    <x v="3"/>
    <n v="19.8"/>
    <n v="3.0790821600000004E-2"/>
    <n v="17"/>
    <n v="68"/>
    <n v="1.1868238913561442"/>
    <n v="5"/>
    <n v="10"/>
    <n v="0.17453292519943295"/>
    <x v="727"/>
    <n v="100.84442836758234"/>
    <n v="12.605553545947792"/>
    <n v="50.422214183791169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63"/>
    <x v="3"/>
    <x v="3"/>
    <x v="3"/>
    <s v="parahyba"/>
    <n v="0.315"/>
    <x v="3"/>
    <n v="21.5"/>
    <n v="3.6305114999999999E-2"/>
    <n v="18"/>
    <n v="71"/>
    <n v="1.2391837689159739"/>
    <n v="5"/>
    <n v="10"/>
    <n v="0.17453292519943295"/>
    <x v="728"/>
    <n v="126.0829413513746"/>
    <n v="15.760367668921825"/>
    <n v="63.0414706756873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56"/>
    <x v="1"/>
    <x v="1"/>
    <x v="1"/>
    <s v="-"/>
    <n v="0.57999999999999996"/>
    <x v="1"/>
    <n v="11.5"/>
    <n v="1.0386915E-2"/>
    <n v="11"/>
    <n v="44"/>
    <n v="0.76794487087750496"/>
    <n v="6"/>
    <n v="19"/>
    <n v="0.33161255787892263"/>
    <x v="729"/>
    <n v="38.432922164223541"/>
    <n v="4.8041152705279426"/>
    <n v="19.216461082111771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6001"/>
    <x v="0"/>
    <x v="0"/>
    <x v="0"/>
    <s v="ferruginea"/>
    <n v="0.37"/>
    <x v="0"/>
    <n v="7.2"/>
    <n v="4.0715136000000008E-3"/>
    <n v="9"/>
    <n v="58"/>
    <n v="1.0122909661567112"/>
    <n v="6"/>
    <n v="8"/>
    <n v="0.13962634015954636"/>
    <x v="730"/>
    <n v="9.2863479611739788"/>
    <n v="1.1607934951467473"/>
    <n v="4.6431739805869894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59"/>
    <x v="1"/>
    <x v="1"/>
    <x v="1"/>
    <s v="-"/>
    <n v="0.57999999999999996"/>
    <x v="1"/>
    <n v="19"/>
    <n v="2.835294E-2"/>
    <n v="11"/>
    <n v="49"/>
    <n v="0.85521133347722145"/>
    <n v="6"/>
    <n v="9"/>
    <n v="0.15707963267948966"/>
    <x v="731"/>
    <n v="95.34340721839709"/>
    <n v="11.917925902299636"/>
    <n v="47.671703609198545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7013"/>
    <x v="1"/>
    <x v="1"/>
    <x v="1"/>
    <s v="-"/>
    <n v="0.57999999999999996"/>
    <x v="1"/>
    <n v="13.3"/>
    <n v="1.3892940600000002E-2"/>
    <n v="10"/>
    <n v="55"/>
    <n v="0.95993108859688125"/>
    <n v="6"/>
    <n v="13"/>
    <n v="0.22689280275926285"/>
    <x v="732"/>
    <n v="50.251969222899938"/>
    <n v="6.2814961528624922"/>
    <n v="25.125984611449969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7018"/>
    <x v="0"/>
    <x v="0"/>
    <x v="0"/>
    <s v="ferruginea"/>
    <n v="0.37"/>
    <x v="0"/>
    <n v="18"/>
    <n v="2.5446960000000001E-2"/>
    <n v="14"/>
    <n v="60"/>
    <n v="1.0471975511965976"/>
    <n v="7"/>
    <n v="17"/>
    <n v="0.29670597283903605"/>
    <x v="733"/>
    <n v="84.372107586281629"/>
    <n v="10.546513448285204"/>
    <n v="42.186053793140815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6036"/>
    <x v="0"/>
    <x v="0"/>
    <x v="0"/>
    <s v="ferruginea"/>
    <n v="0.37"/>
    <x v="0"/>
    <n v="42.2"/>
    <n v="0.13986717360000001"/>
    <n v="13"/>
    <n v="65"/>
    <n v="1.1344640137963142"/>
    <n v="7"/>
    <n v="17"/>
    <n v="0.29670597283903605"/>
    <x v="734"/>
    <n v="409.15735724561802"/>
    <n v="51.144669655702252"/>
    <n v="204.57867862280901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55"/>
    <x v="5"/>
    <x v="1"/>
    <x v="5"/>
    <s v="tibourbou"/>
    <n v="0.24"/>
    <x v="5"/>
    <n v="40.9"/>
    <n v="0.13138249739999999"/>
    <n v="13"/>
    <n v="44"/>
    <n v="0.76794487087750496"/>
    <n v="8"/>
    <n v="23"/>
    <n v="0.4014257279586958"/>
    <x v="735"/>
    <n v="227.51867711698767"/>
    <n v="28.439834639623459"/>
    <n v="113.75933855849384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7000"/>
    <x v="1"/>
    <x v="1"/>
    <x v="1"/>
    <s v="-"/>
    <n v="0.57999999999999996"/>
    <x v="1"/>
    <n v="7.5"/>
    <n v="4.4178749999999999E-3"/>
    <n v="9"/>
    <n v="21"/>
    <n v="0.36651914291880922"/>
    <n v="7"/>
    <n v="21"/>
    <n v="0.36651914291880922"/>
    <x v="736"/>
    <n v="10.605750501366948"/>
    <n v="1.3257188126708686"/>
    <n v="5.3028752506834742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28"/>
    <x v="4"/>
    <x v="4"/>
    <x v="4"/>
    <s v="latifolia"/>
    <n v="0.75"/>
    <x v="4"/>
    <n v="7.2"/>
    <n v="4.0715136000000008E-3"/>
    <n v="9"/>
    <n v="31"/>
    <n v="0.54105206811824214"/>
    <n v="8"/>
    <n v="21"/>
    <n v="0.36651914291880922"/>
    <x v="737"/>
    <n v="16.102244473676517"/>
    <n v="2.0127805592095647"/>
    <n v="8.0511222368382587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07"/>
    <x v="29"/>
    <x v="7"/>
    <x v="1"/>
    <s v="-"/>
    <n v="0.69"/>
    <x v="7"/>
    <n v="9"/>
    <n v="6.3617400000000003E-3"/>
    <n v="10"/>
    <n v="32"/>
    <n v="0.55850536063818546"/>
    <n v="9"/>
    <n v="20"/>
    <n v="0.3490658503988659"/>
    <x v="738"/>
    <n v="25.123330482334488"/>
    <n v="3.140416310291811"/>
    <n v="12.561665241167244"/>
  </r>
  <r>
    <x v="9"/>
    <s v="NM, AM, EC, EL, RH"/>
    <x v="18"/>
    <s v="SO"/>
    <n v="8.4091400000000007"/>
    <n v="83.311980000000005"/>
    <n v="150"/>
    <n v="15"/>
    <n v="6.61659150558995"/>
    <n v="0.11548130703203342"/>
    <n v="21.140809612582899"/>
    <n v="523"/>
    <x v="3"/>
    <x v="3"/>
    <x v="3"/>
    <s v="parahyba"/>
    <n v="0.315"/>
    <x v="3"/>
    <n v="23"/>
    <n v="4.154766E-2"/>
    <n v="12"/>
    <n v="58"/>
    <n v="1.0122909661567112"/>
    <n v="7"/>
    <n v="20"/>
    <n v="0.3490658503988659"/>
    <x v="739"/>
    <n v="102.73548074675396"/>
    <n v="12.841935093344246"/>
    <n v="51.367740373376982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21"/>
    <x v="1"/>
    <x v="1"/>
    <x v="1"/>
    <s v="-"/>
    <n v="0.57999999999999996"/>
    <x v="1"/>
    <n v="15.7"/>
    <n v="1.9359324599999998E-2"/>
    <n v="6"/>
    <n v="77"/>
    <n v="1.3439035240356338"/>
    <n v="5"/>
    <n v="20"/>
    <n v="0.3490658503988659"/>
    <x v="740"/>
    <n v="55.129894627957626"/>
    <n v="6.8912368284947032"/>
    <n v="27.564947313978813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22"/>
    <x v="7"/>
    <x v="6"/>
    <x v="6"/>
    <s v="quinata"/>
    <n v="0.48"/>
    <x v="6"/>
    <n v="23"/>
    <n v="4.154766E-2"/>
    <n v="8"/>
    <n v="62"/>
    <n v="1.0821041362364843"/>
    <n v="5"/>
    <n v="20"/>
    <n v="0.3490658503988659"/>
    <x v="741"/>
    <n v="108.85985889425498"/>
    <n v="13.607482361781873"/>
    <n v="54.429929447127492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23"/>
    <x v="1"/>
    <x v="1"/>
    <x v="1"/>
    <s v="-"/>
    <n v="0.57999999999999996"/>
    <x v="1"/>
    <n v="21.3"/>
    <n v="3.5632812600000008E-2"/>
    <n v="11"/>
    <n v="58"/>
    <n v="1.0122909661567112"/>
    <n v="5"/>
    <n v="36"/>
    <n v="0.62831853071795862"/>
    <x v="742"/>
    <n v="154.26482308369177"/>
    <n v="19.283102885461471"/>
    <n v="77.132411541845883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24"/>
    <x v="1"/>
    <x v="1"/>
    <x v="1"/>
    <s v="-"/>
    <n v="0.57999999999999996"/>
    <x v="1"/>
    <n v="30.7"/>
    <n v="7.402316460000001E-2"/>
    <n v="10"/>
    <n v="61"/>
    <n v="1.064650843716541"/>
    <n v="5"/>
    <n v="38"/>
    <n v="0.66322511575784526"/>
    <x v="743"/>
    <n v="296.2921553011933"/>
    <n v="37.036519412649163"/>
    <n v="148.14607765059665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25"/>
    <x v="7"/>
    <x v="6"/>
    <x v="6"/>
    <s v="quinata"/>
    <n v="0.48"/>
    <x v="6"/>
    <n v="27"/>
    <n v="5.725566E-2"/>
    <n v="15"/>
    <n v="64"/>
    <n v="1.1170107212763709"/>
    <n v="5"/>
    <n v="25"/>
    <n v="0.43633231299858238"/>
    <x v="744"/>
    <n v="252.69617595157595"/>
    <n v="31.587021993946994"/>
    <n v="126.34808797578798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64"/>
    <x v="1"/>
    <x v="1"/>
    <x v="1"/>
    <s v="-"/>
    <n v="0.57999999999999996"/>
    <x v="1"/>
    <n v="16.399999999999999"/>
    <n v="2.1124118399999999E-2"/>
    <n v="12"/>
    <n v="63"/>
    <n v="1.0995574287564276"/>
    <n v="5"/>
    <n v="38"/>
    <n v="0.66322511575784526"/>
    <x v="745"/>
    <n v="105.19614063764199"/>
    <n v="13.149517579705249"/>
    <n v="52.598070318820994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50"/>
    <x v="1"/>
    <x v="1"/>
    <x v="1"/>
    <s v="-"/>
    <n v="0.57999999999999996"/>
    <x v="1"/>
    <n v="26"/>
    <n v="5.3093040000000001E-2"/>
    <n v="11"/>
    <n v="70"/>
    <n v="1.2217304763960306"/>
    <n v="5"/>
    <n v="28"/>
    <n v="0.48869219055841229"/>
    <x v="746"/>
    <n v="231.57626067642417"/>
    <n v="28.947032584553021"/>
    <n v="115.78813033821208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39"/>
    <x v="7"/>
    <x v="6"/>
    <x v="6"/>
    <s v="quinata"/>
    <n v="0.48"/>
    <x v="6"/>
    <n v="16"/>
    <n v="2.0106240000000001E-2"/>
    <n v="9"/>
    <n v="57"/>
    <n v="0.99483767363676789"/>
    <n v="5"/>
    <n v="32"/>
    <n v="0.55850536063818546"/>
    <x v="747"/>
    <n v="63.381630102021731"/>
    <n v="7.9227037627527164"/>
    <n v="31.690815051010865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48"/>
    <x v="1"/>
    <x v="1"/>
    <x v="1"/>
    <s v="-"/>
    <n v="0.57999999999999996"/>
    <x v="1"/>
    <n v="20.2"/>
    <n v="3.20474616E-2"/>
    <n v="12"/>
    <n v="70"/>
    <n v="1.2217304763960306"/>
    <n v="6"/>
    <n v="22"/>
    <n v="0.38397243543875248"/>
    <x v="748"/>
    <n v="153.03190456446103"/>
    <n v="19.128988070557629"/>
    <n v="76.515952282230515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65"/>
    <x v="7"/>
    <x v="6"/>
    <x v="6"/>
    <s v="quinata"/>
    <n v="0.48"/>
    <x v="6"/>
    <n v="16"/>
    <n v="2.0106240000000001E-2"/>
    <n v="7"/>
    <n v="50"/>
    <n v="0.87266462599716477"/>
    <n v="5"/>
    <n v="38"/>
    <n v="0.66322511575784526"/>
    <x v="749"/>
    <n v="53.059831427200827"/>
    <n v="6.6324789284001033"/>
    <n v="26.529915713600413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42"/>
    <x v="7"/>
    <x v="6"/>
    <x v="6"/>
    <s v="quinata"/>
    <n v="0.48"/>
    <x v="6"/>
    <n v="18"/>
    <n v="2.5446960000000001E-2"/>
    <n v="9"/>
    <n v="55"/>
    <n v="0.95993108859688125"/>
    <n v="5"/>
    <n v="15"/>
    <n v="0.26179938779914941"/>
    <x v="750"/>
    <n v="67.875368022563293"/>
    <n v="8.4844210028204117"/>
    <n v="33.937684011281647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60"/>
    <x v="7"/>
    <x v="6"/>
    <x v="6"/>
    <s v="quinata"/>
    <n v="0.48"/>
    <x v="6"/>
    <n v="28"/>
    <n v="6.1575360000000003E-2"/>
    <n v="9"/>
    <n v="57"/>
    <n v="0.99483767363676789"/>
    <n v="5"/>
    <n v="25"/>
    <n v="0.43633231299858238"/>
    <x v="751"/>
    <n v="172.50897014331855"/>
    <n v="21.563621267914819"/>
    <n v="86.254485071659275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63"/>
    <x v="7"/>
    <x v="6"/>
    <x v="6"/>
    <s v="quinata"/>
    <n v="0.48"/>
    <x v="6"/>
    <n v="16"/>
    <n v="2.0106240000000001E-2"/>
    <n v="9"/>
    <n v="58"/>
    <n v="1.0122909661567112"/>
    <n v="5"/>
    <n v="20"/>
    <n v="0.3490658503988659"/>
    <x v="752"/>
    <n v="58.372842135297681"/>
    <n v="7.2966052669122101"/>
    <n v="29.18642106764884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30"/>
    <x v="1"/>
    <x v="1"/>
    <x v="1"/>
    <s v="-"/>
    <n v="0.57999999999999996"/>
    <x v="1"/>
    <n v="27.6"/>
    <n v="5.9828630400000013E-2"/>
    <n v="9"/>
    <n v="64"/>
    <n v="1.1170107212763709"/>
    <n v="5"/>
    <n v="20"/>
    <n v="0.3490658503988659"/>
    <x v="753"/>
    <n v="203.28917687996505"/>
    <n v="25.411147109995632"/>
    <n v="101.64458843998253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61"/>
    <x v="1"/>
    <x v="1"/>
    <x v="1"/>
    <s v="-"/>
    <n v="0.57999999999999996"/>
    <x v="1"/>
    <n v="28"/>
    <n v="6.1575360000000003E-2"/>
    <n v="15"/>
    <n v="70"/>
    <n v="1.2217304763960306"/>
    <n v="5"/>
    <n v="10"/>
    <n v="0.17453292519943295"/>
    <x v="754"/>
    <n v="310.93949075284894"/>
    <n v="38.867436344106117"/>
    <n v="155.46974537642447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28"/>
    <x v="1"/>
    <x v="1"/>
    <x v="1"/>
    <s v="-"/>
    <n v="0.57999999999999996"/>
    <x v="1"/>
    <n v="33.5"/>
    <n v="8.8141515000000004E-2"/>
    <n v="11"/>
    <n v="65"/>
    <n v="1.1344640137963142"/>
    <n v="5"/>
    <n v="9"/>
    <n v="0.15707963267948966"/>
    <x v="755"/>
    <n v="319.26505800713471"/>
    <n v="39.908132250891839"/>
    <n v="159.63252900356736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29"/>
    <x v="1"/>
    <x v="1"/>
    <x v="1"/>
    <s v="-"/>
    <n v="0.57999999999999996"/>
    <x v="1"/>
    <n v="33.5"/>
    <n v="8.8141515000000004E-2"/>
    <n v="9"/>
    <n v="64"/>
    <n v="1.1170107212763709"/>
    <n v="5"/>
    <n v="9"/>
    <n v="0.15707963267948966"/>
    <x v="756"/>
    <n v="266.48769778448292"/>
    <n v="33.310962223060365"/>
    <n v="133.24384889224146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44"/>
    <x v="7"/>
    <x v="6"/>
    <x v="6"/>
    <s v="quinata"/>
    <n v="0.48"/>
    <x v="6"/>
    <n v="17.399999999999999"/>
    <n v="2.3778770399999996E-2"/>
    <n v="6"/>
    <n v="54"/>
    <n v="0.94247779607693793"/>
    <n v="5"/>
    <n v="32"/>
    <n v="0.55850536063818546"/>
    <x v="757"/>
    <n v="55.618582057110309"/>
    <n v="6.9523227571387887"/>
    <n v="27.809291028555155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62"/>
    <x v="1"/>
    <x v="1"/>
    <x v="1"/>
    <s v="-"/>
    <n v="0.57999999999999996"/>
    <x v="1"/>
    <n v="21"/>
    <n v="3.4636140000000003E-2"/>
    <n v="11"/>
    <n v="72"/>
    <n v="1.2566370614359172"/>
    <n v="5"/>
    <n v="27"/>
    <n v="0.47123889803846897"/>
    <x v="758"/>
    <n v="155.54121523110211"/>
    <n v="19.442651903887764"/>
    <n v="77.770607615551057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38"/>
    <x v="1"/>
    <x v="1"/>
    <x v="1"/>
    <s v="-"/>
    <n v="0.57999999999999996"/>
    <x v="1"/>
    <n v="15.5"/>
    <n v="1.8869235000000002E-2"/>
    <n v="15"/>
    <n v="54"/>
    <n v="0.94247779607693793"/>
    <n v="6"/>
    <n v="12"/>
    <n v="0.20943951023931956"/>
    <x v="759"/>
    <n v="92.099974547155384"/>
    <n v="11.512496818394423"/>
    <n v="46.049987273577692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45"/>
    <x v="7"/>
    <x v="6"/>
    <x v="6"/>
    <s v="quinata"/>
    <n v="0.48"/>
    <x v="6"/>
    <n v="18"/>
    <n v="2.5446960000000001E-2"/>
    <n v="9"/>
    <n v="43"/>
    <n v="0.75049157835756175"/>
    <n v="5"/>
    <n v="21"/>
    <n v="0.36651914291880922"/>
    <x v="760"/>
    <n v="62.437942055843855"/>
    <n v="7.8047427569804819"/>
    <n v="31.218971027921928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51"/>
    <x v="7"/>
    <x v="6"/>
    <x v="6"/>
    <s v="quinata"/>
    <n v="0.48"/>
    <x v="6"/>
    <n v="24"/>
    <n v="4.5239040000000001E-2"/>
    <n v="9"/>
    <n v="60"/>
    <n v="1.0471975511965976"/>
    <n v="5"/>
    <n v="25"/>
    <n v="0.43633231299858238"/>
    <x v="761"/>
    <n v="132.19786327247081"/>
    <n v="16.524732909058852"/>
    <n v="66.098931636235406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27"/>
    <x v="7"/>
    <x v="6"/>
    <x v="6"/>
    <s v="quinata"/>
    <n v="0.48"/>
    <x v="6"/>
    <n v="16.2"/>
    <n v="2.0612037600000001E-2"/>
    <n v="9"/>
    <n v="50"/>
    <n v="0.87266462599716477"/>
    <n v="5"/>
    <n v="28"/>
    <n v="0.48869219055841229"/>
    <x v="762"/>
    <n v="59.146087246621533"/>
    <n v="7.3932609058276917"/>
    <n v="29.573043623310767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52"/>
    <x v="46"/>
    <x v="26"/>
    <x v="35"/>
    <s v="macrophyllus"/>
    <n v="0.73"/>
    <x v="7"/>
    <n v="99.7"/>
    <n v="0.78069466860000003"/>
    <n v="20"/>
    <n v="81"/>
    <n v="1.4137166941154069"/>
    <n v="9"/>
    <n v="10"/>
    <n v="0.17453292519943295"/>
    <x v="763"/>
    <n v="5860.3961581794338"/>
    <n v="732.54951977242922"/>
    <n v="2930.1980790897169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17"/>
    <x v="3"/>
    <x v="3"/>
    <x v="3"/>
    <s v="parahyba"/>
    <n v="0.315"/>
    <x v="3"/>
    <n v="7.5"/>
    <n v="4.4178749999999999E-3"/>
    <n v="8"/>
    <n v="64"/>
    <n v="1.1170107212763709"/>
    <n v="5"/>
    <n v="22"/>
    <n v="0.38397243543875248"/>
    <x v="764"/>
    <n v="9.1884410860706183"/>
    <n v="1.1485551357588273"/>
    <n v="4.5942205430353091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20"/>
    <x v="40"/>
    <x v="10"/>
    <x v="30"/>
    <s v="arborea"/>
    <n v="0.7"/>
    <x v="7"/>
    <n v="6.2"/>
    <n v="3.0190776000000004E-3"/>
    <n v="8"/>
    <n v="47"/>
    <n v="0.82030474843733492"/>
    <n v="5"/>
    <n v="25"/>
    <n v="0.43633231299858238"/>
    <x v="765"/>
    <n v="12.050625161786423"/>
    <n v="1.5063281452233028"/>
    <n v="6.0253125808932113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18"/>
    <x v="7"/>
    <x v="6"/>
    <x v="6"/>
    <s v="quinata"/>
    <n v="0.48"/>
    <x v="6"/>
    <n v="11.5"/>
    <n v="1.0386915E-2"/>
    <n v="5"/>
    <n v="33"/>
    <n v="0.57595865315812877"/>
    <n v="5"/>
    <n v="22"/>
    <n v="0.38397243543875248"/>
    <x v="766"/>
    <n v="16.106378735588866"/>
    <n v="2.0132973419486082"/>
    <n v="8.0531893677944328"/>
  </r>
  <r>
    <x v="10"/>
    <s v="NM, AM"/>
    <x v="19"/>
    <s v="SO"/>
    <n v="8.4116599999999995"/>
    <n v="83.312479999999994"/>
    <n v="150"/>
    <n v="13"/>
    <n v="7.6489254580385788"/>
    <n v="0.13349893348238856"/>
    <n v="21.188530377780278"/>
    <n v="19"/>
    <x v="1"/>
    <x v="1"/>
    <x v="1"/>
    <s v="-"/>
    <n v="0.57999999999999996"/>
    <x v="1"/>
    <n v="13.5"/>
    <n v="1.4313915E-2"/>
    <n v="7"/>
    <n v="54"/>
    <n v="0.94247779607693793"/>
    <n v="5"/>
    <n v="20"/>
    <n v="0.3490658503988659"/>
    <x v="767"/>
    <n v="40.561056911274143"/>
    <n v="5.0701321139092679"/>
    <n v="20.280528455637072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58"/>
    <x v="17"/>
    <x v="10"/>
    <x v="13"/>
    <s v="sp."/>
    <n v="0.57999999999999996"/>
    <x v="7"/>
    <n v="5.3"/>
    <n v="2.2061886000000002E-3"/>
    <n v="8"/>
    <n v="40"/>
    <n v="0.69813170079773179"/>
    <n v="7"/>
    <n v="0"/>
    <n v="0"/>
    <x v="547"/>
    <n v="4.9843749506864787"/>
    <n v="0.62304686883580984"/>
    <n v="2.4921874753432394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59"/>
    <x v="21"/>
    <x v="13"/>
    <x v="16"/>
    <s v="sp."/>
    <n v="0.48"/>
    <x v="7"/>
    <n v="9.1999999999999993"/>
    <n v="6.6476255999999992E-3"/>
    <n v="7"/>
    <n v="30"/>
    <n v="0.52359877559829882"/>
    <n v="6"/>
    <n v="24"/>
    <n v="0.41887902047863912"/>
    <x v="545"/>
    <n v="13.475277347070037"/>
    <n v="1.6844096683837546"/>
    <n v="6.7376386735350184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64"/>
    <x v="15"/>
    <x v="9"/>
    <x v="12"/>
    <s v="insularis"/>
    <n v="0.53"/>
    <x v="7"/>
    <n v="9"/>
    <n v="6.3617400000000003E-3"/>
    <n v="7"/>
    <n v="30"/>
    <n v="0.52359877559829882"/>
    <n v="6"/>
    <n v="24"/>
    <n v="0.41887902047863912"/>
    <x v="545"/>
    <n v="14.192047929490148"/>
    <n v="1.7740059911862684"/>
    <n v="7.0960239647450738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67"/>
    <x v="13"/>
    <x v="5"/>
    <x v="1"/>
    <s v="-"/>
    <n v="0.57999999999999996"/>
    <x v="1"/>
    <n v="9.4"/>
    <n v="6.939794400000001E-3"/>
    <n v="7"/>
    <n v="30"/>
    <n v="0.52359877559829882"/>
    <n v="6"/>
    <n v="24"/>
    <n v="0.41887902047863912"/>
    <x v="545"/>
    <n v="16.763029632862949"/>
    <n v="2.0953787041078686"/>
    <n v="8.3815148164314746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65"/>
    <x v="21"/>
    <x v="13"/>
    <x v="16"/>
    <s v="sp."/>
    <n v="0.48"/>
    <x v="7"/>
    <n v="7.4"/>
    <n v="4.3008504000000003E-3"/>
    <n v="7"/>
    <n v="30"/>
    <n v="0.52359877559829882"/>
    <n v="6"/>
    <n v="24"/>
    <n v="0.41887902047863912"/>
    <x v="545"/>
    <n v="8.9489530634864032"/>
    <n v="1.1186191329358004"/>
    <n v="4.4744765317432016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70"/>
    <x v="1"/>
    <x v="1"/>
    <x v="1"/>
    <s v="-"/>
    <n v="0.57999999999999996"/>
    <x v="1"/>
    <n v="13"/>
    <n v="1.327326E-2"/>
    <n v="7"/>
    <n v="30"/>
    <n v="0.52359877559829882"/>
    <n v="6"/>
    <n v="24"/>
    <n v="0.41887902047863912"/>
    <x v="545"/>
    <n v="30.837960676686102"/>
    <n v="3.8547450845857627"/>
    <n v="15.418980338343051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60"/>
    <x v="21"/>
    <x v="13"/>
    <x v="16"/>
    <s v="sp."/>
    <n v="0.48"/>
    <x v="7"/>
    <n v="7"/>
    <n v="3.8484600000000002E-3"/>
    <n v="7"/>
    <n v="30"/>
    <n v="0.52359877559829882"/>
    <n v="6"/>
    <n v="24"/>
    <n v="0.41887902047863912"/>
    <x v="545"/>
    <n v="8.0612225739349928"/>
    <n v="1.0076528217418741"/>
    <n v="4.0306112869674964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40"/>
    <x v="32"/>
    <x v="2"/>
    <x v="24"/>
    <s v="cedron"/>
    <n v="0.47"/>
    <x v="7"/>
    <n v="5.4"/>
    <n v="2.2902264000000004E-3"/>
    <n v="6"/>
    <n v="20"/>
    <n v="0.3490658503988659"/>
    <n v="6"/>
    <n v="25"/>
    <n v="0.43633231299858238"/>
    <x v="549"/>
    <n v="3.8057906288786989"/>
    <n v="0.47572382860983736"/>
    <n v="1.9028953144393495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52"/>
    <x v="21"/>
    <x v="13"/>
    <x v="16"/>
    <s v="sp."/>
    <n v="0.48"/>
    <x v="7"/>
    <n v="12"/>
    <n v="1.130976E-2"/>
    <n v="8"/>
    <n v="44"/>
    <n v="0.76794487087750496"/>
    <n v="6"/>
    <n v="24"/>
    <n v="0.41887902047863912"/>
    <x v="546"/>
    <n v="29.368093699195235"/>
    <n v="3.6710117123994044"/>
    <n v="14.684046849597618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69"/>
    <x v="5"/>
    <x v="1"/>
    <x v="5"/>
    <s v="tibourbou"/>
    <n v="0.24"/>
    <x v="5"/>
    <n v="6.6"/>
    <n v="3.4212023999999996E-3"/>
    <n v="6"/>
    <n v="20"/>
    <n v="0.3490658503988659"/>
    <n v="6"/>
    <n v="25"/>
    <n v="0.43633231299858238"/>
    <x v="549"/>
    <n v="2.950623544240222"/>
    <n v="0.36882794303002775"/>
    <n v="1.475311772120111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48"/>
    <x v="3"/>
    <x v="3"/>
    <x v="3"/>
    <s v="parahyba"/>
    <n v="0.315"/>
    <x v="3"/>
    <n v="5.3"/>
    <n v="2.2061886000000002E-3"/>
    <n v="6"/>
    <n v="20"/>
    <n v="0.3490658503988659"/>
    <n v="6"/>
    <n v="25"/>
    <n v="0.43633231299858238"/>
    <x v="549"/>
    <n v="2.5224536386978835"/>
    <n v="0.31530670483723544"/>
    <n v="1.2612268193489418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50"/>
    <x v="22"/>
    <x v="14"/>
    <x v="17"/>
    <s v="alchorneoides"/>
    <n v="0.64"/>
    <x v="9"/>
    <n v="10.199999999999999"/>
    <n v="8.1713015999999999E-3"/>
    <n v="10"/>
    <n v="55"/>
    <n v="0.95993108859688125"/>
    <n v="6"/>
    <n v="7"/>
    <n v="0.12217304763960307"/>
    <x v="768"/>
    <n v="31.427324055413642"/>
    <n v="3.9284155069267053"/>
    <n v="15.713662027706821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56"/>
    <x v="47"/>
    <x v="27"/>
    <x v="36"/>
    <s v="staminodella"/>
    <n v="0.89"/>
    <x v="7"/>
    <n v="7.7"/>
    <n v="4.6566366000000007E-3"/>
    <n v="8"/>
    <n v="44"/>
    <n v="0.76794487087750496"/>
    <n v="6"/>
    <n v="24"/>
    <n v="0.41887902047863912"/>
    <x v="546"/>
    <n v="22.786489411693747"/>
    <n v="2.8483111764617184"/>
    <n v="11.393244705846874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26"/>
    <x v="3"/>
    <x v="3"/>
    <x v="3"/>
    <s v="parahyba"/>
    <n v="0.315"/>
    <x v="3"/>
    <n v="5.7"/>
    <n v="2.5517646000000004E-3"/>
    <n v="8"/>
    <n v="44"/>
    <n v="0.76794487087750496"/>
    <n v="6"/>
    <n v="24"/>
    <n v="0.41887902047863912"/>
    <x v="546"/>
    <n v="4.8764626325312816"/>
    <n v="0.60955782906641021"/>
    <n v="2.4382313162656408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72"/>
    <x v="1"/>
    <x v="1"/>
    <x v="1"/>
    <s v="-"/>
    <n v="0.57999999999999996"/>
    <x v="1"/>
    <n v="6.5"/>
    <n v="3.3183150000000001E-3"/>
    <n v="6"/>
    <n v="20"/>
    <n v="0.3490658503988659"/>
    <n v="6"/>
    <n v="25"/>
    <n v="0.43633231299858238"/>
    <x v="549"/>
    <n v="6.5716142385405938"/>
    <n v="0.82145177981757422"/>
    <n v="3.2858071192702969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32"/>
    <x v="1"/>
    <x v="1"/>
    <x v="1"/>
    <s v="-"/>
    <n v="0.57999999999999996"/>
    <x v="1"/>
    <n v="6.6"/>
    <n v="3.4212023999999996E-3"/>
    <n v="6"/>
    <n v="20"/>
    <n v="0.3490658503988659"/>
    <n v="6"/>
    <n v="25"/>
    <n v="0.43633231299858238"/>
    <x v="549"/>
    <n v="6.762971390803294"/>
    <n v="0.84537142385041175"/>
    <n v="3.381485695401647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55"/>
    <x v="1"/>
    <x v="1"/>
    <x v="1"/>
    <s v="-"/>
    <n v="0.57999999999999996"/>
    <x v="1"/>
    <n v="7.7"/>
    <n v="4.6566366000000007E-3"/>
    <n v="6"/>
    <n v="20"/>
    <n v="0.3490658503988659"/>
    <n v="6"/>
    <n v="25"/>
    <n v="0.43633231299858238"/>
    <x v="549"/>
    <n v="9.0364430260699073"/>
    <n v="1.1295553782587384"/>
    <n v="4.5182215130349537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30"/>
    <x v="1"/>
    <x v="1"/>
    <x v="1"/>
    <s v="-"/>
    <n v="0.57999999999999996"/>
    <x v="1"/>
    <n v="7"/>
    <n v="3.8484600000000002E-3"/>
    <n v="6"/>
    <n v="20"/>
    <n v="0.3490658503988659"/>
    <n v="6"/>
    <n v="25"/>
    <n v="0.43633231299858238"/>
    <x v="549"/>
    <n v="7.5540397649978042"/>
    <n v="0.94425497062472552"/>
    <n v="3.7770198824989021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57"/>
    <x v="1"/>
    <x v="1"/>
    <x v="1"/>
    <s v="-"/>
    <n v="0.57999999999999996"/>
    <x v="1"/>
    <n v="9.6999999999999993"/>
    <n v="7.3898285999999995E-3"/>
    <n v="8"/>
    <n v="44"/>
    <n v="0.76794487087750496"/>
    <n v="6"/>
    <n v="24"/>
    <n v="0.41887902047863912"/>
    <x v="546"/>
    <n v="23.518056305091665"/>
    <n v="2.9397570381364582"/>
    <n v="11.759028152545833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42"/>
    <x v="19"/>
    <x v="12"/>
    <x v="1"/>
    <s v="-"/>
    <n v="0.59"/>
    <x v="7"/>
    <n v="5.8"/>
    <n v="2.6420856E-3"/>
    <n v="8"/>
    <n v="44"/>
    <n v="0.76794487087750496"/>
    <n v="6"/>
    <n v="24"/>
    <n v="0.41887902047863912"/>
    <x v="546"/>
    <n v="9.0885326191716356"/>
    <n v="1.1360665773964544"/>
    <n v="4.5442663095858178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25"/>
    <x v="29"/>
    <x v="7"/>
    <x v="1"/>
    <s v="-"/>
    <n v="0.69"/>
    <x v="7"/>
    <n v="10.3"/>
    <n v="8.3323086000000011E-3"/>
    <n v="6"/>
    <n v="20"/>
    <n v="0.3490658503988659"/>
    <n v="6"/>
    <n v="25"/>
    <n v="0.43633231299858238"/>
    <x v="549"/>
    <n v="18.383354631722675"/>
    <n v="2.2979193289653344"/>
    <n v="9.1916773158613374"/>
  </r>
  <r>
    <x v="7"/>
    <s v="NM, AM"/>
    <x v="19"/>
    <s v="SO"/>
    <n v="8.4116599999999995"/>
    <n v="83.312479999999994"/>
    <n v="150"/>
    <n v="13"/>
    <n v="7.6489254580385788"/>
    <n v="0.13349893348238856"/>
    <n v="21.188530377780278"/>
    <n v="1046"/>
    <x v="1"/>
    <x v="1"/>
    <x v="1"/>
    <s v="-"/>
    <n v="0.57999999999999996"/>
    <x v="1"/>
    <n v="8.6999999999999993"/>
    <n v="5.944692599999999E-3"/>
    <n v="10"/>
    <n v="40"/>
    <n v="0.69813170079773179"/>
    <n v="6"/>
    <n v="20"/>
    <n v="0.3490658503988659"/>
    <x v="550"/>
    <n v="20.252198934506573"/>
    <n v="2.5315248668133217"/>
    <n v="10.126099467253287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49"/>
    <x v="0"/>
    <x v="0"/>
    <x v="0"/>
    <s v="ferruginea"/>
    <n v="0.37"/>
    <x v="0"/>
    <n v="13.5"/>
    <n v="1.4313915E-2"/>
    <n v="8"/>
    <n v="50"/>
    <n v="0.87266462599716477"/>
    <n v="6"/>
    <n v="24"/>
    <n v="0.41887902047863912"/>
    <x v="769"/>
    <n v="30.615577839446345"/>
    <n v="3.8269472299307932"/>
    <n v="15.307788919723173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66"/>
    <x v="7"/>
    <x v="6"/>
    <x v="6"/>
    <s v="quinata"/>
    <n v="0.48"/>
    <x v="6"/>
    <n v="12.9"/>
    <n v="1.3069841400000001E-2"/>
    <n v="8"/>
    <n v="25"/>
    <n v="0.43633231299858238"/>
    <n v="6"/>
    <n v="15"/>
    <n v="0.26179938779914941"/>
    <x v="770"/>
    <n v="21.36647026020421"/>
    <n v="2.6708087825255262"/>
    <n v="10.683235130102105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66"/>
    <x v="29"/>
    <x v="7"/>
    <x v="1"/>
    <s v="-"/>
    <n v="0.69"/>
    <x v="7"/>
    <n v="8"/>
    <n v="5.0265600000000002E-3"/>
    <n v="7"/>
    <n v="56"/>
    <n v="0.97738438111682457"/>
    <n v="6"/>
    <n v="15"/>
    <n v="0.26179938779914941"/>
    <x v="771"/>
    <n v="17.817308419927759"/>
    <n v="2.2271635524909699"/>
    <n v="8.9086542099638795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61"/>
    <x v="14"/>
    <x v="0"/>
    <x v="0"/>
    <s v="allenii"/>
    <n v="0.48"/>
    <x v="7"/>
    <n v="26.1"/>
    <n v="5.3502233400000009E-2"/>
    <n v="21"/>
    <n v="70"/>
    <n v="1.2217304763960306"/>
    <n v="7"/>
    <n v="12"/>
    <n v="0.20943951023931956"/>
    <x v="772"/>
    <n v="316.267861902861"/>
    <n v="39.533482737857625"/>
    <n v="158.1339309514305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79"/>
    <x v="14"/>
    <x v="0"/>
    <x v="0"/>
    <s v="allenii"/>
    <n v="0.48"/>
    <x v="7"/>
    <n v="25.9"/>
    <n v="5.2685417399999997E-2"/>
    <n v="17"/>
    <n v="80"/>
    <n v="1.3962634015954636"/>
    <n v="5"/>
    <n v="-1"/>
    <n v="-1.7453292519943295E-2"/>
    <x v="773"/>
    <n v="248.58275835238646"/>
    <n v="31.072844794048308"/>
    <n v="124.29137917619323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50"/>
    <x v="0"/>
    <x v="0"/>
    <x v="0"/>
    <s v="ferruginea"/>
    <n v="0.37"/>
    <x v="0"/>
    <n v="40"/>
    <n v="0.125664"/>
    <n v="16"/>
    <n v="75"/>
    <n v="1.3089969389957472"/>
    <n v="6"/>
    <n v="-2"/>
    <n v="-3.4906585039886591E-2"/>
    <x v="774"/>
    <n v="405.50391792210399"/>
    <n v="50.687989740262999"/>
    <n v="202.751958961052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47"/>
    <x v="7"/>
    <x v="6"/>
    <x v="6"/>
    <s v="quinata"/>
    <n v="0.48"/>
    <x v="6"/>
    <n v="16.2"/>
    <n v="2.0612037600000001E-2"/>
    <n v="7"/>
    <n v="40"/>
    <n v="0.69813170079773179"/>
    <n v="6"/>
    <n v="20"/>
    <n v="0.3490658503988659"/>
    <x v="775"/>
    <n v="42.804100004769026"/>
    <n v="5.3505125005961283"/>
    <n v="21.402050002384513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53"/>
    <x v="0"/>
    <x v="0"/>
    <x v="0"/>
    <s v="ferruginea"/>
    <n v="0.37"/>
    <x v="0"/>
    <n v="8.1999999999999993"/>
    <n v="5.2810295999999998E-3"/>
    <n v="6"/>
    <n v="35"/>
    <n v="0.6108652381980153"/>
    <n v="6"/>
    <n v="25"/>
    <n v="0.43633231299858238"/>
    <x v="776"/>
    <n v="8.5476578992100034"/>
    <n v="1.0684572374012504"/>
    <n v="4.2738289496050017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74"/>
    <x v="25"/>
    <x v="5"/>
    <x v="1"/>
    <s v="-"/>
    <n v="0.57999999999999996"/>
    <x v="1"/>
    <n v="8.5"/>
    <n v="5.6745150000000006E-3"/>
    <n v="8"/>
    <n v="30"/>
    <n v="0.52359877559829882"/>
    <n v="8"/>
    <n v="25"/>
    <n v="0.43633231299858238"/>
    <x v="777"/>
    <n v="17.014411299222925"/>
    <n v="2.1268014124028656"/>
    <n v="8.5072056496114623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54"/>
    <x v="7"/>
    <x v="6"/>
    <x v="6"/>
    <s v="quinata"/>
    <n v="0.48"/>
    <x v="6"/>
    <n v="17.2"/>
    <n v="2.3235273599999998E-2"/>
    <n v="8"/>
    <n v="35"/>
    <n v="0.6108652381980153"/>
    <n v="7"/>
    <n v="23"/>
    <n v="0.4014257279586958"/>
    <x v="778"/>
    <n v="53.194939110383132"/>
    <n v="6.6493673887978915"/>
    <n v="26.597469555191566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65"/>
    <x v="0"/>
    <x v="0"/>
    <x v="0"/>
    <s v="ferruginea"/>
    <n v="0.37"/>
    <x v="0"/>
    <n v="17.899999999999999"/>
    <n v="2.5165001399999998E-2"/>
    <n v="12"/>
    <n v="63"/>
    <n v="1.0995574287564276"/>
    <n v="7"/>
    <n v="8"/>
    <n v="0.13962634015954636"/>
    <x v="779"/>
    <n v="69.542747022175348"/>
    <n v="8.6928433777719185"/>
    <n v="34.771373511087674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46"/>
    <x v="0"/>
    <x v="0"/>
    <x v="0"/>
    <s v="ferruginea"/>
    <n v="0.37"/>
    <x v="0"/>
    <n v="14"/>
    <n v="1.5393840000000001E-2"/>
    <n v="12"/>
    <n v="62"/>
    <n v="1.0821041362364843"/>
    <n v="7"/>
    <n v="8"/>
    <n v="0.13962634015954636"/>
    <x v="780"/>
    <n v="43.472106630023077"/>
    <n v="5.4340133287528847"/>
    <n v="21.736053315011539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78"/>
    <x v="7"/>
    <x v="6"/>
    <x v="6"/>
    <s v="quinata"/>
    <n v="0.48"/>
    <x v="6"/>
    <n v="19.5"/>
    <n v="2.9864835000000003E-2"/>
    <n v="6"/>
    <n v="42"/>
    <n v="0.73303828583761843"/>
    <n v="6"/>
    <n v="8"/>
    <n v="0.13962634015954636"/>
    <x v="781"/>
    <n v="45.716800182987733"/>
    <n v="5.7146000228734666"/>
    <n v="22.858400091493866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75"/>
    <x v="1"/>
    <x v="1"/>
    <x v="1"/>
    <s v="-"/>
    <n v="0.57999999999999996"/>
    <x v="1"/>
    <n v="15.8"/>
    <n v="1.9606725600000003E-2"/>
    <n v="11"/>
    <n v="55"/>
    <n v="0.95993108859688125"/>
    <n v="6"/>
    <n v="8"/>
    <n v="0.13962634015954636"/>
    <x v="782"/>
    <n v="71.550326739226819"/>
    <n v="8.9437908424033523"/>
    <n v="35.775163369613409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76"/>
    <x v="7"/>
    <x v="6"/>
    <x v="6"/>
    <s v="quinata"/>
    <n v="0.48"/>
    <x v="6"/>
    <n v="10.4"/>
    <n v="8.494886400000002E-3"/>
    <n v="7"/>
    <n v="42"/>
    <n v="0.73303828583761843"/>
    <n v="6"/>
    <n v="6"/>
    <n v="0.10471975511965978"/>
    <x v="783"/>
    <n v="15.272967269234746"/>
    <n v="1.9091209086543433"/>
    <n v="7.636483634617373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77"/>
    <x v="7"/>
    <x v="6"/>
    <x v="6"/>
    <s v="quinata"/>
    <n v="0.48"/>
    <x v="6"/>
    <n v="12.7"/>
    <n v="1.26677166E-2"/>
    <n v="6"/>
    <n v="30"/>
    <n v="0.52359877559829882"/>
    <n v="6"/>
    <n v="25"/>
    <n v="0.43633231299858238"/>
    <x v="320"/>
    <n v="23.118645142884837"/>
    <n v="2.8898306428606046"/>
    <n v="11.559322571442419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00"/>
    <x v="1"/>
    <x v="1"/>
    <x v="1"/>
    <s v="-"/>
    <n v="0.57999999999999996"/>
    <x v="1"/>
    <n v="5.9"/>
    <n v="2.7339774000000004E-3"/>
    <n v="7"/>
    <n v="52"/>
    <n v="0.90757121103705141"/>
    <n v="5"/>
    <n v="5"/>
    <n v="8.7266462599716474E-2"/>
    <x v="784"/>
    <n v="6.9961473772616127"/>
    <n v="0.87451842215770159"/>
    <n v="3.4980736886308064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96"/>
    <x v="7"/>
    <x v="6"/>
    <x v="6"/>
    <s v="quinata"/>
    <n v="0.48"/>
    <x v="6"/>
    <n v="15.3"/>
    <n v="1.8385428600000003E-2"/>
    <n v="6"/>
    <n v="43"/>
    <n v="0.75049157835756175"/>
    <n v="6"/>
    <n v="6"/>
    <n v="0.10471975511965978"/>
    <x v="785"/>
    <n v="28.241078343155866"/>
    <n v="3.5301347928944833"/>
    <n v="14.120539171577933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26"/>
    <x v="7"/>
    <x v="6"/>
    <x v="6"/>
    <s v="quinata"/>
    <n v="0.48"/>
    <x v="6"/>
    <n v="9.1999999999999993"/>
    <n v="6.6476255999999992E-3"/>
    <n v="8"/>
    <n v="50"/>
    <n v="0.87266462599716477"/>
    <n v="7"/>
    <n v="2"/>
    <n v="3.4906585039886591E-2"/>
    <x v="786"/>
    <n v="14.394964296458149"/>
    <n v="1.7993705370572686"/>
    <n v="7.1974821482290743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25"/>
    <x v="7"/>
    <x v="6"/>
    <x v="6"/>
    <s v="quinata"/>
    <n v="0.48"/>
    <x v="6"/>
    <n v="20.399999999999999"/>
    <n v="3.26852064E-2"/>
    <n v="8"/>
    <n v="40"/>
    <n v="0.69813170079773179"/>
    <n v="8"/>
    <n v="20"/>
    <n v="0.3490658503988659"/>
    <x v="787"/>
    <n v="78.521422435876431"/>
    <n v="9.8151778044845539"/>
    <n v="39.260711217938216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52"/>
    <x v="1"/>
    <x v="1"/>
    <x v="1"/>
    <s v="-"/>
    <n v="0.57999999999999996"/>
    <x v="1"/>
    <n v="8.5"/>
    <n v="5.6745150000000006E-3"/>
    <n v="6"/>
    <n v="52"/>
    <n v="0.90757121103705141"/>
    <n v="5"/>
    <n v="18"/>
    <n v="0.31415926535897931"/>
    <x v="788"/>
    <n v="14.602530247954927"/>
    <n v="1.8253162809943659"/>
    <n v="7.3012651239774637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43"/>
    <x v="7"/>
    <x v="6"/>
    <x v="6"/>
    <s v="quinata"/>
    <n v="0.48"/>
    <x v="6"/>
    <n v="11.3"/>
    <n v="1.0028772600000001E-2"/>
    <n v="7"/>
    <n v="42"/>
    <n v="0.73303828583761843"/>
    <n v="6"/>
    <n v="18"/>
    <n v="0.31415926535897931"/>
    <x v="789"/>
    <n v="21.703770657785501"/>
    <n v="2.7129713322231876"/>
    <n v="10.851885328892751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49"/>
    <x v="4"/>
    <x v="4"/>
    <x v="4"/>
    <s v="latifolia"/>
    <n v="0.75"/>
    <x v="4"/>
    <n v="7"/>
    <n v="3.8484600000000002E-3"/>
    <n v="8"/>
    <n v="60"/>
    <n v="1.0471975511965976"/>
    <n v="6"/>
    <n v="2"/>
    <n v="3.4906585039886591E-2"/>
    <x v="790"/>
    <n v="14.572790103154771"/>
    <n v="1.8215987628943464"/>
    <n v="7.2863950515773857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11"/>
    <x v="7"/>
    <x v="6"/>
    <x v="6"/>
    <s v="quinata"/>
    <n v="0.48"/>
    <x v="6"/>
    <n v="21.6"/>
    <n v="3.6643622400000006E-2"/>
    <n v="7"/>
    <n v="50"/>
    <n v="0.87266462599716477"/>
    <n v="6"/>
    <n v="2"/>
    <n v="3.4906585039886591E-2"/>
    <x v="791"/>
    <n v="63.129244173961105"/>
    <n v="7.8911555217451381"/>
    <n v="31.564622086980552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72"/>
    <x v="0"/>
    <x v="0"/>
    <x v="0"/>
    <s v="ferruginea"/>
    <n v="0.37"/>
    <x v="0"/>
    <n v="13.8"/>
    <n v="1.4957157600000003E-2"/>
    <n v="8"/>
    <n v="55"/>
    <n v="0.95993108859688125"/>
    <n v="7"/>
    <n v="9"/>
    <n v="0.15707963267948966"/>
    <x v="792"/>
    <n v="28.674297140004377"/>
    <n v="3.5842871425005471"/>
    <n v="14.337148570002189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58"/>
    <x v="0"/>
    <x v="0"/>
    <x v="0"/>
    <s v="ferruginea"/>
    <n v="0.37"/>
    <x v="0"/>
    <n v="14.2"/>
    <n v="1.58368056E-2"/>
    <n v="8"/>
    <n v="62"/>
    <n v="1.0821041362364843"/>
    <n v="5"/>
    <n v="9"/>
    <n v="0.15707963267948966"/>
    <x v="793"/>
    <n v="30.990600139152047"/>
    <n v="3.8738250173940059"/>
    <n v="15.495300069576023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24"/>
    <x v="7"/>
    <x v="6"/>
    <x v="6"/>
    <s v="quinata"/>
    <n v="0.48"/>
    <x v="6"/>
    <n v="17.5"/>
    <n v="2.4052875000000001E-2"/>
    <n v="8"/>
    <n v="52"/>
    <n v="0.90757121103705141"/>
    <n v="6"/>
    <n v="9"/>
    <n v="0.15707963267948966"/>
    <x v="794"/>
    <n v="54.380860828354663"/>
    <n v="6.7976076035443329"/>
    <n v="27.190430414177332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90"/>
    <x v="3"/>
    <x v="3"/>
    <x v="3"/>
    <s v="parahyba"/>
    <n v="0.315"/>
    <x v="3"/>
    <n v="22.5"/>
    <n v="3.9760875000000001E-2"/>
    <n v="18"/>
    <n v="75"/>
    <n v="1.3089969389957472"/>
    <n v="5"/>
    <n v="8"/>
    <n v="0.13962634015954636"/>
    <x v="795"/>
    <n v="138.73959648122926"/>
    <n v="17.342449560153657"/>
    <n v="69.369798240614628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35"/>
    <x v="7"/>
    <x v="6"/>
    <x v="6"/>
    <s v="quinata"/>
    <n v="0.48"/>
    <x v="6"/>
    <n v="15.3"/>
    <n v="1.8385428600000003E-2"/>
    <n v="9"/>
    <n v="37"/>
    <n v="0.64577182323790194"/>
    <n v="8"/>
    <n v="-4"/>
    <n v="-6.9813170079773182E-2"/>
    <x v="796"/>
    <n v="29.02299655187376"/>
    <n v="3.62787456898422"/>
    <n v="14.51149827593688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52"/>
    <x v="22"/>
    <x v="14"/>
    <x v="17"/>
    <s v="alchorneoides"/>
    <n v="0.64"/>
    <x v="9"/>
    <n v="12.3"/>
    <n v="1.1882316600000001E-2"/>
    <n v="13"/>
    <n v="70"/>
    <n v="1.2217304763960306"/>
    <n v="6"/>
    <n v="-2"/>
    <n v="-3.4906585039886591E-2"/>
    <x v="797"/>
    <n v="59.067363613773317"/>
    <n v="7.3834204517216646"/>
    <n v="29.533681806886658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50"/>
    <x v="22"/>
    <x v="14"/>
    <x v="17"/>
    <s v="alchorneoides"/>
    <n v="0.64"/>
    <x v="9"/>
    <n v="18.899999999999999"/>
    <n v="2.8055273399999994E-2"/>
    <n v="17"/>
    <n v="76"/>
    <n v="1.3264502315156905"/>
    <n v="6"/>
    <n v="-2"/>
    <n v="-3.4906585039886591E-2"/>
    <x v="798"/>
    <n v="176.4068266804656"/>
    <n v="22.0508533350582"/>
    <n v="88.2034133402328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45"/>
    <x v="22"/>
    <x v="14"/>
    <x v="17"/>
    <s v="alchorneoides"/>
    <n v="0.64"/>
    <x v="9"/>
    <n v="18.8"/>
    <n v="2.7759177600000004E-2"/>
    <n v="16"/>
    <n v="60"/>
    <n v="1.0471975511965976"/>
    <n v="6"/>
    <n v="-2"/>
    <n v="-3.4906585039886591E-2"/>
    <x v="799"/>
    <n v="147.91863724463582"/>
    <n v="18.489829655579477"/>
    <n v="73.959318622317909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51"/>
    <x v="22"/>
    <x v="14"/>
    <x v="17"/>
    <s v="alchorneoides"/>
    <n v="0.64"/>
    <x v="9"/>
    <n v="16.2"/>
    <n v="2.0612037600000001E-2"/>
    <n v="12"/>
    <n v="70"/>
    <n v="1.2217304763960306"/>
    <n v="6"/>
    <n v="-2"/>
    <n v="-3.4906585039886591E-2"/>
    <x v="800"/>
    <n v="91.82143684692285"/>
    <n v="11.477679605865356"/>
    <n v="45.910718423461425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899"/>
    <x v="13"/>
    <x v="5"/>
    <x v="1"/>
    <s v="-"/>
    <n v="0.57999999999999996"/>
    <x v="1"/>
    <n v="7"/>
    <n v="3.8484600000000002E-3"/>
    <n v="6"/>
    <n v="44"/>
    <n v="0.76794487087750496"/>
    <n v="5"/>
    <n v="-3"/>
    <n v="-5.235987755982989E-2"/>
    <x v="801"/>
    <n v="6.4941889346824322"/>
    <n v="0.81177361683530402"/>
    <n v="3.2470944673412161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41"/>
    <x v="3"/>
    <x v="3"/>
    <x v="3"/>
    <s v="parahyba"/>
    <n v="0.315"/>
    <x v="3"/>
    <n v="7"/>
    <n v="3.8484600000000002E-3"/>
    <n v="10"/>
    <n v="52"/>
    <n v="0.90757121103705141"/>
    <n v="7"/>
    <n v="-5"/>
    <n v="-8.7266462599716474E-2"/>
    <x v="802"/>
    <n v="6.5599612922063892"/>
    <n v="0.81999516152579865"/>
    <n v="3.2799806461031946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78"/>
    <x v="7"/>
    <x v="6"/>
    <x v="6"/>
    <s v="quinata"/>
    <n v="0.48"/>
    <x v="6"/>
    <n v="14.4"/>
    <n v="1.6286054400000003E-2"/>
    <n v="11"/>
    <n v="47"/>
    <n v="0.82030474843733492"/>
    <n v="7"/>
    <n v="4"/>
    <n v="6.9813170079773182E-2"/>
    <x v="803"/>
    <n v="43.973852019043598"/>
    <n v="5.4967315023804497"/>
    <n v="21.986926009521799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35"/>
    <x v="2"/>
    <x v="2"/>
    <x v="2"/>
    <s v="amara"/>
    <n v="0.41699999999999998"/>
    <x v="2"/>
    <n v="10"/>
    <n v="7.8539999999999999E-3"/>
    <n v="12"/>
    <n v="50"/>
    <n v="0.87266462599716477"/>
    <n v="8"/>
    <n v="-3"/>
    <n v="-5.235987755982989E-2"/>
    <x v="804"/>
    <n v="19.924535447483411"/>
    <n v="2.4905669309354264"/>
    <n v="9.9622677237417054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40"/>
    <x v="7"/>
    <x v="6"/>
    <x v="6"/>
    <s v="quinata"/>
    <n v="0.48"/>
    <x v="6"/>
    <n v="20.7"/>
    <n v="3.3653604599999998E-2"/>
    <n v="7"/>
    <n v="62"/>
    <n v="1.0821041362364843"/>
    <n v="7"/>
    <n v="3"/>
    <n v="5.235987755982989E-2"/>
    <x v="805"/>
    <n v="67.815909291218716"/>
    <n v="8.4769886614023395"/>
    <n v="33.907954645609358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1013"/>
    <x v="7"/>
    <x v="6"/>
    <x v="6"/>
    <s v="quinata"/>
    <n v="0.48"/>
    <x v="6"/>
    <n v="9"/>
    <n v="6.3617400000000003E-3"/>
    <n v="8"/>
    <n v="25"/>
    <n v="0.43633231299858238"/>
    <n v="7"/>
    <n v="15"/>
    <n v="0.26179938779914941"/>
    <x v="806"/>
    <n v="11.39390048699112"/>
    <n v="1.42423756087389"/>
    <n v="5.6969502434955599"/>
  </r>
  <r>
    <x v="2"/>
    <s v="NM, AM, EC, EL"/>
    <x v="20"/>
    <s v="SO"/>
    <n v="8.40916"/>
    <n v="83.311199999999999"/>
    <n v="150"/>
    <n v="-30"/>
    <n v="-3.2327281437658275"/>
    <n v="-5.6421749930598293E-2"/>
    <n v="21.033470239848786"/>
    <n v="920"/>
    <x v="0"/>
    <x v="0"/>
    <x v="0"/>
    <s v="ferruginea"/>
    <n v="0.37"/>
    <x v="0"/>
    <n v="14.5"/>
    <n v="1.6513035000000002E-2"/>
    <n v="8"/>
    <n v="60"/>
    <n v="1.0471975511965976"/>
    <n v="5"/>
    <n v="3"/>
    <n v="5.235987755982989E-2"/>
    <x v="807"/>
    <n v="29.693521145049832"/>
    <n v="3.711690143131229"/>
    <n v="14.846760572524916"/>
  </r>
  <r>
    <x v="5"/>
    <s v="NM, AM"/>
    <x v="21"/>
    <s v="SO"/>
    <n v="8.4107299999999992"/>
    <n v="83.312600000000003"/>
    <n v="150"/>
    <n v="5"/>
    <n v="19.983330554894014"/>
    <n v="0.34877491369728597"/>
    <n v="21"/>
    <n v="83"/>
    <x v="7"/>
    <x v="6"/>
    <x v="6"/>
    <s v="quinata"/>
    <n v="0.48"/>
    <x v="6"/>
    <n v="12"/>
    <n v="1.130976E-2"/>
    <n v="10"/>
    <n v="43"/>
    <n v="0.75049157835756175"/>
    <n v="5"/>
    <n v="11"/>
    <n v="0.19198621771937624"/>
    <x v="808"/>
    <n v="28.595427378859227"/>
    <n v="3.5744284223574034"/>
    <n v="14.297713689429614"/>
  </r>
  <r>
    <x v="5"/>
    <s v="NM, AM"/>
    <x v="21"/>
    <s v="SO"/>
    <n v="8.4107299999999992"/>
    <n v="83.312600000000003"/>
    <n v="150"/>
    <n v="5"/>
    <n v="19.983330554894014"/>
    <n v="0.34877491369728597"/>
    <n v="21"/>
    <n v="82"/>
    <x v="30"/>
    <x v="17"/>
    <x v="22"/>
    <s v="glabra"/>
    <n v="0.64"/>
    <x v="7"/>
    <n v="8.1999999999999993"/>
    <n v="5.2810295999999998E-3"/>
    <n v="9"/>
    <n v="60"/>
    <n v="1.0471975511965976"/>
    <n v="5"/>
    <n v="18"/>
    <n v="0.31415926535897931"/>
    <x v="466"/>
    <n v="21.76391397499059"/>
    <n v="2.7204892468738238"/>
    <n v="10.881956987495295"/>
  </r>
  <r>
    <x v="5"/>
    <s v="NM, AM"/>
    <x v="21"/>
    <s v="SO"/>
    <n v="8.4107299999999992"/>
    <n v="83.312600000000003"/>
    <n v="150"/>
    <n v="5"/>
    <n v="19.983330554894014"/>
    <n v="0.34877491369728597"/>
    <n v="21"/>
    <n v="81"/>
    <x v="48"/>
    <x v="28"/>
    <x v="1"/>
    <s v="-"/>
    <n v="0.57999999999999996"/>
    <x v="1"/>
    <n v="5"/>
    <n v="1.9635E-3"/>
    <n v="6"/>
    <n v="42"/>
    <n v="0.73303828583761843"/>
    <n v="5"/>
    <n v="18"/>
    <n v="0.31415926535897931"/>
    <x v="809"/>
    <n v="4.8073783154408192"/>
    <n v="0.6009222894301024"/>
    <n v="2.4036891577204096"/>
  </r>
  <r>
    <x v="5"/>
    <s v="NM, AM"/>
    <x v="21"/>
    <s v="SO"/>
    <n v="8.4107299999999992"/>
    <n v="83.312600000000003"/>
    <n v="150"/>
    <n v="5"/>
    <n v="19.983330554894014"/>
    <n v="0.34877491369728597"/>
    <n v="21"/>
    <n v="80"/>
    <x v="1"/>
    <x v="1"/>
    <x v="1"/>
    <s v="-"/>
    <n v="0.57999999999999996"/>
    <x v="1"/>
    <n v="7"/>
    <n v="3.8484600000000002E-3"/>
    <n v="10"/>
    <n v="58"/>
    <n v="1.0122909661567112"/>
    <n v="5"/>
    <n v="18"/>
    <n v="0.31415926535897931"/>
    <x v="810"/>
    <n v="15.751093664862113"/>
    <n v="1.9688867081077641"/>
    <n v="7.8755468324310565"/>
  </r>
  <r>
    <x v="5"/>
    <s v="NM, AM"/>
    <x v="21"/>
    <s v="SO"/>
    <n v="8.4107299999999992"/>
    <n v="83.312600000000003"/>
    <n v="150"/>
    <n v="5"/>
    <n v="19.983330554894014"/>
    <n v="0.34877491369728597"/>
    <n v="21"/>
    <s v="79?"/>
    <x v="14"/>
    <x v="0"/>
    <x v="0"/>
    <s v="allenii"/>
    <n v="0.48"/>
    <x v="7"/>
    <n v="8.4"/>
    <n v="5.5417824000000004E-3"/>
    <n v="10"/>
    <n v="55"/>
    <n v="0.95993108859688125"/>
    <n v="5"/>
    <n v="10"/>
    <n v="0.17453292519943295"/>
    <x v="811"/>
    <n v="16.887419570489634"/>
    <n v="2.1109274463112042"/>
    <n v="8.4437097852448169"/>
  </r>
  <r>
    <x v="5"/>
    <s v="NM, AM"/>
    <x v="21"/>
    <s v="SO"/>
    <n v="8.4107299999999992"/>
    <n v="83.312600000000003"/>
    <n v="150"/>
    <n v="5"/>
    <n v="19.983330554894014"/>
    <n v="0.34877491369728597"/>
    <n v="21"/>
    <n v="78"/>
    <x v="1"/>
    <x v="1"/>
    <x v="1"/>
    <s v="-"/>
    <n v="0.57999999999999996"/>
    <x v="1"/>
    <n v="10.199999999999999"/>
    <n v="8.1713015999999999E-3"/>
    <n v="9"/>
    <n v="57"/>
    <n v="0.99483767363676789"/>
    <n v="5"/>
    <n v="15"/>
    <n v="0.26179938779914941"/>
    <x v="812"/>
    <n v="28.40637759744196"/>
    <n v="3.550797199680245"/>
    <n v="14.20318879872098"/>
  </r>
  <r>
    <x v="5"/>
    <s v="NM, AM"/>
    <x v="21"/>
    <s v="SO"/>
    <n v="8.4107299999999992"/>
    <n v="83.312600000000003"/>
    <n v="150"/>
    <n v="5"/>
    <n v="19.983330554894014"/>
    <n v="0.34877491369728597"/>
    <n v="21"/>
    <n v="77"/>
    <x v="21"/>
    <x v="13"/>
    <x v="16"/>
    <s v="sp."/>
    <n v="0.48"/>
    <x v="7"/>
    <n v="8"/>
    <n v="5.0265600000000002E-3"/>
    <n v="9"/>
    <n v="57"/>
    <n v="0.99483767363676789"/>
    <n v="5"/>
    <n v="15"/>
    <n v="0.26179938779914941"/>
    <x v="812"/>
    <n v="15.059174213976343"/>
    <n v="1.8823967767470429"/>
    <n v="7.5295871069881715"/>
  </r>
  <r>
    <x v="5"/>
    <s v="NM, AM"/>
    <x v="21"/>
    <s v="SO"/>
    <n v="8.4107299999999992"/>
    <n v="83.312600000000003"/>
    <n v="150"/>
    <n v="5"/>
    <n v="19.983330554894014"/>
    <n v="0.34877491369728597"/>
    <n v="21"/>
    <n v="76"/>
    <x v="1"/>
    <x v="1"/>
    <x v="1"/>
    <s v="-"/>
    <n v="0.57999999999999996"/>
    <x v="1"/>
    <n v="6.5"/>
    <n v="3.3183150000000001E-3"/>
    <n v="9"/>
    <n v="72"/>
    <n v="1.2566370614359172"/>
    <n v="5"/>
    <n v="16"/>
    <n v="0.27925268031909273"/>
    <x v="813"/>
    <n v="13.589694286305816"/>
    <n v="1.698711785788227"/>
    <n v="6.7948471431529081"/>
  </r>
  <r>
    <x v="5"/>
    <s v="NM, AM"/>
    <x v="21"/>
    <s v="SO"/>
    <n v="8.4107299999999992"/>
    <n v="83.312600000000003"/>
    <n v="150"/>
    <n v="5"/>
    <n v="19.983330554894014"/>
    <n v="0.34877491369728597"/>
    <n v="21"/>
    <n v="75"/>
    <x v="17"/>
    <x v="10"/>
    <x v="13"/>
    <s v="sp."/>
    <n v="0.57999999999999996"/>
    <x v="7"/>
    <n v="10.6"/>
    <n v="8.8247544000000008E-3"/>
    <n v="11"/>
    <n v="65"/>
    <n v="1.1344640137963142"/>
    <n v="5"/>
    <n v="20"/>
    <n v="0.3490658503988659"/>
    <x v="814"/>
    <n v="39.667733018618897"/>
    <n v="4.9584666273273621"/>
    <n v="19.833866509309448"/>
  </r>
  <r>
    <x v="5"/>
    <s v="NM, AM"/>
    <x v="21"/>
    <s v="SO"/>
    <n v="8.4107299999999992"/>
    <n v="83.312600000000003"/>
    <n v="150"/>
    <n v="5"/>
    <n v="19.983330554894014"/>
    <n v="0.34877491369728597"/>
    <n v="21"/>
    <n v="74"/>
    <x v="15"/>
    <x v="9"/>
    <x v="12"/>
    <s v="insularis"/>
    <n v="0.53"/>
    <x v="7"/>
    <n v="8.1999999999999993"/>
    <n v="5.2810295999999998E-3"/>
    <n v="14"/>
    <n v="48"/>
    <n v="0.83775804095727824"/>
    <n v="5"/>
    <n v="25"/>
    <n v="0.43633231299858238"/>
    <x v="815"/>
    <n v="24.005192611661403"/>
    <n v="3.0006490764576754"/>
    <n v="12.002596305830702"/>
  </r>
  <r>
    <x v="5"/>
    <s v="NM, AM"/>
    <x v="21"/>
    <s v="SO"/>
    <n v="8.4107299999999992"/>
    <n v="83.312600000000003"/>
    <n v="150"/>
    <n v="5"/>
    <n v="19.983330554894014"/>
    <n v="0.34877491369728597"/>
    <n v="21"/>
    <n v="73"/>
    <x v="15"/>
    <x v="9"/>
    <x v="12"/>
    <s v="insularis"/>
    <n v="0.53"/>
    <x v="7"/>
    <n v="12"/>
    <n v="1.130976E-2"/>
    <n v="14"/>
    <n v="61"/>
    <n v="1.064650843716541"/>
    <n v="6"/>
    <n v="10"/>
    <n v="0.17453292519943295"/>
    <x v="816"/>
    <n v="51.945715632238958"/>
    <n v="6.4932144540298697"/>
    <n v="25.972857816119479"/>
  </r>
  <r>
    <x v="5"/>
    <s v="NM, AM"/>
    <x v="21"/>
    <s v="SO"/>
    <n v="8.4107299999999992"/>
    <n v="83.312600000000003"/>
    <n v="150"/>
    <n v="5"/>
    <n v="19.983330554894014"/>
    <n v="0.34877491369728597"/>
    <n v="21"/>
    <n v="72"/>
    <x v="15"/>
    <x v="9"/>
    <x v="12"/>
    <s v="insularis"/>
    <n v="0.53"/>
    <x v="7"/>
    <n v="6.6"/>
    <n v="3.4212023999999996E-3"/>
    <n v="10"/>
    <n v="45"/>
    <n v="0.78539816339744828"/>
    <n v="6"/>
    <n v="14"/>
    <n v="0.24434609527920614"/>
    <x v="460"/>
    <n v="11.121449082976074"/>
    <n v="1.3901811353720093"/>
    <n v="5.5607245414880371"/>
  </r>
  <r>
    <x v="5"/>
    <s v="NM, AM"/>
    <x v="21"/>
    <s v="SO"/>
    <n v="8.4107299999999992"/>
    <n v="83.312600000000003"/>
    <n v="150"/>
    <n v="5"/>
    <n v="19.983330554894014"/>
    <n v="0.34877491369728597"/>
    <n v="21"/>
    <n v="71"/>
    <x v="21"/>
    <x v="13"/>
    <x v="16"/>
    <s v="sp."/>
    <n v="0.48"/>
    <x v="7"/>
    <n v="14"/>
    <n v="1.5393840000000001E-2"/>
    <n v="12"/>
    <n v="65"/>
    <n v="1.1344640137963142"/>
    <n v="6"/>
    <n v="15"/>
    <n v="0.26179938779914941"/>
    <x v="817"/>
    <n v="59.389042470224261"/>
    <n v="7.4236303087780326"/>
    <n v="29.694521235112131"/>
  </r>
  <r>
    <x v="5"/>
    <s v="NM, AM"/>
    <x v="21"/>
    <s v="SO"/>
    <n v="8.4107299999999992"/>
    <n v="83.312600000000003"/>
    <n v="150"/>
    <n v="5"/>
    <n v="19.983330554894014"/>
    <n v="0.34877491369728597"/>
    <n v="21"/>
    <n v="70"/>
    <x v="17"/>
    <x v="10"/>
    <x v="13"/>
    <s v="sp."/>
    <n v="0.57999999999999996"/>
    <x v="7"/>
    <n v="7"/>
    <n v="3.8484600000000002E-3"/>
    <n v="9"/>
    <n v="65"/>
    <n v="1.1344640137963142"/>
    <n v="5"/>
    <n v="15"/>
    <n v="0.26179938779914941"/>
    <x v="818"/>
    <n v="14.900870136059609"/>
    <n v="1.8626087670074511"/>
    <n v="7.4504350680298046"/>
  </r>
  <r>
    <x v="5"/>
    <s v="NM, AM"/>
    <x v="21"/>
    <s v="SO"/>
    <n v="8.4107299999999992"/>
    <n v="83.312600000000003"/>
    <n v="150"/>
    <n v="5"/>
    <n v="19.983330554894014"/>
    <n v="0.34877491369728597"/>
    <n v="21"/>
    <s v="79?"/>
    <x v="7"/>
    <x v="6"/>
    <x v="6"/>
    <s v="quinata"/>
    <n v="0.48"/>
    <x v="6"/>
    <n v="14"/>
    <n v="1.5393840000000001E-2"/>
    <n v="11"/>
    <n v="56"/>
    <n v="0.97738438111682457"/>
    <n v="5"/>
    <n v="15"/>
    <n v="0.26179938779914941"/>
    <x v="819"/>
    <n v="50.291019959356866"/>
    <n v="6.2863774949196083"/>
    <n v="25.145509979678433"/>
  </r>
  <r>
    <x v="5"/>
    <s v="NM, AM"/>
    <x v="21"/>
    <s v="SO"/>
    <n v="8.4107299999999992"/>
    <n v="83.312600000000003"/>
    <n v="150"/>
    <n v="5"/>
    <n v="19.983330554894014"/>
    <n v="0.34877491369728597"/>
    <n v="21"/>
    <n v="89"/>
    <x v="7"/>
    <x v="6"/>
    <x v="6"/>
    <s v="quinata"/>
    <n v="0.48"/>
    <x v="6"/>
    <n v="14.2"/>
    <n v="1.58368056E-2"/>
    <n v="12"/>
    <n v="57"/>
    <n v="0.99483767363676789"/>
    <n v="5"/>
    <n v="12"/>
    <n v="0.20943951023931956"/>
    <x v="820"/>
    <n v="54.861382211629405"/>
    <n v="6.8576727764536756"/>
    <n v="27.430691105814702"/>
  </r>
  <r>
    <x v="5"/>
    <s v="NM, AM"/>
    <x v="21"/>
    <s v="SO"/>
    <n v="8.4107299999999992"/>
    <n v="83.312600000000003"/>
    <n v="150"/>
    <n v="5"/>
    <n v="19.983330554894014"/>
    <n v="0.34877491369728597"/>
    <n v="21"/>
    <n v="116"/>
    <x v="47"/>
    <x v="27"/>
    <x v="36"/>
    <s v="staminodella"/>
    <n v="0.89"/>
    <x v="7"/>
    <n v="6"/>
    <n v="2.8274400000000001E-3"/>
    <n v="8"/>
    <n v="43"/>
    <n v="0.75049157835756175"/>
    <n v="5"/>
    <n v="15"/>
    <n v="0.26179938779914941"/>
    <x v="425"/>
    <n v="12.155230264695104"/>
    <n v="1.5194037830868881"/>
    <n v="6.0776151323475522"/>
  </r>
  <r>
    <x v="5"/>
    <s v="NM, AM"/>
    <x v="21"/>
    <s v="SO"/>
    <n v="8.4107299999999992"/>
    <n v="83.312600000000003"/>
    <n v="150"/>
    <n v="5"/>
    <n v="19.983330554894014"/>
    <n v="0.34877491369728597"/>
    <n v="21"/>
    <n v="117"/>
    <x v="15"/>
    <x v="9"/>
    <x v="12"/>
    <s v="insularis"/>
    <n v="0.53"/>
    <x v="7"/>
    <n v="5.4"/>
    <n v="2.2902264000000004E-3"/>
    <n v="7"/>
    <n v="50"/>
    <n v="0.87266462599716477"/>
    <n v="6"/>
    <n v="20"/>
    <n v="0.3490658503988659"/>
    <x v="279"/>
    <n v="6.6904375051591591"/>
    <n v="0.83630468814489489"/>
    <n v="3.3452187525795796"/>
  </r>
  <r>
    <x v="5"/>
    <s v="NM, AM"/>
    <x v="21"/>
    <s v="SO"/>
    <n v="8.4107299999999992"/>
    <n v="83.312600000000003"/>
    <n v="150"/>
    <n v="5"/>
    <n v="19.983330554894014"/>
    <n v="0.34877491369728597"/>
    <n v="21"/>
    <n v="118"/>
    <x v="42"/>
    <x v="23"/>
    <x v="32"/>
    <s v="ulmifolia"/>
    <n v="0.51"/>
    <x v="7"/>
    <n v="16"/>
    <n v="2.0106240000000001E-2"/>
    <n v="10"/>
    <n v="62"/>
    <n v="1.0821041362364843"/>
    <n v="5"/>
    <n v="12"/>
    <n v="0.20943951023931956"/>
    <x v="821"/>
    <n v="65.064101452471391"/>
    <n v="8.1330126815589239"/>
    <n v="32.532050726235695"/>
  </r>
  <r>
    <x v="5"/>
    <s v="NM, AM"/>
    <x v="21"/>
    <s v="SO"/>
    <n v="8.4107299999999992"/>
    <n v="83.312600000000003"/>
    <n v="150"/>
    <n v="5"/>
    <n v="19.983330554894014"/>
    <n v="0.34877491369728597"/>
    <n v="21"/>
    <n v="119"/>
    <x v="21"/>
    <x v="13"/>
    <x v="16"/>
    <s v="sp."/>
    <n v="0.48"/>
    <x v="7"/>
    <n v="7"/>
    <n v="3.8484600000000002E-3"/>
    <n v="13"/>
    <n v="45"/>
    <n v="0.78539816339744828"/>
    <n v="5"/>
    <n v="8"/>
    <n v="0.13962634015954636"/>
    <x v="822"/>
    <n v="13.014432114731465"/>
    <n v="1.6268040143414331"/>
    <n v="6.5072160573657323"/>
  </r>
  <r>
    <x v="6"/>
    <s v="NM, AM"/>
    <x v="21"/>
    <s v="SO"/>
    <n v="8.4107299999999992"/>
    <n v="83.312600000000003"/>
    <n v="150"/>
    <n v="5"/>
    <n v="19.983330554894014"/>
    <n v="0.34877491369728597"/>
    <n v="21"/>
    <n v="38"/>
    <x v="48"/>
    <x v="28"/>
    <x v="1"/>
    <s v="-"/>
    <n v="0.57999999999999996"/>
    <x v="1"/>
    <n v="32"/>
    <n v="8.0424960000000004E-2"/>
    <n v="16"/>
    <n v="74"/>
    <n v="1.2915436464758039"/>
    <n v="7"/>
    <n v="16"/>
    <n v="0.27925268031909273"/>
    <x v="823"/>
    <n v="458.30748634611791"/>
    <n v="57.288435793264739"/>
    <n v="229.15374317305896"/>
  </r>
  <r>
    <x v="6"/>
    <s v="NM, AM"/>
    <x v="21"/>
    <s v="SO"/>
    <n v="8.4107299999999992"/>
    <n v="83.312600000000003"/>
    <n v="150"/>
    <n v="5"/>
    <n v="19.983330554894014"/>
    <n v="0.34877491369728597"/>
    <n v="21"/>
    <n v="78"/>
    <x v="21"/>
    <x v="13"/>
    <x v="16"/>
    <s v="sp."/>
    <n v="0.48"/>
    <x v="7"/>
    <n v="12.5"/>
    <n v="1.2271875E-2"/>
    <n v="12"/>
    <n v="77"/>
    <n v="1.3439035240356338"/>
    <n v="5"/>
    <n v="19"/>
    <n v="0.33161255787892263"/>
    <x v="824"/>
    <n v="51.22263422418095"/>
    <n v="6.4028292780226188"/>
    <n v="25.611317112090475"/>
  </r>
  <r>
    <x v="6"/>
    <s v="NM, AM"/>
    <x v="21"/>
    <s v="SO"/>
    <n v="8.4107299999999992"/>
    <n v="83.312600000000003"/>
    <n v="150"/>
    <n v="5"/>
    <n v="19.983330554894014"/>
    <n v="0.34877491369728597"/>
    <n v="21"/>
    <n v="89"/>
    <x v="7"/>
    <x v="6"/>
    <x v="6"/>
    <s v="quinata"/>
    <n v="0.48"/>
    <x v="6"/>
    <n v="19.600000000000001"/>
    <n v="3.0171926400000007E-2"/>
    <n v="12"/>
    <n v="72"/>
    <n v="1.2566370614359172"/>
    <n v="5"/>
    <n v="20"/>
    <n v="0.3490658503988659"/>
    <x v="825"/>
    <n v="117.65602233947676"/>
    <n v="14.707002792434595"/>
    <n v="58.828011169738382"/>
  </r>
  <r>
    <x v="6"/>
    <s v="NM, AM"/>
    <x v="21"/>
    <s v="SO"/>
    <n v="8.4107299999999992"/>
    <n v="83.312600000000003"/>
    <n v="150"/>
    <n v="5"/>
    <n v="19.983330554894014"/>
    <n v="0.34877491369728597"/>
    <n v="21"/>
    <n v="90"/>
    <x v="7"/>
    <x v="6"/>
    <x v="6"/>
    <s v="quinata"/>
    <n v="0.48"/>
    <x v="6"/>
    <n v="22"/>
    <n v="3.8013360000000003E-2"/>
    <n v="14"/>
    <n v="76"/>
    <n v="1.3264502315156905"/>
    <n v="5"/>
    <n v="18"/>
    <n v="0.31415926535897931"/>
    <x v="826"/>
    <n v="167.11322056477229"/>
    <n v="20.889152570596536"/>
    <n v="83.556610282386146"/>
  </r>
  <r>
    <x v="6"/>
    <s v="NM, AM"/>
    <x v="21"/>
    <s v="SO"/>
    <n v="8.4107299999999992"/>
    <n v="83.312600000000003"/>
    <n v="150"/>
    <n v="5"/>
    <n v="19.983330554894014"/>
    <n v="0.34877491369728597"/>
    <n v="21"/>
    <n v="92"/>
    <x v="7"/>
    <x v="6"/>
    <x v="6"/>
    <s v="quinata"/>
    <n v="0.48"/>
    <x v="6"/>
    <n v="21.3"/>
    <n v="3.5632812600000008E-2"/>
    <n v="10"/>
    <n v="78"/>
    <n v="1.3613568165555769"/>
    <n v="5"/>
    <n v="14"/>
    <n v="0.24434609527920614"/>
    <x v="827"/>
    <n v="116.45557643395884"/>
    <n v="14.556947054244855"/>
    <n v="58.22778821697942"/>
  </r>
  <r>
    <x v="6"/>
    <s v="NM, AM"/>
    <x v="21"/>
    <s v="SO"/>
    <n v="8.4107299999999992"/>
    <n v="83.312600000000003"/>
    <n v="150"/>
    <n v="5"/>
    <n v="19.983330554894014"/>
    <n v="0.34877491369728597"/>
    <n v="21"/>
    <n v="99"/>
    <x v="7"/>
    <x v="6"/>
    <x v="6"/>
    <s v="quinata"/>
    <n v="0.48"/>
    <x v="6"/>
    <n v="15.5"/>
    <n v="1.8869235000000002E-2"/>
    <n v="11"/>
    <n v="54"/>
    <n v="0.94247779607693793"/>
    <n v="5"/>
    <n v="14"/>
    <n v="0.24434609527920614"/>
    <x v="828"/>
    <n v="59.220157786393052"/>
    <n v="7.4025197232991315"/>
    <n v="29.610078893196526"/>
  </r>
  <r>
    <x v="6"/>
    <s v="NM, AM"/>
    <x v="21"/>
    <s v="SO"/>
    <n v="8.4107299999999992"/>
    <n v="83.312600000000003"/>
    <n v="150"/>
    <n v="5"/>
    <n v="19.983330554894014"/>
    <n v="0.34877491369728597"/>
    <n v="21"/>
    <n v="97"/>
    <x v="7"/>
    <x v="6"/>
    <x v="6"/>
    <s v="quinata"/>
    <n v="0.48"/>
    <x v="6"/>
    <n v="20.3"/>
    <n v="3.2365548600000002E-2"/>
    <n v="14"/>
    <n v="65"/>
    <n v="1.1344640137963142"/>
    <n v="5"/>
    <n v="15"/>
    <n v="0.26179938779914941"/>
    <x v="829"/>
    <n v="133.4037317000456"/>
    <n v="16.6754664625057"/>
    <n v="66.701865850022799"/>
  </r>
  <r>
    <x v="6"/>
    <s v="NM, AM"/>
    <x v="21"/>
    <s v="SO"/>
    <n v="8.4107299999999992"/>
    <n v="83.312600000000003"/>
    <n v="150"/>
    <n v="5"/>
    <n v="19.983330554894014"/>
    <n v="0.34877491369728597"/>
    <n v="21"/>
    <n v="96"/>
    <x v="15"/>
    <x v="9"/>
    <x v="12"/>
    <s v="insularis"/>
    <n v="0.53"/>
    <x v="7"/>
    <n v="17.3"/>
    <n v="2.3506236600000004E-2"/>
    <n v="20"/>
    <n v="68"/>
    <n v="1.1868238913561442"/>
    <n v="5"/>
    <n v="14"/>
    <n v="0.24434609527920614"/>
    <x v="830"/>
    <n v="150.00602918517097"/>
    <n v="18.750753648146372"/>
    <n v="75.003014592585487"/>
  </r>
  <r>
    <x v="6"/>
    <s v="NM, AM"/>
    <x v="21"/>
    <s v="SO"/>
    <n v="8.4107299999999992"/>
    <n v="83.312600000000003"/>
    <n v="150"/>
    <n v="5"/>
    <n v="19.983330554894014"/>
    <n v="0.34877491369728597"/>
    <n v="21"/>
    <n v="98"/>
    <x v="7"/>
    <x v="6"/>
    <x v="6"/>
    <s v="quinata"/>
    <n v="0.48"/>
    <x v="6"/>
    <n v="15.5"/>
    <n v="1.8869235000000002E-2"/>
    <n v="9"/>
    <n v="53"/>
    <n v="0.92502450355699462"/>
    <n v="5"/>
    <n v="14"/>
    <n v="0.24434609527920614"/>
    <x v="831"/>
    <n v="49.744466665678452"/>
    <n v="6.2180583332098065"/>
    <n v="24.872233332839226"/>
  </r>
  <r>
    <x v="6"/>
    <s v="NM, AM"/>
    <x v="21"/>
    <s v="SO"/>
    <n v="8.4107299999999992"/>
    <n v="83.312600000000003"/>
    <n v="150"/>
    <n v="5"/>
    <n v="19.983330554894014"/>
    <n v="0.34877491369728597"/>
    <n v="21"/>
    <n v="94"/>
    <x v="1"/>
    <x v="1"/>
    <x v="1"/>
    <s v="-"/>
    <n v="0.57999999999999996"/>
    <x v="1"/>
    <n v="34"/>
    <n v="9.079224000000001E-2"/>
    <n v="17"/>
    <n v="44"/>
    <n v="0.76794487087750496"/>
    <n v="6"/>
    <n v="15"/>
    <n v="0.26179938779914941"/>
    <x v="832"/>
    <n v="402.70482626400747"/>
    <n v="50.338103283000933"/>
    <n v="201.35241313200373"/>
  </r>
  <r>
    <x v="6"/>
    <s v="NM, AM"/>
    <x v="21"/>
    <s v="SO"/>
    <n v="8.4107299999999992"/>
    <n v="83.312600000000003"/>
    <n v="150"/>
    <n v="5"/>
    <n v="19.983330554894014"/>
    <n v="0.34877491369728597"/>
    <n v="21"/>
    <n v="95"/>
    <x v="22"/>
    <x v="14"/>
    <x v="17"/>
    <s v="alchorneoides"/>
    <n v="0.64"/>
    <x v="9"/>
    <n v="45.4"/>
    <n v="0.16188350639999999"/>
    <n v="19"/>
    <n v="70"/>
    <n v="1.2217304763960306"/>
    <n v="7"/>
    <n v="12"/>
    <n v="0.20943951023931956"/>
    <x v="49"/>
    <n v="1075.3789891213146"/>
    <n v="134.42237364016432"/>
    <n v="537.68949456065729"/>
  </r>
  <r>
    <x v="6"/>
    <s v="NM, AM"/>
    <x v="21"/>
    <s v="SO"/>
    <n v="8.4107299999999992"/>
    <n v="83.312600000000003"/>
    <n v="150"/>
    <n v="5"/>
    <n v="19.983330554894014"/>
    <n v="0.34877491369728597"/>
    <n v="21"/>
    <n v="91"/>
    <x v="22"/>
    <x v="14"/>
    <x v="17"/>
    <s v="alchorneoides"/>
    <n v="0.64"/>
    <x v="9"/>
    <n v="36.4"/>
    <n v="0.10406235839999999"/>
    <n v="19"/>
    <n v="70"/>
    <n v="1.2217304763960306"/>
    <n v="7"/>
    <n v="12"/>
    <n v="0.20943951023931956"/>
    <x v="49"/>
    <n v="709.85091228624538"/>
    <n v="88.731364035780672"/>
    <n v="354.92545614312269"/>
  </r>
  <r>
    <x v="6"/>
    <s v="NM, AM"/>
    <x v="21"/>
    <s v="SO"/>
    <n v="8.4107299999999992"/>
    <n v="83.312600000000003"/>
    <n v="150"/>
    <n v="5"/>
    <n v="19.983330554894014"/>
    <n v="0.34877491369728597"/>
    <n v="21"/>
    <n v="93"/>
    <x v="26"/>
    <x v="15"/>
    <x v="20"/>
    <s v="sp."/>
    <n v="0.78"/>
    <x v="7"/>
    <n v="62.3"/>
    <n v="0.3048365166"/>
    <n v="26"/>
    <n v="73"/>
    <n v="1.2740903539558606"/>
    <n v="6"/>
    <n v="15"/>
    <n v="0.26179938779914941"/>
    <x v="833"/>
    <n v="3152.3625343060626"/>
    <n v="394.04531678825782"/>
    <n v="1576.1812671530313"/>
  </r>
  <r>
    <x v="6"/>
    <s v="NM, AM"/>
    <x v="21"/>
    <s v="SO"/>
    <n v="8.4107299999999992"/>
    <n v="83.312600000000003"/>
    <n v="150"/>
    <n v="5"/>
    <n v="19.983330554894014"/>
    <n v="0.34877491369728597"/>
    <n v="21"/>
    <n v="86"/>
    <x v="15"/>
    <x v="9"/>
    <x v="12"/>
    <s v="insularis"/>
    <n v="0.53"/>
    <x v="7"/>
    <n v="7.2"/>
    <n v="4.0715136000000008E-3"/>
    <n v="13"/>
    <n v="66"/>
    <n v="1.1519173063162575"/>
    <n v="6"/>
    <n v="17"/>
    <n v="0.29670597283903605"/>
    <x v="834"/>
    <n v="20.365817891700495"/>
    <n v="2.5457272364625618"/>
    <n v="10.182908945850247"/>
  </r>
  <r>
    <x v="6"/>
    <s v="NM, AM"/>
    <x v="21"/>
    <s v="SO"/>
    <n v="8.4107299999999992"/>
    <n v="83.312600000000003"/>
    <n v="150"/>
    <n v="5"/>
    <n v="19.983330554894014"/>
    <n v="0.34877491369728597"/>
    <n v="21"/>
    <n v="100"/>
    <x v="49"/>
    <x v="9"/>
    <x v="1"/>
    <s v="-"/>
    <n v="0.61"/>
    <x v="7"/>
    <n v="6"/>
    <n v="2.8274400000000001E-3"/>
    <n v="13"/>
    <n v="65"/>
    <n v="1.1344640137963142"/>
    <n v="5"/>
    <n v="22"/>
    <n v="0.38397243543875248"/>
    <x v="835"/>
    <n v="16.526136726792576"/>
    <n v="2.065767090849072"/>
    <n v="8.2630683633962878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65"/>
    <x v="50"/>
    <x v="12"/>
    <x v="37"/>
    <s v="sericophylla"/>
    <n v="0.57999999999999996"/>
    <x v="7"/>
    <n v="7.9"/>
    <n v="4.9016814000000008E-3"/>
    <n v="7"/>
    <n v="44"/>
    <n v="0.76794487087750496"/>
    <n v="5"/>
    <n v="23"/>
    <n v="0.4014257279586958"/>
    <x v="836"/>
    <n v="13.758041004362596"/>
    <n v="1.7197551255453245"/>
    <n v="6.879020502181298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76"/>
    <x v="35"/>
    <x v="20"/>
    <x v="27"/>
    <s v="sp."/>
    <n v="0.66"/>
    <x v="7"/>
    <n v="11"/>
    <n v="9.5033400000000007E-3"/>
    <n v="10"/>
    <n v="47"/>
    <n v="0.82030474843733492"/>
    <n v="7"/>
    <n v="7"/>
    <n v="0.12217304763960307"/>
    <x v="837"/>
    <n v="34.306087961168579"/>
    <n v="4.2882609951460724"/>
    <n v="17.15304398058429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7025"/>
    <x v="14"/>
    <x v="0"/>
    <x v="0"/>
    <s v="allenii"/>
    <n v="0.48"/>
    <x v="7"/>
    <n v="7"/>
    <n v="3.8484600000000002E-3"/>
    <n v="6"/>
    <n v="33"/>
    <n v="0.57595865315812877"/>
    <n v="5"/>
    <n v="23"/>
    <n v="0.4014257279586958"/>
    <x v="634"/>
    <n v="7.140680007620114"/>
    <n v="0.89258500095251425"/>
    <n v="3.570340003810057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04"/>
    <x v="20"/>
    <x v="12"/>
    <x v="15"/>
    <s v="dolichopoda"/>
    <n v="0.54"/>
    <x v="7"/>
    <n v="6.5"/>
    <n v="3.3183150000000001E-3"/>
    <n v="7"/>
    <n v="39"/>
    <n v="0.68067840827778847"/>
    <n v="6"/>
    <n v="23"/>
    <n v="0.4014257279586958"/>
    <x v="838"/>
    <n v="8.8330787971962543"/>
    <n v="1.1041348496495318"/>
    <n v="4.4165393985981272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70"/>
    <x v="0"/>
    <x v="0"/>
    <x v="0"/>
    <s v="ferruginea"/>
    <n v="0.37"/>
    <x v="0"/>
    <n v="7.8"/>
    <n v="4.7783736E-3"/>
    <n v="8"/>
    <n v="54"/>
    <n v="0.94247779607693793"/>
    <n v="5"/>
    <n v="12"/>
    <n v="0.20943951023931956"/>
    <x v="839"/>
    <n v="9.6450133228714563"/>
    <n v="1.205626665358932"/>
    <n v="4.8225066614357281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498"/>
    <x v="0"/>
    <x v="0"/>
    <x v="0"/>
    <s v="ferruginea"/>
    <n v="0.37"/>
    <x v="0"/>
    <n v="17.7"/>
    <n v="2.4605796599999997E-2"/>
    <n v="12"/>
    <n v="66"/>
    <n v="1.1519173063162575"/>
    <n v="6"/>
    <n v="3"/>
    <n v="5.235987755982989E-2"/>
    <x v="840"/>
    <n v="65.94884047010693"/>
    <n v="8.2436050587633662"/>
    <n v="32.974420235053465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7011"/>
    <x v="23"/>
    <x v="11"/>
    <x v="18"/>
    <s v="insipida"/>
    <n v="0.38"/>
    <x v="7"/>
    <n v="59.1"/>
    <n v="0.2743252974"/>
    <n v="19"/>
    <n v="70"/>
    <n v="1.2217304763960306"/>
    <n v="7"/>
    <n v="-5"/>
    <n v="-8.7266462599716474E-2"/>
    <x v="841"/>
    <n v="972.48776716287909"/>
    <n v="121.56097089535989"/>
    <n v="486.24388358143955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40"/>
    <x v="32"/>
    <x v="2"/>
    <x v="24"/>
    <s v="cedron"/>
    <n v="0.47"/>
    <x v="7"/>
    <n v="8.8000000000000007"/>
    <n v="6.0821376000000016E-3"/>
    <n v="13"/>
    <n v="37"/>
    <n v="0.64577182323790194"/>
    <n v="9"/>
    <n v="-3"/>
    <n v="-5.235987755982989E-2"/>
    <x v="842"/>
    <n v="14.849575653260432"/>
    <n v="1.856196956657554"/>
    <n v="7.4247878266302161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7001"/>
    <x v="2"/>
    <x v="2"/>
    <x v="2"/>
    <s v="amara"/>
    <n v="0.41699999999999998"/>
    <x v="2"/>
    <n v="5.5"/>
    <n v="2.3758350000000002E-3"/>
    <n v="9"/>
    <n v="49"/>
    <n v="0.85521133347722145"/>
    <n v="6"/>
    <n v="6"/>
    <n v="0.10471975511965978"/>
    <x v="843"/>
    <n v="5.5312943003583817"/>
    <n v="0.69141178754479771"/>
    <n v="2.7656471501791908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7026"/>
    <x v="20"/>
    <x v="12"/>
    <x v="15"/>
    <s v="dolichopoda"/>
    <n v="0.54"/>
    <x v="7"/>
    <n v="8"/>
    <n v="5.0265600000000002E-3"/>
    <n v="10"/>
    <n v="35"/>
    <n v="0.6108652381980153"/>
    <n v="7"/>
    <n v="7"/>
    <n v="0.12217304763960307"/>
    <x v="844"/>
    <n v="12.758571741730771"/>
    <n v="1.5948214677163464"/>
    <n v="6.3792858708653855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63"/>
    <x v="51"/>
    <x v="29"/>
    <x v="38"/>
    <s v="jambos"/>
    <n v="0.7"/>
    <x v="7"/>
    <n v="5.8"/>
    <n v="2.6420856E-3"/>
    <n v="8"/>
    <n v="54"/>
    <n v="0.94247779607693793"/>
    <n v="5"/>
    <n v="0"/>
    <n v="0"/>
    <x v="845"/>
    <n v="8.7474864908272405"/>
    <n v="1.0934358113534051"/>
    <n v="4.3737432454136203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14"/>
    <x v="52"/>
    <x v="3"/>
    <x v="39"/>
    <s v="purpurea"/>
    <n v="0.75"/>
    <x v="7"/>
    <n v="5.8"/>
    <n v="2.6420856E-3"/>
    <n v="8"/>
    <n v="41"/>
    <n v="0.10471975511965978"/>
    <n v="6"/>
    <n v="-3"/>
    <n v="-5.235987755982989E-2"/>
    <x v="846"/>
    <n v="0.87587059991153027"/>
    <n v="0.10948382498894128"/>
    <n v="0.43793529995576513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7006"/>
    <x v="9"/>
    <x v="7"/>
    <x v="8"/>
    <s v="argenta"/>
    <n v="0.62"/>
    <x v="7"/>
    <n v="7.3"/>
    <n v="4.1853966000000003E-3"/>
    <n v="5"/>
    <n v="40"/>
    <n v="8.7266462599716474E-2"/>
    <n v="5"/>
    <n v="9"/>
    <n v="0.15707963267948966"/>
    <x v="847"/>
    <n v="2.5017789083714939"/>
    <n v="0.31272236354643673"/>
    <n v="1.2508894541857469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16"/>
    <x v="1"/>
    <x v="1"/>
    <x v="1"/>
    <s v="-"/>
    <n v="0.57999999999999996"/>
    <x v="1"/>
    <n v="36.700000000000003"/>
    <n v="0.10578474060000001"/>
    <n v="7"/>
    <n v="71"/>
    <n v="0.12217304763960307"/>
    <n v="7"/>
    <n v="18"/>
    <n v="0.31415926535897931"/>
    <x v="848"/>
    <n v="114.74911749990558"/>
    <n v="14.343639687488198"/>
    <n v="57.37455874995279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06"/>
    <x v="0"/>
    <x v="0"/>
    <x v="0"/>
    <s v="ferruginea"/>
    <n v="0.37"/>
    <x v="0"/>
    <n v="13.6"/>
    <n v="1.4526758399999999E-2"/>
    <n v="10"/>
    <n v="53"/>
    <n v="0.12217304763960307"/>
    <n v="7"/>
    <n v="16"/>
    <n v="0.27925268031909273"/>
    <x v="849"/>
    <n v="12.111480108379093"/>
    <n v="1.5139350135473866"/>
    <n v="6.0557400541895463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11"/>
    <x v="0"/>
    <x v="0"/>
    <x v="0"/>
    <s v="ferruginea"/>
    <n v="0.37"/>
    <x v="0"/>
    <n v="14.5"/>
    <n v="1.6513035000000002E-2"/>
    <n v="11"/>
    <n v="50"/>
    <n v="0.12217304763960307"/>
    <n v="7"/>
    <n v="16"/>
    <n v="0.27925268031909273"/>
    <x v="850"/>
    <n v="14.158625780371857"/>
    <n v="1.7698282225464821"/>
    <n v="7.0793128901859284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05"/>
    <x v="53"/>
    <x v="5"/>
    <x v="1"/>
    <s v="-"/>
    <n v="0.57999999999999996"/>
    <x v="1"/>
    <n v="9.1999999999999993"/>
    <n v="6.6476255999999992E-3"/>
    <n v="7"/>
    <n v="30"/>
    <n v="0.12217304763960307"/>
    <n v="7"/>
    <n v="15"/>
    <n v="0.26179938779914941"/>
    <x v="851"/>
    <n v="7.5776189224507311"/>
    <n v="0.94720236530634139"/>
    <n v="3.7888094612253655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77"/>
    <x v="0"/>
    <x v="0"/>
    <x v="0"/>
    <s v="ferruginea"/>
    <n v="0.37"/>
    <x v="0"/>
    <n v="15.4"/>
    <n v="1.8626546400000003E-2"/>
    <n v="10"/>
    <n v="56"/>
    <n v="0.13962634015954636"/>
    <n v="8"/>
    <n v="20"/>
    <n v="0.3490658503988659"/>
    <x v="852"/>
    <n v="19.737627072516101"/>
    <n v="2.4672033840645127"/>
    <n v="9.8688135362580507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27"/>
    <x v="21"/>
    <x v="13"/>
    <x v="16"/>
    <s v="sp."/>
    <n v="0.48"/>
    <x v="7"/>
    <n v="6.8"/>
    <n v="3.6316895999999998E-3"/>
    <n v="10"/>
    <n v="40"/>
    <n v="8.7266462599716474E-2"/>
    <n v="5"/>
    <n v="6"/>
    <n v="0.10471975511965978"/>
    <x v="853"/>
    <n v="1.954387782053542"/>
    <n v="0.24429847275669275"/>
    <n v="0.97719389102677101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11"/>
    <x v="21"/>
    <x v="13"/>
    <x v="16"/>
    <s v="sp."/>
    <n v="0.48"/>
    <x v="7"/>
    <n v="7.8"/>
    <n v="4.7783736E-3"/>
    <n v="9"/>
    <n v="46"/>
    <n v="0.10471975511965978"/>
    <n v="6"/>
    <n v="8"/>
    <n v="0.13962634015954636"/>
    <x v="854"/>
    <n v="3.175378828684754"/>
    <n v="0.39692235358559425"/>
    <n v="1.587689414342377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39"/>
    <x v="1"/>
    <x v="1"/>
    <x v="1"/>
    <s v="-"/>
    <n v="0.57999999999999996"/>
    <x v="1"/>
    <n v="10"/>
    <n v="7.8539999999999999E-3"/>
    <n v="11"/>
    <n v="45"/>
    <n v="0.12217304763960307"/>
    <n v="7"/>
    <n v="6"/>
    <n v="0.10471975511965978"/>
    <x v="855"/>
    <n v="6.9974857486137063"/>
    <n v="0.87468571857671329"/>
    <n v="3.4987428743068532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73"/>
    <x v="1"/>
    <x v="1"/>
    <x v="1"/>
    <s v="-"/>
    <n v="0.57999999999999996"/>
    <x v="1"/>
    <n v="20.5"/>
    <n v="3.3006435000000001E-2"/>
    <n v="15"/>
    <n v="55"/>
    <n v="0.12217304763960307"/>
    <n v="7"/>
    <n v="6"/>
    <n v="0.10471975511965978"/>
    <x v="856"/>
    <n v="32.906773435205189"/>
    <n v="4.1133466794006486"/>
    <n v="16.453386717602594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01"/>
    <x v="0"/>
    <x v="0"/>
    <x v="0"/>
    <s v="ferruginea"/>
    <n v="0.37"/>
    <x v="0"/>
    <n v="31.1"/>
    <n v="7.5964673400000002E-2"/>
    <n v="18"/>
    <n v="75"/>
    <n v="0.12217304763960307"/>
    <n v="7"/>
    <n v="6"/>
    <n v="0.10471975511965978"/>
    <x v="857"/>
    <n v="53.526355961283791"/>
    <n v="6.6907944951604739"/>
    <n v="26.763177980641895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25"/>
    <x v="4"/>
    <x v="4"/>
    <x v="4"/>
    <s v="latifolia"/>
    <n v="0.75"/>
    <x v="4"/>
    <n v="7"/>
    <n v="3.8484600000000002E-3"/>
    <n v="8"/>
    <n v="53"/>
    <n v="8.7266462599716474E-2"/>
    <n v="5"/>
    <n v="5"/>
    <n v="8.7266462599716474E-2"/>
    <x v="858"/>
    <n v="2.5833819632069255"/>
    <n v="0.32292274540086569"/>
    <n v="1.2916909816034627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43"/>
    <x v="1"/>
    <x v="1"/>
    <x v="1"/>
    <s v="-"/>
    <n v="0.57999999999999996"/>
    <x v="1"/>
    <n v="47.8"/>
    <n v="0.17945133359999998"/>
    <n v="13"/>
    <n v="55"/>
    <n v="0.13962634015954636"/>
    <n v="8"/>
    <n v="8"/>
    <n v="0.13962634015954636"/>
    <x v="859"/>
    <n v="183.07818726727356"/>
    <n v="22.884773408409195"/>
    <n v="91.539093633636782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82"/>
    <x v="0"/>
    <x v="0"/>
    <x v="0"/>
    <s v="ferruginea"/>
    <n v="0.37"/>
    <x v="0"/>
    <n v="16.600000000000001"/>
    <n v="2.1642482400000006E-2"/>
    <n v="11"/>
    <n v="55"/>
    <n v="8.7266462599716474E-2"/>
    <n v="5"/>
    <n v="18"/>
    <n v="0.31415926535897931"/>
    <x v="860"/>
    <n v="14.205545040696885"/>
    <n v="1.7756931300871106"/>
    <n v="7.1027725203484424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7009"/>
    <x v="1"/>
    <x v="1"/>
    <x v="1"/>
    <s v="-"/>
    <n v="0.57999999999999996"/>
    <x v="1"/>
    <n v="24"/>
    <n v="4.5239040000000001E-2"/>
    <n v="11"/>
    <n v="60"/>
    <n v="0.12217304763960307"/>
    <n v="7"/>
    <n v="17"/>
    <n v="0.29670597283903605"/>
    <x v="861"/>
    <n v="57.587378189544282"/>
    <n v="7.1984222736930352"/>
    <n v="28.793689094772141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00"/>
    <x v="1"/>
    <x v="1"/>
    <x v="1"/>
    <s v="-"/>
    <n v="0.57999999999999996"/>
    <x v="1"/>
    <n v="12.2"/>
    <n v="1.1689893599999999E-2"/>
    <n v="16"/>
    <n v="40"/>
    <n v="0.69813170079773179"/>
    <n v="7"/>
    <n v="17"/>
    <n v="0.29670597283903605"/>
    <x v="862"/>
    <n v="54.373296032147444"/>
    <n v="6.7966620040184305"/>
    <n v="27.186648016073722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529"/>
    <x v="1"/>
    <x v="1"/>
    <x v="1"/>
    <s v="-"/>
    <n v="0.57999999999999996"/>
    <x v="1"/>
    <n v="18.100000000000001"/>
    <n v="2.5730489400000008E-2"/>
    <n v="10"/>
    <n v="55"/>
    <n v="0.95993108859688125"/>
    <n v="6"/>
    <n v="19"/>
    <n v="0.33161255787892263"/>
    <x v="863"/>
    <n v="95.015365225681833"/>
    <n v="11.876920653210229"/>
    <n v="47.507682612840917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37"/>
    <x v="1"/>
    <x v="1"/>
    <x v="1"/>
    <s v="-"/>
    <n v="0.57999999999999996"/>
    <x v="1"/>
    <n v="14.5"/>
    <n v="1.6513035000000002E-2"/>
    <n v="10"/>
    <n v="45"/>
    <n v="0.78539816339744828"/>
    <n v="6"/>
    <n v="19"/>
    <n v="0.33161255787892263"/>
    <x v="864"/>
    <n v="56.098672898132612"/>
    <n v="7.0123341122665765"/>
    <n v="28.049336449066306"/>
  </r>
  <r>
    <x v="9"/>
    <s v="NM, AM, EC, EL"/>
    <x v="22"/>
    <s v="SO"/>
    <n v="8.4093300000000006"/>
    <n v="83.312430000000006"/>
    <n v="150"/>
    <n v="-18"/>
    <n v="-5.4954255543470261"/>
    <n v="-9.5913269721590186E-2"/>
    <n v="21.096964869155499"/>
    <n v="6009"/>
    <x v="17"/>
    <x v="10"/>
    <x v="13"/>
    <s v="sp."/>
    <n v="0.57999999999999996"/>
    <x v="7"/>
    <n v="7.2"/>
    <n v="4.0715136000000008E-3"/>
    <n v="8"/>
    <n v="59"/>
    <n v="1.0297442586766545"/>
    <n v="5"/>
    <n v="16"/>
    <n v="0.27925268031909273"/>
    <x v="865"/>
    <n v="13.804444980509103"/>
    <n v="1.7255556225636379"/>
    <n v="6.9022224902545517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624"/>
    <x v="42"/>
    <x v="23"/>
    <x v="32"/>
    <s v="ulmifolia"/>
    <n v="0.51"/>
    <x v="7"/>
    <n v="16.5"/>
    <n v="2.1382515000000001E-2"/>
    <n v="6"/>
    <n v="47"/>
    <n v="0.82030474843733492"/>
    <n v="7"/>
    <n v="-2"/>
    <n v="-3.4906585039886591E-2"/>
    <x v="866"/>
    <n v="30.493332963232628"/>
    <n v="3.8116666204040786"/>
    <n v="15.246666481616314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005"/>
    <x v="17"/>
    <x v="10"/>
    <x v="13"/>
    <s v="sp."/>
    <n v="0.57999999999999996"/>
    <x v="7"/>
    <n v="19.5"/>
    <n v="2.9864835000000003E-2"/>
    <n v="8"/>
    <n v="69"/>
    <n v="1.2042771838760873"/>
    <n v="5"/>
    <n v="1"/>
    <n v="1.7453292519943295E-2"/>
    <x v="867"/>
    <n v="82.858759705658301"/>
    <n v="10.357344963207288"/>
    <n v="41.42937985282915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008"/>
    <x v="54"/>
    <x v="19"/>
    <x v="40"/>
    <s v="sp."/>
    <n v="0.39"/>
    <x v="7"/>
    <n v="52.3"/>
    <n v="0.21482967659999996"/>
    <n v="11"/>
    <n v="74"/>
    <n v="1.2915436464758039"/>
    <n v="6"/>
    <n v="-5"/>
    <n v="-8.7266462599716474E-2"/>
    <x v="868"/>
    <n v="476.78224811937838"/>
    <n v="59.597781014922298"/>
    <n v="238.39112405968919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558"/>
    <x v="3"/>
    <x v="3"/>
    <x v="3"/>
    <s v="parahyba"/>
    <n v="0.315"/>
    <x v="3"/>
    <n v="8.9"/>
    <n v="6.2211534000000011E-3"/>
    <n v="11"/>
    <n v="49"/>
    <n v="0.85521133347722145"/>
    <n v="6"/>
    <n v="19"/>
    <n v="0.33161255787892263"/>
    <x v="869"/>
    <n v="14.236882816620835"/>
    <n v="1.7796103520776043"/>
    <n v="7.1184414083104173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023"/>
    <x v="17"/>
    <x v="10"/>
    <x v="13"/>
    <s v="sp."/>
    <n v="0.57999999999999996"/>
    <x v="7"/>
    <n v="29"/>
    <n v="6.6052140000000009E-2"/>
    <n v="12"/>
    <n v="57"/>
    <n v="0.99483767363676789"/>
    <n v="7"/>
    <n v="11"/>
    <n v="0.19198621771937624"/>
    <x v="870"/>
    <n v="257.20087316964054"/>
    <n v="32.150109146205068"/>
    <n v="128.60043658482027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7022"/>
    <x v="3"/>
    <x v="3"/>
    <x v="3"/>
    <s v="parahyba"/>
    <n v="0.315"/>
    <x v="3"/>
    <n v="6.8"/>
    <n v="3.6316895999999998E-3"/>
    <n v="10"/>
    <n v="41"/>
    <n v="0.71558499331767511"/>
    <n v="6"/>
    <n v="18"/>
    <n v="0.31415926535897931"/>
    <x v="871"/>
    <n v="7.1273213607040073"/>
    <n v="0.89091517008800092"/>
    <n v="3.5636606803520037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7019"/>
    <x v="1"/>
    <x v="1"/>
    <x v="1"/>
    <s v="-"/>
    <n v="0.57999999999999996"/>
    <x v="1"/>
    <n v="7.5"/>
    <n v="4.4178749999999999E-3"/>
    <n v="9"/>
    <n v="24"/>
    <n v="0.41887902047863912"/>
    <n v="6"/>
    <n v="24"/>
    <n v="0.41887902047863912"/>
    <x v="872"/>
    <n v="11.242929718950348"/>
    <n v="1.4053662148687935"/>
    <n v="5.6214648594751742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026"/>
    <x v="1"/>
    <x v="1"/>
    <x v="1"/>
    <s v="-"/>
    <n v="0.57999999999999996"/>
    <x v="1"/>
    <n v="7"/>
    <n v="3.8484600000000002E-3"/>
    <n v="7"/>
    <n v="24"/>
    <n v="0.41887902047863912"/>
    <n v="5"/>
    <n v="28"/>
    <n v="0.48869219055841229"/>
    <x v="873"/>
    <n v="8.4894704514110231"/>
    <n v="1.0611838064263779"/>
    <n v="4.2447352257055115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496"/>
    <x v="32"/>
    <x v="2"/>
    <x v="24"/>
    <s v="cedron"/>
    <n v="0.47"/>
    <x v="7"/>
    <n v="9.6"/>
    <n v="7.2382464000000004E-3"/>
    <n v="5"/>
    <n v="31"/>
    <n v="0.54105206811824214"/>
    <n v="5"/>
    <n v="26"/>
    <n v="0.4537856055185257"/>
    <x v="874"/>
    <n v="11.637455070109242"/>
    <n v="1.4546818837636553"/>
    <n v="5.818727535054621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029"/>
    <x v="14"/>
    <x v="0"/>
    <x v="0"/>
    <s v="allenii"/>
    <n v="0.48"/>
    <x v="7"/>
    <n v="9.5"/>
    <n v="7.088235E-3"/>
    <n v="7"/>
    <n v="32"/>
    <n v="0.55850536063818546"/>
    <n v="6"/>
    <n v="17"/>
    <n v="0.29670597283903605"/>
    <x v="875"/>
    <n v="13.230732455475801"/>
    <n v="1.6538415569344751"/>
    <n v="6.6153662277379004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578"/>
    <x v="1"/>
    <x v="1"/>
    <x v="1"/>
    <s v="-"/>
    <n v="0.57999999999999996"/>
    <x v="1"/>
    <n v="9.1999999999999993"/>
    <n v="6.6476255999999992E-3"/>
    <n v="7"/>
    <n v="33"/>
    <n v="0.57595865315812877"/>
    <n v="5"/>
    <n v="11"/>
    <n v="0.19198621771937624"/>
    <x v="876"/>
    <n v="13.089237044274713"/>
    <n v="1.6361546305343391"/>
    <n v="6.5446185221373563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019"/>
    <x v="19"/>
    <x v="12"/>
    <x v="1"/>
    <s v="-"/>
    <n v="0.59"/>
    <x v="7"/>
    <n v="12.2"/>
    <n v="1.1689893599999999E-2"/>
    <n v="6"/>
    <n v="27"/>
    <n v="0.47123889803846897"/>
    <n v="5"/>
    <n v="9"/>
    <n v="0.15707963267948966"/>
    <x v="877"/>
    <n v="16.941650529785193"/>
    <n v="2.1177063162231491"/>
    <n v="8.4708252648925964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564"/>
    <x v="17"/>
    <x v="10"/>
    <x v="13"/>
    <s v="sp."/>
    <n v="0.57999999999999996"/>
    <x v="7"/>
    <n v="5.8"/>
    <n v="2.6420856E-3"/>
    <n v="7"/>
    <n v="50"/>
    <n v="0.87266462599716477"/>
    <n v="5"/>
    <n v="4"/>
    <n v="6.9813170079773182E-2"/>
    <x v="878"/>
    <n v="6.5169557944801584"/>
    <n v="0.8146194743100198"/>
    <n v="3.2584778972400792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034"/>
    <x v="14"/>
    <x v="0"/>
    <x v="0"/>
    <s v="allenii"/>
    <n v="0.48"/>
    <x v="7"/>
    <n v="11.3"/>
    <n v="1.0028772600000001E-2"/>
    <n v="11"/>
    <n v="62"/>
    <n v="1.0821041362364843"/>
    <n v="5"/>
    <n v="2"/>
    <n v="3.4906585039886591E-2"/>
    <x v="879"/>
    <n v="32.016463494169464"/>
    <n v="4.002057936771183"/>
    <n v="16.008231747084732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536"/>
    <x v="20"/>
    <x v="12"/>
    <x v="15"/>
    <s v="dolichopoda"/>
    <n v="0.54"/>
    <x v="7"/>
    <n v="9.1999999999999993"/>
    <n v="6.6476255999999992E-3"/>
    <n v="9"/>
    <n v="63"/>
    <n v="1.0995574287564276"/>
    <n v="5"/>
    <n v="1"/>
    <n v="1.7453292519943295E-2"/>
    <x v="880"/>
    <n v="20.16170833038931"/>
    <n v="2.5202135412986637"/>
    <n v="10.080854165194655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583"/>
    <x v="0"/>
    <x v="0"/>
    <x v="0"/>
    <s v="ferruginea"/>
    <n v="0.37"/>
    <x v="0"/>
    <n v="7"/>
    <n v="3.8484600000000002E-3"/>
    <n v="9"/>
    <n v="47"/>
    <n v="0.82030474843733492"/>
    <n v="6"/>
    <n v="1"/>
    <n v="1.7453292519943295E-2"/>
    <x v="881"/>
    <n v="7.0545100867610255"/>
    <n v="0.88181376084512819"/>
    <n v="3.5272550433805128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7029"/>
    <x v="1"/>
    <x v="1"/>
    <x v="1"/>
    <s v="-"/>
    <n v="0.57999999999999996"/>
    <x v="1"/>
    <n v="29"/>
    <n v="6.6052140000000009E-2"/>
    <n v="13"/>
    <n v="73"/>
    <n v="1.2740903539558606"/>
    <n v="5"/>
    <n v="-1"/>
    <n v="-1.7453292519943295E-2"/>
    <x v="882"/>
    <n v="277.19409366868643"/>
    <n v="34.649261708585804"/>
    <n v="138.59704683434322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566"/>
    <x v="21"/>
    <x v="13"/>
    <x v="16"/>
    <s v="sp."/>
    <n v="0.48"/>
    <x v="7"/>
    <n v="6.7"/>
    <n v="3.5256606000000001E-3"/>
    <n v="9"/>
    <n v="51"/>
    <n v="0.89011791851710809"/>
    <n v="5"/>
    <n v="1"/>
    <n v="1.7453292519943295E-2"/>
    <x v="883"/>
    <n v="8.7573200202606287"/>
    <n v="1.0946650025325786"/>
    <n v="4.3786600101303144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7025"/>
    <x v="1"/>
    <x v="1"/>
    <x v="1"/>
    <s v="-"/>
    <n v="0.57999999999999996"/>
    <x v="1"/>
    <n v="25.6"/>
    <n v="5.1471974400000009E-2"/>
    <n v="14"/>
    <n v="59"/>
    <n v="1.0297442586766545"/>
    <n v="6"/>
    <n v="2"/>
    <n v="3.4906585039886591E-2"/>
    <x v="884"/>
    <n v="217.00971366464219"/>
    <n v="27.126214208080274"/>
    <n v="108.5048568323211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7012"/>
    <x v="1"/>
    <x v="1"/>
    <x v="1"/>
    <s v="-"/>
    <n v="0.57999999999999996"/>
    <x v="1"/>
    <n v="26.6"/>
    <n v="5.5571762400000009E-2"/>
    <n v="13"/>
    <n v="67"/>
    <n v="1.1693705988362009"/>
    <n v="7"/>
    <n v="9"/>
    <n v="0.15707963267948966"/>
    <x v="885"/>
    <n v="248.48389440763066"/>
    <n v="31.060486800953832"/>
    <n v="124.24194720381533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035"/>
    <x v="1"/>
    <x v="1"/>
    <x v="1"/>
    <s v="-"/>
    <n v="0.57999999999999996"/>
    <x v="1"/>
    <n v="22.8"/>
    <n v="4.0828233600000007E-2"/>
    <n v="14"/>
    <n v="59"/>
    <n v="1.0297442586766545"/>
    <n v="7"/>
    <n v="9"/>
    <n v="0.15707963267948966"/>
    <x v="886"/>
    <n v="186.42007335010209"/>
    <n v="23.302509168762761"/>
    <n v="93.210036675051043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6025"/>
    <x v="1"/>
    <x v="1"/>
    <x v="1"/>
    <s v="-"/>
    <n v="0.57999999999999996"/>
    <x v="1"/>
    <n v="22.8"/>
    <n v="4.0828233600000007E-2"/>
    <n v="12"/>
    <n v="42"/>
    <n v="0.73303828583761843"/>
    <n v="7"/>
    <n v="9"/>
    <n v="0.15707963267948966"/>
    <x v="887"/>
    <n v="132.74034262972671"/>
    <n v="16.592542828715839"/>
    <n v="66.370171314863356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7015"/>
    <x v="1"/>
    <x v="1"/>
    <x v="1"/>
    <s v="-"/>
    <n v="0.57999999999999996"/>
    <x v="1"/>
    <n v="16.5"/>
    <n v="2.1382515000000001E-2"/>
    <n v="16"/>
    <n v="70"/>
    <n v="1.2217304763960306"/>
    <n v="5"/>
    <n v="0"/>
    <n v="0"/>
    <x v="888"/>
    <n v="115.56685680891978"/>
    <n v="14.445857101114973"/>
    <n v="57.78342840445989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575"/>
    <x v="1"/>
    <x v="1"/>
    <x v="1"/>
    <s v="-"/>
    <n v="0.57999999999999996"/>
    <x v="1"/>
    <n v="17.2"/>
    <n v="2.3235273599999998E-2"/>
    <n v="14"/>
    <n v="73"/>
    <n v="1.2740903539558606"/>
    <n v="5"/>
    <n v="1"/>
    <n v="1.7453292519943295E-2"/>
    <x v="889"/>
    <n v="112.73287357858982"/>
    <n v="14.091609197323727"/>
    <n v="56.366436789294909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569"/>
    <x v="14"/>
    <x v="0"/>
    <x v="0"/>
    <s v="allenii"/>
    <n v="0.48"/>
    <x v="7"/>
    <n v="9.5"/>
    <n v="7.088235E-3"/>
    <n v="6"/>
    <n v="46"/>
    <n v="0.8028514559173916"/>
    <n v="5"/>
    <n v="21"/>
    <n v="0.36651914291880922"/>
    <x v="890"/>
    <n v="14.692166170588695"/>
    <n v="1.8365207713235869"/>
    <n v="7.3460830852943477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582"/>
    <x v="17"/>
    <x v="10"/>
    <x v="13"/>
    <s v="sp."/>
    <n v="0.57999999999999996"/>
    <x v="7"/>
    <n v="27.6"/>
    <n v="5.9828630400000013E-2"/>
    <n v="10"/>
    <n v="50"/>
    <n v="0.87266462599716477"/>
    <n v="6"/>
    <n v="20"/>
    <n v="0.3490658503988659"/>
    <x v="891"/>
    <n v="201.59837341407791"/>
    <n v="25.199796676759739"/>
    <n v="100.79918670703896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7027"/>
    <x v="17"/>
    <x v="10"/>
    <x v="13"/>
    <s v="sp."/>
    <n v="0.57999999999999996"/>
    <x v="7"/>
    <n v="29"/>
    <n v="6.6052140000000009E-2"/>
    <n v="14"/>
    <n v="52"/>
    <n v="0.90757121103705141"/>
    <n v="6"/>
    <n v="12"/>
    <n v="0.20943951023931956"/>
    <x v="892"/>
    <n v="275.82023632565409"/>
    <n v="34.477529540706762"/>
    <n v="137.91011816282705"/>
  </r>
  <r>
    <x v="8"/>
    <s v="NM, AM, EC"/>
    <x v="23"/>
    <s v="SO"/>
    <n v="8.4097399999999993"/>
    <n v="83.312539999999998"/>
    <n v="200"/>
    <n v="-17"/>
    <n v="-5.8255767953622053"/>
    <n v="-0.1016754959068504"/>
    <n v="21.109017558230889"/>
    <n v="7021"/>
    <x v="21"/>
    <x v="13"/>
    <x v="16"/>
    <s v="sp."/>
    <n v="0.48"/>
    <x v="7"/>
    <n v="6.7"/>
    <n v="3.5256606000000001E-3"/>
    <n v="10"/>
    <n v="45"/>
    <n v="0.78539816339744828"/>
    <n v="6"/>
    <n v="15"/>
    <n v="0.26179938779914941"/>
    <x v="893"/>
    <n v="10.539366043155876"/>
    <n v="1.3174207553944846"/>
    <n v="5.2696830215779382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7"/>
    <x v="0"/>
    <x v="0"/>
    <x v="0"/>
    <s v="ferruginea"/>
    <n v="0.37"/>
    <x v="0"/>
    <n v="25.2"/>
    <n v="4.9876041599999997E-2"/>
    <n v="20"/>
    <n v="80"/>
    <n v="1.3962634015954636"/>
    <n v="6"/>
    <n v="8"/>
    <n v="0.13962634015954636"/>
    <x v="894"/>
    <n v="225.04724782854484"/>
    <n v="28.130905978568105"/>
    <n v="112.52362391427242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8"/>
    <x v="1"/>
    <x v="1"/>
    <x v="1"/>
    <s v="-"/>
    <n v="0.57999999999999996"/>
    <x v="1"/>
    <n v="20"/>
    <n v="3.1415999999999999E-2"/>
    <n v="15"/>
    <n v="70"/>
    <n v="1.2217304763960306"/>
    <n v="6"/>
    <n v="12"/>
    <n v="0.20943951023931956"/>
    <x v="895"/>
    <n v="169.11119385491673"/>
    <n v="21.138899231864592"/>
    <n v="84.555596927458367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9"/>
    <x v="0"/>
    <x v="0"/>
    <x v="0"/>
    <s v="ferruginea"/>
    <n v="0.37"/>
    <x v="0"/>
    <n v="25.5"/>
    <n v="5.1070635000000003E-2"/>
    <n v="13"/>
    <n v="88"/>
    <n v="1.5358897417550099"/>
    <n v="5"/>
    <n v="16"/>
    <n v="0.27925268031909273"/>
    <x v="896"/>
    <n v="164.54467921541718"/>
    <n v="20.568084901927147"/>
    <n v="82.272339607708588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10"/>
    <x v="55"/>
    <x v="28"/>
    <x v="41"/>
    <s v="amazonia"/>
    <n v="0.52"/>
    <x v="10"/>
    <n v="28.5"/>
    <n v="6.3794114999999998E-2"/>
    <n v="17"/>
    <n v="70"/>
    <n v="1.2217304763960306"/>
    <n v="6"/>
    <n v="22"/>
    <n v="0.38397243543875248"/>
    <x v="897"/>
    <n v="349.12645475886501"/>
    <n v="43.640806844858126"/>
    <n v="174.5632273794325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11"/>
    <x v="55"/>
    <x v="28"/>
    <x v="41"/>
    <s v="amazonia"/>
    <n v="0.52"/>
    <x v="10"/>
    <n v="30.6"/>
    <n v="7.3541714400000013E-2"/>
    <n v="17"/>
    <n v="84"/>
    <n v="1.4660765716752369"/>
    <n v="5"/>
    <n v="22"/>
    <n v="0.38397243543875248"/>
    <x v="898"/>
    <n v="410.51869316039893"/>
    <n v="51.314836645049866"/>
    <n v="205.25934658019946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12"/>
    <x v="55"/>
    <x v="28"/>
    <x v="41"/>
    <s v="amazonia"/>
    <n v="0.52"/>
    <x v="10"/>
    <n v="38.799999999999997"/>
    <n v="0.11823725759999999"/>
    <n v="20"/>
    <n v="82"/>
    <n v="1.4311699866353502"/>
    <n v="5"/>
    <n v="12"/>
    <n v="0.20943951023931956"/>
    <x v="899"/>
    <n v="707.5688801344586"/>
    <n v="88.446110016807324"/>
    <n v="353.7844400672293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13"/>
    <x v="7"/>
    <x v="6"/>
    <x v="6"/>
    <s v="quinata"/>
    <n v="0.48"/>
    <x v="6"/>
    <n v="45.3"/>
    <n v="0.16117114859999998"/>
    <n v="20"/>
    <n v="72"/>
    <n v="1.2566370614359172"/>
    <n v="5"/>
    <n v="17"/>
    <n v="0.29670597283903605"/>
    <x v="900"/>
    <n v="863.77938121812861"/>
    <n v="107.97242265226608"/>
    <n v="431.8896906090643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14"/>
    <x v="7"/>
    <x v="6"/>
    <x v="6"/>
    <s v="quinata"/>
    <n v="0.48"/>
    <x v="6"/>
    <n v="18"/>
    <n v="2.5446960000000001E-2"/>
    <n v="8"/>
    <n v="40"/>
    <n v="0.69813170079773179"/>
    <n v="5"/>
    <n v="15"/>
    <n v="0.26179938779914941"/>
    <x v="901"/>
    <n v="51.317440968464346"/>
    <n v="6.4146801210580433"/>
    <n v="25.658720484232173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15"/>
    <x v="7"/>
    <x v="6"/>
    <x v="6"/>
    <s v="quinata"/>
    <n v="0.48"/>
    <x v="6"/>
    <n v="15.3"/>
    <n v="1.8385428600000003E-2"/>
    <n v="5"/>
    <n v="30"/>
    <n v="0.52359877559829882"/>
    <n v="5"/>
    <n v="35"/>
    <n v="0.6108652381980153"/>
    <x v="902"/>
    <n v="31.875952491602945"/>
    <n v="3.9844940614503681"/>
    <n v="15.937976245801472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16"/>
    <x v="0"/>
    <x v="0"/>
    <x v="0"/>
    <s v="ferruginea"/>
    <n v="0.37"/>
    <x v="0"/>
    <n v="47.8"/>
    <n v="0.17945133359999998"/>
    <n v="18"/>
    <n v="71"/>
    <n v="1.2391837689159739"/>
    <n v="5"/>
    <n v="20"/>
    <n v="0.3490658503988659"/>
    <x v="903"/>
    <n v="687.81079088793092"/>
    <n v="85.976348860991365"/>
    <n v="343.90539544396546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1"/>
    <x v="7"/>
    <x v="6"/>
    <x v="6"/>
    <s v="quinata"/>
    <n v="0.48"/>
    <x v="6"/>
    <n v="6"/>
    <n v="2.8274400000000001E-3"/>
    <n v="7"/>
    <n v="26"/>
    <n v="0.4537856055185257"/>
    <n v="6"/>
    <n v="20"/>
    <n v="0.3490658503988659"/>
    <x v="904"/>
    <n v="5.2471552493107811"/>
    <n v="0.65589440616384764"/>
    <n v="2.6235776246553906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2"/>
    <x v="4"/>
    <x v="4"/>
    <x v="4"/>
    <s v="latifolia"/>
    <n v="0.75"/>
    <x v="4"/>
    <n v="7.4"/>
    <n v="4.3008504000000003E-3"/>
    <n v="7"/>
    <n v="40"/>
    <n v="0.69813170079773179"/>
    <n v="6"/>
    <n v="21"/>
    <n v="0.36651914291880922"/>
    <x v="905"/>
    <n v="15.135966522499398"/>
    <n v="1.8919958153124248"/>
    <n v="7.5679832612496991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3"/>
    <x v="0"/>
    <x v="0"/>
    <x v="0"/>
    <s v="ferruginea"/>
    <n v="0.37"/>
    <x v="0"/>
    <n v="9.1999999999999993"/>
    <n v="6.6476255999999992E-3"/>
    <n v="8"/>
    <n v="78"/>
    <n v="1.3613568165555769"/>
    <n v="5"/>
    <n v="12"/>
    <n v="0.20943951023931956"/>
    <x v="906"/>
    <n v="15.370870564893396"/>
    <n v="1.9213588206116745"/>
    <n v="7.685435282446698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4"/>
    <x v="1"/>
    <x v="1"/>
    <x v="1"/>
    <s v="-"/>
    <n v="0.57999999999999996"/>
    <x v="1"/>
    <n v="14.3"/>
    <n v="1.60606446E-2"/>
    <n v="10"/>
    <n v="73"/>
    <n v="1.2740903539558606"/>
    <n v="5"/>
    <n v="10"/>
    <n v="0.17453292519943295"/>
    <x v="907"/>
    <n v="62.625825437783632"/>
    <n v="7.828228179722954"/>
    <n v="31.312912718891816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5"/>
    <x v="1"/>
    <x v="1"/>
    <x v="1"/>
    <s v="-"/>
    <n v="0.57999999999999996"/>
    <x v="1"/>
    <n v="12"/>
    <n v="1.130976E-2"/>
    <n v="16"/>
    <n v="70"/>
    <n v="1.2217304763960306"/>
    <n v="5"/>
    <n v="16"/>
    <n v="0.27925268031909273"/>
    <x v="908"/>
    <n v="68.964906644312293"/>
    <n v="8.6206133305390367"/>
    <n v="34.482453322156147"/>
  </r>
  <r>
    <x v="10"/>
    <s v="NM, AM"/>
    <x v="24"/>
    <s v="SO"/>
    <n v="8.4116700000000009"/>
    <n v="83.311890000000005"/>
    <n v="200"/>
    <n v="12"/>
    <n v="8.2932948805945319"/>
    <n v="0.14474530150516457"/>
    <n v="21.221924545521965"/>
    <n v="6"/>
    <x v="0"/>
    <x v="0"/>
    <x v="0"/>
    <s v="ferruginea"/>
    <n v="0.37"/>
    <x v="0"/>
    <n v="12"/>
    <n v="1.130976E-2"/>
    <n v="14"/>
    <n v="75"/>
    <n v="1.3089969389957472"/>
    <n v="5"/>
    <n v="16"/>
    <n v="0.27925268031909273"/>
    <x v="909"/>
    <n v="41.272296844410214"/>
    <n v="5.1590371055512767"/>
    <n v="20.636148422205107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63"/>
    <x v="55"/>
    <x v="28"/>
    <x v="41"/>
    <s v="amazonia"/>
    <n v="0.52"/>
    <x v="10"/>
    <n v="8.1999999999999993"/>
    <n v="5.2810295999999998E-3"/>
    <n v="8"/>
    <n v="42"/>
    <n v="0.73303828583761843"/>
    <n v="5"/>
    <n v="21"/>
    <n v="0.36651914291880922"/>
    <x v="910"/>
    <n v="13.919717207951265"/>
    <n v="1.7399646509939082"/>
    <n v="6.9598586039756327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66"/>
    <x v="55"/>
    <x v="28"/>
    <x v="41"/>
    <s v="amazonia"/>
    <n v="0.52"/>
    <x v="10"/>
    <n v="6.8"/>
    <n v="3.6316895999999998E-3"/>
    <n v="8"/>
    <n v="42"/>
    <n v="0.73303828583761843"/>
    <n v="5"/>
    <n v="21"/>
    <n v="0.36651914291880922"/>
    <x v="910"/>
    <n v="9.7898745273770853"/>
    <n v="1.2237343159221357"/>
    <n v="4.8949372636885427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68"/>
    <x v="14"/>
    <x v="0"/>
    <x v="0"/>
    <s v="allenii"/>
    <n v="0.48"/>
    <x v="7"/>
    <n v="9"/>
    <n v="6.3617400000000003E-3"/>
    <n v="8"/>
    <n v="42"/>
    <n v="0.73303828583761843"/>
    <n v="5"/>
    <n v="21"/>
    <n v="0.36651914291880922"/>
    <x v="910"/>
    <n v="15.380126504906015"/>
    <n v="1.9225158131132518"/>
    <n v="7.6900632524530073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71"/>
    <x v="0"/>
    <x v="0"/>
    <x v="0"/>
    <s v="ferruginea"/>
    <n v="0.37"/>
    <x v="0"/>
    <n v="5.7"/>
    <n v="2.5517646000000004E-3"/>
    <n v="8"/>
    <n v="42"/>
    <n v="0.73303828583761843"/>
    <n v="5"/>
    <n v="21"/>
    <n v="0.36651914291880922"/>
    <x v="910"/>
    <n v="5.1023656252301546"/>
    <n v="0.63779570315376932"/>
    <n v="2.5511828126150773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62"/>
    <x v="4"/>
    <x v="4"/>
    <x v="4"/>
    <s v="latifolia"/>
    <n v="0.75"/>
    <x v="4"/>
    <n v="5.5"/>
    <n v="2.3758350000000002E-3"/>
    <n v="8"/>
    <n v="42"/>
    <n v="0.73303828583761843"/>
    <n v="5"/>
    <n v="21"/>
    <n v="0.36651914291880922"/>
    <x v="910"/>
    <n v="9.2695077226692888"/>
    <n v="1.1586884653336611"/>
    <n v="4.6347538613346444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65"/>
    <x v="0"/>
    <x v="0"/>
    <x v="0"/>
    <s v="ferruginea"/>
    <n v="0.37"/>
    <x v="0"/>
    <n v="8.3000000000000007"/>
    <n v="5.4106206000000016E-3"/>
    <n v="8"/>
    <n v="42"/>
    <n v="0.73303828583761843"/>
    <n v="6"/>
    <n v="23"/>
    <n v="0.4014257279586958"/>
    <x v="911"/>
    <n v="11.091831024545995"/>
    <n v="1.3864788780682493"/>
    <n v="5.5459155122729973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47"/>
    <x v="14"/>
    <x v="0"/>
    <x v="0"/>
    <s v="allenii"/>
    <n v="0.48"/>
    <x v="7"/>
    <n v="5.6"/>
    <n v="2.4630143999999996E-3"/>
    <n v="6"/>
    <n v="20"/>
    <n v="0.3490658503988659"/>
    <n v="5"/>
    <n v="25"/>
    <n v="0.43633231299858238"/>
    <x v="552"/>
    <n v="3.7956038279876338"/>
    <n v="0.47445047849845423"/>
    <n v="1.8978019139938169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87"/>
    <x v="0"/>
    <x v="0"/>
    <x v="0"/>
    <s v="ferruginea"/>
    <n v="0.37"/>
    <x v="0"/>
    <n v="10.6"/>
    <n v="8.8247544000000008E-3"/>
    <n v="8"/>
    <n v="42"/>
    <n v="0.73303828583761843"/>
    <n v="5"/>
    <n v="21"/>
    <n v="0.36651914291880922"/>
    <x v="910"/>
    <n v="16.379546530025703"/>
    <n v="2.0474433162532129"/>
    <n v="8.1897732650128514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33"/>
    <x v="0"/>
    <x v="0"/>
    <x v="0"/>
    <s v="ferruginea"/>
    <n v="0.37"/>
    <x v="0"/>
    <n v="6.4"/>
    <n v="3.2169984000000006E-3"/>
    <n v="6"/>
    <n v="20"/>
    <n v="0.3490658503988659"/>
    <n v="6"/>
    <n v="25"/>
    <n v="0.43633231299858238"/>
    <x v="549"/>
    <n v="4.1831227542362583"/>
    <n v="0.52289034427953229"/>
    <n v="2.0915613771181292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34"/>
    <x v="4"/>
    <x v="4"/>
    <x v="4"/>
    <s v="latifolia"/>
    <n v="0.75"/>
    <x v="4"/>
    <n v="6.3"/>
    <n v="3.1172525999999998E-3"/>
    <n v="7"/>
    <n v="30"/>
    <n v="0.52359877559829882"/>
    <n v="6"/>
    <n v="24"/>
    <n v="0.41887902047863912"/>
    <x v="545"/>
    <n v="10.059297549706308"/>
    <n v="1.2574121937132885"/>
    <n v="5.029648774853154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35"/>
    <x v="4"/>
    <x v="4"/>
    <x v="4"/>
    <s v="latifolia"/>
    <n v="0.75"/>
    <x v="4"/>
    <n v="6.7"/>
    <n v="3.5256606000000001E-3"/>
    <n v="8"/>
    <n v="44"/>
    <n v="0.76794487087750496"/>
    <n v="6"/>
    <n v="24"/>
    <n v="0.41887902047863912"/>
    <x v="546"/>
    <n v="14.935730481798526"/>
    <n v="1.8669663102248157"/>
    <n v="7.467865240899263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54"/>
    <x v="7"/>
    <x v="6"/>
    <x v="6"/>
    <s v="quinata"/>
    <n v="0.48"/>
    <x v="6"/>
    <n v="12.6"/>
    <n v="1.2469010399999999E-2"/>
    <n v="8"/>
    <n v="44"/>
    <n v="0.76794487087750496"/>
    <n v="6"/>
    <n v="24"/>
    <n v="0.41887902047863912"/>
    <x v="546"/>
    <n v="32.189307923643455"/>
    <n v="4.0236634904554318"/>
    <n v="16.094653961821727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43"/>
    <x v="7"/>
    <x v="6"/>
    <x v="6"/>
    <s v="quinata"/>
    <n v="0.48"/>
    <x v="6"/>
    <n v="13.6"/>
    <n v="1.4526758399999999E-2"/>
    <n v="7"/>
    <n v="30"/>
    <n v="0.52359877559829882"/>
    <n v="6"/>
    <n v="24"/>
    <n v="0.41887902047863912"/>
    <x v="545"/>
    <n v="28.097633599642553"/>
    <n v="3.5122041999553191"/>
    <n v="14.048816799821276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86"/>
    <x v="1"/>
    <x v="1"/>
    <x v="1"/>
    <s v="-"/>
    <n v="0.57999999999999996"/>
    <x v="1"/>
    <n v="13.5"/>
    <n v="1.4313915E-2"/>
    <n v="8"/>
    <n v="44"/>
    <n v="0.76794487087750496"/>
    <n v="6"/>
    <n v="24"/>
    <n v="0.41887902047863912"/>
    <x v="546"/>
    <n v="43.782247342390427"/>
    <n v="5.4727809177988034"/>
    <n v="21.891123671195214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49"/>
    <x v="13"/>
    <x v="5"/>
    <x v="1"/>
    <s v="-"/>
    <n v="0.57999999999999996"/>
    <x v="1"/>
    <n v="8"/>
    <n v="5.0265600000000002E-3"/>
    <n v="8"/>
    <n v="44"/>
    <n v="0.76794487087750496"/>
    <n v="6"/>
    <n v="24"/>
    <n v="0.41887902047863912"/>
    <x v="546"/>
    <n v="16.371170852809676"/>
    <n v="2.0463963566012096"/>
    <n v="8.1855854264048382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53"/>
    <x v="1"/>
    <x v="1"/>
    <x v="1"/>
    <s v="-"/>
    <n v="0.57999999999999996"/>
    <x v="1"/>
    <n v="13.4"/>
    <n v="1.41026424E-2"/>
    <n v="6"/>
    <n v="20"/>
    <n v="0.3490658503988659"/>
    <n v="6"/>
    <n v="25"/>
    <n v="0.43633231299858238"/>
    <x v="549"/>
    <n v="25.606603238516676"/>
    <n v="3.2008254048145846"/>
    <n v="12.803301619258338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39"/>
    <x v="23"/>
    <x v="11"/>
    <x v="18"/>
    <s v="insipida"/>
    <n v="0.38"/>
    <x v="7"/>
    <n v="5.2"/>
    <n v="2.1237216000000005E-3"/>
    <n v="6"/>
    <n v="20"/>
    <n v="0.3490658503988659"/>
    <n v="6"/>
    <n v="25"/>
    <n v="0.43633231299858238"/>
    <x v="549"/>
    <n v="2.9030566074307962"/>
    <n v="0.36288207592884952"/>
    <n v="1.4515283037153981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27"/>
    <x v="1"/>
    <x v="1"/>
    <x v="1"/>
    <s v="-"/>
    <n v="0.57999999999999996"/>
    <x v="1"/>
    <n v="5.2"/>
    <n v="2.1237216000000005E-3"/>
    <n v="7"/>
    <n v="30"/>
    <n v="0.52359877559829882"/>
    <n v="6"/>
    <n v="24"/>
    <n v="0.41887902047863912"/>
    <x v="545"/>
    <n v="5.5075498154132632"/>
    <n v="0.6884437269266579"/>
    <n v="2.7537749077066316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29"/>
    <x v="1"/>
    <x v="1"/>
    <x v="1"/>
    <s v="-"/>
    <n v="0.57999999999999996"/>
    <x v="1"/>
    <n v="9.5"/>
    <n v="7.088235E-3"/>
    <n v="6"/>
    <n v="20"/>
    <n v="0.3490658503988659"/>
    <n v="5"/>
    <n v="25"/>
    <n v="0.43633231299858238"/>
    <x v="552"/>
    <n v="12.247947438821082"/>
    <n v="1.5309934298526353"/>
    <n v="6.1239737194105412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31"/>
    <x v="22"/>
    <x v="14"/>
    <x v="17"/>
    <s v="alchorneoides"/>
    <n v="0.64"/>
    <x v="9"/>
    <n v="5.2"/>
    <n v="2.1237216000000005E-3"/>
    <n v="7"/>
    <n v="43"/>
    <n v="0.75049157835756175"/>
    <n v="5"/>
    <n v="15"/>
    <n v="0.26179938779914941"/>
    <x v="912"/>
    <n v="6.1634752271456454"/>
    <n v="0.77043440339320568"/>
    <n v="3.0817376135728227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28"/>
    <x v="7"/>
    <x v="6"/>
    <x v="6"/>
    <s v="quinata"/>
    <n v="0.48"/>
    <x v="6"/>
    <n v="13"/>
    <n v="1.327326E-2"/>
    <n v="6"/>
    <n v="20"/>
    <n v="0.3490658503988659"/>
    <n v="6"/>
    <n v="25"/>
    <n v="0.43633231299858238"/>
    <x v="549"/>
    <n v="20.246637300286885"/>
    <n v="2.5308296625358606"/>
    <n v="10.123318650143442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51"/>
    <x v="1"/>
    <x v="1"/>
    <x v="1"/>
    <s v="-"/>
    <n v="0.57999999999999996"/>
    <x v="1"/>
    <n v="9.5"/>
    <n v="7.088235E-3"/>
    <n v="8"/>
    <n v="44"/>
    <n v="0.76794487087750496"/>
    <n v="6"/>
    <n v="24"/>
    <n v="0.41887902047863912"/>
    <x v="546"/>
    <n v="22.61470585355514"/>
    <n v="2.8268382316943925"/>
    <n v="11.30735292677757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38"/>
    <x v="7"/>
    <x v="6"/>
    <x v="6"/>
    <s v="quinata"/>
    <n v="0.48"/>
    <x v="6"/>
    <n v="14.2"/>
    <n v="1.58368056E-2"/>
    <n v="6"/>
    <n v="20"/>
    <n v="0.3490658503988659"/>
    <n v="6"/>
    <n v="25"/>
    <n v="0.43633231299858238"/>
    <x v="549"/>
    <n v="23.902398796419863"/>
    <n v="2.9877998495524829"/>
    <n v="11.951199398209932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45"/>
    <x v="22"/>
    <x v="14"/>
    <x v="17"/>
    <s v="alchorneoides"/>
    <n v="0.64"/>
    <x v="9"/>
    <n v="9"/>
    <n v="6.3617400000000003E-3"/>
    <n v="8"/>
    <n v="44"/>
    <n v="0.76794487087750496"/>
    <n v="6"/>
    <n v="24"/>
    <n v="0.41887902047863912"/>
    <x v="546"/>
    <n v="22.409560786054332"/>
    <n v="2.8011950982567915"/>
    <n v="11.204780393027166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44"/>
    <x v="7"/>
    <x v="6"/>
    <x v="6"/>
    <s v="quinata"/>
    <n v="0.48"/>
    <x v="6"/>
    <n v="13.2"/>
    <n v="1.3684809599999999E-2"/>
    <n v="6"/>
    <n v="20"/>
    <n v="0.3490658503988659"/>
    <n v="6"/>
    <n v="25"/>
    <n v="0.43633231299858238"/>
    <x v="549"/>
    <n v="20.83619394741276"/>
    <n v="2.6045242434265949"/>
    <n v="10.41809697370638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73"/>
    <x v="22"/>
    <x v="14"/>
    <x v="17"/>
    <s v="alchorneoides"/>
    <n v="0.64"/>
    <x v="9"/>
    <n v="6.4"/>
    <n v="3.2169984000000006E-3"/>
    <n v="7"/>
    <n v="30"/>
    <n v="0.52359877559829882"/>
    <n v="6"/>
    <n v="24"/>
    <n v="0.41887902047863912"/>
    <x v="545"/>
    <n v="8.9264208948134129"/>
    <n v="1.1158026118516766"/>
    <n v="4.4632104474067065"/>
  </r>
  <r>
    <x v="7"/>
    <s v="NM, AM"/>
    <x v="24"/>
    <s v="SO"/>
    <n v="8.4116700000000009"/>
    <n v="83.311890000000005"/>
    <n v="200"/>
    <n v="12"/>
    <n v="8.2932948805945319"/>
    <n v="0.14474530150516457"/>
    <n v="21.221924545521965"/>
    <n v="1041"/>
    <x v="1"/>
    <x v="1"/>
    <x v="1"/>
    <s v="-"/>
    <n v="0.57999999999999996"/>
    <x v="1"/>
    <n v="5.0999999999999996"/>
    <n v="2.0428254E-3"/>
    <n v="7"/>
    <n v="30"/>
    <n v="0.52359877559829882"/>
    <n v="6"/>
    <n v="24"/>
    <n v="0.41887902047863912"/>
    <x v="545"/>
    <n v="5.3101168637766527"/>
    <n v="0.66376460797208159"/>
    <n v="2.6550584318883264"/>
  </r>
  <r>
    <x v="11"/>
    <s v="NM, AM, EC"/>
    <x v="25"/>
    <s v="NE"/>
    <n v="8.4102300000000003"/>
    <n v="83.311319999999995"/>
    <n v="200"/>
    <n v="10"/>
    <n v="9.9666444232592379"/>
    <n v="0.17395076056140502"/>
    <n v="21"/>
    <n v="423"/>
    <x v="1"/>
    <x v="1"/>
    <x v="1"/>
    <s v="-"/>
    <n v="0.57999999999999996"/>
    <x v="1"/>
    <n v="10.5"/>
    <n v="8.6590350000000007E-3"/>
    <n v="6"/>
    <n v="41"/>
    <n v="0.71558499331767511"/>
    <n v="5"/>
    <n v="11"/>
    <n v="0.19198621771937624"/>
    <x v="913"/>
    <n v="17.191096033073755"/>
    <n v="2.1488870041342194"/>
    <n v="8.5955480165368776"/>
  </r>
  <r>
    <x v="11"/>
    <s v="NM, AM, EC"/>
    <x v="25"/>
    <s v="NE"/>
    <n v="8.4102300000000003"/>
    <n v="83.311319999999995"/>
    <n v="200"/>
    <n v="10"/>
    <n v="9.9666444232592379"/>
    <n v="0.17395076056140502"/>
    <n v="21"/>
    <n v="462"/>
    <x v="0"/>
    <x v="0"/>
    <x v="0"/>
    <s v="ferruginea"/>
    <n v="0.37"/>
    <x v="0"/>
    <n v="10"/>
    <n v="7.8539999999999999E-3"/>
    <n v="6"/>
    <n v="46"/>
    <n v="0.8028514559173916"/>
    <n v="5"/>
    <n v="11"/>
    <n v="0.19198621771937624"/>
    <x v="914"/>
    <n v="11.027569663855015"/>
    <n v="1.3784462079818769"/>
    <n v="5.5137848319275076"/>
  </r>
  <r>
    <x v="11"/>
    <s v="NM, AM, EC"/>
    <x v="25"/>
    <s v="NE"/>
    <n v="8.4102300000000003"/>
    <n v="83.311319999999995"/>
    <n v="200"/>
    <n v="10"/>
    <n v="9.9666444232592379"/>
    <n v="0.17395076056140502"/>
    <n v="21"/>
    <n v="427"/>
    <x v="7"/>
    <x v="6"/>
    <x v="6"/>
    <s v="quinata"/>
    <n v="0.48"/>
    <x v="6"/>
    <n v="21.3"/>
    <n v="3.5632812600000008E-2"/>
    <n v="8"/>
    <n v="45"/>
    <n v="0.78539816339744828"/>
    <n v="8"/>
    <n v="9"/>
    <n v="0.15707963267948966"/>
    <x v="915"/>
    <n v="75.26495867728552"/>
    <n v="9.40811983466069"/>
    <n v="37.63247933864276"/>
  </r>
  <r>
    <x v="11"/>
    <s v="NM, AM, EC"/>
    <x v="25"/>
    <s v="NE"/>
    <n v="8.4102300000000003"/>
    <n v="83.311319999999995"/>
    <n v="200"/>
    <n v="10"/>
    <n v="9.9666444232592379"/>
    <n v="0.17395076056140502"/>
    <n v="21"/>
    <n v="426"/>
    <x v="7"/>
    <x v="6"/>
    <x v="6"/>
    <s v="quinata"/>
    <n v="0.48"/>
    <x v="6"/>
    <n v="20.6"/>
    <n v="3.3329234400000005E-2"/>
    <n v="8"/>
    <n v="44"/>
    <n v="0.76794487087750496"/>
    <n v="5"/>
    <n v="8"/>
    <n v="0.13962634015954636"/>
    <x v="916"/>
    <n v="64.362162864558186"/>
    <n v="8.0452703580697733"/>
    <n v="32.181081432279093"/>
  </r>
  <r>
    <x v="11"/>
    <s v="NM, AM, EC"/>
    <x v="25"/>
    <s v="NE"/>
    <n v="8.4102300000000003"/>
    <n v="83.311319999999995"/>
    <n v="200"/>
    <n v="10"/>
    <n v="9.9666444232592379"/>
    <n v="0.17395076056140502"/>
    <n v="21"/>
    <n v="465"/>
    <x v="28"/>
    <x v="16"/>
    <x v="21"/>
    <s v="ferruginea"/>
    <n v="0.49"/>
    <x v="7"/>
    <n v="7.3"/>
    <n v="4.1853966000000003E-3"/>
    <n v="5"/>
    <n v="31"/>
    <n v="0.54105206811824214"/>
    <n v="5"/>
    <n v="13"/>
    <n v="0.22689280275926285"/>
    <x v="917"/>
    <n v="5.6989734932358882"/>
    <n v="0.71237168665448602"/>
    <n v="2.8494867466179441"/>
  </r>
  <r>
    <x v="11"/>
    <s v="NM, AM, EC"/>
    <x v="25"/>
    <s v="NE"/>
    <n v="8.4102300000000003"/>
    <n v="83.311319999999995"/>
    <n v="200"/>
    <n v="10"/>
    <n v="9.9666444232592379"/>
    <n v="0.17395076056140502"/>
    <n v="21"/>
    <n v="395"/>
    <x v="0"/>
    <x v="0"/>
    <x v="0"/>
    <s v="ferruginea"/>
    <n v="0.37"/>
    <x v="0"/>
    <n v="7.8"/>
    <n v="4.7783736E-3"/>
    <n v="9"/>
    <n v="37"/>
    <n v="0.64577182323790194"/>
    <n v="7"/>
    <n v="15"/>
    <n v="0.26179938779914941"/>
    <x v="918"/>
    <n v="9.3022952657709972"/>
    <n v="1.1627869082213746"/>
    <n v="4.6511476328854986"/>
  </r>
  <r>
    <x v="11"/>
    <s v="NM, AM, EC"/>
    <x v="25"/>
    <s v="NE"/>
    <n v="8.4102300000000003"/>
    <n v="83.311319999999995"/>
    <n v="200"/>
    <n v="10"/>
    <n v="9.9666444232592379"/>
    <n v="0.17395076056140502"/>
    <n v="21"/>
    <n v="452"/>
    <x v="7"/>
    <x v="6"/>
    <x v="6"/>
    <s v="quinata"/>
    <n v="0.48"/>
    <x v="6"/>
    <n v="17.600000000000001"/>
    <n v="2.4328550400000006E-2"/>
    <n v="6"/>
    <n v="33"/>
    <n v="0.57595865315812877"/>
    <n v="7"/>
    <n v="15"/>
    <n v="0.26179938779914941"/>
    <x v="919"/>
    <n v="39.37943072683079"/>
    <n v="4.9224288408538488"/>
    <n v="19.689715363415395"/>
  </r>
  <r>
    <x v="11"/>
    <s v="NM, AM, EC"/>
    <x v="25"/>
    <s v="NE"/>
    <n v="8.4102300000000003"/>
    <n v="83.311319999999995"/>
    <n v="200"/>
    <n v="10"/>
    <n v="9.9666444232592379"/>
    <n v="0.17395076056140502"/>
    <n v="21"/>
    <n v="482"/>
    <x v="0"/>
    <x v="0"/>
    <x v="0"/>
    <s v="ferruginea"/>
    <n v="0.37"/>
    <x v="0"/>
    <n v="8"/>
    <n v="5.0265600000000002E-3"/>
    <n v="5"/>
    <n v="33"/>
    <n v="0.57595865315812877"/>
    <n v="6"/>
    <n v="17"/>
    <n v="0.29670597283903605"/>
    <x v="920"/>
    <n v="6.2193811762014652"/>
    <n v="0.77742264702518316"/>
    <n v="3.1096905881007326"/>
  </r>
  <r>
    <x v="11"/>
    <s v="NM, AM, EC"/>
    <x v="25"/>
    <s v="NE"/>
    <n v="8.4102300000000003"/>
    <n v="83.311319999999995"/>
    <n v="200"/>
    <n v="10"/>
    <n v="9.9666444232592379"/>
    <n v="0.17395076056140502"/>
    <n v="21"/>
    <n v="458"/>
    <x v="7"/>
    <x v="6"/>
    <x v="6"/>
    <s v="quinata"/>
    <n v="0.48"/>
    <x v="6"/>
    <n v="16.899999999999999"/>
    <n v="2.2431809399999999E-2"/>
    <n v="10"/>
    <n v="29"/>
    <n v="0.50614548307835561"/>
    <n v="8"/>
    <n v="13"/>
    <n v="0.22689280275926285"/>
    <x v="921"/>
    <n v="46.985829814390442"/>
    <n v="5.8732287267988053"/>
    <n v="23.492914907195221"/>
  </r>
  <r>
    <x v="11"/>
    <s v="NM, AM, EC"/>
    <x v="25"/>
    <s v="NE"/>
    <n v="8.4102300000000003"/>
    <n v="83.311319999999995"/>
    <n v="200"/>
    <n v="10"/>
    <n v="9.9666444232592379"/>
    <n v="0.17395076056140502"/>
    <n v="21"/>
    <n v="448"/>
    <x v="0"/>
    <x v="0"/>
    <x v="0"/>
    <s v="ferruginea"/>
    <n v="0.37"/>
    <x v="0"/>
    <n v="10.5"/>
    <n v="8.6590350000000007E-3"/>
    <n v="9"/>
    <n v="36"/>
    <n v="0.62831853071795862"/>
    <n v="7"/>
    <n v="12"/>
    <n v="0.20943951023931956"/>
    <x v="922"/>
    <n v="15.243245417757644"/>
    <n v="1.9054056772197054"/>
    <n v="7.6216227088788218"/>
  </r>
  <r>
    <x v="11"/>
    <s v="NM, AM, EC"/>
    <x v="25"/>
    <s v="NE"/>
    <n v="8.4102300000000003"/>
    <n v="83.311319999999995"/>
    <n v="200"/>
    <n v="10"/>
    <n v="9.9666444232592379"/>
    <n v="0.17395076056140502"/>
    <n v="21"/>
    <n v="457"/>
    <x v="23"/>
    <x v="11"/>
    <x v="18"/>
    <s v="insipida"/>
    <n v="0.38"/>
    <x v="7"/>
    <n v="35.1"/>
    <n v="9.67620654E-2"/>
    <n v="14"/>
    <n v="55"/>
    <n v="0.95993108859688125"/>
    <n v="7"/>
    <n v="15"/>
    <n v="0.26179938779914941"/>
    <x v="923"/>
    <n v="285.65223561220324"/>
    <n v="35.706529451525405"/>
    <n v="142.82611780610162"/>
  </r>
  <r>
    <x v="11"/>
    <s v="NM, AM, EC"/>
    <x v="25"/>
    <s v="NE"/>
    <n v="8.4102300000000003"/>
    <n v="83.311319999999995"/>
    <n v="200"/>
    <n v="10"/>
    <n v="9.9666444232592379"/>
    <n v="0.17395076056140502"/>
    <n v="21"/>
    <n v="412"/>
    <x v="23"/>
    <x v="11"/>
    <x v="18"/>
    <s v="insipida"/>
    <n v="0.38"/>
    <x v="7"/>
    <n v="34.5"/>
    <n v="9.3482235000000011E-2"/>
    <n v="11"/>
    <n v="55"/>
    <n v="0.95993108859688125"/>
    <n v="7"/>
    <n v="15"/>
    <n v="0.26179938779914941"/>
    <x v="924"/>
    <n v="228.15111018615087"/>
    <n v="28.518888773268859"/>
    <n v="114.07555509307544"/>
  </r>
  <r>
    <x v="11"/>
    <s v="NM, AM, EC"/>
    <x v="25"/>
    <s v="NE"/>
    <n v="8.4102300000000003"/>
    <n v="83.311319999999995"/>
    <n v="200"/>
    <n v="10"/>
    <n v="9.9666444232592379"/>
    <n v="0.17395076056140502"/>
    <n v="21"/>
    <n v="477"/>
    <x v="56"/>
    <x v="21"/>
    <x v="42"/>
    <s v="guianensis"/>
    <n v="0.56000000000000005"/>
    <x v="11"/>
    <n v="9"/>
    <n v="6.3617400000000003E-3"/>
    <n v="10"/>
    <n v="48"/>
    <n v="0.83775804095727824"/>
    <n v="5"/>
    <n v="18"/>
    <n v="0.31415926535897931"/>
    <x v="925"/>
    <n v="22.032131173226961"/>
    <n v="2.7540163966533702"/>
    <n v="11.016065586613481"/>
  </r>
  <r>
    <x v="11"/>
    <s v="NM, AM, EC"/>
    <x v="25"/>
    <s v="NE"/>
    <n v="8.4102300000000003"/>
    <n v="83.311319999999995"/>
    <n v="200"/>
    <n v="10"/>
    <n v="9.9666444232592379"/>
    <n v="0.17395076056140502"/>
    <n v="21"/>
    <n v="436"/>
    <x v="0"/>
    <x v="0"/>
    <x v="0"/>
    <s v="ferruginea"/>
    <n v="0.37"/>
    <x v="0"/>
    <n v="19.600000000000001"/>
    <n v="3.0171926400000007E-2"/>
    <n v="10"/>
    <n v="53"/>
    <n v="0.92502450355699462"/>
    <n v="5"/>
    <n v="17"/>
    <n v="0.29670597283903605"/>
    <x v="926"/>
    <n v="67.645899788139644"/>
    <n v="8.4557374735174555"/>
    <n v="33.822949894069822"/>
  </r>
  <r>
    <x v="11"/>
    <s v="NM, AM, EC"/>
    <x v="25"/>
    <s v="NE"/>
    <n v="8.4102300000000003"/>
    <n v="83.311319999999995"/>
    <n v="200"/>
    <n v="10"/>
    <n v="9.9666444232592379"/>
    <n v="0.17395076056140502"/>
    <n v="21"/>
    <n v="441"/>
    <x v="56"/>
    <x v="21"/>
    <x v="42"/>
    <s v="guianensis"/>
    <n v="0.56000000000000005"/>
    <x v="11"/>
    <n v="13.2"/>
    <n v="1.3684809599999999E-2"/>
    <n v="12"/>
    <n v="48"/>
    <n v="0.83775804095727824"/>
    <n v="7"/>
    <n v="12"/>
    <n v="0.20943951023931956"/>
    <x v="927"/>
    <n v="51.85519658356715"/>
    <n v="6.4818995729458937"/>
    <n v="25.927598291783575"/>
  </r>
  <r>
    <x v="11"/>
    <s v="NM, AM, EC"/>
    <x v="25"/>
    <s v="NE"/>
    <n v="8.4102300000000003"/>
    <n v="83.311319999999995"/>
    <n v="200"/>
    <n v="10"/>
    <n v="9.9666444232592379"/>
    <n v="0.17395076056140502"/>
    <n v="21"/>
    <n v="398"/>
    <x v="14"/>
    <x v="0"/>
    <x v="0"/>
    <s v="allenii"/>
    <n v="0.48"/>
    <x v="7"/>
    <n v="31.2"/>
    <n v="7.64539776E-2"/>
    <n v="15"/>
    <n v="70"/>
    <n v="1.2217304763960306"/>
    <n v="5"/>
    <n v="11"/>
    <n v="0.19198621771937624"/>
    <x v="928"/>
    <n v="320.7067388692239"/>
    <n v="40.088342358652987"/>
    <n v="160.35336943461195"/>
  </r>
  <r>
    <x v="11"/>
    <s v="NM, AM, EC"/>
    <x v="25"/>
    <s v="NE"/>
    <n v="8.4102300000000003"/>
    <n v="83.311319999999995"/>
    <n v="200"/>
    <n v="10"/>
    <n v="9.9666444232592379"/>
    <n v="0.17395076056140502"/>
    <n v="21"/>
    <n v="463"/>
    <x v="56"/>
    <x v="21"/>
    <x v="42"/>
    <s v="guianensis"/>
    <n v="0.56000000000000005"/>
    <x v="11"/>
    <n v="11.8"/>
    <n v="1.0935909600000002E-2"/>
    <n v="10"/>
    <n v="56"/>
    <n v="0.97738438111682457"/>
    <n v="5"/>
    <n v="8"/>
    <n v="0.13962634015954636"/>
    <x v="929"/>
    <n v="36.699489978846827"/>
    <n v="4.5874362473558534"/>
    <n v="18.349744989423414"/>
  </r>
  <r>
    <x v="11"/>
    <s v="NM, AM, EC"/>
    <x v="25"/>
    <s v="NE"/>
    <n v="8.4102300000000003"/>
    <n v="83.311319999999995"/>
    <n v="200"/>
    <n v="10"/>
    <n v="9.9666444232592379"/>
    <n v="0.17395076056140502"/>
    <n v="21"/>
    <n v="407"/>
    <x v="7"/>
    <x v="6"/>
    <x v="6"/>
    <s v="quinata"/>
    <n v="0.48"/>
    <x v="6"/>
    <n v="13.5"/>
    <n v="1.4313915E-2"/>
    <n v="6"/>
    <n v="30"/>
    <n v="0.52359877559829882"/>
    <n v="6"/>
    <n v="16"/>
    <n v="0.27925268031909273"/>
    <x v="930"/>
    <n v="22.029129636133018"/>
    <n v="2.7536412045166272"/>
    <n v="11.014564818066509"/>
  </r>
  <r>
    <x v="11"/>
    <s v="NM, AM, EC"/>
    <x v="25"/>
    <s v="NE"/>
    <n v="8.4102300000000003"/>
    <n v="83.311319999999995"/>
    <n v="200"/>
    <n v="10"/>
    <n v="9.9666444232592379"/>
    <n v="0.17395076056140502"/>
    <n v="21"/>
    <n v="445"/>
    <x v="7"/>
    <x v="6"/>
    <x v="6"/>
    <s v="quinata"/>
    <n v="0.48"/>
    <x v="6"/>
    <n v="20"/>
    <n v="3.1415999999999999E-2"/>
    <n v="6"/>
    <n v="35"/>
    <n v="0.6108652381980153"/>
    <n v="7"/>
    <n v="12"/>
    <n v="0.20943951023931956"/>
    <x v="931"/>
    <n v="48.382229064193105"/>
    <n v="6.0477786330241381"/>
    <n v="24.191114532096552"/>
  </r>
  <r>
    <x v="11"/>
    <s v="NM, AM, EC"/>
    <x v="25"/>
    <s v="NE"/>
    <n v="8.4102300000000003"/>
    <n v="83.311319999999995"/>
    <n v="200"/>
    <n v="10"/>
    <n v="9.9666444232592379"/>
    <n v="0.17395076056140502"/>
    <n v="21"/>
    <n v="422"/>
    <x v="56"/>
    <x v="21"/>
    <x v="42"/>
    <s v="guianensis"/>
    <n v="0.56000000000000005"/>
    <x v="11"/>
    <n v="7.8"/>
    <n v="4.7783736E-3"/>
    <n v="9"/>
    <n v="51"/>
    <n v="0.89011791851710809"/>
    <n v="6"/>
    <n v="12"/>
    <n v="0.20943951023931956"/>
    <x v="932"/>
    <n v="15.536610005871836"/>
    <n v="1.9420762507339795"/>
    <n v="7.768305002935918"/>
  </r>
  <r>
    <x v="11"/>
    <s v="NM, AM, EC"/>
    <x v="25"/>
    <s v="NE"/>
    <n v="8.4102300000000003"/>
    <n v="83.311319999999995"/>
    <n v="200"/>
    <n v="10"/>
    <n v="9.9666444232592379"/>
    <n v="0.17395076056140502"/>
    <n v="21"/>
    <n v="406"/>
    <x v="0"/>
    <x v="0"/>
    <x v="0"/>
    <s v="ferruginea"/>
    <n v="0.37"/>
    <x v="0"/>
    <n v="22.2"/>
    <n v="3.8707653600000003E-2"/>
    <n v="8"/>
    <n v="62"/>
    <n v="1.0821041362364843"/>
    <n v="5"/>
    <n v="7"/>
    <n v="0.12217304763960307"/>
    <x v="933"/>
    <n v="70.303728922940735"/>
    <n v="8.7879661153675919"/>
    <n v="35.151864461470367"/>
  </r>
  <r>
    <x v="11"/>
    <s v="NM, AM, EC"/>
    <x v="25"/>
    <s v="NE"/>
    <n v="8.4102300000000003"/>
    <n v="83.311319999999995"/>
    <n v="200"/>
    <n v="10"/>
    <n v="9.9666444232592379"/>
    <n v="0.17395076056140502"/>
    <n v="21"/>
    <n v="429"/>
    <x v="7"/>
    <x v="6"/>
    <x v="6"/>
    <s v="quinata"/>
    <n v="0.48"/>
    <x v="6"/>
    <n v="23.2"/>
    <n v="4.2273369599999999E-2"/>
    <n v="10"/>
    <n v="50"/>
    <n v="0.87266462599716477"/>
    <n v="6"/>
    <n v="6"/>
    <n v="0.10471975511965978"/>
    <x v="934"/>
    <n v="104.87445092715771"/>
    <n v="13.109306365894714"/>
    <n v="52.437225463578855"/>
  </r>
  <r>
    <x v="11"/>
    <s v="NM, AM, EC"/>
    <x v="25"/>
    <s v="NE"/>
    <n v="8.4102300000000003"/>
    <n v="83.311319999999995"/>
    <n v="200"/>
    <n v="10"/>
    <n v="9.9666444232592379"/>
    <n v="0.17395076056140502"/>
    <n v="21"/>
    <n v="454"/>
    <x v="0"/>
    <x v="0"/>
    <x v="0"/>
    <s v="ferruginea"/>
    <n v="0.37"/>
    <x v="0"/>
    <n v="14"/>
    <n v="1.5393840000000001E-2"/>
    <n v="11"/>
    <n v="57"/>
    <n v="0.99483767363676789"/>
    <n v="5"/>
    <n v="5"/>
    <n v="8.7266462599716474E-2"/>
    <x v="935"/>
    <n v="36.696052981035372"/>
    <n v="4.5870066226294215"/>
    <n v="18.348026490517686"/>
  </r>
  <r>
    <x v="11"/>
    <s v="NM, AM, EC"/>
    <x v="25"/>
    <s v="NE"/>
    <n v="8.4102300000000003"/>
    <n v="83.311319999999995"/>
    <n v="200"/>
    <n v="10"/>
    <n v="9.9666444232592379"/>
    <n v="0.17395076056140502"/>
    <n v="21"/>
    <n v="432"/>
    <x v="0"/>
    <x v="0"/>
    <x v="0"/>
    <s v="ferruginea"/>
    <n v="0.37"/>
    <x v="0"/>
    <n v="8.6999999999999993"/>
    <n v="5.944692599999999E-3"/>
    <n v="11"/>
    <n v="51"/>
    <n v="0.89011791851710809"/>
    <n v="7"/>
    <n v="6"/>
    <n v="0.10471975511965978"/>
    <x v="936"/>
    <n v="14.446945802093136"/>
    <n v="1.805868225261642"/>
    <n v="7.2234729010465681"/>
  </r>
  <r>
    <x v="11"/>
    <s v="NM, AM, EC"/>
    <x v="25"/>
    <s v="NE"/>
    <n v="8.4102300000000003"/>
    <n v="83.311319999999995"/>
    <n v="200"/>
    <n v="10"/>
    <n v="9.9666444232592379"/>
    <n v="0.17395076056140502"/>
    <n v="21"/>
    <n v="453"/>
    <x v="41"/>
    <x v="22"/>
    <x v="31"/>
    <s v="crassifolia"/>
    <n v="0.57999999999999996"/>
    <x v="7"/>
    <n v="9.5"/>
    <n v="7.088235E-3"/>
    <n v="7"/>
    <n v="35"/>
    <n v="0.6108652381980153"/>
    <n v="6"/>
    <n v="11"/>
    <n v="0.19198621771937624"/>
    <x v="937"/>
    <n v="14.979121823634516"/>
    <n v="1.8723902279543145"/>
    <n v="7.4895609118172581"/>
  </r>
  <r>
    <x v="11"/>
    <s v="NM, AM, EC"/>
    <x v="25"/>
    <s v="NE"/>
    <n v="8.4102300000000003"/>
    <n v="83.311319999999995"/>
    <n v="200"/>
    <n v="10"/>
    <n v="9.9666444232592379"/>
    <n v="0.17395076056140502"/>
    <n v="21"/>
    <n v="480"/>
    <x v="3"/>
    <x v="3"/>
    <x v="3"/>
    <s v="parahyba"/>
    <n v="0.315"/>
    <x v="3"/>
    <n v="17.5"/>
    <n v="2.4052875000000001E-2"/>
    <n v="10"/>
    <n v="64"/>
    <n v="1.1170107212763709"/>
    <n v="6"/>
    <n v="8"/>
    <n v="0.13962634015954636"/>
    <x v="938"/>
    <n v="48.74092858524606"/>
    <n v="6.0926160731557575"/>
    <n v="24.37046429262303"/>
  </r>
  <r>
    <x v="11"/>
    <s v="NM, AM, EC"/>
    <x v="25"/>
    <s v="NE"/>
    <n v="8.4102300000000003"/>
    <n v="83.311319999999995"/>
    <n v="200"/>
    <n v="10"/>
    <n v="9.9666444232592379"/>
    <n v="0.17395076056140502"/>
    <n v="21"/>
    <n v="438"/>
    <x v="56"/>
    <x v="21"/>
    <x v="42"/>
    <s v="guianensis"/>
    <n v="0.56000000000000005"/>
    <x v="11"/>
    <n v="13"/>
    <n v="1.327326E-2"/>
    <n v="11"/>
    <n v="54"/>
    <n v="0.94247779607693793"/>
    <n v="6"/>
    <n v="9"/>
    <n v="0.15707963267948966"/>
    <x v="939"/>
    <n v="47.939755925541235"/>
    <n v="5.9924694906926543"/>
    <n v="23.969877962770617"/>
  </r>
  <r>
    <x v="11"/>
    <s v="NM, AM, EC"/>
    <x v="25"/>
    <s v="NE"/>
    <n v="8.4102300000000003"/>
    <n v="83.311319999999995"/>
    <n v="200"/>
    <n v="10"/>
    <n v="9.9666444232592379"/>
    <n v="0.17395076056140502"/>
    <n v="21"/>
    <n v="391"/>
    <x v="1"/>
    <x v="1"/>
    <x v="1"/>
    <s v="-"/>
    <n v="0.57999999999999996"/>
    <x v="1"/>
    <n v="12.5"/>
    <n v="1.2271875E-2"/>
    <n v="13"/>
    <n v="60"/>
    <n v="1.0471975511965976"/>
    <n v="7"/>
    <n v="16"/>
    <n v="0.27925268031909273"/>
    <x v="940"/>
    <n v="60.622887060145636"/>
    <n v="7.5778608825182046"/>
    <n v="30.311443530072818"/>
  </r>
  <r>
    <x v="11"/>
    <s v="NM, AM, EC"/>
    <x v="25"/>
    <s v="NE"/>
    <n v="8.4102300000000003"/>
    <n v="83.311319999999995"/>
    <n v="200"/>
    <n v="10"/>
    <n v="9.9666444232592379"/>
    <n v="0.17395076056140502"/>
    <n v="21"/>
    <n v="397"/>
    <x v="7"/>
    <x v="6"/>
    <x v="6"/>
    <s v="quinata"/>
    <n v="0.48"/>
    <x v="6"/>
    <n v="11.8"/>
    <n v="1.0935909600000002E-2"/>
    <n v="7"/>
    <n v="46"/>
    <n v="0.8028514559173916"/>
    <n v="6"/>
    <n v="15"/>
    <n v="0.26179938779914941"/>
    <x v="941"/>
    <n v="23.714456797736126"/>
    <n v="2.9643070997170158"/>
    <n v="11.857228398868063"/>
  </r>
  <r>
    <x v="11"/>
    <s v="NM, AM, EC"/>
    <x v="25"/>
    <s v="NE"/>
    <n v="8.4102300000000003"/>
    <n v="83.311319999999995"/>
    <n v="200"/>
    <n v="10"/>
    <n v="9.9666444232592379"/>
    <n v="0.17395076056140502"/>
    <n v="21"/>
    <n v="387"/>
    <x v="14"/>
    <x v="0"/>
    <x v="0"/>
    <s v="allenii"/>
    <n v="0.48"/>
    <x v="7"/>
    <n v="27"/>
    <n v="5.725566E-2"/>
    <n v="18"/>
    <n v="65"/>
    <n v="1.1344640137963142"/>
    <n v="7"/>
    <n v="8"/>
    <n v="0.13962634015954636"/>
    <x v="942"/>
    <n v="278.39829448016337"/>
    <n v="34.799786810020422"/>
    <n v="139.19914724008169"/>
  </r>
  <r>
    <x v="11"/>
    <s v="NM, AM, EC"/>
    <x v="25"/>
    <s v="NE"/>
    <n v="8.4102300000000003"/>
    <n v="83.311319999999995"/>
    <n v="200"/>
    <n v="10"/>
    <n v="9.9666444232592379"/>
    <n v="0.17395076056140502"/>
    <n v="21"/>
    <n v="409"/>
    <x v="14"/>
    <x v="0"/>
    <x v="0"/>
    <s v="allenii"/>
    <n v="0.48"/>
    <x v="7"/>
    <n v="39.299999999999997"/>
    <n v="0.12130424459999999"/>
    <n v="12"/>
    <n v="60"/>
    <n v="1.0471975511965976"/>
    <n v="9"/>
    <n v="14"/>
    <n v="0.24434609527920614"/>
    <x v="943"/>
    <n v="417.87723362313255"/>
    <n v="52.234654202891569"/>
    <n v="208.93861681156628"/>
  </r>
  <r>
    <x v="11"/>
    <s v="NM, AM, EC"/>
    <x v="25"/>
    <s v="NE"/>
    <n v="8.4102300000000003"/>
    <n v="83.311319999999995"/>
    <n v="200"/>
    <n v="10"/>
    <n v="9.9666444232592379"/>
    <n v="0.17395076056140502"/>
    <n v="21"/>
    <n v="485"/>
    <x v="3"/>
    <x v="3"/>
    <x v="3"/>
    <s v="parahyba"/>
    <n v="0.315"/>
    <x v="3"/>
    <n v="23"/>
    <n v="4.154766E-2"/>
    <n v="18"/>
    <n v="77"/>
    <n v="1.3439035240356338"/>
    <n v="6"/>
    <n v="9"/>
    <n v="0.15707963267948966"/>
    <x v="944"/>
    <n v="147.55755997667168"/>
    <n v="18.44469499708396"/>
    <n v="73.778779988335842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544"/>
    <x v="14"/>
    <x v="0"/>
    <x v="0"/>
    <s v="allenii"/>
    <n v="0.48"/>
    <x v="7"/>
    <n v="32.799999999999997"/>
    <n v="8.4496473599999997E-2"/>
    <n v="20"/>
    <n v="80"/>
    <n v="1.3962634015954636"/>
    <n v="5"/>
    <n v="20"/>
    <n v="0.3490658503988659"/>
    <x v="945"/>
    <n v="490.65878414810942"/>
    <n v="61.332348018513677"/>
    <n v="245.32939207405471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394"/>
    <x v="14"/>
    <x v="0"/>
    <x v="0"/>
    <s v="allenii"/>
    <n v="0.48"/>
    <x v="7"/>
    <n v="22"/>
    <n v="3.8013360000000003E-2"/>
    <n v="18"/>
    <n v="72"/>
    <n v="1.2566370614359172"/>
    <n v="5"/>
    <n v="15"/>
    <n v="0.26179938779914941"/>
    <x v="946"/>
    <n v="201.0030738615462"/>
    <n v="25.125384232693275"/>
    <n v="100.5015369307731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396"/>
    <x v="14"/>
    <x v="0"/>
    <x v="0"/>
    <s v="allenii"/>
    <n v="0.48"/>
    <x v="7"/>
    <n v="26.7"/>
    <n v="5.59903806E-2"/>
    <n v="17"/>
    <n v="69"/>
    <n v="1.2042771838760873"/>
    <n v="6"/>
    <n v="21"/>
    <n v="0.36651914291880922"/>
    <x v="947"/>
    <n v="283.46765241444137"/>
    <n v="35.433456551805172"/>
    <n v="141.73382620722069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443"/>
    <x v="0"/>
    <x v="0"/>
    <x v="0"/>
    <s v="ferruginea"/>
    <n v="0.37"/>
    <x v="0"/>
    <n v="6.7"/>
    <n v="3.5256606000000001E-3"/>
    <n v="7"/>
    <n v="53"/>
    <n v="0.92502450355699462"/>
    <n v="5"/>
    <n v="6"/>
    <n v="0.10471975511965978"/>
    <x v="948"/>
    <n v="5.971413869771478"/>
    <n v="0.74642673372143475"/>
    <n v="2.985706934885739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467"/>
    <x v="4"/>
    <x v="4"/>
    <x v="4"/>
    <s v="latifolia"/>
    <n v="0.75"/>
    <x v="4"/>
    <n v="7.4"/>
    <n v="4.3008504000000003E-3"/>
    <n v="10"/>
    <n v="65"/>
    <n v="1.1344640137963142"/>
    <n v="8"/>
    <n v="10"/>
    <n v="0.17453292519943295"/>
    <x v="949"/>
    <n v="23.154353664724841"/>
    <n v="2.8942942080906051"/>
    <n v="11.57717683236242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444"/>
    <x v="14"/>
    <x v="0"/>
    <x v="0"/>
    <s v="allenii"/>
    <n v="0.48"/>
    <x v="7"/>
    <n v="24.4"/>
    <n v="4.6759574399999997E-2"/>
    <n v="21"/>
    <n v="78"/>
    <n v="1.3613568165555769"/>
    <n v="5"/>
    <n v="14"/>
    <n v="0.24434609527920614"/>
    <x v="950"/>
    <n v="285.59222017567629"/>
    <n v="35.699027521959536"/>
    <n v="142.79611008783814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456"/>
    <x v="14"/>
    <x v="0"/>
    <x v="0"/>
    <s v="allenii"/>
    <n v="0.48"/>
    <x v="7"/>
    <n v="25.2"/>
    <n v="4.9876041599999997E-2"/>
    <n v="18"/>
    <n v="63"/>
    <n v="1.0995574287564276"/>
    <n v="8"/>
    <n v="15"/>
    <n v="0.26179938779914941"/>
    <x v="951"/>
    <n v="255.43173759548344"/>
    <n v="31.92896719943543"/>
    <n v="127.71586879774172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400"/>
    <x v="57"/>
    <x v="5"/>
    <x v="43"/>
    <s v="guajava"/>
    <n v="0.71"/>
    <x v="7"/>
    <n v="9"/>
    <n v="6.3617400000000003E-3"/>
    <n v="8"/>
    <n v="30"/>
    <n v="0.52359877559829882"/>
    <n v="7"/>
    <n v="18"/>
    <n v="0.31415926535897931"/>
    <x v="952"/>
    <n v="19.338955066679226"/>
    <n v="2.4173693833349033"/>
    <n v="9.669477533339613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430"/>
    <x v="14"/>
    <x v="0"/>
    <x v="0"/>
    <s v="allenii"/>
    <n v="0.48"/>
    <x v="7"/>
    <n v="20.100000000000001"/>
    <n v="3.1730945400000002E-2"/>
    <n v="21"/>
    <n v="63"/>
    <n v="1.0995574287564276"/>
    <n v="6"/>
    <n v="15"/>
    <n v="0.26179938779914941"/>
    <x v="953"/>
    <n v="185.59222208091748"/>
    <n v="23.199027760114685"/>
    <n v="92.79611104045874"/>
  </r>
  <r>
    <x v="9"/>
    <s v="NM, AM, EC, EL, RH"/>
    <x v="25"/>
    <s v="NE"/>
    <n v="8.4102300000000003"/>
    <n v="83.311319999999995"/>
    <n v="200"/>
    <n v="10"/>
    <n v="9.9666444232592379"/>
    <n v="0.17395076056140502"/>
    <n v="21"/>
    <n v="402"/>
    <x v="14"/>
    <x v="0"/>
    <x v="0"/>
    <s v="allenii"/>
    <n v="0.48"/>
    <x v="7"/>
    <n v="23.4"/>
    <n v="4.3005362399999997E-2"/>
    <n v="12"/>
    <n v="69"/>
    <n v="1.2042771838760873"/>
    <n v="5"/>
    <n v="21"/>
    <n v="0.36651914291880922"/>
    <x v="954"/>
    <n v="162.66640660383652"/>
    <n v="20.333300825479565"/>
    <n v="81.33320330191826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71"/>
    <x v="7"/>
    <x v="6"/>
    <x v="6"/>
    <s v="quinata"/>
    <n v="0.48"/>
    <x v="6"/>
    <n v="25.2"/>
    <n v="4.9876041599999997E-2"/>
    <n v="11"/>
    <n v="63"/>
    <n v="1.0995574287564276"/>
    <n v="5"/>
    <n v="23"/>
    <n v="0.4014257279586958"/>
    <x v="955"/>
    <n v="170.16150170424726"/>
    <n v="21.270187713030907"/>
    <n v="85.080750852123629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84"/>
    <x v="58"/>
    <x v="5"/>
    <x v="44"/>
    <s v="cooperi"/>
    <n v="0.59"/>
    <x v="7"/>
    <n v="7.7"/>
    <n v="4.6566366000000007E-3"/>
    <n v="7"/>
    <n v="33"/>
    <n v="0.57595865315812877"/>
    <n v="6"/>
    <n v="21"/>
    <n v="0.36651914291880922"/>
    <x v="956"/>
    <n v="11.74844133253224"/>
    <n v="1.46855516656653"/>
    <n v="5.8742206662661198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11"/>
    <x v="18"/>
    <x v="11"/>
    <x v="14"/>
    <s v="sp."/>
    <n v="0.68"/>
    <x v="7"/>
    <n v="6.2"/>
    <n v="3.0190776000000004E-3"/>
    <n v="10"/>
    <n v="31"/>
    <n v="0.54105206811824214"/>
    <n v="9"/>
    <n v="22"/>
    <n v="0.38397243543875248"/>
    <x v="957"/>
    <n v="12.497347707297658"/>
    <n v="1.5621684634122073"/>
    <n v="6.2486738536488291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46"/>
    <x v="21"/>
    <x v="13"/>
    <x v="16"/>
    <s v="sp."/>
    <n v="0.48"/>
    <x v="7"/>
    <n v="7.1"/>
    <n v="3.9592014E-3"/>
    <n v="9"/>
    <n v="36"/>
    <n v="0.62831853071795862"/>
    <n v="6"/>
    <n v="20"/>
    <n v="0.3490658503988659"/>
    <x v="958"/>
    <n v="10.10346073065605"/>
    <n v="1.2629325913320062"/>
    <n v="5.0517303653280248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388"/>
    <x v="7"/>
    <x v="6"/>
    <x v="6"/>
    <s v="quinata"/>
    <n v="0.48"/>
    <x v="6"/>
    <n v="32"/>
    <n v="8.0424960000000004E-2"/>
    <n v="11"/>
    <n v="65"/>
    <n v="1.1344640137963142"/>
    <n v="7"/>
    <n v="15"/>
    <n v="0.26179938779914941"/>
    <x v="959"/>
    <n v="267.19344096116254"/>
    <n v="33.399180120145317"/>
    <n v="133.59672048058127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04"/>
    <x v="42"/>
    <x v="23"/>
    <x v="32"/>
    <s v="ulmifolia"/>
    <n v="0.51"/>
    <x v="7"/>
    <n v="13.7"/>
    <n v="1.4741172599999998E-2"/>
    <n v="7"/>
    <n v="45"/>
    <n v="0.78539816339744828"/>
    <n v="5"/>
    <n v="18"/>
    <n v="0.31415926535897931"/>
    <x v="960"/>
    <n v="32.796403968980911"/>
    <n v="4.0995504961226139"/>
    <n v="16.398201984490456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47"/>
    <x v="42"/>
    <x v="23"/>
    <x v="32"/>
    <s v="ulmifolia"/>
    <n v="0.51"/>
    <x v="7"/>
    <n v="12.5"/>
    <n v="1.2271875E-2"/>
    <n v="6"/>
    <n v="55"/>
    <n v="0.95993108859688125"/>
    <n v="5"/>
    <n v="18"/>
    <n v="0.31415926535897931"/>
    <x v="961"/>
    <n v="27.46546167440599"/>
    <n v="3.4331827093007488"/>
    <n v="13.732730837202995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16"/>
    <x v="42"/>
    <x v="23"/>
    <x v="32"/>
    <s v="ulmifolia"/>
    <n v="0.51"/>
    <x v="7"/>
    <n v="13.4"/>
    <n v="1.41026424E-2"/>
    <n v="7"/>
    <n v="60"/>
    <n v="1.0471975511965976"/>
    <n v="5"/>
    <n v="18"/>
    <n v="0.31415926535897931"/>
    <x v="962"/>
    <n v="36.499710688310707"/>
    <n v="4.5624638360388383"/>
    <n v="18.249855344155353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15"/>
    <x v="1"/>
    <x v="1"/>
    <x v="1"/>
    <s v="-"/>
    <n v="0.57999999999999996"/>
    <x v="1"/>
    <n v="20.5"/>
    <n v="3.3006435000000001E-2"/>
    <n v="7"/>
    <n v="60"/>
    <n v="1.0471975511965976"/>
    <n v="5"/>
    <n v="8"/>
    <n v="0.13962634015954636"/>
    <x v="963"/>
    <n v="81.962086891111227"/>
    <n v="10.245260861388903"/>
    <n v="40.981043445555613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21"/>
    <x v="1"/>
    <x v="1"/>
    <x v="1"/>
    <s v="-"/>
    <n v="0.57999999999999996"/>
    <x v="1"/>
    <n v="9.1"/>
    <n v="6.5038973999999991E-3"/>
    <n v="9"/>
    <n v="25"/>
    <n v="0.43633231299858238"/>
    <n v="5"/>
    <n v="8"/>
    <n v="0.13962634015954636"/>
    <x v="964"/>
    <n v="12.146464628005049"/>
    <n v="1.5183080785006311"/>
    <n v="6.0732323140025244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42"/>
    <x v="21"/>
    <x v="13"/>
    <x v="16"/>
    <s v="sp."/>
    <n v="0.48"/>
    <x v="7"/>
    <n v="8.8000000000000007"/>
    <n v="6.0821376000000016E-3"/>
    <n v="9"/>
    <n v="45"/>
    <n v="0.78539816339744828"/>
    <n v="6"/>
    <n v="29"/>
    <n v="0.50614548307835561"/>
    <x v="965"/>
    <n v="18.838007820318836"/>
    <n v="2.3547509775398545"/>
    <n v="9.4190039101594181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12"/>
    <x v="7"/>
    <x v="6"/>
    <x v="6"/>
    <s v="quinata"/>
    <n v="0.48"/>
    <x v="6"/>
    <n v="23.7"/>
    <n v="4.4115132599999995E-2"/>
    <n v="10"/>
    <n v="55"/>
    <n v="0.95993108859688125"/>
    <n v="6"/>
    <n v="12"/>
    <n v="0.20943951023931956"/>
    <x v="966"/>
    <n v="123.36313422170288"/>
    <n v="15.42039177771286"/>
    <n v="61.681567110851439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88"/>
    <x v="7"/>
    <x v="6"/>
    <x v="6"/>
    <s v="quinata"/>
    <n v="0.48"/>
    <x v="6"/>
    <n v="29"/>
    <n v="6.6052140000000009E-2"/>
    <n v="13"/>
    <n v="70"/>
    <n v="1.2217304763960306"/>
    <n v="5"/>
    <n v="17"/>
    <n v="0.29670597283903605"/>
    <x v="967"/>
    <n v="255.50174042027015"/>
    <n v="31.937717552533769"/>
    <n v="127.75087021013508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39"/>
    <x v="0"/>
    <x v="0"/>
    <x v="0"/>
    <s v="ferruginea"/>
    <n v="0.37"/>
    <x v="0"/>
    <n v="8.1"/>
    <n v="5.1530094000000002E-3"/>
    <n v="10"/>
    <n v="50"/>
    <n v="0.87266462599716477"/>
    <n v="5"/>
    <n v="20"/>
    <n v="0.3490658503988659"/>
    <x v="968"/>
    <n v="12.746241520299218"/>
    <n v="1.5932801900374023"/>
    <n v="6.3731207601496092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41"/>
    <x v="23"/>
    <x v="11"/>
    <x v="18"/>
    <s v="insipida"/>
    <n v="0.38"/>
    <x v="7"/>
    <n v="17"/>
    <n v="2.2698060000000003E-2"/>
    <n v="9"/>
    <n v="53"/>
    <n v="0.92502450355699462"/>
    <n v="6"/>
    <n v="24"/>
    <n v="0.41887902047863912"/>
    <x v="969"/>
    <n v="54.029643715351611"/>
    <n v="6.7537054644189514"/>
    <n v="27.014821857675805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53"/>
    <x v="23"/>
    <x v="11"/>
    <x v="18"/>
    <s v="insipida"/>
    <n v="0.38"/>
    <x v="7"/>
    <n v="10.8"/>
    <n v="9.1609056000000015E-3"/>
    <n v="10"/>
    <n v="50"/>
    <n v="0.87266462599716477"/>
    <n v="5"/>
    <n v="21"/>
    <n v="0.36651914291880922"/>
    <x v="970"/>
    <n v="22.630780181154623"/>
    <n v="2.8288475226443279"/>
    <n v="11.315390090577312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52"/>
    <x v="47"/>
    <x v="27"/>
    <x v="36"/>
    <s v="staminodella"/>
    <n v="0.89"/>
    <x v="7"/>
    <n v="6.2"/>
    <n v="3.0190776000000004E-3"/>
    <n v="6"/>
    <n v="42"/>
    <n v="0.73303828583761843"/>
    <n v="5"/>
    <n v="21"/>
    <n v="0.20943951023931956"/>
    <x v="971"/>
    <n v="9.8498464126292244"/>
    <n v="1.2312308015786531"/>
    <n v="4.9249232063146122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10"/>
    <x v="7"/>
    <x v="6"/>
    <x v="6"/>
    <s v="quinata"/>
    <n v="0.48"/>
    <x v="6"/>
    <n v="29.2"/>
    <n v="6.6966345600000005E-2"/>
    <n v="10"/>
    <n v="55"/>
    <n v="0.95993108859688125"/>
    <n v="8"/>
    <n v="12"/>
    <n v="0.20943951023931956"/>
    <x v="972"/>
    <n v="190.18566075259108"/>
    <n v="23.773207594073885"/>
    <n v="95.092830376295538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09"/>
    <x v="21"/>
    <x v="13"/>
    <x v="16"/>
    <s v="sp."/>
    <n v="0.48"/>
    <x v="7"/>
    <n v="6.9"/>
    <n v="3.7392894000000008E-3"/>
    <n v="7"/>
    <n v="45"/>
    <n v="0.78539816339744828"/>
    <n v="5"/>
    <n v="12"/>
    <n v="0.17453292519943295"/>
    <x v="973"/>
    <n v="7.6939835224954862"/>
    <n v="0.96174794031193578"/>
    <n v="3.8469917612477431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04"/>
    <x v="51"/>
    <x v="29"/>
    <x v="38"/>
    <s v="jambos"/>
    <n v="0.7"/>
    <x v="7"/>
    <n v="8.9"/>
    <n v="6.2211534000000011E-3"/>
    <n v="9"/>
    <n v="50"/>
    <n v="0.87266462599716477"/>
    <n v="7"/>
    <n v="10"/>
    <n v="0.17453292519943295"/>
    <x v="974"/>
    <n v="24.187085215931919"/>
    <n v="3.0233856519914899"/>
    <n v="12.09354260796596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94"/>
    <x v="51"/>
    <x v="29"/>
    <x v="38"/>
    <s v="jambos"/>
    <n v="0.7"/>
    <x v="7"/>
    <n v="6.7"/>
    <n v="3.5256606000000001E-3"/>
    <n v="8"/>
    <n v="45"/>
    <n v="0.78539816339744828"/>
    <n v="7"/>
    <n v="10"/>
    <n v="0.13962634015954636"/>
    <x v="975"/>
    <n v="11.737155401931917"/>
    <n v="1.4671444252414896"/>
    <n v="5.8685777009659583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93"/>
    <x v="3"/>
    <x v="3"/>
    <x v="3"/>
    <s v="parahyba"/>
    <n v="0.315"/>
    <x v="3"/>
    <n v="5.7"/>
    <n v="2.5517646000000004E-3"/>
    <n v="12"/>
    <n v="58"/>
    <n v="1.0122909661567112"/>
    <n v="6"/>
    <n v="8"/>
    <n v="0.20943951023931956"/>
    <x v="976"/>
    <n v="6.8181910060778588"/>
    <n v="0.85227387575973235"/>
    <n v="3.4090955030389294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00"/>
    <x v="21"/>
    <x v="13"/>
    <x v="16"/>
    <s v="sp."/>
    <n v="0.48"/>
    <x v="7"/>
    <n v="8.1"/>
    <n v="5.1530094000000002E-3"/>
    <n v="7"/>
    <n v="60"/>
    <n v="1.0471975511965976"/>
    <n v="5"/>
    <n v="12"/>
    <n v="0.17453292519943295"/>
    <x v="977"/>
    <n v="12.260106014469713"/>
    <n v="1.5325132518087141"/>
    <n v="6.1300530072348565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99"/>
    <x v="7"/>
    <x v="6"/>
    <x v="6"/>
    <s v="quinata"/>
    <n v="0.48"/>
    <x v="6"/>
    <n v="31.2"/>
    <n v="7.64539776E-2"/>
    <n v="17"/>
    <n v="75"/>
    <n v="1.3089969389957472"/>
    <n v="5"/>
    <n v="10"/>
    <n v="0.17453292519943295"/>
    <x v="457"/>
    <n v="365.3779452963787"/>
    <n v="45.672243162047337"/>
    <n v="182.68897264818935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06"/>
    <x v="7"/>
    <x v="6"/>
    <x v="6"/>
    <s v="quinata"/>
    <n v="0.48"/>
    <x v="6"/>
    <n v="23.5"/>
    <n v="4.3373715E-2"/>
    <n v="13"/>
    <n v="54"/>
    <n v="0.94247779607693793"/>
    <n v="6"/>
    <n v="10"/>
    <n v="0.20943951023931956"/>
    <x v="978"/>
    <n v="149.34193061476182"/>
    <n v="18.667741326845228"/>
    <n v="74.670965307380911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45"/>
    <x v="47"/>
    <x v="27"/>
    <x v="36"/>
    <s v="staminodella"/>
    <n v="0.89"/>
    <x v="7"/>
    <n v="7.3"/>
    <n v="4.1853966000000003E-3"/>
    <n v="8"/>
    <n v="40"/>
    <n v="0.69813170079773179"/>
    <n v="8"/>
    <n v="12"/>
    <n v="0.20943951023931956"/>
    <x v="979"/>
    <n v="17.710442140218568"/>
    <n v="2.213805267527321"/>
    <n v="8.8552210701092839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01"/>
    <x v="7"/>
    <x v="6"/>
    <x v="6"/>
    <s v="quinata"/>
    <n v="0.48"/>
    <x v="6"/>
    <n v="28.3"/>
    <n v="6.2901900600000005E-2"/>
    <n v="11"/>
    <n v="55"/>
    <n v="0.95993108859688125"/>
    <n v="6"/>
    <n v="12"/>
    <n v="0.24434609527920614"/>
    <x v="980"/>
    <n v="189.68490468941783"/>
    <n v="23.710613086177229"/>
    <n v="94.842452344708917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90"/>
    <x v="23"/>
    <x v="11"/>
    <x v="18"/>
    <s v="insipida"/>
    <n v="0.38"/>
    <x v="7"/>
    <n v="7.5"/>
    <n v="4.4178749999999999E-3"/>
    <n v="11"/>
    <n v="50"/>
    <n v="0.87266462599716477"/>
    <n v="6"/>
    <n v="14"/>
    <n v="0.24434609527920614"/>
    <x v="981"/>
    <n v="11.884015089597399"/>
    <n v="1.4855018861996749"/>
    <n v="5.9420075447986997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50"/>
    <x v="23"/>
    <x v="11"/>
    <x v="18"/>
    <s v="insipida"/>
    <n v="0.38"/>
    <x v="7"/>
    <n v="8.3000000000000007"/>
    <n v="5.4106206000000016E-3"/>
    <n v="10"/>
    <n v="55"/>
    <n v="0.95993108859688125"/>
    <n v="6"/>
    <n v="14"/>
    <n v="0.20943951023931956"/>
    <x v="966"/>
    <n v="13.777015137593368"/>
    <n v="1.722126892199171"/>
    <n v="6.8885075687966841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91"/>
    <x v="18"/>
    <x v="11"/>
    <x v="14"/>
    <s v="sp."/>
    <n v="0.68"/>
    <x v="7"/>
    <n v="8.5"/>
    <n v="5.6745150000000006E-3"/>
    <n v="7"/>
    <n v="47"/>
    <n v="0.82030474843733492"/>
    <n v="5"/>
    <n v="12"/>
    <n v="0.20943951023931956"/>
    <x v="982"/>
    <n v="16.667464900288682"/>
    <n v="2.0834331125360852"/>
    <n v="8.3337324501443408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24"/>
    <x v="13"/>
    <x v="5"/>
    <x v="1"/>
    <s v="-"/>
    <n v="0.57999999999999996"/>
    <x v="1"/>
    <n v="9"/>
    <n v="6.3617400000000003E-3"/>
    <n v="10"/>
    <n v="57"/>
    <n v="0.99483767363676789"/>
    <n v="6"/>
    <n v="12"/>
    <n v="0.17453292519943295"/>
    <x v="983"/>
    <n v="23.847348823054652"/>
    <n v="2.9809186028818315"/>
    <n v="11.923674411527326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03"/>
    <x v="7"/>
    <x v="6"/>
    <x v="6"/>
    <s v="quinata"/>
    <n v="0.48"/>
    <x v="6"/>
    <n v="32.799999999999997"/>
    <n v="8.4496473599999997E-2"/>
    <n v="16"/>
    <n v="63"/>
    <n v="1.0995574287564276"/>
    <n v="8"/>
    <n v="10"/>
    <n v="0.17453292519943295"/>
    <x v="984"/>
    <n v="365.41965741745798"/>
    <n v="45.677457177182248"/>
    <n v="182.70982870872899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32"/>
    <x v="1"/>
    <x v="1"/>
    <x v="1"/>
    <s v="-"/>
    <n v="0.57999999999999996"/>
    <x v="1"/>
    <n v="10"/>
    <n v="7.8539999999999999E-3"/>
    <n v="9"/>
    <n v="60"/>
    <n v="1.0471975511965976"/>
    <n v="5"/>
    <n v="15"/>
    <n v="0.26179938779914941"/>
    <x v="985"/>
    <n v="28.083989508605455"/>
    <n v="3.5104986885756819"/>
    <n v="14.041994754302728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02"/>
    <x v="59"/>
    <x v="30"/>
    <x v="1"/>
    <s v="-"/>
    <n v="0.57999999999999996"/>
    <x v="1"/>
    <n v="7.7"/>
    <n v="4.6566366000000007E-3"/>
    <n v="10"/>
    <n v="47"/>
    <n v="0.82030474843733492"/>
    <n v="6"/>
    <n v="10"/>
    <n v="0.17453292519943295"/>
    <x v="986"/>
    <n v="15.87585354717055"/>
    <n v="1.9844816933963187"/>
    <n v="7.937926773585275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38"/>
    <x v="7"/>
    <x v="6"/>
    <x v="6"/>
    <s v="quinata"/>
    <n v="0.48"/>
    <x v="6"/>
    <n v="14.1"/>
    <n v="1.5614537400000001E-2"/>
    <n v="13"/>
    <n v="63"/>
    <n v="1.0995574287564276"/>
    <n v="5"/>
    <n v="15"/>
    <n v="0.26179938779914941"/>
    <x v="615"/>
    <n v="62.228873304842132"/>
    <n v="7.7786091631052665"/>
    <n v="31.114436652421066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95"/>
    <x v="23"/>
    <x v="11"/>
    <x v="18"/>
    <s v="insipida"/>
    <n v="0.38"/>
    <x v="7"/>
    <n v="8"/>
    <n v="5.0265600000000002E-3"/>
    <n v="8"/>
    <n v="45"/>
    <n v="0.78539816339744828"/>
    <n v="6"/>
    <n v="10"/>
    <n v="0.17453292519943295"/>
    <x v="150"/>
    <n v="9.3132489924855602"/>
    <n v="1.164156124060695"/>
    <n v="4.6566244962427801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20"/>
    <x v="7"/>
    <x v="6"/>
    <x v="6"/>
    <s v="quinata"/>
    <n v="0.48"/>
    <x v="6"/>
    <n v="28.4"/>
    <n v="6.33472224E-2"/>
    <n v="12"/>
    <n v="75"/>
    <n v="1.3089969389957472"/>
    <n v="5"/>
    <n v="10"/>
    <n v="0.17453292519943295"/>
    <x v="987"/>
    <n v="225.02597535193738"/>
    <n v="28.128246918992172"/>
    <n v="112.51298767596869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489"/>
    <x v="3"/>
    <x v="3"/>
    <x v="3"/>
    <s v="parahyba"/>
    <n v="0.315"/>
    <x v="3"/>
    <n v="8.4"/>
    <n v="5.5417824000000004E-3"/>
    <n v="13"/>
    <n v="63"/>
    <n v="1.0995574287564276"/>
    <n v="5"/>
    <n v="10"/>
    <n v="0.17453292519943295"/>
    <x v="988"/>
    <n v="15.325736614806154"/>
    <n v="1.9157170768507692"/>
    <n v="7.6628683074030768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27"/>
    <x v="3"/>
    <x v="3"/>
    <x v="3"/>
    <s v="parahyba"/>
    <n v="0.315"/>
    <x v="3"/>
    <n v="13"/>
    <n v="1.327326E-2"/>
    <n v="15"/>
    <n v="60"/>
    <n v="1.0471975511965976"/>
    <n v="6"/>
    <n v="5"/>
    <n v="8.7266462599716474E-2"/>
    <x v="989"/>
    <n v="37.618662115400895"/>
    <n v="4.7023327644251118"/>
    <n v="18.809331057700447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35"/>
    <x v="21"/>
    <x v="13"/>
    <x v="16"/>
    <s v="sp."/>
    <n v="0.48"/>
    <x v="7"/>
    <n v="7.3"/>
    <n v="4.1853966000000003E-3"/>
    <n v="9"/>
    <n v="42"/>
    <n v="0.73303828583761843"/>
    <n v="6"/>
    <n v="7"/>
    <n v="0.12217304763960307"/>
    <x v="990"/>
    <n v="9.8407018464286704"/>
    <n v="1.2300877308035838"/>
    <n v="4.9203509232143352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14"/>
    <x v="20"/>
    <x v="12"/>
    <x v="15"/>
    <s v="dolichopoda"/>
    <n v="0.54"/>
    <x v="7"/>
    <n v="7.2"/>
    <n v="4.0715136000000008E-3"/>
    <n v="10"/>
    <n v="50"/>
    <n v="0.87266462599716477"/>
    <n v="7"/>
    <n v="5"/>
    <n v="8.7266462599716474E-2"/>
    <x v="991"/>
    <n v="12.959209721026674"/>
    <n v="1.6199012151283343"/>
    <n v="6.4796048605133372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17"/>
    <x v="23"/>
    <x v="11"/>
    <x v="18"/>
    <s v="insipida"/>
    <n v="0.38"/>
    <x v="7"/>
    <n v="10.9"/>
    <n v="9.3313374000000004E-3"/>
    <n v="11"/>
    <n v="52"/>
    <n v="0.90757121103705141"/>
    <n v="6"/>
    <n v="13"/>
    <n v="0.22689280275926285"/>
    <x v="992"/>
    <n v="24.319079748156152"/>
    <n v="3.0398849685195191"/>
    <n v="12.159539874078076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40"/>
    <x v="23"/>
    <x v="11"/>
    <x v="18"/>
    <s v="insipida"/>
    <n v="0.38"/>
    <x v="7"/>
    <n v="12.1"/>
    <n v="1.14990414E-2"/>
    <n v="10"/>
    <n v="55"/>
    <n v="0.95993108859688125"/>
    <n v="5"/>
    <n v="14"/>
    <n v="0.24434609527920614"/>
    <x v="993"/>
    <n v="27.87944022371628"/>
    <n v="3.484930027964535"/>
    <n v="13.93972011185814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46"/>
    <x v="7"/>
    <x v="6"/>
    <x v="6"/>
    <s v="quinata"/>
    <n v="0.48"/>
    <x v="6"/>
    <n v="24.6"/>
    <n v="4.7529266400000006E-2"/>
    <n v="17"/>
    <n v="72"/>
    <n v="1.2566370614359172"/>
    <n v="5"/>
    <n v="15"/>
    <n v="0.26179938779914941"/>
    <x v="994"/>
    <n v="235.91531760803647"/>
    <n v="29.489414701004559"/>
    <n v="117.95765880401824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31"/>
    <x v="14"/>
    <x v="0"/>
    <x v="0"/>
    <s v="allenii"/>
    <n v="0.48"/>
    <x v="7"/>
    <n v="52.5"/>
    <n v="0.21647587500000001"/>
    <n v="21"/>
    <n v="80"/>
    <n v="1.3962634015954636"/>
    <n v="7"/>
    <n v="10"/>
    <n v="0.17453292519943295"/>
    <x v="995"/>
    <n v="1213.6129311969082"/>
    <n v="151.70161639961353"/>
    <n v="606.80646559845411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26"/>
    <x v="7"/>
    <x v="6"/>
    <x v="6"/>
    <s v="quinata"/>
    <n v="0.48"/>
    <x v="6"/>
    <n v="33.200000000000003"/>
    <n v="8.6569929600000026E-2"/>
    <n v="14"/>
    <n v="68"/>
    <n v="1.1868238913561442"/>
    <n v="7"/>
    <n v="10"/>
    <n v="0.17453292519943295"/>
    <x v="996"/>
    <n v="341.19865537474982"/>
    <n v="42.649831921843727"/>
    <n v="170.59932768737491"/>
  </r>
  <r>
    <x v="9"/>
    <s v="NM, AM, EC, EL, RH"/>
    <x v="26"/>
    <s v="SO"/>
    <n v="8.4099199999999996"/>
    <n v="83.311719999999994"/>
    <n v="200"/>
    <n v="5"/>
    <n v="19.983330554894014"/>
    <n v="0.34877491369728597"/>
    <n v="21"/>
    <n v="551"/>
    <x v="1"/>
    <x v="1"/>
    <x v="1"/>
    <s v="-"/>
    <n v="0.57999999999999996"/>
    <x v="1"/>
    <n v="10.9"/>
    <n v="9.3313374000000004E-3"/>
    <n v="10"/>
    <n v="55"/>
    <n v="0.95993108859688125"/>
    <n v="6"/>
    <n v="10"/>
    <n v="0.17453292519943295"/>
    <x v="997"/>
    <n v="33.518627166852617"/>
    <n v="4.1898283958565772"/>
    <n v="16.759313583426309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79"/>
    <x v="14"/>
    <x v="0"/>
    <x v="0"/>
    <s v="allenii"/>
    <n v="0.48"/>
    <x v="7"/>
    <n v="24.8"/>
    <n v="4.8305241600000007E-2"/>
    <n v="14"/>
    <n v="70"/>
    <n v="1.2217304763960306"/>
    <n v="5"/>
    <n v="15"/>
    <n v="0.26179938779914941"/>
    <x v="998"/>
    <n v="200.47837888638853"/>
    <n v="25.059797360798566"/>
    <n v="100.23918944319426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16"/>
    <x v="7"/>
    <x v="6"/>
    <x v="6"/>
    <s v="quinata"/>
    <n v="0.48"/>
    <x v="6"/>
    <n v="26.5"/>
    <n v="5.5154715E-2"/>
    <n v="10"/>
    <n v="58"/>
    <n v="1.0122909661567112"/>
    <n v="6"/>
    <n v="10"/>
    <n v="0.17453292519943295"/>
    <x v="999"/>
    <n v="153.44441216914439"/>
    <n v="19.180551521143048"/>
    <n v="76.722206084572193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76"/>
    <x v="7"/>
    <x v="6"/>
    <x v="6"/>
    <s v="quinata"/>
    <n v="0.48"/>
    <x v="6"/>
    <n v="26.1"/>
    <n v="5.3502233400000009E-2"/>
    <n v="13"/>
    <n v="70"/>
    <n v="1.2217304763960306"/>
    <n v="6"/>
    <n v="10"/>
    <n v="0.17453292519943295"/>
    <x v="1000"/>
    <n v="203.53480313249554"/>
    <n v="25.441850391561943"/>
    <n v="101.76740156624777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61"/>
    <x v="58"/>
    <x v="5"/>
    <x v="44"/>
    <s v="cooperi"/>
    <n v="0.59"/>
    <x v="7"/>
    <n v="7.6"/>
    <n v="4.5364704E-3"/>
    <n v="6"/>
    <n v="51"/>
    <n v="0.89011791851710809"/>
    <n v="5"/>
    <n v="6"/>
    <n v="0.10471975511965978"/>
    <x v="1001"/>
    <n v="10.053025629176142"/>
    <n v="1.2566282036470178"/>
    <n v="5.0265128145880711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33"/>
    <x v="1"/>
    <x v="1"/>
    <x v="1"/>
    <s v="-"/>
    <n v="0.57999999999999996"/>
    <x v="1"/>
    <n v="14.2"/>
    <n v="1.58368056E-2"/>
    <n v="10"/>
    <n v="60"/>
    <n v="1.0471975511965976"/>
    <n v="5"/>
    <n v="4"/>
    <n v="6.9813170079773182E-2"/>
    <x v="1002"/>
    <n v="53.849759011950432"/>
    <n v="6.731219876493804"/>
    <n v="26.924879505975216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25"/>
    <x v="7"/>
    <x v="6"/>
    <x v="6"/>
    <s v="quinata"/>
    <n v="0.48"/>
    <x v="6"/>
    <n v="14.6"/>
    <n v="1.6741586400000001E-2"/>
    <n v="14"/>
    <n v="65"/>
    <n v="1.1344640137963142"/>
    <n v="6"/>
    <n v="9"/>
    <n v="0.15707963267948966"/>
    <x v="1003"/>
    <n v="70.072170752102707"/>
    <n v="8.7590213440128384"/>
    <n v="35.036085376051354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60"/>
    <x v="24"/>
    <x v="4"/>
    <x v="19"/>
    <s v="maxonii"/>
    <n v="0.66"/>
    <x v="7"/>
    <n v="10.9"/>
    <n v="9.3313374000000004E-3"/>
    <n v="10"/>
    <n v="42"/>
    <n v="0.73303828583761843"/>
    <n v="8"/>
    <n v="9"/>
    <n v="0.15707963267948966"/>
    <x v="1004"/>
    <n v="32.852551899017506"/>
    <n v="4.1065689873771882"/>
    <n v="16.426275949508753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08"/>
    <x v="24"/>
    <x v="4"/>
    <x v="19"/>
    <s v="maxonii"/>
    <n v="0.66"/>
    <x v="7"/>
    <n v="8.1"/>
    <n v="5.1530094000000002E-3"/>
    <n v="10"/>
    <n v="42"/>
    <n v="0.73303828583761843"/>
    <n v="8"/>
    <n v="9"/>
    <n v="0.15707963267948966"/>
    <x v="1004"/>
    <n v="18.800055415909991"/>
    <n v="2.3500069269887489"/>
    <n v="9.4000277079549956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50"/>
    <x v="7"/>
    <x v="6"/>
    <x v="6"/>
    <s v="quinata"/>
    <n v="0.48"/>
    <x v="6"/>
    <n v="26.9"/>
    <n v="5.6832329399999992E-2"/>
    <n v="12"/>
    <n v="60"/>
    <n v="1.0471975511965976"/>
    <n v="5"/>
    <n v="22"/>
    <n v="0.38397243543875248"/>
    <x v="1005"/>
    <n v="200.22648070373575"/>
    <n v="25.028310087966968"/>
    <n v="100.11324035186787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03"/>
    <x v="7"/>
    <x v="6"/>
    <x v="6"/>
    <s v="quinata"/>
    <n v="0.48"/>
    <x v="6"/>
    <n v="34.400000000000006"/>
    <n v="9.2941094400000035E-2"/>
    <n v="12"/>
    <n v="60"/>
    <n v="1.0471975511965976"/>
    <n v="8"/>
    <n v="12"/>
    <n v="0.20943951023931956"/>
    <x v="1006"/>
    <n v="312.8065233208057"/>
    <n v="39.100815415100712"/>
    <n v="156.40326166040285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37"/>
    <x v="17"/>
    <x v="10"/>
    <x v="13"/>
    <s v="sp."/>
    <n v="0.57999999999999996"/>
    <x v="7"/>
    <n v="13.5"/>
    <n v="1.4313915E-2"/>
    <n v="11"/>
    <n v="72"/>
    <n v="1.2566370614359172"/>
    <n v="5"/>
    <n v="10"/>
    <n v="0.17453292519943295"/>
    <x v="1007"/>
    <n v="60.741104300775923"/>
    <n v="7.5926380375969904"/>
    <n v="30.370552150387962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20"/>
    <x v="7"/>
    <x v="6"/>
    <x v="6"/>
    <s v="quinata"/>
    <n v="0.48"/>
    <x v="6"/>
    <n v="16.399999999999999"/>
    <n v="2.1124118399999999E-2"/>
    <n v="7"/>
    <n v="60"/>
    <n v="1.0471975511965976"/>
    <n v="5"/>
    <n v="14"/>
    <n v="0.24434609527920614"/>
    <x v="1008"/>
    <n v="48.314514102234611"/>
    <n v="6.0393142627793264"/>
    <n v="24.157257051117305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21"/>
    <x v="14"/>
    <x v="0"/>
    <x v="0"/>
    <s v="allenii"/>
    <n v="0.48"/>
    <x v="7"/>
    <n v="22.9"/>
    <n v="4.1187161399999998E-2"/>
    <n v="18"/>
    <n v="75"/>
    <n v="1.3089969389957472"/>
    <n v="5"/>
    <n v="10"/>
    <n v="0.17453292519943295"/>
    <x v="1009"/>
    <n v="214.98888671126147"/>
    <n v="26.873610838907684"/>
    <n v="107.49444335563074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392"/>
    <x v="7"/>
    <x v="6"/>
    <x v="6"/>
    <s v="quinata"/>
    <n v="0.48"/>
    <x v="6"/>
    <n v="22.5"/>
    <n v="3.9760875000000001E-2"/>
    <n v="9"/>
    <n v="55"/>
    <n v="0.95993108859688125"/>
    <n v="5"/>
    <n v="12"/>
    <n v="0.20943951023931956"/>
    <x v="1010"/>
    <n v="100.39992230735807"/>
    <n v="12.549990288419758"/>
    <n v="50.199961153679034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86"/>
    <x v="1"/>
    <x v="1"/>
    <x v="1"/>
    <s v="-"/>
    <n v="0.57999999999999996"/>
    <x v="1"/>
    <n v="22.1"/>
    <n v="3.8359721400000005E-2"/>
    <n v="10"/>
    <n v="50"/>
    <n v="0.87266462599716477"/>
    <n v="7"/>
    <n v="15"/>
    <n v="0.26179938779914941"/>
    <x v="1011"/>
    <n v="129.65950475631672"/>
    <n v="16.20743809453959"/>
    <n v="64.829752378158361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393"/>
    <x v="7"/>
    <x v="6"/>
    <x v="6"/>
    <s v="quinata"/>
    <n v="0.48"/>
    <x v="6"/>
    <n v="25"/>
    <n v="4.9087499999999999E-2"/>
    <n v="11"/>
    <n v="62"/>
    <n v="1.0821041362364843"/>
    <n v="7"/>
    <n v="20"/>
    <n v="0.3490658503988659"/>
    <x v="1012"/>
    <n v="172.34368175180492"/>
    <n v="21.542960218975615"/>
    <n v="86.171840875902461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87"/>
    <x v="14"/>
    <x v="0"/>
    <x v="0"/>
    <s v="allenii"/>
    <n v="0.48"/>
    <x v="7"/>
    <n v="21.7"/>
    <n v="3.6983700600000002E-2"/>
    <n v="13"/>
    <n v="60"/>
    <n v="1.0471975511965976"/>
    <n v="6"/>
    <n v="20"/>
    <n v="0.3490658503988659"/>
    <x v="1013"/>
    <n v="144.38231206481856"/>
    <n v="18.04778900810232"/>
    <n v="72.191156032409282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37"/>
    <x v="7"/>
    <x v="6"/>
    <x v="6"/>
    <s v="quinata"/>
    <n v="0.48"/>
    <x v="6"/>
    <n v="25.5"/>
    <n v="5.1070635000000003E-2"/>
    <n v="10"/>
    <n v="65"/>
    <n v="1.1344640137963142"/>
    <n v="5"/>
    <n v="5"/>
    <n v="8.7266462599716474E-2"/>
    <x v="1014"/>
    <n v="142.40822534839867"/>
    <n v="17.801028168549834"/>
    <n v="71.204112674199337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64"/>
    <x v="14"/>
    <x v="0"/>
    <x v="0"/>
    <s v="allenii"/>
    <n v="0.48"/>
    <x v="7"/>
    <n v="9"/>
    <n v="6.3617400000000003E-3"/>
    <n v="9"/>
    <n v="50"/>
    <n v="0.87266462599716477"/>
    <n v="6"/>
    <n v="-5"/>
    <n v="-8.7266462599716474E-2"/>
    <x v="1015"/>
    <n v="13.809863306883793"/>
    <n v="1.7262329133604741"/>
    <n v="6.9049316534418965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390"/>
    <x v="7"/>
    <x v="6"/>
    <x v="6"/>
    <s v="quinata"/>
    <n v="0.48"/>
    <x v="6"/>
    <n v="21.6"/>
    <n v="3.6643622400000006E-2"/>
    <n v="11"/>
    <n v="60"/>
    <n v="1.0471975511965976"/>
    <n v="8"/>
    <n v="-6"/>
    <n v="-0.10471975511965978"/>
    <x v="1016"/>
    <n v="95.86996235261941"/>
    <n v="11.983745294077426"/>
    <n v="47.934981176309705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34"/>
    <x v="1"/>
    <x v="1"/>
    <x v="1"/>
    <s v="-"/>
    <n v="0.57999999999999996"/>
    <x v="1"/>
    <n v="11.9"/>
    <n v="1.1122049400000002E-2"/>
    <n v="12"/>
    <n v="58"/>
    <n v="1.0122909661567112"/>
    <n v="5"/>
    <n v="-8"/>
    <n v="-0.13962634015954636"/>
    <x v="1017"/>
    <n v="40.526845829890462"/>
    <n v="5.0658557287363077"/>
    <n v="20.263422914945231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55"/>
    <x v="3"/>
    <x v="3"/>
    <x v="3"/>
    <s v="parahyba"/>
    <n v="0.315"/>
    <x v="3"/>
    <n v="18.3"/>
    <n v="2.6302260600000005E-2"/>
    <n v="16"/>
    <n v="70"/>
    <n v="1.2217304763960306"/>
    <n v="6"/>
    <n v="-8"/>
    <n v="-0.13962634015954636"/>
    <x v="1018"/>
    <n v="74.960759789585978"/>
    <n v="9.3700949736982473"/>
    <n v="37.480379894792989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389"/>
    <x v="14"/>
    <x v="0"/>
    <x v="0"/>
    <s v="allenii"/>
    <n v="0.48"/>
    <x v="7"/>
    <n v="12.5"/>
    <n v="1.2271875E-2"/>
    <n v="7"/>
    <n v="60"/>
    <n v="1.0471975511965976"/>
    <n v="5"/>
    <n v="-4"/>
    <n v="-6.9813170079773182E-2"/>
    <x v="1019"/>
    <n v="23.115321431109802"/>
    <n v="2.8894151788887252"/>
    <n v="11.557660715554901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24"/>
    <x v="3"/>
    <x v="3"/>
    <x v="3"/>
    <s v="parahyba"/>
    <n v="0.315"/>
    <x v="3"/>
    <n v="13.8"/>
    <n v="1.4957157600000003E-2"/>
    <n v="12"/>
    <n v="60"/>
    <n v="1.0471975511965976"/>
    <n v="5"/>
    <n v="25"/>
    <n v="0.43633231299858238"/>
    <x v="268"/>
    <n v="39.130728309226491"/>
    <n v="4.8913410386533114"/>
    <n v="19.565364154613246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51"/>
    <x v="3"/>
    <x v="3"/>
    <x v="3"/>
    <s v="parahyba"/>
    <n v="0.315"/>
    <x v="3"/>
    <n v="25"/>
    <n v="4.9087499999999999E-2"/>
    <n v="17"/>
    <n v="70"/>
    <n v="1.2217304763960306"/>
    <n v="5"/>
    <n v="25"/>
    <n v="0.43633231299858238"/>
    <x v="1020"/>
    <n v="169.17841314749654"/>
    <n v="21.147301643437068"/>
    <n v="84.589206573748271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73"/>
    <x v="42"/>
    <x v="23"/>
    <x v="32"/>
    <s v="ulmifolia"/>
    <n v="0.51"/>
    <x v="7"/>
    <n v="16"/>
    <n v="2.0106240000000001E-2"/>
    <n v="5"/>
    <n v="50"/>
    <n v="0.87266462599716477"/>
    <n v="5"/>
    <n v="20"/>
    <n v="0.3490658503988659"/>
    <x v="1021"/>
    <n v="37.813443540643647"/>
    <n v="4.7266804425804558"/>
    <n v="18.906721770321823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18"/>
    <x v="5"/>
    <x v="1"/>
    <x v="5"/>
    <s v="tibourbou"/>
    <n v="0.24"/>
    <x v="5"/>
    <n v="8.1999999999999993"/>
    <n v="5.2810295999999998E-3"/>
    <n v="7"/>
    <n v="50"/>
    <n v="0.87266462599716477"/>
    <n v="5"/>
    <n v="18"/>
    <n v="0.31415926535897931"/>
    <x v="1022"/>
    <n v="6.5190727676281366"/>
    <n v="0.81488409595351707"/>
    <n v="3.2595363838140683"/>
  </r>
  <r>
    <x v="9"/>
    <s v="NM, AM, EC, EL, RH"/>
    <x v="27"/>
    <s v="SO"/>
    <n v="8.4103100000000008"/>
    <n v="83.311729999999997"/>
    <n v="250"/>
    <n v="-21"/>
    <n v="-4.6916980937158783"/>
    <n v="-8.1885579244883558E-2"/>
    <n v="21.070602344294585"/>
    <n v="449"/>
    <x v="0"/>
    <x v="0"/>
    <x v="0"/>
    <s v="ferruginea"/>
    <n v="0.37"/>
    <x v="0"/>
    <n v="13.5"/>
    <n v="1.4313915E-2"/>
    <n v="8"/>
    <n v="65"/>
    <n v="1.1344640137963142"/>
    <n v="5"/>
    <n v="10"/>
    <n v="0.17453292519943295"/>
    <x v="725"/>
    <n v="29.101561393913652"/>
    <n v="3.6376951742392065"/>
    <n v="14.550780696956826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301"/>
    <x v="7"/>
    <x v="6"/>
    <x v="6"/>
    <s v="quinata"/>
    <n v="0.48"/>
    <x v="6"/>
    <n v="17"/>
    <n v="2.2698060000000003E-2"/>
    <n v="9"/>
    <n v="74"/>
    <n v="1.2915436464758039"/>
    <n v="6"/>
    <n v="10"/>
    <n v="0.17453292519943295"/>
    <x v="1023"/>
    <n v="67.725694425436913"/>
    <n v="8.4657118031796141"/>
    <n v="33.862847212718457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62"/>
    <x v="1"/>
    <x v="1"/>
    <x v="1"/>
    <s v="-"/>
    <n v="0.57999999999999996"/>
    <x v="1"/>
    <n v="25.6"/>
    <n v="5.1471974400000009E-2"/>
    <n v="7"/>
    <n v="49"/>
    <n v="0.85521133347722145"/>
    <n v="7"/>
    <n v="11"/>
    <n v="0.19198621771937624"/>
    <x v="1024"/>
    <n v="122.03859218893443"/>
    <n v="15.254824023616804"/>
    <n v="61.01929609446721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82"/>
    <x v="1"/>
    <x v="1"/>
    <x v="1"/>
    <s v="-"/>
    <n v="0.57999999999999996"/>
    <x v="1"/>
    <n v="23.3"/>
    <n v="4.2638580600000003E-2"/>
    <n v="9"/>
    <n v="70"/>
    <n v="1.2217304763960306"/>
    <n v="5"/>
    <n v="7"/>
    <n v="0.12217304763960307"/>
    <x v="1025"/>
    <n v="137.43902592185859"/>
    <n v="17.179878240232323"/>
    <n v="68.719512960929293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13"/>
    <x v="7"/>
    <x v="6"/>
    <x v="6"/>
    <s v="quinata"/>
    <n v="0.48"/>
    <x v="6"/>
    <n v="27"/>
    <n v="5.725566E-2"/>
    <n v="10"/>
    <n v="63"/>
    <n v="1.0995574287564276"/>
    <n v="5"/>
    <n v="23"/>
    <n v="0.4014257279586958"/>
    <x v="1026"/>
    <n v="179.89216313884805"/>
    <n v="22.486520392356006"/>
    <n v="89.946081569424024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44"/>
    <x v="1"/>
    <x v="1"/>
    <x v="1"/>
    <s v="-"/>
    <n v="0.57999999999999996"/>
    <x v="1"/>
    <n v="10.199999999999999"/>
    <n v="8.1713015999999999E-3"/>
    <n v="10"/>
    <n v="61"/>
    <n v="1.064650843716541"/>
    <n v="6"/>
    <n v="20"/>
    <n v="0.3490658503988659"/>
    <x v="1027"/>
    <n v="34.277339156552877"/>
    <n v="4.2846673945691096"/>
    <n v="17.138669578276438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59"/>
    <x v="1"/>
    <x v="1"/>
    <x v="1"/>
    <s v="-"/>
    <n v="0.57999999999999996"/>
    <x v="1"/>
    <n v="18.600000000000001"/>
    <n v="2.7171698400000003E-2"/>
    <n v="11"/>
    <n v="59"/>
    <n v="1.0297442586766545"/>
    <n v="6"/>
    <n v="19"/>
    <n v="0.33161255787892263"/>
    <x v="1028"/>
    <n v="111.43529725648661"/>
    <n v="13.929412157060826"/>
    <n v="55.717648628243303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77"/>
    <x v="7"/>
    <x v="6"/>
    <x v="6"/>
    <s v="quinata"/>
    <n v="0.48"/>
    <x v="6"/>
    <n v="18"/>
    <n v="2.5446960000000001E-2"/>
    <n v="10"/>
    <n v="51"/>
    <n v="0.89011791851710809"/>
    <n v="6"/>
    <n v="17"/>
    <n v="0.29670597283903605"/>
    <x v="1029"/>
    <n v="74.182838083675648"/>
    <n v="9.272854760459456"/>
    <n v="37.091419041837824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32"/>
    <x v="56"/>
    <x v="21"/>
    <x v="42"/>
    <s v="guianensis"/>
    <n v="0.56000000000000005"/>
    <x v="11"/>
    <n v="11.1"/>
    <n v="9.6769134000000007E-3"/>
    <n v="11"/>
    <n v="52"/>
    <n v="0.90757121103705141"/>
    <n v="7"/>
    <n v="13"/>
    <n v="0.22689280275926285"/>
    <x v="1030"/>
    <n v="36.996297943420167"/>
    <n v="4.6245372429275209"/>
    <n v="18.498148971710084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35"/>
    <x v="56"/>
    <x v="21"/>
    <x v="42"/>
    <s v="guianensis"/>
    <n v="0.56000000000000005"/>
    <x v="11"/>
    <n v="16.600000000000001"/>
    <n v="2.1642482400000006E-2"/>
    <n v="12"/>
    <n v="55"/>
    <n v="0.95993108859688125"/>
    <n v="6"/>
    <n v="14"/>
    <n v="0.24434609527920614"/>
    <x v="1031"/>
    <n v="86.333887035958583"/>
    <n v="10.791735879494823"/>
    <n v="43.166943517979291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46"/>
    <x v="1"/>
    <x v="1"/>
    <x v="1"/>
    <s v="-"/>
    <n v="0.57999999999999996"/>
    <x v="1"/>
    <n v="19.5"/>
    <n v="2.9864835000000003E-2"/>
    <n v="10"/>
    <n v="41"/>
    <n v="0.71558499331767511"/>
    <n v="5"/>
    <n v="19"/>
    <n v="0.33161255787892263"/>
    <x v="1032"/>
    <n v="89.363004074240891"/>
    <n v="11.170375509280111"/>
    <n v="44.68150203712044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17"/>
    <x v="1"/>
    <x v="1"/>
    <x v="1"/>
    <s v="-"/>
    <n v="0.57999999999999996"/>
    <x v="1"/>
    <n v="8.8000000000000007"/>
    <n v="6.0821376000000016E-3"/>
    <n v="8"/>
    <n v="61"/>
    <n v="1.064650843716541"/>
    <n v="5"/>
    <n v="21"/>
    <n v="0.36651914291880922"/>
    <x v="1033"/>
    <n v="21.399574843590944"/>
    <n v="2.674946855448868"/>
    <n v="10.69978742179547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66"/>
    <x v="1"/>
    <x v="1"/>
    <x v="1"/>
    <s v="-"/>
    <n v="0.57999999999999996"/>
    <x v="1"/>
    <n v="5.3"/>
    <n v="2.2061886000000002E-3"/>
    <n v="9"/>
    <n v="57"/>
    <n v="0.99483767363676789"/>
    <n v="5"/>
    <n v="16"/>
    <n v="0.27925268031909273"/>
    <x v="1034"/>
    <n v="8.3704785496425416"/>
    <n v="1.0463098187053177"/>
    <n v="4.1852392748212708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36"/>
    <x v="7"/>
    <x v="6"/>
    <x v="6"/>
    <s v="quinata"/>
    <n v="0.48"/>
    <x v="6"/>
    <n v="18.899999999999999"/>
    <n v="2.8055273399999994E-2"/>
    <n v="10"/>
    <n v="53"/>
    <n v="0.92502450355699462"/>
    <n v="5"/>
    <n v="16"/>
    <n v="0.27925268031909273"/>
    <x v="1035"/>
    <n v="80.015481001703307"/>
    <n v="10.001935125212913"/>
    <n v="40.007740500851654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37"/>
    <x v="1"/>
    <x v="1"/>
    <x v="1"/>
    <s v="-"/>
    <n v="0.57999999999999996"/>
    <x v="1"/>
    <n v="11"/>
    <n v="9.5033400000000007E-3"/>
    <n v="9"/>
    <n v="54"/>
    <n v="0.94247779607693793"/>
    <n v="5"/>
    <n v="16"/>
    <n v="0.27925268031909273"/>
    <x v="1036"/>
    <n v="32.10243498350988"/>
    <n v="4.012804372938735"/>
    <n v="16.05121749175494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42"/>
    <x v="14"/>
    <x v="0"/>
    <x v="0"/>
    <s v="allenii"/>
    <n v="0.48"/>
    <x v="7"/>
    <n v="33.6"/>
    <n v="8.8668518400000007E-2"/>
    <n v="15"/>
    <n v="72"/>
    <n v="1.2566370614359172"/>
    <n v="5"/>
    <n v="16"/>
    <n v="0.27925268031909273"/>
    <x v="1037"/>
    <n v="382.32629271522228"/>
    <n v="47.790786589402785"/>
    <n v="191.16314635761114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71"/>
    <x v="1"/>
    <x v="1"/>
    <x v="1"/>
    <s v="-"/>
    <n v="0.57999999999999996"/>
    <x v="1"/>
    <n v="19.399999999999999"/>
    <n v="2.9559314399999998E-2"/>
    <n v="11"/>
    <n v="55"/>
    <n v="0.95993108859688125"/>
    <n v="5"/>
    <n v="21"/>
    <n v="0.36651914291880922"/>
    <x v="1038"/>
    <n v="114.83243348608097"/>
    <n v="14.354054185760122"/>
    <n v="57.416216743040486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70"/>
    <x v="56"/>
    <x v="21"/>
    <x v="42"/>
    <s v="guianensis"/>
    <n v="0.56000000000000005"/>
    <x v="11"/>
    <n v="8"/>
    <n v="5.0265600000000002E-3"/>
    <n v="7"/>
    <n v="59"/>
    <n v="1.0297442586766545"/>
    <n v="7"/>
    <n v="17"/>
    <n v="0.29670597283903605"/>
    <x v="1039"/>
    <n v="15.931332035425587"/>
    <n v="1.9914165044281984"/>
    <n v="7.9656660177127936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40"/>
    <x v="1"/>
    <x v="1"/>
    <x v="1"/>
    <s v="-"/>
    <n v="0.57999999999999996"/>
    <x v="1"/>
    <n v="16.55"/>
    <n v="2.1512302350000005E-2"/>
    <n v="10"/>
    <n v="38"/>
    <n v="0.66322511575784526"/>
    <n v="6"/>
    <n v="18"/>
    <n v="0.31415926535897931"/>
    <x v="1040"/>
    <n v="64.309534116278485"/>
    <n v="8.0386917645348106"/>
    <n v="32.15476705813924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84"/>
    <x v="7"/>
    <x v="6"/>
    <x v="6"/>
    <s v="quinata"/>
    <n v="0.48"/>
    <x v="6"/>
    <n v="19"/>
    <n v="2.835294E-2"/>
    <n v="8"/>
    <n v="45"/>
    <n v="0.78539816339744828"/>
    <n v="5"/>
    <n v="19"/>
    <n v="0.33161255787892263"/>
    <x v="1041"/>
    <n v="63.819286753607976"/>
    <n v="7.977410844200997"/>
    <n v="31.909643376803988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308"/>
    <x v="1"/>
    <x v="1"/>
    <x v="1"/>
    <s v="-"/>
    <n v="0.57999999999999996"/>
    <x v="1"/>
    <n v="18.8"/>
    <n v="2.7759177600000004E-2"/>
    <n v="13"/>
    <n v="64"/>
    <n v="1.1170107212763709"/>
    <n v="5"/>
    <n v="18"/>
    <n v="0.31415926535897931"/>
    <x v="1042"/>
    <n v="130.96304508492042"/>
    <n v="16.370380635615053"/>
    <n v="65.48152254246021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75"/>
    <x v="56"/>
    <x v="21"/>
    <x v="42"/>
    <s v="guianensis"/>
    <n v="0.56000000000000005"/>
    <x v="11"/>
    <n v="8"/>
    <n v="5.0265600000000002E-3"/>
    <n v="9"/>
    <n v="45"/>
    <n v="0.78539816339744828"/>
    <n v="7"/>
    <n v="17"/>
    <n v="0.29670597283903605"/>
    <x v="1043"/>
    <n v="16.607459599385233"/>
    <n v="2.0759324499231542"/>
    <n v="8.3037297996926167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61"/>
    <x v="1"/>
    <x v="1"/>
    <x v="1"/>
    <s v="-"/>
    <n v="0.57999999999999996"/>
    <x v="1"/>
    <n v="10.5"/>
    <n v="8.6590350000000007E-3"/>
    <n v="12"/>
    <n v="51"/>
    <n v="0.89011791851710809"/>
    <n v="7"/>
    <n v="18"/>
    <n v="0.31415926535897931"/>
    <x v="1044"/>
    <n v="38.36901158053233"/>
    <n v="4.7961264475665413"/>
    <n v="19.18450579026616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83"/>
    <x v="56"/>
    <x v="21"/>
    <x v="42"/>
    <s v="guianensis"/>
    <n v="0.56000000000000005"/>
    <x v="11"/>
    <n v="7.3"/>
    <n v="4.1853966000000003E-3"/>
    <n v="10"/>
    <n v="49"/>
    <n v="0.85521133347722145"/>
    <n v="6"/>
    <n v="18"/>
    <n v="0.31415926535897931"/>
    <x v="1045"/>
    <n v="15.523785783154473"/>
    <n v="1.9404732228943091"/>
    <n v="7.761892891577236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38"/>
    <x v="7"/>
    <x v="6"/>
    <x v="6"/>
    <s v="quinata"/>
    <n v="0.48"/>
    <x v="6"/>
    <n v="29"/>
    <n v="6.6052140000000009E-2"/>
    <n v="10"/>
    <n v="48"/>
    <n v="0.83775804095727824"/>
    <n v="7"/>
    <n v="16"/>
    <n v="0.27925268031909273"/>
    <x v="1046"/>
    <n v="178.88572890070083"/>
    <n v="22.360716112587603"/>
    <n v="89.442864450350413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47"/>
    <x v="7"/>
    <x v="6"/>
    <x v="6"/>
    <s v="quinata"/>
    <n v="0.48"/>
    <x v="6"/>
    <n v="20.2"/>
    <n v="3.20474616E-2"/>
    <n v="10"/>
    <n v="49"/>
    <n v="0.85521133347722145"/>
    <n v="6"/>
    <n v="14"/>
    <n v="0.24434609527920614"/>
    <x v="1047"/>
    <n v="87.340312656869799"/>
    <n v="10.917539082108725"/>
    <n v="43.670156328434899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87"/>
    <x v="56"/>
    <x v="21"/>
    <x v="42"/>
    <s v="guianensis"/>
    <n v="0.56000000000000005"/>
    <x v="11"/>
    <n v="7.3"/>
    <n v="4.1853966000000003E-3"/>
    <n v="9"/>
    <n v="50"/>
    <n v="0.87266462599716477"/>
    <n v="6"/>
    <n v="13"/>
    <n v="0.22689280275926285"/>
    <x v="1048"/>
    <n v="13.72083091184729"/>
    <n v="1.7151038639809113"/>
    <n v="6.860415455923645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58"/>
    <x v="7"/>
    <x v="6"/>
    <x v="6"/>
    <s v="quinata"/>
    <n v="0.48"/>
    <x v="6"/>
    <n v="16.5"/>
    <n v="2.1382515000000001E-2"/>
    <n v="12"/>
    <n v="48"/>
    <n v="0.83775804095727824"/>
    <n v="7"/>
    <n v="7"/>
    <n v="0.12217304763960307"/>
    <x v="1049"/>
    <n v="64.510972620977668"/>
    <n v="8.0638715776222085"/>
    <n v="32.255486310488834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85"/>
    <x v="17"/>
    <x v="10"/>
    <x v="13"/>
    <s v="sp."/>
    <n v="0.57999999999999996"/>
    <x v="7"/>
    <n v="21.8"/>
    <n v="3.7325349600000002E-2"/>
    <n v="13"/>
    <n v="68"/>
    <n v="1.1868238913561442"/>
    <n v="6"/>
    <n v="12"/>
    <n v="0.20943951023931956"/>
    <x v="1050"/>
    <n v="173.87181591486905"/>
    <n v="21.733976989358631"/>
    <n v="86.935907957434523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86"/>
    <x v="17"/>
    <x v="10"/>
    <x v="13"/>
    <s v="sp."/>
    <n v="0.57999999999999996"/>
    <x v="7"/>
    <n v="10"/>
    <n v="7.8539999999999999E-3"/>
    <n v="7"/>
    <n v="62"/>
    <n v="1.0821041362364843"/>
    <n v="5"/>
    <n v="11"/>
    <n v="0.19198621771937624"/>
    <x v="1051"/>
    <n v="22.3694835361025"/>
    <n v="2.7961854420128125"/>
    <n v="11.1847417680512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39"/>
    <x v="7"/>
    <x v="6"/>
    <x v="6"/>
    <s v="quinata"/>
    <n v="0.48"/>
    <x v="6"/>
    <n v="18"/>
    <n v="2.5446960000000001E-2"/>
    <n v="8"/>
    <n v="56"/>
    <n v="0.97738438111682457"/>
    <n v="5"/>
    <n v="9"/>
    <n v="0.15707963267948966"/>
    <x v="1052"/>
    <n v="58.616010932729573"/>
    <n v="7.3270013665911966"/>
    <n v="29.308005466364786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69"/>
    <x v="1"/>
    <x v="1"/>
    <x v="1"/>
    <s v="-"/>
    <n v="0.57999999999999996"/>
    <x v="1"/>
    <n v="22.8"/>
    <n v="4.0828233600000007E-2"/>
    <n v="17"/>
    <n v="54"/>
    <n v="0.94247779607693793"/>
    <n v="8"/>
    <n v="7"/>
    <n v="0.12217304763960307"/>
    <x v="1053"/>
    <n v="208.19171853202465"/>
    <n v="26.023964816503081"/>
    <n v="104.09585926601233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68"/>
    <x v="7"/>
    <x v="6"/>
    <x v="6"/>
    <s v="quinata"/>
    <n v="0.48"/>
    <x v="6"/>
    <n v="21.5"/>
    <n v="3.6305114999999999E-2"/>
    <n v="10"/>
    <n v="53"/>
    <n v="0.92502450355699462"/>
    <n v="6"/>
    <n v="10"/>
    <n v="0.17453292519943295"/>
    <x v="1054"/>
    <n v="98.50990204448955"/>
    <n v="12.313737755561194"/>
    <n v="49.25495102224477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255"/>
    <x v="3"/>
    <x v="3"/>
    <x v="3"/>
    <s v="parahyba"/>
    <n v="0.315"/>
    <x v="3"/>
    <n v="12.25"/>
    <n v="1.1785908750000001E-2"/>
    <n v="14"/>
    <n v="58"/>
    <n v="1.0122909661567112"/>
    <n v="6"/>
    <n v="18"/>
    <n v="0.31415926535897931"/>
    <x v="1055"/>
    <n v="34.14160252851719"/>
    <n v="4.2677003160646487"/>
    <n v="17.07080126425859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17"/>
    <x v="3"/>
    <x v="3"/>
    <x v="3"/>
    <s v="parahyba"/>
    <n v="0.315"/>
    <x v="3"/>
    <n v="20"/>
    <n v="3.1415999999999999E-2"/>
    <n v="17"/>
    <n v="66"/>
    <n v="1.1519173063162575"/>
    <n v="6"/>
    <n v="17"/>
    <n v="0.29670597283903605"/>
    <x v="1056"/>
    <n v="106.56326450731058"/>
    <n v="13.320408063413822"/>
    <n v="53.281632253655289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18"/>
    <x v="20"/>
    <x v="12"/>
    <x v="15"/>
    <s v="dolichopoda"/>
    <n v="0.54"/>
    <x v="7"/>
    <n v="9.3000000000000007"/>
    <n v="6.7929246000000007E-3"/>
    <n v="11"/>
    <n v="55"/>
    <n v="0.95993108859688125"/>
    <n v="5"/>
    <n v="19"/>
    <n v="0.33161255787892263"/>
    <x v="1057"/>
    <n v="26.56610480468925"/>
    <n v="3.3207631005861562"/>
    <n v="13.28305240234462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16"/>
    <x v="7"/>
    <x v="6"/>
    <x v="6"/>
    <s v="quinata"/>
    <n v="0.48"/>
    <x v="6"/>
    <n v="17.2"/>
    <n v="2.3235273599999998E-2"/>
    <n v="9"/>
    <n v="45"/>
    <n v="0.78539816339744828"/>
    <n v="7"/>
    <n v="16"/>
    <n v="0.27925268031909273"/>
    <x v="1058"/>
    <n v="59.790437165285724"/>
    <n v="7.4738046456607155"/>
    <n v="29.89521858264286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14"/>
    <x v="1"/>
    <x v="1"/>
    <x v="1"/>
    <s v="-"/>
    <n v="0.57999999999999996"/>
    <x v="1"/>
    <n v="10.199999999999999"/>
    <n v="8.1713015999999999E-3"/>
    <n v="11"/>
    <n v="52"/>
    <n v="0.90757121103705141"/>
    <n v="7"/>
    <n v="13"/>
    <n v="0.22689280275926285"/>
    <x v="1030"/>
    <n v="32.617071050963965"/>
    <n v="4.0771338813704956"/>
    <n v="16.30853552548198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13"/>
    <x v="1"/>
    <x v="1"/>
    <x v="1"/>
    <s v="-"/>
    <n v="0.57999999999999996"/>
    <x v="1"/>
    <n v="17.2"/>
    <n v="2.3235273599999998E-2"/>
    <n v="9"/>
    <n v="51"/>
    <n v="0.89011791851710809"/>
    <n v="5"/>
    <n v="16"/>
    <n v="0.27925268031909273"/>
    <x v="1059"/>
    <n v="72.071138614448728"/>
    <n v="9.008892326806091"/>
    <n v="36.035569307224364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12"/>
    <x v="56"/>
    <x v="21"/>
    <x v="42"/>
    <s v="guianensis"/>
    <n v="0.56000000000000005"/>
    <x v="11"/>
    <n v="12.2"/>
    <n v="1.1689893599999999E-2"/>
    <n v="10"/>
    <n v="62"/>
    <n v="1.0821041362364843"/>
    <n v="5"/>
    <n v="13"/>
    <n v="0.22689280275926285"/>
    <x v="1060"/>
    <n v="43.017206919004671"/>
    <n v="5.3771508648755839"/>
    <n v="21.508603459502336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11"/>
    <x v="56"/>
    <x v="21"/>
    <x v="42"/>
    <s v="guianensis"/>
    <n v="0.56000000000000005"/>
    <x v="11"/>
    <n v="9"/>
    <n v="6.3617400000000003E-3"/>
    <n v="10"/>
    <n v="63"/>
    <n v="1.0995574287564276"/>
    <n v="5"/>
    <n v="15"/>
    <n v="0.26179938779914941"/>
    <x v="1061"/>
    <n v="24.853355225985702"/>
    <n v="3.1066694032482127"/>
    <n v="12.426677612992851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10"/>
    <x v="7"/>
    <x v="6"/>
    <x v="6"/>
    <s v="quinata"/>
    <n v="0.48"/>
    <x v="6"/>
    <n v="29.4"/>
    <n v="6.7886834399999998E-2"/>
    <n v="10"/>
    <n v="62"/>
    <n v="1.0821041362364843"/>
    <n v="5"/>
    <n v="10"/>
    <n v="0.17453292519943295"/>
    <x v="1062"/>
    <n v="189.75393631770504"/>
    <n v="23.71924203971313"/>
    <n v="94.8769681588525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42"/>
    <x v="1"/>
    <x v="1"/>
    <x v="1"/>
    <s v="-"/>
    <n v="0.57999999999999996"/>
    <x v="1"/>
    <n v="11"/>
    <n v="9.5033400000000007E-3"/>
    <n v="8"/>
    <n v="74"/>
    <n v="1.2915436464758039"/>
    <n v="5"/>
    <n v="12"/>
    <n v="0.20943951023931956"/>
    <x v="1063"/>
    <n v="32.347401547084552"/>
    <n v="4.0434251933855689"/>
    <n v="16.173700773542276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09"/>
    <x v="20"/>
    <x v="12"/>
    <x v="15"/>
    <s v="dolichopoda"/>
    <n v="0.54"/>
    <x v="7"/>
    <n v="8.8000000000000007"/>
    <n v="6.0821376000000016E-3"/>
    <n v="10"/>
    <n v="51"/>
    <n v="0.89011791851710809"/>
    <n v="6"/>
    <n v="12"/>
    <n v="0.20943951023931956"/>
    <x v="1064"/>
    <n v="20.501469123251098"/>
    <n v="2.5626836404063873"/>
    <n v="10.250734561625549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07"/>
    <x v="1"/>
    <x v="1"/>
    <x v="1"/>
    <s v="-"/>
    <n v="0.57999999999999996"/>
    <x v="1"/>
    <n v="14.5"/>
    <n v="1.6513035000000002E-2"/>
    <n v="8"/>
    <n v="36"/>
    <n v="0.62831853071795862"/>
    <n v="5"/>
    <n v="11"/>
    <n v="0.19198621771937624"/>
    <x v="1065"/>
    <n v="36.160823916105016"/>
    <n v="4.5201029895131271"/>
    <n v="18.080411958052508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1808"/>
    <x v="1"/>
    <x v="1"/>
    <x v="1"/>
    <s v="-"/>
    <n v="0.57999999999999996"/>
    <x v="1"/>
    <n v="12.8"/>
    <n v="1.2867993600000002E-2"/>
    <n v="8"/>
    <n v="53"/>
    <n v="0.92502450355699462"/>
    <n v="5"/>
    <n v="13"/>
    <n v="0.22689280275926285"/>
    <x v="1066"/>
    <n v="37.35501965954407"/>
    <n v="4.6693774574430087"/>
    <n v="18.67750982977203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59"/>
    <x v="3"/>
    <x v="3"/>
    <x v="3"/>
    <s v="parahyba"/>
    <n v="0.315"/>
    <x v="3"/>
    <n v="18.2"/>
    <n v="2.6015589599999996E-2"/>
    <n v="14"/>
    <n v="59"/>
    <n v="1.0297442586766545"/>
    <n v="6"/>
    <n v="16"/>
    <n v="0.27925268031909273"/>
    <x v="1067"/>
    <n v="71.508411276222503"/>
    <n v="8.9385514095278129"/>
    <n v="35.75420563811125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81"/>
    <x v="56"/>
    <x v="21"/>
    <x v="42"/>
    <s v="guianensis"/>
    <n v="0.56000000000000005"/>
    <x v="11"/>
    <n v="11.2"/>
    <n v="9.8520575999999985E-3"/>
    <n v="13"/>
    <n v="61"/>
    <n v="1.064650843716541"/>
    <n v="5"/>
    <n v="15"/>
    <n v="0.26179938779914941"/>
    <x v="1068"/>
    <n v="45.931420632003984"/>
    <n v="5.741427579000498"/>
    <n v="22.96571031600199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28"/>
    <x v="1"/>
    <x v="1"/>
    <x v="1"/>
    <s v="-"/>
    <n v="0.57999999999999996"/>
    <x v="1"/>
    <n v="14"/>
    <n v="1.5393840000000001E-2"/>
    <n v="13"/>
    <n v="52"/>
    <n v="0.90757121103705141"/>
    <n v="8"/>
    <n v="11"/>
    <n v="0.19198621771937624"/>
    <x v="1069"/>
    <n v="67.414890803883722"/>
    <n v="8.4268613504854653"/>
    <n v="33.707445401941861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13"/>
    <x v="7"/>
    <x v="6"/>
    <x v="6"/>
    <s v="quinata"/>
    <n v="0.48"/>
    <x v="6"/>
    <n v="28"/>
    <n v="6.1575360000000003E-2"/>
    <n v="11"/>
    <n v="50"/>
    <n v="0.87266462599716477"/>
    <n v="6"/>
    <n v="9"/>
    <n v="0.15707963267948966"/>
    <x v="1070"/>
    <n v="167.53558570360045"/>
    <n v="20.941948212950056"/>
    <n v="83.767792851800223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15"/>
    <x v="1"/>
    <x v="1"/>
    <x v="1"/>
    <s v="-"/>
    <n v="0.57999999999999996"/>
    <x v="1"/>
    <n v="14.5"/>
    <n v="1.6513035000000002E-2"/>
    <n v="12"/>
    <n v="59"/>
    <n v="1.0297442586766545"/>
    <n v="6"/>
    <n v="9"/>
    <n v="0.15707963267948966"/>
    <x v="1071"/>
    <n v="68.867929166841833"/>
    <n v="8.6084911458552291"/>
    <n v="34.433964583420916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40"/>
    <x v="1"/>
    <x v="1"/>
    <x v="1"/>
    <s v="-"/>
    <n v="0.57999999999999996"/>
    <x v="1"/>
    <n v="26.6"/>
    <n v="5.5571762400000009E-2"/>
    <n v="14"/>
    <n v="51"/>
    <n v="0.89011791851710809"/>
    <n v="7"/>
    <n v="5"/>
    <n v="8.7266462599716474E-2"/>
    <x v="1072"/>
    <n v="220.27595252309433"/>
    <n v="27.534494065386792"/>
    <n v="110.13797626154717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35"/>
    <x v="7"/>
    <x v="6"/>
    <x v="6"/>
    <s v="quinata"/>
    <n v="0.48"/>
    <x v="6"/>
    <n v="20.5"/>
    <n v="3.3006435000000001E-2"/>
    <n v="12"/>
    <n v="50"/>
    <n v="0.87266462599716477"/>
    <n v="6"/>
    <n v="11"/>
    <n v="0.19198621771937624"/>
    <x v="1073"/>
    <n v="102.29911658483553"/>
    <n v="12.787389573104441"/>
    <n v="51.14955829241776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39"/>
    <x v="56"/>
    <x v="21"/>
    <x v="42"/>
    <s v="guianensis"/>
    <n v="0.56000000000000005"/>
    <x v="11"/>
    <n v="11.5"/>
    <n v="1.0386915E-2"/>
    <n v="10"/>
    <n v="66"/>
    <n v="1.1519173063162575"/>
    <n v="6"/>
    <n v="9"/>
    <n v="0.15707963267948966"/>
    <x v="1074"/>
    <n v="38.929849345133654"/>
    <n v="4.8662311681417068"/>
    <n v="19.464924672566827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74"/>
    <x v="50"/>
    <x v="12"/>
    <x v="37"/>
    <s v="sericophylla"/>
    <n v="0.57999999999999996"/>
    <x v="7"/>
    <n v="7"/>
    <n v="3.8484600000000002E-3"/>
    <n v="7"/>
    <n v="57"/>
    <n v="0.99483767363676789"/>
    <n v="5"/>
    <n v="11"/>
    <n v="0.19198621771937624"/>
    <x v="1075"/>
    <n v="10.972592027401504"/>
    <n v="1.371574003425188"/>
    <n v="5.4862960137007519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72"/>
    <x v="56"/>
    <x v="21"/>
    <x v="42"/>
    <s v="guianensis"/>
    <n v="0.56000000000000005"/>
    <x v="11"/>
    <n v="8"/>
    <n v="5.0265600000000002E-3"/>
    <n v="12"/>
    <n v="51"/>
    <n v="0.89011791851710809"/>
    <n v="7"/>
    <n v="11"/>
    <n v="0.19198621771937624"/>
    <x v="1076"/>
    <n v="20.754562407889342"/>
    <n v="2.5943203009861677"/>
    <n v="10.377281203944671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14"/>
    <x v="3"/>
    <x v="3"/>
    <x v="3"/>
    <s v="parahyba"/>
    <n v="0.315"/>
    <x v="3"/>
    <n v="6.7"/>
    <n v="3.5256606000000001E-3"/>
    <n v="10"/>
    <n v="59"/>
    <n v="1.0297442586766545"/>
    <n v="6"/>
    <n v="16"/>
    <n v="0.27925268031909273"/>
    <x v="1077"/>
    <n v="8.3252567631475536"/>
    <n v="1.0406570953934442"/>
    <n v="4.1626283815737768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68"/>
    <x v="30"/>
    <x v="17"/>
    <x v="22"/>
    <s v="glabra"/>
    <n v="0.64"/>
    <x v="7"/>
    <n v="7.5"/>
    <n v="4.4178749999999999E-3"/>
    <n v="10"/>
    <n v="60"/>
    <n v="1.0471975511965976"/>
    <n v="6"/>
    <n v="11"/>
    <n v="0.19198621771937624"/>
    <x v="1078"/>
    <n v="19.264214758416031"/>
    <n v="2.4080268448020039"/>
    <n v="9.6321073792080156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10"/>
    <x v="7"/>
    <x v="6"/>
    <x v="6"/>
    <s v="quinata"/>
    <n v="0.48"/>
    <x v="6"/>
    <n v="32"/>
    <n v="8.0424960000000004E-2"/>
    <n v="8"/>
    <n v="50"/>
    <n v="0.87266462599716477"/>
    <n v="6"/>
    <n v="10"/>
    <n v="0.17453292519943295"/>
    <x v="1079"/>
    <n v="167.53763366445898"/>
    <n v="20.942204208057372"/>
    <n v="83.76881683222949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31"/>
    <x v="7"/>
    <x v="6"/>
    <x v="6"/>
    <s v="quinata"/>
    <n v="0.48"/>
    <x v="6"/>
    <n v="20"/>
    <n v="3.1415999999999999E-2"/>
    <n v="9"/>
    <n v="59"/>
    <n v="1.0297442586766545"/>
    <n v="5"/>
    <n v="14"/>
    <n v="0.24434609527920614"/>
    <x v="1080"/>
    <n v="85.054272320699909"/>
    <n v="10.631784040087489"/>
    <n v="42.527136160349954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66"/>
    <x v="22"/>
    <x v="14"/>
    <x v="17"/>
    <s v="alchorneoides"/>
    <n v="0.64"/>
    <x v="9"/>
    <n v="9"/>
    <n v="6.3617400000000003E-3"/>
    <n v="10"/>
    <n v="58"/>
    <n v="1.0122909661567112"/>
    <n v="5"/>
    <n v="12"/>
    <n v="0.20943951023931956"/>
    <x v="1081"/>
    <n v="26.397769735748003"/>
    <n v="3.2997212169685004"/>
    <n v="13.19888486787400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69"/>
    <x v="56"/>
    <x v="21"/>
    <x v="42"/>
    <s v="guianensis"/>
    <n v="0.56000000000000005"/>
    <x v="11"/>
    <n v="9"/>
    <n v="6.3617400000000003E-3"/>
    <n v="9"/>
    <n v="48"/>
    <n v="0.83775804095727824"/>
    <n v="6"/>
    <n v="10"/>
    <n v="0.17453292519943295"/>
    <x v="1082"/>
    <n v="19.144025963729415"/>
    <n v="2.3930032454661769"/>
    <n v="9.5720129818647077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399"/>
    <x v="1"/>
    <x v="1"/>
    <x v="1"/>
    <s v="-"/>
    <n v="0.57999999999999996"/>
    <x v="1"/>
    <n v="11.3"/>
    <n v="1.0028772600000001E-2"/>
    <n v="9"/>
    <n v="56"/>
    <n v="0.97738438111682457"/>
    <n v="5"/>
    <n v="9"/>
    <n v="0.15707963267948966"/>
    <x v="1083"/>
    <n v="32.24162865059531"/>
    <n v="4.0302035813244137"/>
    <n v="16.120814325297655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83"/>
    <x v="56"/>
    <x v="21"/>
    <x v="42"/>
    <s v="guianensis"/>
    <n v="0.56000000000000005"/>
    <x v="11"/>
    <n v="8.1999999999999993"/>
    <n v="5.2810295999999998E-3"/>
    <n v="10"/>
    <n v="59"/>
    <n v="1.0297442586766545"/>
    <n v="5"/>
    <n v="13"/>
    <n v="0.22689280275926285"/>
    <x v="1084"/>
    <n v="19.885823994012682"/>
    <n v="2.4857279992515853"/>
    <n v="9.9429119970063411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01"/>
    <x v="7"/>
    <x v="6"/>
    <x v="6"/>
    <s v="quinata"/>
    <n v="0.48"/>
    <x v="6"/>
    <n v="26.5"/>
    <n v="5.5154715E-2"/>
    <n v="11"/>
    <n v="51"/>
    <n v="0.89011791851710809"/>
    <n v="5"/>
    <n v="10"/>
    <n v="0.17453292519943295"/>
    <x v="1085"/>
    <n v="151.84548658846444"/>
    <n v="18.980685823558055"/>
    <n v="75.9227432942322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19"/>
    <x v="1"/>
    <x v="1"/>
    <x v="1"/>
    <s v="-"/>
    <n v="0.57999999999999996"/>
    <x v="1"/>
    <n v="10.3"/>
    <n v="8.3323086000000011E-3"/>
    <n v="11"/>
    <n v="44"/>
    <n v="0.76794487087750496"/>
    <n v="6"/>
    <n v="11"/>
    <n v="0.19198621771937624"/>
    <x v="1086"/>
    <n v="28.759822902017824"/>
    <n v="3.594977862752228"/>
    <n v="14.379911451008912"/>
  </r>
  <r>
    <x v="11"/>
    <s v="NM, AM, EC"/>
    <x v="28"/>
    <s v="NE"/>
    <n v="8.4106699999999996"/>
    <n v="83.311130000000006"/>
    <n v="250"/>
    <n v="-14"/>
    <n v="-7.0961293843639721"/>
    <n v="-0.12385082190466953"/>
    <n v="21.162095610230239"/>
    <n v="478"/>
    <x v="25"/>
    <x v="5"/>
    <x v="1"/>
    <s v="-"/>
    <n v="0.57999999999999996"/>
    <x v="1"/>
    <n v="9.1"/>
    <n v="6.5038973999999991E-3"/>
    <n v="10"/>
    <n v="55"/>
    <n v="0.95993108859688125"/>
    <n v="6"/>
    <n v="9"/>
    <n v="0.15707963267948966"/>
    <x v="1087"/>
    <n v="23.622729268267591"/>
    <n v="2.9528411585334489"/>
    <n v="11.811364634133795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939"/>
    <x v="1"/>
    <x v="1"/>
    <x v="1"/>
    <s v="-"/>
    <n v="0.57999999999999996"/>
    <x v="1"/>
    <n v="32.5"/>
    <n v="8.2957875E-2"/>
    <n v="10"/>
    <n v="70"/>
    <n v="1.2217304763960306"/>
    <n v="6"/>
    <n v="13"/>
    <n v="0.22689280275926285"/>
    <x v="1088"/>
    <n v="301.45383205026911"/>
    <n v="37.681729006283639"/>
    <n v="150.72691602513456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88"/>
    <x v="1"/>
    <x v="1"/>
    <x v="1"/>
    <s v="-"/>
    <n v="0.57999999999999996"/>
    <x v="1"/>
    <n v="9"/>
    <n v="6.3617400000000003E-3"/>
    <n v="10"/>
    <n v="55"/>
    <n v="0.95993108859688125"/>
    <n v="5"/>
    <n v="11"/>
    <n v="0.19198621771937624"/>
    <x v="1089"/>
    <n v="23.173833375913684"/>
    <n v="2.8967291719892105"/>
    <n v="11.586916687956842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97"/>
    <x v="1"/>
    <x v="1"/>
    <x v="1"/>
    <s v="-"/>
    <n v="0.57999999999999996"/>
    <x v="1"/>
    <n v="15.7"/>
    <n v="1.9359324599999998E-2"/>
    <n v="13"/>
    <n v="65"/>
    <n v="1.1344640137963142"/>
    <n v="6"/>
    <n v="4"/>
    <n v="6.9813170079773182E-2"/>
    <x v="1090"/>
    <n v="86.491154490736065"/>
    <n v="10.811394311342008"/>
    <n v="43.245577245368032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60"/>
    <x v="56"/>
    <x v="21"/>
    <x v="42"/>
    <s v="guianensis"/>
    <n v="0.56000000000000005"/>
    <x v="11"/>
    <n v="17.899999999999999"/>
    <n v="2.5165001399999998E-2"/>
    <n v="14"/>
    <n v="60"/>
    <n v="1.0471975511965976"/>
    <n v="8"/>
    <n v="2"/>
    <n v="3.4906585039886591E-2"/>
    <x v="1091"/>
    <n v="108.75655942868381"/>
    <n v="13.594569928585477"/>
    <n v="54.378279714341907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977"/>
    <x v="0"/>
    <x v="0"/>
    <x v="0"/>
    <s v="ferruginea"/>
    <n v="0.37"/>
    <x v="0"/>
    <n v="8"/>
    <n v="5.0265600000000002E-3"/>
    <n v="11"/>
    <n v="45"/>
    <n v="0.78539816339744828"/>
    <n v="8"/>
    <n v="0"/>
    <n v="0"/>
    <x v="1092"/>
    <n v="10.45214782922954"/>
    <n v="1.3065184786536925"/>
    <n v="5.2260739146147701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37"/>
    <x v="7"/>
    <x v="6"/>
    <x v="6"/>
    <s v="quinata"/>
    <n v="0.48"/>
    <x v="6"/>
    <n v="18.7"/>
    <n v="2.74646526E-2"/>
    <n v="10"/>
    <n v="52"/>
    <n v="0.90757121103705141"/>
    <n v="6"/>
    <n v="0"/>
    <n v="0"/>
    <x v="1093"/>
    <n v="66.685424509503775"/>
    <n v="8.3356780636879719"/>
    <n v="33.342712254751888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992"/>
    <x v="56"/>
    <x v="21"/>
    <x v="42"/>
    <s v="guianensis"/>
    <n v="0.56000000000000005"/>
    <x v="11"/>
    <n v="19.3"/>
    <n v="2.9255364600000004E-2"/>
    <n v="16"/>
    <n v="70"/>
    <n v="1.2217304763960306"/>
    <n v="6"/>
    <n v="6"/>
    <n v="0.10471975511965978"/>
    <x v="1094"/>
    <n v="156.0160150655727"/>
    <n v="19.502001883196588"/>
    <n v="78.008007532786351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59"/>
    <x v="56"/>
    <x v="21"/>
    <x v="42"/>
    <s v="guianensis"/>
    <n v="0.56000000000000005"/>
    <x v="11"/>
    <n v="17.5"/>
    <n v="2.4052875000000001E-2"/>
    <n v="13"/>
    <n v="65"/>
    <n v="1.1344640137963142"/>
    <n v="6"/>
    <n v="12"/>
    <n v="0.20943951023931956"/>
    <x v="1095"/>
    <n v="109.16946614589112"/>
    <n v="13.64618326823639"/>
    <n v="54.584733072945561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40"/>
    <x v="56"/>
    <x v="21"/>
    <x v="42"/>
    <s v="guianensis"/>
    <n v="0.56000000000000005"/>
    <x v="11"/>
    <n v="17.5"/>
    <n v="2.4052875000000001E-2"/>
    <n v="13"/>
    <n v="65"/>
    <n v="1.1344640137963142"/>
    <n v="6"/>
    <n v="12"/>
    <n v="0.20943951023931956"/>
    <x v="1095"/>
    <n v="109.16946614589112"/>
    <n v="13.64618326823639"/>
    <n v="54.584733072945561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62"/>
    <x v="20"/>
    <x v="12"/>
    <x v="15"/>
    <s v="dolichopoda"/>
    <n v="0.54"/>
    <x v="7"/>
    <n v="6"/>
    <n v="2.8274400000000001E-3"/>
    <n v="8"/>
    <n v="45"/>
    <n v="0.78539816339744828"/>
    <n v="6"/>
    <n v="8"/>
    <n v="0.13962634015954636"/>
    <x v="1096"/>
    <n v="7.3259722463303119"/>
    <n v="0.91574653079128898"/>
    <n v="3.6629861231651559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933"/>
    <x v="56"/>
    <x v="21"/>
    <x v="42"/>
    <s v="guianensis"/>
    <n v="0.56000000000000005"/>
    <x v="11"/>
    <n v="18.2"/>
    <n v="2.6015589599999996E-2"/>
    <n v="12"/>
    <n v="65"/>
    <n v="1.1344640137963142"/>
    <n v="6"/>
    <n v="8"/>
    <n v="0.13962634015954636"/>
    <x v="1097"/>
    <n v="106.30695473248835"/>
    <n v="13.288369341561044"/>
    <n v="53.153477366244175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42"/>
    <x v="56"/>
    <x v="21"/>
    <x v="42"/>
    <s v="guianensis"/>
    <n v="0.56000000000000005"/>
    <x v="11"/>
    <n v="7"/>
    <n v="3.8484600000000002E-3"/>
    <n v="6"/>
    <n v="35"/>
    <n v="0.6108652381980153"/>
    <n v="5"/>
    <n v="15"/>
    <n v="0.26179938779914941"/>
    <x v="417"/>
    <n v="7.5299365045891813"/>
    <n v="0.94124206307364766"/>
    <n v="3.7649682522945906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48"/>
    <x v="56"/>
    <x v="21"/>
    <x v="42"/>
    <s v="guianensis"/>
    <n v="0.56000000000000005"/>
    <x v="11"/>
    <n v="8.8000000000000007"/>
    <n v="6.0821376000000016E-3"/>
    <n v="8"/>
    <n v="62"/>
    <n v="1.0821041362364843"/>
    <n v="5"/>
    <n v="15"/>
    <n v="0.26179938779914941"/>
    <x v="1098"/>
    <n v="19.74905356899944"/>
    <n v="2.4686316961249299"/>
    <n v="9.8745267844997198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41"/>
    <x v="56"/>
    <x v="21"/>
    <x v="42"/>
    <s v="guianensis"/>
    <n v="0.56000000000000005"/>
    <x v="11"/>
    <n v="16"/>
    <n v="2.0106240000000001E-2"/>
    <n v="15"/>
    <n v="72"/>
    <n v="1.2566370614359172"/>
    <n v="6"/>
    <n v="6"/>
    <n v="0.10471975511965978"/>
    <x v="1099"/>
    <n v="104.59424754495014"/>
    <n v="13.074280943118767"/>
    <n v="52.297123772475068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981"/>
    <x v="7"/>
    <x v="6"/>
    <x v="6"/>
    <s v="quinata"/>
    <n v="0.48"/>
    <x v="6"/>
    <n v="21"/>
    <n v="3.4636140000000003E-2"/>
    <n v="7"/>
    <n v="48"/>
    <n v="0.83775804095727824"/>
    <n v="6"/>
    <n v="5"/>
    <n v="8.7266462599716474E-2"/>
    <x v="1100"/>
    <n v="61.419464944461211"/>
    <n v="7.6774331180576514"/>
    <n v="30.709732472230606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47"/>
    <x v="0"/>
    <x v="0"/>
    <x v="0"/>
    <s v="ferruginea"/>
    <n v="0.37"/>
    <x v="0"/>
    <n v="9.5"/>
    <n v="7.088235E-3"/>
    <n v="12"/>
    <n v="59"/>
    <n v="1.0297442586766545"/>
    <n v="6"/>
    <n v="15"/>
    <n v="0.26179938779914941"/>
    <x v="1101"/>
    <n v="21.429159893758918"/>
    <n v="2.6786449867198647"/>
    <n v="10.714579946879459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938"/>
    <x v="56"/>
    <x v="21"/>
    <x v="42"/>
    <s v="guianensis"/>
    <n v="0.56000000000000005"/>
    <x v="11"/>
    <n v="14.1"/>
    <n v="1.5614537400000001E-2"/>
    <n v="12"/>
    <n v="70"/>
    <n v="1.2217304763960306"/>
    <n v="6"/>
    <n v="6"/>
    <n v="0.10471975511965978"/>
    <x v="1102"/>
    <n v="66.807309917318733"/>
    <n v="8.3509137396648416"/>
    <n v="33.403654958659367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89"/>
    <x v="0"/>
    <x v="0"/>
    <x v="0"/>
    <s v="ferruginea"/>
    <n v="0.37"/>
    <x v="0"/>
    <n v="10.5"/>
    <n v="8.6590350000000007E-3"/>
    <n v="12"/>
    <n v="75"/>
    <n v="1.3089969389957472"/>
    <n v="6"/>
    <n v="6"/>
    <n v="0.10471975511965978"/>
    <x v="1103"/>
    <n v="26.643833826401991"/>
    <n v="3.3304792283002489"/>
    <n v="13.321916913200996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57"/>
    <x v="7"/>
    <x v="6"/>
    <x v="6"/>
    <s v="quinata"/>
    <n v="0.48"/>
    <x v="6"/>
    <n v="26.2"/>
    <n v="5.3912997599999998E-2"/>
    <n v="9"/>
    <n v="65"/>
    <n v="1.1344640137963142"/>
    <n v="6"/>
    <n v="5"/>
    <n v="8.7266462599716474E-2"/>
    <x v="1104"/>
    <n v="137.66690774157104"/>
    <n v="17.20836346769638"/>
    <n v="68.833453870785519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83"/>
    <x v="1"/>
    <x v="1"/>
    <x v="1"/>
    <s v="-"/>
    <n v="0.57999999999999996"/>
    <x v="1"/>
    <n v="13.1"/>
    <n v="1.34782494E-2"/>
    <n v="10"/>
    <n v="65"/>
    <n v="1.1344640137963142"/>
    <n v="6"/>
    <n v="5"/>
    <n v="8.7266462599716474E-2"/>
    <x v="1105"/>
    <n v="49.056185473793143"/>
    <n v="6.1320231842241428"/>
    <n v="24.528092736896571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55"/>
    <x v="1"/>
    <x v="1"/>
    <x v="1"/>
    <s v="-"/>
    <n v="0.57999999999999996"/>
    <x v="1"/>
    <n v="13.5"/>
    <n v="1.4313915E-2"/>
    <n v="10"/>
    <n v="61"/>
    <n v="1.064650843716541"/>
    <n v="6"/>
    <n v="5"/>
    <n v="8.7266462599716474E-2"/>
    <x v="1106"/>
    <n v="50.295394861786924"/>
    <n v="6.2869243577233656"/>
    <n v="25.147697430893462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67"/>
    <x v="1"/>
    <x v="1"/>
    <x v="1"/>
    <s v="-"/>
    <n v="0.57999999999999996"/>
    <x v="1"/>
    <n v="7.3"/>
    <n v="4.1853966000000003E-3"/>
    <n v="8"/>
    <n v="60"/>
    <n v="1.0471975511965976"/>
    <n v="5"/>
    <n v="5"/>
    <n v="8.7266462599716474E-2"/>
    <x v="1107"/>
    <n v="12.753135214809781"/>
    <n v="1.5941419018512226"/>
    <n v="6.3765676074048905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69"/>
    <x v="3"/>
    <x v="3"/>
    <x v="3"/>
    <s v="parahyba"/>
    <n v="0.315"/>
    <x v="3"/>
    <n v="12.5"/>
    <n v="1.2271875E-2"/>
    <n v="9"/>
    <n v="66"/>
    <n v="1.1519173063162575"/>
    <n v="5"/>
    <n v="4"/>
    <n v="6.9813170079773182E-2"/>
    <x v="1108"/>
    <n v="22.777149742085982"/>
    <n v="2.8471437177607477"/>
    <n v="11.388574871042991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68"/>
    <x v="7"/>
    <x v="6"/>
    <x v="6"/>
    <s v="quinata"/>
    <n v="0.48"/>
    <x v="6"/>
    <n v="24.6"/>
    <n v="4.7529266400000006E-2"/>
    <n v="10"/>
    <n v="57"/>
    <n v="0.99483767363676789"/>
    <n v="5"/>
    <n v="4"/>
    <n v="6.9813170079773182E-2"/>
    <x v="1109"/>
    <n v="123.02586554056455"/>
    <n v="15.378233192570569"/>
    <n v="61.512932770282276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39"/>
    <x v="1"/>
    <x v="1"/>
    <x v="1"/>
    <s v="-"/>
    <n v="0.57999999999999996"/>
    <x v="1"/>
    <n v="13"/>
    <n v="1.327326E-2"/>
    <n v="9"/>
    <n v="49"/>
    <n v="0.85521133347722145"/>
    <n v="5"/>
    <n v="3"/>
    <n v="5.235987755982989E-2"/>
    <x v="1110"/>
    <n v="36.243546309964827"/>
    <n v="4.5304432887456034"/>
    <n v="18.121773154982414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70"/>
    <x v="56"/>
    <x v="21"/>
    <x v="42"/>
    <s v="guianensis"/>
    <n v="0.56000000000000005"/>
    <x v="11"/>
    <n v="13.5"/>
    <n v="1.4313915E-2"/>
    <n v="9"/>
    <n v="60"/>
    <n v="1.0471975511965976"/>
    <n v="6"/>
    <n v="20"/>
    <n v="0.3490658503988659"/>
    <x v="1111"/>
    <n v="51.506813580186801"/>
    <n v="6.4383516975233501"/>
    <n v="25.753406790093401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85"/>
    <x v="59"/>
    <x v="30"/>
    <x v="1"/>
    <s v="-"/>
    <n v="0.57999999999999996"/>
    <x v="1"/>
    <n v="8.9"/>
    <n v="6.2211534000000011E-3"/>
    <n v="12"/>
    <n v="55"/>
    <n v="0.95993108859688125"/>
    <n v="6"/>
    <n v="18"/>
    <n v="0.31415926535897931"/>
    <x v="1112"/>
    <n v="28.567401258259174"/>
    <n v="3.5709251572823968"/>
    <n v="14.283700629129587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96"/>
    <x v="56"/>
    <x v="21"/>
    <x v="42"/>
    <s v="guianensis"/>
    <n v="0.56000000000000005"/>
    <x v="11"/>
    <n v="9.5"/>
    <n v="7.088235E-3"/>
    <n v="11"/>
    <n v="60"/>
    <n v="1.0471975511965976"/>
    <n v="6"/>
    <n v="22"/>
    <n v="0.38397243543875248"/>
    <x v="1113"/>
    <n v="31.473469894071062"/>
    <n v="3.9341837367588828"/>
    <n v="15.736734947035531"/>
  </r>
  <r>
    <x v="12"/>
    <s v="NM, AM, EC, EL"/>
    <x v="29"/>
    <s v="NE"/>
    <n v="8.4108099999999997"/>
    <n v="83.31138"/>
    <n v="300"/>
    <n v="12"/>
    <n v="8.2932948805945319"/>
    <n v="0.14474530150516457"/>
    <n v="21.221924545521965"/>
    <n v="895"/>
    <x v="1"/>
    <x v="1"/>
    <x v="1"/>
    <s v="-"/>
    <n v="0.57999999999999996"/>
    <x v="1"/>
    <n v="15"/>
    <n v="1.76715E-2"/>
    <n v="6"/>
    <n v="50"/>
    <n v="0.87266462599716477"/>
    <n v="6"/>
    <n v="21"/>
    <n v="0.36651914291880922"/>
    <x v="1114"/>
    <n v="45.484964878291812"/>
    <n v="5.6856206097864765"/>
    <n v="22.742482439145906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64"/>
    <x v="7"/>
    <x v="6"/>
    <x v="6"/>
    <s v="quinata"/>
    <n v="0.48"/>
    <x v="6"/>
    <n v="23.7"/>
    <n v="4.4115132599999995E-2"/>
    <n v="7"/>
    <n v="60"/>
    <n v="1.0471975511965976"/>
    <n v="6"/>
    <n v="21"/>
    <n v="0.36651914291880922"/>
    <x v="1115"/>
    <n v="108.23221436611571"/>
    <n v="13.529026795764464"/>
    <n v="54.116107183057856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82"/>
    <x v="14"/>
    <x v="0"/>
    <x v="0"/>
    <s v="allenii"/>
    <n v="0.48"/>
    <x v="7"/>
    <n v="8.6"/>
    <n v="5.8088183999999996E-3"/>
    <n v="8"/>
    <n v="48"/>
    <n v="0.83775804095727824"/>
    <n v="6"/>
    <n v="21"/>
    <n v="0.36651914291880922"/>
    <x v="1116"/>
    <n v="15.879173247612163"/>
    <n v="1.9848966559515204"/>
    <n v="7.9395866238060817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1001"/>
    <x v="1"/>
    <x v="1"/>
    <x v="1"/>
    <s v="-"/>
    <n v="0.57999999999999996"/>
    <x v="1"/>
    <n v="10.1"/>
    <n v="8.0118654000000001E-3"/>
    <n v="8"/>
    <n v="52"/>
    <n v="0.90757121103705141"/>
    <n v="6"/>
    <n v="19"/>
    <n v="0.33161255787892263"/>
    <x v="1117"/>
    <n v="26.148431072305847"/>
    <n v="3.2685538840382309"/>
    <n v="13.074215536152924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1006"/>
    <x v="1"/>
    <x v="1"/>
    <x v="1"/>
    <s v="-"/>
    <n v="0.57999999999999996"/>
    <x v="1"/>
    <n v="7"/>
    <n v="3.8484600000000002E-3"/>
    <n v="7"/>
    <n v="55"/>
    <n v="0.95993108859688125"/>
    <n v="5"/>
    <n v="22"/>
    <n v="0.38397243543875248"/>
    <x v="1118"/>
    <n v="12.151060470049389"/>
    <n v="1.5188825587561736"/>
    <n v="6.0755302350246945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887"/>
    <x v="1"/>
    <x v="1"/>
    <x v="1"/>
    <s v="-"/>
    <n v="0.57999999999999996"/>
    <x v="1"/>
    <n v="26.7"/>
    <n v="5.59903806E-2"/>
    <n v="10"/>
    <n v="68"/>
    <n v="1.1868238913561442"/>
    <n v="5"/>
    <n v="20"/>
    <n v="0.3490658503988659"/>
    <x v="1119"/>
    <n v="212.60011825634953"/>
    <n v="26.575014782043691"/>
    <n v="106.30005912817477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90"/>
    <x v="1"/>
    <x v="1"/>
    <x v="1"/>
    <s v="-"/>
    <n v="0.57999999999999996"/>
    <x v="1"/>
    <n v="6.2"/>
    <n v="3.0190776000000004E-3"/>
    <n v="6"/>
    <n v="42"/>
    <n v="0.73303828583761843"/>
    <n v="5"/>
    <n v="20"/>
    <n v="0.3490658503988659"/>
    <x v="1120"/>
    <n v="7.4042508953271655"/>
    <n v="0.92553136191589569"/>
    <n v="3.7021254476635828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65"/>
    <x v="7"/>
    <x v="6"/>
    <x v="6"/>
    <s v="quinata"/>
    <n v="0.48"/>
    <x v="6"/>
    <n v="31.9"/>
    <n v="7.9923089399999994E-2"/>
    <n v="8"/>
    <n v="55"/>
    <n v="0.95993108859688125"/>
    <n v="6"/>
    <n v="20"/>
    <n v="0.3490658503988659"/>
    <x v="1121"/>
    <n v="197.71371134813401"/>
    <n v="24.714213918516752"/>
    <n v="98.856855674067006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1002"/>
    <x v="0"/>
    <x v="0"/>
    <x v="0"/>
    <s v="ferruginea"/>
    <n v="0.37"/>
    <x v="0"/>
    <n v="23.7"/>
    <n v="4.4115132599999995E-2"/>
    <n v="13"/>
    <n v="62"/>
    <n v="1.0821041362364843"/>
    <n v="6"/>
    <n v="19"/>
    <n v="0.33161255787892263"/>
    <x v="1122"/>
    <n v="134.56812352207436"/>
    <n v="16.821015440259295"/>
    <n v="67.284061761037179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83"/>
    <x v="56"/>
    <x v="21"/>
    <x v="42"/>
    <s v="guianensis"/>
    <n v="0.56000000000000005"/>
    <x v="11"/>
    <n v="7.3"/>
    <n v="4.1853966000000003E-3"/>
    <n v="10"/>
    <n v="56"/>
    <n v="0.97738438111682457"/>
    <n v="6"/>
    <n v="10"/>
    <n v="0.17453292519943295"/>
    <x v="1123"/>
    <n v="15.416765742851247"/>
    <n v="1.9270957178564059"/>
    <n v="7.7083828714256235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48"/>
    <x v="56"/>
    <x v="21"/>
    <x v="42"/>
    <s v="guianensis"/>
    <n v="0.56000000000000005"/>
    <x v="11"/>
    <n v="9.1"/>
    <n v="6.5038973999999991E-3"/>
    <n v="7"/>
    <n v="60"/>
    <n v="1.0471975511965976"/>
    <n v="6"/>
    <n v="10"/>
    <n v="0.17453292519943295"/>
    <x v="1124"/>
    <n v="18.0539777886389"/>
    <n v="2.2567472235798625"/>
    <n v="9.0269888943194498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14"/>
    <x v="17"/>
    <x v="10"/>
    <x v="13"/>
    <s v="sp."/>
    <n v="0.57999999999999996"/>
    <x v="7"/>
    <n v="11.2"/>
    <n v="9.8520575999999985E-3"/>
    <n v="10"/>
    <n v="70"/>
    <n v="1.2217304763960306"/>
    <n v="6"/>
    <n v="10"/>
    <n v="0.17453292519943295"/>
    <x v="1125"/>
    <n v="39.586404444676617"/>
    <n v="4.9483005555845772"/>
    <n v="19.793202222338309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1007"/>
    <x v="17"/>
    <x v="10"/>
    <x v="13"/>
    <s v="sp."/>
    <n v="0.57999999999999996"/>
    <x v="7"/>
    <n v="11.5"/>
    <n v="1.0386915E-2"/>
    <n v="8"/>
    <n v="50"/>
    <n v="0.87266462599716477"/>
    <n v="6"/>
    <n v="10"/>
    <n v="0.17453292519943295"/>
    <x v="1079"/>
    <n v="29.2279199032401"/>
    <n v="3.6534899879050124"/>
    <n v="14.61395995162005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1014"/>
    <x v="60"/>
    <x v="31"/>
    <x v="45"/>
    <s v="arborea"/>
    <n v="0.48"/>
    <x v="12"/>
    <n v="25.9"/>
    <n v="5.2685417399999997E-2"/>
    <n v="11"/>
    <n v="57"/>
    <n v="0.99483767363676789"/>
    <n v="6"/>
    <n v="10"/>
    <n v="0.17453292519943295"/>
    <x v="1126"/>
    <n v="157.7609593005368"/>
    <n v="19.7201199125671"/>
    <n v="78.880479650268398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1010"/>
    <x v="60"/>
    <x v="31"/>
    <x v="45"/>
    <s v="arborea"/>
    <n v="0.48"/>
    <x v="12"/>
    <n v="28.5"/>
    <n v="6.3794114999999998E-2"/>
    <n v="11"/>
    <n v="62"/>
    <n v="1.0821041362364843"/>
    <n v="6"/>
    <n v="10"/>
    <n v="0.17453292519943295"/>
    <x v="1127"/>
    <n v="197.2534089691508"/>
    <n v="24.65667612114385"/>
    <n v="98.626704484575399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1012"/>
    <x v="60"/>
    <x v="31"/>
    <x v="45"/>
    <s v="arborea"/>
    <n v="0.48"/>
    <x v="12"/>
    <n v="47"/>
    <n v="0.17349486"/>
    <n v="9"/>
    <n v="62"/>
    <n v="1.0821041362364843"/>
    <n v="6"/>
    <n v="10"/>
    <n v="0.17453292519943295"/>
    <x v="1128"/>
    <n v="426.81010715584154"/>
    <n v="53.351263394480192"/>
    <n v="213.40505357792077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54"/>
    <x v="56"/>
    <x v="21"/>
    <x v="42"/>
    <s v="guianensis"/>
    <n v="0.56000000000000005"/>
    <x v="11"/>
    <n v="8.5"/>
    <n v="5.6745150000000006E-3"/>
    <n v="12"/>
    <n v="45"/>
    <n v="0.78539816339744828"/>
    <n v="7"/>
    <n v="19"/>
    <n v="0.33161255787892263"/>
    <x v="1129"/>
    <n v="23.470974241883088"/>
    <n v="2.933871780235386"/>
    <n v="11.735487120941544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27"/>
    <x v="1"/>
    <x v="1"/>
    <x v="1"/>
    <s v="-"/>
    <n v="0.57999999999999996"/>
    <x v="1"/>
    <n v="9.8000000000000007"/>
    <n v="7.5429816000000018E-3"/>
    <n v="9"/>
    <n v="50"/>
    <n v="0.87266462599716477"/>
    <n v="6"/>
    <n v="19"/>
    <n v="0.33161255787892263"/>
    <x v="1130"/>
    <n v="26.364203067009342"/>
    <n v="3.2955253833761677"/>
    <n v="13.182101533504671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836"/>
    <x v="7"/>
    <x v="6"/>
    <x v="6"/>
    <s v="quinata"/>
    <n v="0.48"/>
    <x v="6"/>
    <n v="7.3"/>
    <n v="4.1853966000000003E-3"/>
    <n v="11"/>
    <n v="63"/>
    <n v="1.0995574287564276"/>
    <n v="6"/>
    <n v="3"/>
    <n v="5.235987755982989E-2"/>
    <x v="1131"/>
    <n v="14.386227600978874"/>
    <n v="1.7982784501223592"/>
    <n v="7.1931138004894368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844"/>
    <x v="56"/>
    <x v="21"/>
    <x v="42"/>
    <s v="guianensis"/>
    <n v="0.56000000000000005"/>
    <x v="11"/>
    <n v="13.2"/>
    <n v="1.3684809599999999E-2"/>
    <n v="10"/>
    <n v="67"/>
    <n v="1.1693705988362009"/>
    <n v="5"/>
    <n v="7"/>
    <n v="0.12217304763960307"/>
    <x v="1132"/>
    <n v="49.225392631181535"/>
    <n v="6.1531740788976919"/>
    <n v="24.612696315590767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898"/>
    <x v="56"/>
    <x v="21"/>
    <x v="42"/>
    <s v="guianensis"/>
    <n v="0.56000000000000005"/>
    <x v="11"/>
    <n v="11.6"/>
    <n v="1.05683424E-2"/>
    <n v="8"/>
    <n v="60"/>
    <n v="1.0471975511965976"/>
    <n v="6"/>
    <n v="9"/>
    <n v="0.15707963267948966"/>
    <x v="1133"/>
    <n v="31.361023576184326"/>
    <n v="3.9201279470230408"/>
    <n v="15.680511788092163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79"/>
    <x v="7"/>
    <x v="6"/>
    <x v="6"/>
    <s v="quinata"/>
    <n v="0.48"/>
    <x v="6"/>
    <n v="14.6"/>
    <n v="1.6741586400000001E-2"/>
    <n v="8"/>
    <n v="53"/>
    <n v="0.92502450355699462"/>
    <n v="5"/>
    <n v="9"/>
    <n v="0.15707963267948966"/>
    <x v="1134"/>
    <n v="38.324049199621101"/>
    <n v="4.7905061499526376"/>
    <n v="19.16202459981055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28"/>
    <x v="56"/>
    <x v="21"/>
    <x v="42"/>
    <s v="guianensis"/>
    <n v="0.56000000000000005"/>
    <x v="11"/>
    <n v="15.7"/>
    <n v="1.9359324599999998E-2"/>
    <n v="13"/>
    <n v="72"/>
    <n v="1.2566370614359172"/>
    <n v="6"/>
    <n v="8"/>
    <n v="0.13962634015954636"/>
    <x v="1135"/>
    <n v="90.105514143001258"/>
    <n v="11.263189267875157"/>
    <n v="45.052757071500629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53"/>
    <x v="56"/>
    <x v="21"/>
    <x v="42"/>
    <s v="guianensis"/>
    <n v="0.56000000000000005"/>
    <x v="11"/>
    <n v="17.7"/>
    <n v="2.4605796599999997E-2"/>
    <n v="17"/>
    <n v="70"/>
    <n v="1.2217304763960306"/>
    <n v="6"/>
    <n v="7"/>
    <n v="0.12217304763960307"/>
    <x v="1136"/>
    <n v="140.87959890240316"/>
    <n v="17.609949862800395"/>
    <n v="70.43979945120158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99"/>
    <x v="56"/>
    <x v="21"/>
    <x v="42"/>
    <s v="guianensis"/>
    <n v="0.56000000000000005"/>
    <x v="11"/>
    <n v="13.6"/>
    <n v="1.4526758399999999E-2"/>
    <n v="10"/>
    <n v="70"/>
    <n v="1.2217304763960306"/>
    <n v="5"/>
    <n v="7"/>
    <n v="0.12217304763960307"/>
    <x v="1137"/>
    <n v="53.023405565473922"/>
    <n v="6.6279256956842403"/>
    <n v="26.511702782736961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95"/>
    <x v="56"/>
    <x v="21"/>
    <x v="42"/>
    <s v="guianensis"/>
    <n v="0.56000000000000005"/>
    <x v="11"/>
    <n v="10.9"/>
    <n v="9.3313374000000004E-3"/>
    <n v="11"/>
    <n v="67"/>
    <n v="1.1693705988362009"/>
    <n v="8"/>
    <n v="16"/>
    <n v="0.27925268031909273"/>
    <x v="1138"/>
    <n v="42.564464033894573"/>
    <n v="5.3205580042368217"/>
    <n v="21.282232016947287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01"/>
    <x v="7"/>
    <x v="6"/>
    <x v="6"/>
    <s v="quinata"/>
    <n v="0.48"/>
    <x v="6"/>
    <n v="32.299999999999997"/>
    <n v="8.1939996599999981E-2"/>
    <n v="10"/>
    <n v="63"/>
    <n v="1.0995574287564276"/>
    <n v="6"/>
    <n v="19"/>
    <n v="0.33161255787892263"/>
    <x v="1139"/>
    <n v="251.9647797220606"/>
    <n v="31.495597465257575"/>
    <n v="125.9823898610303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16"/>
    <x v="14"/>
    <x v="0"/>
    <x v="0"/>
    <s v="allenii"/>
    <n v="0.48"/>
    <x v="7"/>
    <n v="25.9"/>
    <n v="5.2685417399999997E-2"/>
    <n v="21"/>
    <n v="73"/>
    <n v="1.2740903539558606"/>
    <n v="6"/>
    <n v="18"/>
    <n v="0.31415926535897931"/>
    <x v="1140"/>
    <n v="322.05449967763968"/>
    <n v="40.25681245970496"/>
    <n v="161.02724983881984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18"/>
    <x v="23"/>
    <x v="11"/>
    <x v="18"/>
    <s v="insipida"/>
    <n v="0.38"/>
    <x v="7"/>
    <n v="5.7"/>
    <n v="2.5517646000000004E-3"/>
    <n v="7"/>
    <n v="35"/>
    <n v="0.6108652381980153"/>
    <n v="6"/>
    <n v="18"/>
    <n v="0.31415926535897931"/>
    <x v="1141"/>
    <n v="4.3487338056695588"/>
    <n v="0.54359172570869485"/>
    <n v="2.1743669028347794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1008"/>
    <x v="7"/>
    <x v="6"/>
    <x v="6"/>
    <s v="quinata"/>
    <n v="0.48"/>
    <x v="6"/>
    <n v="25.3"/>
    <n v="5.0272668600000008E-2"/>
    <n v="10"/>
    <n v="60"/>
    <n v="1.0471975511965976"/>
    <n v="6"/>
    <n v="13"/>
    <n v="0.22689280275926285"/>
    <x v="1142"/>
    <n v="147.40135660285895"/>
    <n v="18.425169575357369"/>
    <n v="73.700678301429477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51"/>
    <x v="29"/>
    <x v="7"/>
    <x v="1"/>
    <s v="-"/>
    <n v="0.69"/>
    <x v="7"/>
    <n v="7"/>
    <n v="3.8484600000000002E-3"/>
    <n v="6"/>
    <n v="31"/>
    <n v="0.54105206811824214"/>
    <n v="6"/>
    <n v="14"/>
    <n v="0.24434609527920614"/>
    <x v="1143"/>
    <n v="8.8095737592114336"/>
    <n v="1.1011967199014292"/>
    <n v="4.4047868796057168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22"/>
    <x v="7"/>
    <x v="6"/>
    <x v="6"/>
    <s v="quinata"/>
    <n v="0.48"/>
    <x v="6"/>
    <n v="23.4"/>
    <n v="4.3005362399999997E-2"/>
    <n v="10"/>
    <n v="63"/>
    <n v="1.0995574287564276"/>
    <n v="7"/>
    <n v="6"/>
    <n v="0.10471975511965978"/>
    <x v="1144"/>
    <n v="122.8744039515678"/>
    <n v="15.359300493945975"/>
    <n v="61.4372019757839"/>
  </r>
  <r>
    <x v="2"/>
    <s v="NM, AM, EC, EL"/>
    <x v="29"/>
    <s v="NE"/>
    <n v="8.4108099999999997"/>
    <n v="83.31138"/>
    <n v="300"/>
    <n v="12"/>
    <n v="8.2932948805945319"/>
    <n v="0.14474530150516457"/>
    <n v="21.221924545521965"/>
    <n v="962"/>
    <x v="56"/>
    <x v="21"/>
    <x v="42"/>
    <s v="guianensis"/>
    <n v="0.56000000000000005"/>
    <x v="11"/>
    <n v="19.2"/>
    <n v="2.8952985600000002E-2"/>
    <n v="16"/>
    <n v="70"/>
    <n v="1.2217304763960306"/>
    <n v="7"/>
    <n v="6"/>
    <n v="0.10471975511965978"/>
    <x v="1145"/>
    <n v="155.46879567758555"/>
    <n v="19.433599459698193"/>
    <n v="77.7343978387927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Resumen de Parcelas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outline="1" outlineData="1" compactData="0" gridDropZones="1" multipleFieldFilters="0">
  <location ref="A3:M169" firstHeaderRow="1" firstDataRow="2" firstDataCol="2"/>
  <pivotFields count="30">
    <pivotField compact="0" showAll="0"/>
    <pivotField compact="0" showAll="0"/>
    <pivotField axis="axisRow" compact="0" showAll="0">
      <items count="31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9"/>
        <item t="default"/>
      </items>
    </pivotField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6" showAll="0" defaultSubtota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/>
    <pivotField dataField="1" compact="0" showAll="0"/>
    <pivotField dataField="1" compact="0" showAll="0"/>
  </pivotFields>
  <rowFields count="2">
    <field x="2"/>
    <field x="26"/>
  </rowFields>
  <rowItems count="165">
    <i>
      <x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1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 r="1">
      <x v="5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 v="1"/>
    </i>
    <i r="1">
      <x v="2"/>
    </i>
    <i r="1">
      <x v="3"/>
    </i>
    <i r="1">
      <x v="4"/>
    </i>
    <i r="1">
      <x v="5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 r="1">
      <x v="5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 r="1">
      <x v="5"/>
    </i>
    <i>
      <x v="16"/>
    </i>
    <i r="1">
      <x v="1"/>
    </i>
    <i r="1">
      <x v="2"/>
    </i>
    <i r="1">
      <x v="3"/>
    </i>
    <i r="1">
      <x v="4"/>
    </i>
    <i r="1">
      <x v="5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 r="1">
      <x v="5"/>
    </i>
    <i>
      <x v="19"/>
    </i>
    <i r="1">
      <x v="1"/>
    </i>
    <i r="1">
      <x v="2"/>
    </i>
    <i r="1">
      <x v="3"/>
    </i>
    <i r="1">
      <x v="4"/>
    </i>
    <i r="1">
      <x v="5"/>
    </i>
    <i>
      <x v="20"/>
    </i>
    <i r="1">
      <x v="2"/>
    </i>
    <i r="1">
      <x v="3"/>
    </i>
    <i r="1">
      <x v="4"/>
    </i>
    <i r="1">
      <x v="6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  <i r="1">
      <x v="4"/>
    </i>
    <i>
      <x v="23"/>
    </i>
    <i r="1">
      <x v="1"/>
    </i>
    <i r="1">
      <x v="2"/>
    </i>
    <i r="1">
      <x v="3"/>
    </i>
    <i r="1">
      <x v="4"/>
    </i>
    <i r="1">
      <x v="5"/>
    </i>
    <i>
      <x v="24"/>
    </i>
    <i r="1">
      <x v="1"/>
    </i>
    <i r="1">
      <x v="2"/>
    </i>
    <i r="1">
      <x v="3"/>
    </i>
    <i r="1">
      <x v="4"/>
    </i>
    <i r="1">
      <x v="5"/>
    </i>
    <i>
      <x v="25"/>
    </i>
    <i r="1">
      <x v="1"/>
    </i>
    <i r="1">
      <x v="2"/>
    </i>
    <i r="1">
      <x v="3"/>
    </i>
    <i r="1">
      <x v="4"/>
    </i>
    <i r="1">
      <x v="5"/>
    </i>
    <i>
      <x v="26"/>
    </i>
    <i r="1">
      <x v="2"/>
    </i>
    <i r="1">
      <x v="3"/>
    </i>
    <i r="1">
      <x v="4"/>
    </i>
    <i>
      <x v="27"/>
    </i>
    <i r="1">
      <x v="2"/>
    </i>
    <i r="1">
      <x v="3"/>
    </i>
    <i r="1">
      <x v="4"/>
    </i>
    <i>
      <x v="28"/>
    </i>
    <i r="1">
      <x v="1"/>
    </i>
    <i r="1">
      <x v="2"/>
    </i>
    <i r="1">
      <x v="3"/>
    </i>
    <i r="1">
      <x v="4"/>
    </i>
    <i r="1">
      <x v="5"/>
    </i>
    <i>
      <x v="29"/>
    </i>
    <i r="1">
      <x v="1"/>
    </i>
    <i r="1">
      <x v="2"/>
    </i>
    <i r="1">
      <x v="3"/>
    </i>
    <i r="1">
      <x v="4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COORDENADAS N." fld="4" subtotal="average" baseField="0" baseItem="0"/>
    <dataField name="Average of COORDENADAS O." fld="5" subtotal="average" baseField="0" baseItem="0"/>
    <dataField name="Average of DISTANCIA DEL BORDE (MS.)" fld="6" subtotal="average" baseField="0" baseItem="0"/>
    <dataField name="Average of INCLINACION (%)" fld="7" subtotal="average" baseField="0" baseItem="0"/>
    <dataField name="Average of LARGO CORRECTO" fld="10" subtotal="average" baseField="0" baseItem="0"/>
    <dataField name="Count of ALTURA (MS.)" fld="26" subtotal="count" baseField="0" baseItem="0"/>
    <dataField name="Sum of BIOMASA-DA (KG)" fld="27" baseField="0" baseItem="0"/>
    <dataField name="Average of ERROR ESTANDAR" fld="28" subtotal="average" baseField="0" baseItem="0"/>
    <dataField name="Average of BIOMASA-DA (KG)" fld="27" subtotal="average" baseField="0" baseItem="0"/>
    <dataField name="Sum of CARBONO-DA (KG)" fld="29" baseField="0" baseItem="0"/>
    <dataField name="Average of CARBONO-DA (KG)" fld="29" subtotal="average" baseField="0" baseItem="0"/>
  </dataFields>
  <formats count="124">
    <format dxfId="123">
      <pivotArea dataOnly="0" fieldPosition="0">
        <references count="1">
          <reference field="2" count="1">
            <x v="0"/>
          </reference>
        </references>
      </pivotArea>
    </format>
    <format dxfId="122">
      <pivotArea collapsedLevelsAreSubtotals="1" fieldPosition="0">
        <references count="2">
          <reference field="2" count="1" selected="0">
            <x v="1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21">
      <pivotArea dataOnly="0" labelOnly="1" outline="0" fieldPosition="0">
        <references count="2">
          <reference field="2" count="1" selected="0">
            <x v="1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20">
      <pivotArea collapsedLevelsAreSubtotals="1" fieldPosition="0">
        <references count="2">
          <reference field="2" count="1" selected="0">
            <x v="2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19">
      <pivotArea dataOnly="0" labelOnly="1" outline="0" fieldPosition="0">
        <references count="2">
          <reference field="2" count="1" selected="0">
            <x v="2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18">
      <pivotArea collapsedLevelsAreSubtotals="1" fieldPosition="0">
        <references count="2">
          <reference field="2" count="1" selected="0">
            <x v="3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17">
      <pivotArea dataOnly="0" labelOnly="1" outline="0" fieldPosition="0">
        <references count="2">
          <reference field="2" count="1" selected="0">
            <x v="3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16">
      <pivotArea collapsedLevelsAreSubtotals="1" fieldPosition="0">
        <references count="2">
          <reference field="2" count="1" selected="0">
            <x v="4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15">
      <pivotArea dataOnly="0" labelOnly="1" outline="0" fieldPosition="0">
        <references count="2">
          <reference field="2" count="1" selected="0">
            <x v="4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14">
      <pivotArea collapsedLevelsAreSubtotals="1" fieldPosition="0">
        <references count="2">
          <reference field="2" count="1" selected="0">
            <x v="5"/>
          </reference>
          <reference field="26" count="4">
            <x v="1"/>
            <x v="2"/>
            <x v="3"/>
            <x v="4"/>
          </reference>
        </references>
      </pivotArea>
    </format>
    <format dxfId="113">
      <pivotArea dataOnly="0" labelOnly="1" outline="0" fieldPosition="0">
        <references count="2">
          <reference field="2" count="1" selected="0">
            <x v="5"/>
          </reference>
          <reference field="26" count="4">
            <x v="1"/>
            <x v="2"/>
            <x v="3"/>
            <x v="4"/>
          </reference>
        </references>
      </pivotArea>
    </format>
    <format dxfId="112">
      <pivotArea collapsedLevelsAreSubtotals="1" fieldPosition="0">
        <references count="2">
          <reference field="2" count="1" selected="0">
            <x v="6"/>
          </reference>
          <reference field="26" count="4">
            <x v="1"/>
            <x v="2"/>
            <x v="3"/>
            <x v="4"/>
          </reference>
        </references>
      </pivotArea>
    </format>
    <format dxfId="111">
      <pivotArea dataOnly="0" labelOnly="1" outline="0" fieldPosition="0">
        <references count="2">
          <reference field="2" count="1" selected="0">
            <x v="6"/>
          </reference>
          <reference field="26" count="4">
            <x v="1"/>
            <x v="2"/>
            <x v="3"/>
            <x v="4"/>
          </reference>
        </references>
      </pivotArea>
    </format>
    <format dxfId="110">
      <pivotArea collapsedLevelsAreSubtotals="1" fieldPosition="0">
        <references count="2">
          <reference field="2" count="1" selected="0">
            <x v="7"/>
          </reference>
          <reference field="26" count="4">
            <x v="1"/>
            <x v="2"/>
            <x v="3"/>
            <x v="4"/>
          </reference>
        </references>
      </pivotArea>
    </format>
    <format dxfId="109">
      <pivotArea dataOnly="0" labelOnly="1" outline="0" fieldPosition="0">
        <references count="2">
          <reference field="2" count="1" selected="0">
            <x v="7"/>
          </reference>
          <reference field="26" count="4">
            <x v="1"/>
            <x v="2"/>
            <x v="3"/>
            <x v="4"/>
          </reference>
        </references>
      </pivotArea>
    </format>
    <format dxfId="108">
      <pivotArea collapsedLevelsAreSubtotals="1" fieldPosition="0">
        <references count="2">
          <reference field="2" count="1" selected="0">
            <x v="8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07">
      <pivotArea dataOnly="0" labelOnly="1" outline="0" fieldPosition="0">
        <references count="2">
          <reference field="2" count="1" selected="0">
            <x v="8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06">
      <pivotArea collapsedLevelsAreSubtotals="1" fieldPosition="0">
        <references count="2">
          <reference field="2" count="1" selected="0">
            <x v="9"/>
          </reference>
          <reference field="26" count="6">
            <x v="1"/>
            <x v="2"/>
            <x v="3"/>
            <x v="4"/>
            <x v="5"/>
            <x v="6"/>
          </reference>
        </references>
      </pivotArea>
    </format>
    <format dxfId="105">
      <pivotArea dataOnly="0" labelOnly="1" outline="0" fieldPosition="0">
        <references count="2">
          <reference field="2" count="1" selected="0">
            <x v="9"/>
          </reference>
          <reference field="26" count="6">
            <x v="1"/>
            <x v="2"/>
            <x v="3"/>
            <x v="4"/>
            <x v="5"/>
            <x v="6"/>
          </reference>
        </references>
      </pivotArea>
    </format>
    <format dxfId="104">
      <pivotArea collapsedLevelsAreSubtotals="1" fieldPosition="0">
        <references count="2">
          <reference field="2" count="1" selected="0">
            <x v="10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03">
      <pivotArea dataOnly="0" labelOnly="1" outline="0" fieldPosition="0">
        <references count="2">
          <reference field="2" count="1" selected="0">
            <x v="10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102">
      <pivotArea collapsedLevelsAreSubtotals="1" fieldPosition="0">
        <references count="2">
          <reference field="2" count="1" selected="0">
            <x v="11"/>
          </reference>
          <reference field="26" count="4">
            <x v="1"/>
            <x v="2"/>
            <x v="3"/>
            <x v="4"/>
          </reference>
        </references>
      </pivotArea>
    </format>
    <format dxfId="101">
      <pivotArea dataOnly="0" labelOnly="1" outline="0" fieldPosition="0">
        <references count="2">
          <reference field="2" count="1" selected="0">
            <x v="11"/>
          </reference>
          <reference field="26" count="4">
            <x v="1"/>
            <x v="2"/>
            <x v="3"/>
            <x v="4"/>
          </reference>
        </references>
      </pivotArea>
    </format>
    <format dxfId="100">
      <pivotArea collapsedLevelsAreSubtotals="1" fieldPosition="0">
        <references count="2">
          <reference field="2" count="1" selected="0">
            <x v="12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99">
      <pivotArea dataOnly="0" labelOnly="1" outline="0" fieldPosition="0">
        <references count="2">
          <reference field="2" count="1" selected="0">
            <x v="12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98">
      <pivotArea collapsedLevelsAreSubtotals="1" fieldPosition="0">
        <references count="2">
          <reference field="2" count="1" selected="0">
            <x v="13"/>
          </reference>
          <reference field="26" count="4">
            <x v="1"/>
            <x v="2"/>
            <x v="3"/>
            <x v="4"/>
          </reference>
        </references>
      </pivotArea>
    </format>
    <format dxfId="97">
      <pivotArea dataOnly="0" labelOnly="1" outline="0" fieldPosition="0">
        <references count="2">
          <reference field="2" count="1" selected="0">
            <x v="13"/>
          </reference>
          <reference field="26" count="4">
            <x v="1"/>
            <x v="2"/>
            <x v="3"/>
            <x v="4"/>
          </reference>
        </references>
      </pivotArea>
    </format>
    <format dxfId="96">
      <pivotArea collapsedLevelsAreSubtotals="1" fieldPosition="0">
        <references count="2">
          <reference field="2" count="1" selected="0">
            <x v="14"/>
          </reference>
          <reference field="26" count="4">
            <x v="1"/>
            <x v="2"/>
            <x v="3"/>
            <x v="4"/>
          </reference>
        </references>
      </pivotArea>
    </format>
    <format dxfId="95">
      <pivotArea dataOnly="0" labelOnly="1" outline="0" fieldPosition="0">
        <references count="2">
          <reference field="2" count="1" selected="0">
            <x v="14"/>
          </reference>
          <reference field="26" count="4">
            <x v="1"/>
            <x v="2"/>
            <x v="3"/>
            <x v="4"/>
          </reference>
        </references>
      </pivotArea>
    </format>
    <format dxfId="94">
      <pivotArea collapsedLevelsAreSubtotals="1" fieldPosition="0">
        <references count="2">
          <reference field="2" count="1" selected="0">
            <x v="15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93">
      <pivotArea dataOnly="0" labelOnly="1" outline="0" fieldPosition="0">
        <references count="2">
          <reference field="2" count="1" selected="0">
            <x v="15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92">
      <pivotArea collapsedLevelsAreSubtotals="1" fieldPosition="0">
        <references count="2">
          <reference field="2" count="1" selected="0">
            <x v="16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91">
      <pivotArea dataOnly="0" labelOnly="1" outline="0" fieldPosition="0">
        <references count="2">
          <reference field="2" count="1" selected="0">
            <x v="16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90">
      <pivotArea collapsedLevelsAreSubtotals="1" fieldPosition="0">
        <references count="2">
          <reference field="2" count="1" selected="0">
            <x v="17"/>
          </reference>
          <reference field="26" count="4">
            <x v="1"/>
            <x v="2"/>
            <x v="3"/>
            <x v="4"/>
          </reference>
        </references>
      </pivotArea>
    </format>
    <format dxfId="89">
      <pivotArea dataOnly="0" labelOnly="1" outline="0" fieldPosition="0">
        <references count="2">
          <reference field="2" count="1" selected="0">
            <x v="17"/>
          </reference>
          <reference field="26" count="4">
            <x v="1"/>
            <x v="2"/>
            <x v="3"/>
            <x v="4"/>
          </reference>
        </references>
      </pivotArea>
    </format>
    <format dxfId="88">
      <pivotArea collapsedLevelsAreSubtotals="1" fieldPosition="0">
        <references count="2">
          <reference field="2" count="1" selected="0">
            <x v="18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87">
      <pivotArea dataOnly="0" labelOnly="1" outline="0" fieldPosition="0">
        <references count="2">
          <reference field="2" count="1" selected="0">
            <x v="18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86">
      <pivotArea collapsedLevelsAreSubtotals="1" fieldPosition="0">
        <references count="2">
          <reference field="2" count="1" selected="0">
            <x v="19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85">
      <pivotArea dataOnly="0" labelOnly="1" outline="0" fieldPosition="0">
        <references count="2">
          <reference field="2" count="1" selected="0">
            <x v="19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84">
      <pivotArea collapsedLevelsAreSubtotals="1" fieldPosition="0">
        <references count="2">
          <reference field="2" count="1" selected="0">
            <x v="20"/>
          </reference>
          <reference field="26" count="4">
            <x v="2"/>
            <x v="3"/>
            <x v="4"/>
            <x v="6"/>
          </reference>
        </references>
      </pivotArea>
    </format>
    <format dxfId="83">
      <pivotArea dataOnly="0" labelOnly="1" outline="0" fieldPosition="0">
        <references count="2">
          <reference field="2" count="1" selected="0">
            <x v="20"/>
          </reference>
          <reference field="26" count="4">
            <x v="2"/>
            <x v="3"/>
            <x v="4"/>
            <x v="6"/>
          </reference>
        </references>
      </pivotArea>
    </format>
    <format dxfId="82">
      <pivotArea collapsedLevelsAreSubtotals="1" fieldPosition="0">
        <references count="2">
          <reference field="2" count="1" selected="0">
            <x v="21"/>
          </reference>
          <reference field="26" count="4">
            <x v="1"/>
            <x v="2"/>
            <x v="3"/>
            <x v="4"/>
          </reference>
        </references>
      </pivotArea>
    </format>
    <format dxfId="81">
      <pivotArea dataOnly="0" labelOnly="1" outline="0" fieldPosition="0">
        <references count="2">
          <reference field="2" count="1" selected="0">
            <x v="21"/>
          </reference>
          <reference field="26" count="4">
            <x v="1"/>
            <x v="2"/>
            <x v="3"/>
            <x v="4"/>
          </reference>
        </references>
      </pivotArea>
    </format>
    <format dxfId="80">
      <pivotArea collapsedLevelsAreSubtotals="1" fieldPosition="0">
        <references count="2">
          <reference field="2" count="1" selected="0">
            <x v="22"/>
          </reference>
          <reference field="26" count="4">
            <x v="1"/>
            <x v="2"/>
            <x v="3"/>
            <x v="4"/>
          </reference>
        </references>
      </pivotArea>
    </format>
    <format dxfId="79">
      <pivotArea dataOnly="0" labelOnly="1" outline="0" fieldPosition="0">
        <references count="2">
          <reference field="2" count="1" selected="0">
            <x v="22"/>
          </reference>
          <reference field="26" count="4">
            <x v="1"/>
            <x v="2"/>
            <x v="3"/>
            <x v="4"/>
          </reference>
        </references>
      </pivotArea>
    </format>
    <format dxfId="78">
      <pivotArea collapsedLevelsAreSubtotals="1" fieldPosition="0">
        <references count="2">
          <reference field="2" count="1" selected="0">
            <x v="23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77">
      <pivotArea dataOnly="0" labelOnly="1" outline="0" fieldPosition="0">
        <references count="2">
          <reference field="2" count="1" selected="0">
            <x v="23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76">
      <pivotArea collapsedLevelsAreSubtotals="1" fieldPosition="0">
        <references count="2">
          <reference field="2" count="1" selected="0">
            <x v="24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75">
      <pivotArea dataOnly="0" labelOnly="1" outline="0" fieldPosition="0">
        <references count="2">
          <reference field="2" count="1" selected="0">
            <x v="24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74">
      <pivotArea collapsedLevelsAreSubtotals="1" fieldPosition="0">
        <references count="2">
          <reference field="2" count="1" selected="0">
            <x v="25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73">
      <pivotArea dataOnly="0" labelOnly="1" outline="0" fieldPosition="0">
        <references count="2">
          <reference field="2" count="1" selected="0">
            <x v="25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72">
      <pivotArea collapsedLevelsAreSubtotals="1" fieldPosition="0">
        <references count="2">
          <reference field="2" count="1" selected="0">
            <x v="26"/>
          </reference>
          <reference field="26" count="3">
            <x v="2"/>
            <x v="3"/>
            <x v="4"/>
          </reference>
        </references>
      </pivotArea>
    </format>
    <format dxfId="71">
      <pivotArea dataOnly="0" labelOnly="1" outline="0" fieldPosition="0">
        <references count="2">
          <reference field="2" count="1" selected="0">
            <x v="26"/>
          </reference>
          <reference field="26" count="3">
            <x v="2"/>
            <x v="3"/>
            <x v="4"/>
          </reference>
        </references>
      </pivotArea>
    </format>
    <format dxfId="70">
      <pivotArea collapsedLevelsAreSubtotals="1" fieldPosition="0">
        <references count="2">
          <reference field="2" count="1" selected="0">
            <x v="27"/>
          </reference>
          <reference field="26" count="3">
            <x v="2"/>
            <x v="3"/>
            <x v="4"/>
          </reference>
        </references>
      </pivotArea>
    </format>
    <format dxfId="69">
      <pivotArea dataOnly="0" labelOnly="1" outline="0" fieldPosition="0">
        <references count="2">
          <reference field="2" count="1" selected="0">
            <x v="27"/>
          </reference>
          <reference field="26" count="3">
            <x v="2"/>
            <x v="3"/>
            <x v="4"/>
          </reference>
        </references>
      </pivotArea>
    </format>
    <format dxfId="68">
      <pivotArea collapsedLevelsAreSubtotals="1" fieldPosition="0">
        <references count="2">
          <reference field="2" count="1" selected="0">
            <x v="28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67">
      <pivotArea dataOnly="0" labelOnly="1" outline="0" fieldPosition="0">
        <references count="2">
          <reference field="2" count="1" selected="0">
            <x v="28"/>
          </reference>
          <reference field="26" count="5">
            <x v="1"/>
            <x v="2"/>
            <x v="3"/>
            <x v="4"/>
            <x v="5"/>
          </reference>
        </references>
      </pivotArea>
    </format>
    <format dxfId="66">
      <pivotArea collapsedLevelsAreSubtotals="1" fieldPosition="0">
        <references count="1">
          <reference field="2" count="1">
            <x v="1"/>
          </reference>
        </references>
      </pivotArea>
    </format>
    <format dxfId="65">
      <pivotArea dataOnly="0" labelOnly="1" outline="0" fieldPosition="0">
        <references count="1">
          <reference field="2" count="1">
            <x v="1"/>
          </reference>
        </references>
      </pivotArea>
    </format>
    <format dxfId="64">
      <pivotArea collapsedLevelsAreSubtotals="1" fieldPosition="0">
        <references count="1">
          <reference field="2" count="1">
            <x v="2"/>
          </reference>
        </references>
      </pivotArea>
    </format>
    <format dxfId="63">
      <pivotArea dataOnly="0" labelOnly="1" outline="0" fieldPosition="0">
        <references count="1">
          <reference field="2" count="1">
            <x v="2"/>
          </reference>
        </references>
      </pivotArea>
    </format>
    <format dxfId="62">
      <pivotArea collapsedLevelsAreSubtotals="1" fieldPosition="0">
        <references count="1">
          <reference field="2" count="1">
            <x v="3"/>
          </reference>
        </references>
      </pivotArea>
    </format>
    <format dxfId="61">
      <pivotArea dataOnly="0" labelOnly="1" outline="0" fieldPosition="0">
        <references count="1">
          <reference field="2" count="1">
            <x v="3"/>
          </reference>
        </references>
      </pivotArea>
    </format>
    <format dxfId="60">
      <pivotArea collapsedLevelsAreSubtotals="1" fieldPosition="0">
        <references count="1">
          <reference field="2" count="1">
            <x v="4"/>
          </reference>
        </references>
      </pivotArea>
    </format>
    <format dxfId="59">
      <pivotArea dataOnly="0" labelOnly="1" outline="0" fieldPosition="0">
        <references count="1">
          <reference field="2" count="1">
            <x v="4"/>
          </reference>
        </references>
      </pivotArea>
    </format>
    <format dxfId="58">
      <pivotArea collapsedLevelsAreSubtotals="1" fieldPosition="0">
        <references count="1">
          <reference field="2" count="1">
            <x v="5"/>
          </reference>
        </references>
      </pivotArea>
    </format>
    <format dxfId="57">
      <pivotArea dataOnly="0" labelOnly="1" outline="0" fieldPosition="0">
        <references count="1">
          <reference field="2" count="1">
            <x v="5"/>
          </reference>
        </references>
      </pivotArea>
    </format>
    <format dxfId="56">
      <pivotArea collapsedLevelsAreSubtotals="1" fieldPosition="0">
        <references count="1">
          <reference field="2" count="1">
            <x v="6"/>
          </reference>
        </references>
      </pivotArea>
    </format>
    <format dxfId="55">
      <pivotArea dataOnly="0" labelOnly="1" outline="0" fieldPosition="0">
        <references count="1">
          <reference field="2" count="1">
            <x v="6"/>
          </reference>
        </references>
      </pivotArea>
    </format>
    <format dxfId="54">
      <pivotArea collapsedLevelsAreSubtotals="1" fieldPosition="0">
        <references count="1">
          <reference field="2" count="1">
            <x v="7"/>
          </reference>
        </references>
      </pivotArea>
    </format>
    <format dxfId="53">
      <pivotArea dataOnly="0" labelOnly="1" outline="0" fieldPosition="0">
        <references count="1">
          <reference field="2" count="1">
            <x v="7"/>
          </reference>
        </references>
      </pivotArea>
    </format>
    <format dxfId="52">
      <pivotArea collapsedLevelsAreSubtotals="1" fieldPosition="0">
        <references count="1">
          <reference field="2" count="1">
            <x v="8"/>
          </reference>
        </references>
      </pivotArea>
    </format>
    <format dxfId="51">
      <pivotArea dataOnly="0" labelOnly="1" outline="0" fieldPosition="0">
        <references count="1">
          <reference field="2" count="1">
            <x v="8"/>
          </reference>
        </references>
      </pivotArea>
    </format>
    <format dxfId="50">
      <pivotArea collapsedLevelsAreSubtotals="1" fieldPosition="0">
        <references count="1">
          <reference field="2" count="1">
            <x v="9"/>
          </reference>
        </references>
      </pivotArea>
    </format>
    <format dxfId="49">
      <pivotArea dataOnly="0" labelOnly="1" outline="0" fieldPosition="0">
        <references count="1">
          <reference field="2" count="1">
            <x v="9"/>
          </reference>
        </references>
      </pivotArea>
    </format>
    <format dxfId="48">
      <pivotArea collapsedLevelsAreSubtotals="1" fieldPosition="0">
        <references count="1">
          <reference field="2" count="1">
            <x v="10"/>
          </reference>
        </references>
      </pivotArea>
    </format>
    <format dxfId="47">
      <pivotArea dataOnly="0" labelOnly="1" outline="0" fieldPosition="0">
        <references count="1">
          <reference field="2" count="1">
            <x v="10"/>
          </reference>
        </references>
      </pivotArea>
    </format>
    <format dxfId="46">
      <pivotArea collapsedLevelsAreSubtotals="1" fieldPosition="0">
        <references count="1">
          <reference field="2" count="1">
            <x v="11"/>
          </reference>
        </references>
      </pivotArea>
    </format>
    <format dxfId="45">
      <pivotArea dataOnly="0" labelOnly="1" outline="0" fieldPosition="0">
        <references count="1">
          <reference field="2" count="1">
            <x v="11"/>
          </reference>
        </references>
      </pivotArea>
    </format>
    <format dxfId="44">
      <pivotArea collapsedLevelsAreSubtotals="1" fieldPosition="0">
        <references count="1">
          <reference field="2" count="1">
            <x v="12"/>
          </reference>
        </references>
      </pivotArea>
    </format>
    <format dxfId="43">
      <pivotArea dataOnly="0" labelOnly="1" outline="0" fieldPosition="0">
        <references count="1">
          <reference field="2" count="1">
            <x v="12"/>
          </reference>
        </references>
      </pivotArea>
    </format>
    <format dxfId="42">
      <pivotArea collapsedLevelsAreSubtotals="1" fieldPosition="0">
        <references count="1">
          <reference field="2" count="1">
            <x v="13"/>
          </reference>
        </references>
      </pivotArea>
    </format>
    <format dxfId="41">
      <pivotArea dataOnly="0" labelOnly="1" outline="0" fieldPosition="0">
        <references count="1">
          <reference field="2" count="1">
            <x v="13"/>
          </reference>
        </references>
      </pivotArea>
    </format>
    <format dxfId="40">
      <pivotArea collapsedLevelsAreSubtotals="1" fieldPosition="0">
        <references count="1">
          <reference field="2" count="1">
            <x v="14"/>
          </reference>
        </references>
      </pivotArea>
    </format>
    <format dxfId="39">
      <pivotArea dataOnly="0" labelOnly="1" outline="0" fieldPosition="0">
        <references count="1">
          <reference field="2" count="1">
            <x v="14"/>
          </reference>
        </references>
      </pivotArea>
    </format>
    <format dxfId="38">
      <pivotArea collapsedLevelsAreSubtotals="1" fieldPosition="0">
        <references count="1">
          <reference field="2" count="1">
            <x v="15"/>
          </reference>
        </references>
      </pivotArea>
    </format>
    <format dxfId="37">
      <pivotArea dataOnly="0" labelOnly="1" outline="0" fieldPosition="0">
        <references count="1">
          <reference field="2" count="1">
            <x v="15"/>
          </reference>
        </references>
      </pivotArea>
    </format>
    <format dxfId="36">
      <pivotArea collapsedLevelsAreSubtotals="1" fieldPosition="0">
        <references count="1">
          <reference field="2" count="1">
            <x v="16"/>
          </reference>
        </references>
      </pivotArea>
    </format>
    <format dxfId="35">
      <pivotArea dataOnly="0" labelOnly="1" outline="0" fieldPosition="0">
        <references count="1">
          <reference field="2" count="1">
            <x v="16"/>
          </reference>
        </references>
      </pivotArea>
    </format>
    <format dxfId="34">
      <pivotArea collapsedLevelsAreSubtotals="1" fieldPosition="0">
        <references count="1">
          <reference field="2" count="1">
            <x v="17"/>
          </reference>
        </references>
      </pivotArea>
    </format>
    <format dxfId="33">
      <pivotArea dataOnly="0" labelOnly="1" outline="0" fieldPosition="0">
        <references count="1">
          <reference field="2" count="1">
            <x v="17"/>
          </reference>
        </references>
      </pivotArea>
    </format>
    <format dxfId="32">
      <pivotArea collapsedLevelsAreSubtotals="1" fieldPosition="0">
        <references count="1">
          <reference field="2" count="1">
            <x v="18"/>
          </reference>
        </references>
      </pivotArea>
    </format>
    <format dxfId="31">
      <pivotArea dataOnly="0" labelOnly="1" outline="0" fieldPosition="0">
        <references count="1">
          <reference field="2" count="1">
            <x v="18"/>
          </reference>
        </references>
      </pivotArea>
    </format>
    <format dxfId="30">
      <pivotArea collapsedLevelsAreSubtotals="1" fieldPosition="0">
        <references count="1">
          <reference field="2" count="1">
            <x v="19"/>
          </reference>
        </references>
      </pivotArea>
    </format>
    <format dxfId="29">
      <pivotArea dataOnly="0" labelOnly="1" outline="0" fieldPosition="0">
        <references count="1">
          <reference field="2" count="1">
            <x v="19"/>
          </reference>
        </references>
      </pivotArea>
    </format>
    <format dxfId="28">
      <pivotArea collapsedLevelsAreSubtotals="1" fieldPosition="0">
        <references count="1">
          <reference field="2" count="1">
            <x v="20"/>
          </reference>
        </references>
      </pivotArea>
    </format>
    <format dxfId="27">
      <pivotArea dataOnly="0" labelOnly="1" outline="0" fieldPosition="0">
        <references count="1">
          <reference field="2" count="1">
            <x v="20"/>
          </reference>
        </references>
      </pivotArea>
    </format>
    <format dxfId="26">
      <pivotArea collapsedLevelsAreSubtotals="1" fieldPosition="0">
        <references count="1">
          <reference field="2" count="1">
            <x v="21"/>
          </reference>
        </references>
      </pivotArea>
    </format>
    <format dxfId="25">
      <pivotArea dataOnly="0" labelOnly="1" outline="0" fieldPosition="0">
        <references count="1">
          <reference field="2" count="1">
            <x v="21"/>
          </reference>
        </references>
      </pivotArea>
    </format>
    <format dxfId="24">
      <pivotArea collapsedLevelsAreSubtotals="1" fieldPosition="0">
        <references count="1">
          <reference field="2" count="1">
            <x v="22"/>
          </reference>
        </references>
      </pivotArea>
    </format>
    <format dxfId="23">
      <pivotArea dataOnly="0" labelOnly="1" outline="0" fieldPosition="0">
        <references count="1">
          <reference field="2" count="1">
            <x v="22"/>
          </reference>
        </references>
      </pivotArea>
    </format>
    <format dxfId="22">
      <pivotArea collapsedLevelsAreSubtotals="1" fieldPosition="0">
        <references count="1">
          <reference field="2" count="1">
            <x v="23"/>
          </reference>
        </references>
      </pivotArea>
    </format>
    <format dxfId="21">
      <pivotArea dataOnly="0" labelOnly="1" outline="0" fieldPosition="0">
        <references count="1">
          <reference field="2" count="1">
            <x v="23"/>
          </reference>
        </references>
      </pivotArea>
    </format>
    <format dxfId="20">
      <pivotArea collapsedLevelsAreSubtotals="1" fieldPosition="0">
        <references count="1">
          <reference field="2" count="1">
            <x v="24"/>
          </reference>
        </references>
      </pivotArea>
    </format>
    <format dxfId="19">
      <pivotArea dataOnly="0" labelOnly="1" outline="0" fieldPosition="0">
        <references count="1">
          <reference field="2" count="1">
            <x v="24"/>
          </reference>
        </references>
      </pivotArea>
    </format>
    <format dxfId="18">
      <pivotArea collapsedLevelsAreSubtotals="1" fieldPosition="0">
        <references count="1">
          <reference field="2" count="1">
            <x v="25"/>
          </reference>
        </references>
      </pivotArea>
    </format>
    <format dxfId="17">
      <pivotArea dataOnly="0" labelOnly="1" outline="0" fieldPosition="0">
        <references count="1">
          <reference field="2" count="1">
            <x v="25"/>
          </reference>
        </references>
      </pivotArea>
    </format>
    <format dxfId="16">
      <pivotArea collapsedLevelsAreSubtotals="1" fieldPosition="0">
        <references count="1">
          <reference field="2" count="1">
            <x v="26"/>
          </reference>
        </references>
      </pivotArea>
    </format>
    <format dxfId="15">
      <pivotArea dataOnly="0" labelOnly="1" outline="0" fieldPosition="0">
        <references count="1">
          <reference field="2" count="1">
            <x v="26"/>
          </reference>
        </references>
      </pivotArea>
    </format>
    <format dxfId="14">
      <pivotArea collapsedLevelsAreSubtotals="1" fieldPosition="0">
        <references count="1">
          <reference field="2" count="1">
            <x v="27"/>
          </reference>
        </references>
      </pivotArea>
    </format>
    <format dxfId="13">
      <pivotArea dataOnly="0" labelOnly="1" outline="0" fieldPosition="0">
        <references count="1">
          <reference field="2" count="1">
            <x v="27"/>
          </reference>
        </references>
      </pivotArea>
    </format>
    <format dxfId="12">
      <pivotArea collapsedLevelsAreSubtotals="1" fieldPosition="0">
        <references count="1">
          <reference field="2" count="1">
            <x v="28"/>
          </reference>
        </references>
      </pivotArea>
    </format>
    <format dxfId="11">
      <pivotArea dataOnly="0" labelOnly="1" outline="0" fieldPosition="0">
        <references count="1">
          <reference field="2" count="1">
            <x v="28"/>
          </reference>
        </references>
      </pivotArea>
    </format>
    <format dxfId="10">
      <pivotArea dataOnly="0" labelOnly="1" fieldPosition="0">
        <references count="1">
          <reference field="26" count="0"/>
        </references>
      </pivotArea>
    </format>
    <format dxfId="9">
      <pivotArea dataOnly="0" outline="0" fieldPosition="0">
        <references count="1">
          <reference field="4294967294" count="1">
            <x v="5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">
      <pivotArea dataOnly="0" outline="0" fieldPosition="0">
        <references count="1">
          <reference field="4294967294" count="5">
            <x v="6"/>
            <x v="7"/>
            <x v="8"/>
            <x v="9"/>
            <x v="10"/>
          </reference>
        </references>
      </pivotArea>
    </format>
    <format dxfId="6">
      <pivotArea dataOnly="0" labelOnly="1" outline="0" fieldPosition="0">
        <references count="1">
          <reference field="4294967294" count="5">
            <x v="6"/>
            <x v="7"/>
            <x v="8"/>
            <x v="9"/>
            <x v="10"/>
          </reference>
        </references>
      </pivotArea>
    </format>
    <format dxfId="5">
      <pivotArea dataOnly="0" labelOnly="1" outline="0" fieldPosition="0">
        <references count="1">
          <reference field="4294967294" count="5">
            <x v="6"/>
            <x v="7"/>
            <x v="8"/>
            <x v="9"/>
            <x v="10"/>
          </reference>
        </references>
      </pivotArea>
    </format>
    <format dxfId="4">
      <pivotArea dataOnly="0" labelOnly="1" outline="0" fieldPosition="0">
        <references count="1">
          <reference field="4294967294" count="5">
            <x v="6"/>
            <x v="7"/>
            <x v="8"/>
            <x v="9"/>
            <x v="10"/>
          </reference>
        </references>
      </pivotArea>
    </format>
    <format dxfId="3">
      <pivotArea dataOnly="0" outline="0" fieldPosition="0">
        <references count="1">
          <reference field="4294967294" count="1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1">
          <reference field="2" count="1">
            <x v="29"/>
          </reference>
        </references>
      </pivotArea>
    </format>
    <format dxfId="0">
      <pivotArea dataOnly="0" labelOnly="1" outline="0" fieldPosition="0">
        <references count="1">
          <reference field="2" count="1">
            <x v="29"/>
          </reference>
        </references>
      </pivotArea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355" firstHeaderRow="1" firstDataRow="2" firstDataCol="1"/>
  <pivotFields count="30">
    <pivotField numFmtId="14" showAll="0">
      <items count="14">
        <item x="10"/>
        <item x="6"/>
        <item x="5"/>
        <item x="4"/>
        <item x="3"/>
        <item x="11"/>
        <item x="9"/>
        <item x="8"/>
        <item x="0"/>
        <item x="1"/>
        <item x="12"/>
        <item x="2"/>
        <item x="7"/>
        <item t="default"/>
      </items>
    </pivotField>
    <pivotField showAll="0"/>
    <pivotField axis="axisRow" showAll="0">
      <items count="31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2">
        <item x="1"/>
        <item x="20"/>
        <item x="36"/>
        <item x="2"/>
        <item x="28"/>
        <item x="16"/>
        <item x="15"/>
        <item x="44"/>
        <item x="55"/>
        <item x="19"/>
        <item x="33"/>
        <item x="12"/>
        <item x="8"/>
        <item x="59"/>
        <item x="38"/>
        <item x="56"/>
        <item x="34"/>
        <item x="32"/>
        <item x="46"/>
        <item x="47"/>
        <item x="23"/>
        <item x="26"/>
        <item x="58"/>
        <item x="30"/>
        <item x="9"/>
        <item x="48"/>
        <item x="21"/>
        <item x="3"/>
        <item x="17"/>
        <item x="42"/>
        <item x="24"/>
        <item x="57"/>
        <item x="37"/>
        <item x="27"/>
        <item x="45"/>
        <item x="10"/>
        <item x="54"/>
        <item x="53"/>
        <item x="49"/>
        <item x="40"/>
        <item x="25"/>
        <item x="43"/>
        <item x="51"/>
        <item x="14"/>
        <item x="0"/>
        <item x="29"/>
        <item x="60"/>
        <item x="41"/>
        <item x="52"/>
        <item x="13"/>
        <item x="18"/>
        <item x="5"/>
        <item x="31"/>
        <item x="22"/>
        <item x="7"/>
        <item x="39"/>
        <item x="11"/>
        <item x="35"/>
        <item x="50"/>
        <item x="4"/>
        <item x="6"/>
        <item t="default"/>
      </items>
    </pivotField>
    <pivotField showAll="0">
      <items count="33">
        <item x="5"/>
        <item x="24"/>
        <item x="19"/>
        <item x="12"/>
        <item x="15"/>
        <item x="6"/>
        <item x="25"/>
        <item x="30"/>
        <item x="18"/>
        <item x="8"/>
        <item x="16"/>
        <item x="28"/>
        <item x="14"/>
        <item x="3"/>
        <item x="10"/>
        <item x="26"/>
        <item x="20"/>
        <item x="31"/>
        <item x="9"/>
        <item x="22"/>
        <item x="7"/>
        <item x="21"/>
        <item x="11"/>
        <item x="13"/>
        <item x="29"/>
        <item x="4"/>
        <item x="17"/>
        <item x="27"/>
        <item x="2"/>
        <item x="23"/>
        <item x="1"/>
        <item x="0"/>
        <item t="default"/>
      </items>
    </pivotField>
    <pivotField showAll="0">
      <items count="47">
        <item x="1"/>
        <item x="5"/>
        <item x="6"/>
        <item x="33"/>
        <item x="14"/>
        <item x="34"/>
        <item x="31"/>
        <item x="42"/>
        <item x="29"/>
        <item x="11"/>
        <item x="4"/>
        <item x="9"/>
        <item x="30"/>
        <item x="22"/>
        <item x="18"/>
        <item x="45"/>
        <item x="15"/>
        <item x="32"/>
        <item x="7"/>
        <item x="17"/>
        <item x="13"/>
        <item x="35"/>
        <item x="36"/>
        <item x="23"/>
        <item x="8"/>
        <item x="25"/>
        <item x="12"/>
        <item x="39"/>
        <item x="28"/>
        <item x="43"/>
        <item x="27"/>
        <item x="3"/>
        <item x="24"/>
        <item x="2"/>
        <item x="19"/>
        <item x="40"/>
        <item x="38"/>
        <item x="20"/>
        <item x="10"/>
        <item x="26"/>
        <item x="41"/>
        <item x="16"/>
        <item x="21"/>
        <item x="44"/>
        <item x="0"/>
        <item x="37"/>
        <item t="default"/>
      </items>
    </pivotField>
    <pivotField dataField="1" showAll="0"/>
    <pivotField dataField="1" showAll="0"/>
    <pivotField showAll="0">
      <items count="14">
        <item x="12"/>
        <item x="9"/>
        <item x="11"/>
        <item x="1"/>
        <item x="8"/>
        <item x="0"/>
        <item x="10"/>
        <item x="3"/>
        <item x="5"/>
        <item x="6"/>
        <item x="4"/>
        <item x="2"/>
        <item x="7"/>
        <item t="default"/>
      </items>
    </pivotField>
    <pivotField showAll="0"/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2"/>
  </rowFields>
  <rowItems count="351">
    <i>
      <x/>
    </i>
    <i r="1">
      <x/>
    </i>
    <i r="1">
      <x v="3"/>
    </i>
    <i r="1">
      <x v="27"/>
    </i>
    <i r="1">
      <x v="44"/>
    </i>
    <i r="1">
      <x v="51"/>
    </i>
    <i r="1">
      <x v="59"/>
    </i>
    <i r="1">
      <x v="60"/>
    </i>
    <i>
      <x v="1"/>
    </i>
    <i r="1">
      <x v="10"/>
    </i>
    <i r="1">
      <x v="11"/>
    </i>
    <i r="1">
      <x v="17"/>
    </i>
    <i r="1">
      <x v="27"/>
    </i>
    <i r="1">
      <x v="40"/>
    </i>
    <i r="1">
      <x v="43"/>
    </i>
    <i r="1">
      <x v="44"/>
    </i>
    <i r="1">
      <x v="45"/>
    </i>
    <i r="1">
      <x v="49"/>
    </i>
    <i r="1">
      <x v="54"/>
    </i>
    <i r="1">
      <x v="59"/>
    </i>
    <i>
      <x v="2"/>
    </i>
    <i r="1">
      <x v="12"/>
    </i>
    <i r="1">
      <x v="27"/>
    </i>
    <i r="1">
      <x v="44"/>
    </i>
    <i r="1">
      <x v="54"/>
    </i>
    <i>
      <x v="3"/>
    </i>
    <i r="1">
      <x v="6"/>
    </i>
    <i r="1">
      <x v="11"/>
    </i>
    <i r="1">
      <x v="12"/>
    </i>
    <i r="1">
      <x v="24"/>
    </i>
    <i r="1">
      <x v="27"/>
    </i>
    <i r="1">
      <x v="35"/>
    </i>
    <i r="1">
      <x v="43"/>
    </i>
    <i r="1">
      <x v="44"/>
    </i>
    <i r="1">
      <x v="49"/>
    </i>
    <i r="1">
      <x v="56"/>
    </i>
    <i>
      <x v="4"/>
    </i>
    <i r="1">
      <x v="1"/>
    </i>
    <i r="1">
      <x v="3"/>
    </i>
    <i r="1">
      <x v="5"/>
    </i>
    <i r="1">
      <x v="9"/>
    </i>
    <i r="1">
      <x v="26"/>
    </i>
    <i r="1">
      <x v="27"/>
    </i>
    <i r="1">
      <x v="28"/>
    </i>
    <i r="1">
      <x v="44"/>
    </i>
    <i r="1">
      <x v="50"/>
    </i>
    <i r="1">
      <x v="51"/>
    </i>
    <i r="1">
      <x v="53"/>
    </i>
    <i r="1">
      <x v="54"/>
    </i>
    <i>
      <x v="5"/>
    </i>
    <i r="1">
      <x v="12"/>
    </i>
    <i r="1">
      <x v="20"/>
    </i>
    <i r="1">
      <x v="27"/>
    </i>
    <i r="1">
      <x v="44"/>
    </i>
    <i r="1">
      <x v="49"/>
    </i>
    <i r="1">
      <x v="54"/>
    </i>
    <i>
      <x v="6"/>
    </i>
    <i r="1">
      <x v="1"/>
    </i>
    <i r="1">
      <x v="11"/>
    </i>
    <i r="1">
      <x v="12"/>
    </i>
    <i r="1">
      <x v="27"/>
    </i>
    <i r="1">
      <x v="28"/>
    </i>
    <i r="1">
      <x v="30"/>
    </i>
    <i r="1">
      <x v="40"/>
    </i>
    <i r="1">
      <x v="44"/>
    </i>
    <i r="1">
      <x v="54"/>
    </i>
    <i r="1">
      <x v="59"/>
    </i>
    <i>
      <x v="7"/>
    </i>
    <i r="1">
      <x v="1"/>
    </i>
    <i r="1">
      <x v="21"/>
    </i>
    <i r="1">
      <x v="27"/>
    </i>
    <i r="1">
      <x v="33"/>
    </i>
    <i r="1">
      <x v="40"/>
    </i>
    <i r="1">
      <x v="43"/>
    </i>
    <i r="1">
      <x v="44"/>
    </i>
    <i r="1">
      <x v="50"/>
    </i>
    <i r="1">
      <x v="51"/>
    </i>
    <i r="1">
      <x v="53"/>
    </i>
    <i r="1">
      <x v="54"/>
    </i>
    <i r="1">
      <x v="59"/>
    </i>
    <i>
      <x v="8"/>
    </i>
    <i r="1">
      <x/>
    </i>
    <i r="1">
      <x v="1"/>
    </i>
    <i r="1">
      <x v="4"/>
    </i>
    <i r="1">
      <x v="23"/>
    </i>
    <i r="1">
      <x v="27"/>
    </i>
    <i r="1">
      <x v="28"/>
    </i>
    <i r="1">
      <x v="43"/>
    </i>
    <i r="1">
      <x v="44"/>
    </i>
    <i r="1">
      <x v="45"/>
    </i>
    <i r="1">
      <x v="53"/>
    </i>
    <i r="1">
      <x v="54"/>
    </i>
    <i>
      <x v="9"/>
    </i>
    <i r="1">
      <x v="12"/>
    </i>
    <i r="1">
      <x v="27"/>
    </i>
    <i r="1">
      <x v="44"/>
    </i>
    <i r="1">
      <x v="52"/>
    </i>
    <i r="1">
      <x v="54"/>
    </i>
    <i>
      <x v="10"/>
    </i>
    <i r="1">
      <x/>
    </i>
    <i r="1">
      <x v="6"/>
    </i>
    <i r="1">
      <x v="16"/>
    </i>
    <i r="1">
      <x v="27"/>
    </i>
    <i r="1">
      <x v="40"/>
    </i>
    <i r="1">
      <x v="43"/>
    </i>
    <i r="1">
      <x v="44"/>
    </i>
    <i r="1">
      <x v="54"/>
    </i>
    <i r="1">
      <x v="56"/>
    </i>
    <i>
      <x v="11"/>
    </i>
    <i r="1">
      <x/>
    </i>
    <i r="1">
      <x v="2"/>
    </i>
    <i r="1">
      <x v="26"/>
    </i>
    <i r="1">
      <x v="27"/>
    </i>
    <i r="1">
      <x v="28"/>
    </i>
    <i r="1">
      <x v="32"/>
    </i>
    <i r="1">
      <x v="44"/>
    </i>
    <i r="1">
      <x v="49"/>
    </i>
    <i r="1">
      <x v="53"/>
    </i>
    <i r="1">
      <x v="57"/>
    </i>
    <i r="1">
      <x v="59"/>
    </i>
    <i>
      <x v="12"/>
    </i>
    <i r="1">
      <x/>
    </i>
    <i r="1">
      <x v="6"/>
    </i>
    <i r="1">
      <x v="14"/>
    </i>
    <i r="1">
      <x v="26"/>
    </i>
    <i r="1">
      <x v="28"/>
    </i>
    <i r="1">
      <x v="43"/>
    </i>
    <i r="1">
      <x v="44"/>
    </i>
    <i r="1">
      <x v="45"/>
    </i>
    <i r="1">
      <x v="54"/>
    </i>
    <i r="1">
      <x v="55"/>
    </i>
    <i>
      <x v="13"/>
    </i>
    <i r="1">
      <x/>
    </i>
    <i r="1">
      <x v="4"/>
    </i>
    <i r="1">
      <x v="16"/>
    </i>
    <i r="1">
      <x v="17"/>
    </i>
    <i r="1">
      <x v="21"/>
    </i>
    <i r="1">
      <x v="27"/>
    </i>
    <i r="1">
      <x v="28"/>
    </i>
    <i r="1">
      <x v="39"/>
    </i>
    <i r="1">
      <x v="44"/>
    </i>
    <i r="1">
      <x v="47"/>
    </i>
    <i r="1">
      <x v="50"/>
    </i>
    <i r="1">
      <x v="53"/>
    </i>
    <i r="1">
      <x v="54"/>
    </i>
    <i>
      <x v="14"/>
    </i>
    <i r="1">
      <x/>
    </i>
    <i r="1">
      <x v="1"/>
    </i>
    <i r="1">
      <x v="6"/>
    </i>
    <i r="1">
      <x v="20"/>
    </i>
    <i r="1">
      <x v="26"/>
    </i>
    <i r="1">
      <x v="27"/>
    </i>
    <i r="1">
      <x v="28"/>
    </i>
    <i r="1">
      <x v="29"/>
    </i>
    <i r="1">
      <x v="41"/>
    </i>
    <i r="1">
      <x v="44"/>
    </i>
    <i r="1">
      <x v="45"/>
    </i>
    <i r="1">
      <x v="49"/>
    </i>
    <i r="1">
      <x v="51"/>
    </i>
    <i r="1">
      <x v="53"/>
    </i>
    <i>
      <x v="15"/>
    </i>
    <i r="1">
      <x/>
    </i>
    <i r="1">
      <x v="1"/>
    </i>
    <i r="1">
      <x v="6"/>
    </i>
    <i r="1">
      <x v="12"/>
    </i>
    <i r="1">
      <x v="26"/>
    </i>
    <i r="1">
      <x v="27"/>
    </i>
    <i r="1">
      <x v="28"/>
    </i>
    <i r="1">
      <x v="40"/>
    </i>
    <i r="1">
      <x v="43"/>
    </i>
    <i r="1">
      <x v="44"/>
    </i>
    <i r="1">
      <x v="45"/>
    </i>
    <i r="1">
      <x v="51"/>
    </i>
    <i r="1">
      <x v="54"/>
    </i>
    <i>
      <x v="16"/>
    </i>
    <i r="1">
      <x/>
    </i>
    <i r="1">
      <x v="4"/>
    </i>
    <i r="1">
      <x v="12"/>
    </i>
    <i r="1">
      <x v="14"/>
    </i>
    <i r="1">
      <x v="27"/>
    </i>
    <i r="1">
      <x v="35"/>
    </i>
    <i r="1">
      <x v="44"/>
    </i>
    <i r="1">
      <x v="49"/>
    </i>
    <i r="1">
      <x v="51"/>
    </i>
    <i>
      <x v="17"/>
    </i>
    <i r="1">
      <x v="7"/>
    </i>
    <i r="1">
      <x v="11"/>
    </i>
    <i r="1">
      <x v="28"/>
    </i>
    <i r="1">
      <x v="34"/>
    </i>
    <i r="1">
      <x v="43"/>
    </i>
    <i r="1">
      <x v="44"/>
    </i>
    <i r="1">
      <x v="45"/>
    </i>
    <i r="1">
      <x v="54"/>
    </i>
    <i r="1">
      <x v="56"/>
    </i>
    <i>
      <x v="18"/>
    </i>
    <i r="1">
      <x/>
    </i>
    <i r="1">
      <x v="20"/>
    </i>
    <i r="1">
      <x v="27"/>
    </i>
    <i r="1">
      <x v="28"/>
    </i>
    <i r="1">
      <x v="43"/>
    </i>
    <i r="1">
      <x v="44"/>
    </i>
    <i r="1">
      <x v="45"/>
    </i>
    <i r="1">
      <x v="51"/>
    </i>
    <i r="1">
      <x v="53"/>
    </i>
    <i r="1">
      <x v="59"/>
    </i>
    <i>
      <x v="19"/>
    </i>
    <i r="1">
      <x/>
    </i>
    <i r="1">
      <x v="6"/>
    </i>
    <i r="1">
      <x v="9"/>
    </i>
    <i r="1">
      <x v="17"/>
    </i>
    <i r="1">
      <x v="18"/>
    </i>
    <i r="1">
      <x v="19"/>
    </i>
    <i r="1">
      <x v="26"/>
    </i>
    <i r="1">
      <x v="27"/>
    </i>
    <i r="1">
      <x v="28"/>
    </i>
    <i r="1">
      <x v="39"/>
    </i>
    <i r="1">
      <x v="45"/>
    </i>
    <i r="1">
      <x v="49"/>
    </i>
    <i r="1">
      <x v="51"/>
    </i>
    <i r="1">
      <x v="53"/>
    </i>
    <i r="1">
      <x v="54"/>
    </i>
    <i>
      <x v="20"/>
    </i>
    <i r="1">
      <x/>
    </i>
    <i r="1">
      <x v="3"/>
    </i>
    <i r="1">
      <x v="27"/>
    </i>
    <i r="1">
      <x v="40"/>
    </i>
    <i r="1">
      <x v="43"/>
    </i>
    <i r="1">
      <x v="44"/>
    </i>
    <i r="1">
      <x v="45"/>
    </i>
    <i r="1">
      <x v="49"/>
    </i>
    <i r="1">
      <x v="53"/>
    </i>
    <i r="1">
      <x v="54"/>
    </i>
    <i r="1">
      <x v="59"/>
    </i>
    <i>
      <x v="21"/>
    </i>
    <i r="1">
      <x/>
    </i>
    <i r="1">
      <x v="6"/>
    </i>
    <i r="1">
      <x v="19"/>
    </i>
    <i r="1">
      <x v="21"/>
    </i>
    <i r="1">
      <x v="23"/>
    </i>
    <i r="1">
      <x v="25"/>
    </i>
    <i r="1">
      <x v="26"/>
    </i>
    <i r="1">
      <x v="28"/>
    </i>
    <i r="1">
      <x v="29"/>
    </i>
    <i r="1">
      <x v="38"/>
    </i>
    <i r="1">
      <x v="43"/>
    </i>
    <i r="1">
      <x v="53"/>
    </i>
    <i r="1">
      <x v="54"/>
    </i>
    <i>
      <x v="22"/>
    </i>
    <i r="1">
      <x/>
    </i>
    <i r="1">
      <x v="1"/>
    </i>
    <i r="1">
      <x v="3"/>
    </i>
    <i r="1">
      <x v="17"/>
    </i>
    <i r="1">
      <x v="20"/>
    </i>
    <i r="1">
      <x v="24"/>
    </i>
    <i r="1">
      <x v="26"/>
    </i>
    <i r="1">
      <x v="28"/>
    </i>
    <i r="1">
      <x v="37"/>
    </i>
    <i r="1">
      <x v="42"/>
    </i>
    <i r="1">
      <x v="43"/>
    </i>
    <i r="1">
      <x v="44"/>
    </i>
    <i r="1">
      <x v="48"/>
    </i>
    <i r="1">
      <x v="57"/>
    </i>
    <i r="1">
      <x v="58"/>
    </i>
    <i r="1">
      <x v="59"/>
    </i>
    <i>
      <x v="23"/>
    </i>
    <i r="1">
      <x/>
    </i>
    <i r="1">
      <x v="1"/>
    </i>
    <i r="1">
      <x v="9"/>
    </i>
    <i r="1">
      <x v="17"/>
    </i>
    <i r="1">
      <x v="26"/>
    </i>
    <i r="1">
      <x v="27"/>
    </i>
    <i r="1">
      <x v="28"/>
    </i>
    <i r="1">
      <x v="29"/>
    </i>
    <i r="1">
      <x v="36"/>
    </i>
    <i r="1">
      <x v="43"/>
    </i>
    <i r="1">
      <x v="44"/>
    </i>
    <i>
      <x v="24"/>
    </i>
    <i r="1">
      <x/>
    </i>
    <i r="1">
      <x v="8"/>
    </i>
    <i r="1">
      <x v="20"/>
    </i>
    <i r="1">
      <x v="43"/>
    </i>
    <i r="1">
      <x v="44"/>
    </i>
    <i r="1">
      <x v="49"/>
    </i>
    <i r="1">
      <x v="53"/>
    </i>
    <i r="1">
      <x v="54"/>
    </i>
    <i r="1">
      <x v="59"/>
    </i>
    <i>
      <x v="25"/>
    </i>
    <i r="1">
      <x/>
    </i>
    <i r="1">
      <x v="4"/>
    </i>
    <i r="1">
      <x v="15"/>
    </i>
    <i r="1">
      <x v="20"/>
    </i>
    <i r="1">
      <x v="27"/>
    </i>
    <i r="1">
      <x v="31"/>
    </i>
    <i r="1">
      <x v="43"/>
    </i>
    <i r="1">
      <x v="44"/>
    </i>
    <i r="1">
      <x v="47"/>
    </i>
    <i r="1">
      <x v="54"/>
    </i>
    <i r="1">
      <x v="59"/>
    </i>
    <i>
      <x v="26"/>
    </i>
    <i r="1">
      <x/>
    </i>
    <i r="1">
      <x v="1"/>
    </i>
    <i r="1">
      <x v="13"/>
    </i>
    <i r="1">
      <x v="19"/>
    </i>
    <i r="1">
      <x v="20"/>
    </i>
    <i r="1">
      <x v="22"/>
    </i>
    <i r="1">
      <x v="26"/>
    </i>
    <i r="1">
      <x v="27"/>
    </i>
    <i r="1">
      <x v="29"/>
    </i>
    <i r="1">
      <x v="42"/>
    </i>
    <i r="1">
      <x v="43"/>
    </i>
    <i r="1">
      <x v="44"/>
    </i>
    <i r="1">
      <x v="49"/>
    </i>
    <i r="1">
      <x v="50"/>
    </i>
    <i r="1">
      <x v="54"/>
    </i>
    <i>
      <x v="27"/>
    </i>
    <i r="1">
      <x/>
    </i>
    <i r="1">
      <x v="22"/>
    </i>
    <i r="1">
      <x v="27"/>
    </i>
    <i r="1">
      <x v="28"/>
    </i>
    <i r="1">
      <x v="29"/>
    </i>
    <i r="1">
      <x v="30"/>
    </i>
    <i r="1">
      <x v="43"/>
    </i>
    <i r="1">
      <x v="44"/>
    </i>
    <i r="1">
      <x v="51"/>
    </i>
    <i r="1">
      <x v="54"/>
    </i>
    <i>
      <x v="28"/>
    </i>
    <i r="1">
      <x/>
    </i>
    <i r="1">
      <x v="1"/>
    </i>
    <i r="1">
      <x v="15"/>
    </i>
    <i r="1">
      <x v="23"/>
    </i>
    <i r="1">
      <x v="27"/>
    </i>
    <i r="1">
      <x v="28"/>
    </i>
    <i r="1">
      <x v="40"/>
    </i>
    <i r="1">
      <x v="43"/>
    </i>
    <i r="1">
      <x v="53"/>
    </i>
    <i r="1">
      <x v="54"/>
    </i>
    <i r="1">
      <x v="58"/>
    </i>
    <i>
      <x v="29"/>
    </i>
    <i r="1">
      <x/>
    </i>
    <i r="1">
      <x v="1"/>
    </i>
    <i r="1">
      <x v="13"/>
    </i>
    <i r="1">
      <x v="15"/>
    </i>
    <i r="1">
      <x v="20"/>
    </i>
    <i r="1">
      <x v="27"/>
    </i>
    <i r="1">
      <x v="28"/>
    </i>
    <i r="1">
      <x v="43"/>
    </i>
    <i r="1">
      <x v="44"/>
    </i>
    <i r="1">
      <x v="45"/>
    </i>
    <i r="1">
      <x v="46"/>
    </i>
    <i r="1">
      <x v="5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especie" fld="15" subtotal="count" baseField="0" baseItem="0"/>
    <dataField name="% of especie" fld="15" subtotal="count" showDataAs="percentOfTotal" baseField="2" baseItem="1048828" numFmtId="10"/>
    <dataField name="Average of GRAVEDAD ESPECIFICA (g/m^3)" fld="16" subtotal="average" baseField="0" baseItem="0"/>
    <dataField name="Sum of AREA BASAL (M^2)" fld="19" baseField="0" baseItem="0"/>
    <dataField name="Sum of BIOMASA-DA (KG)" fld="27" baseField="0" baseItem="0"/>
    <dataField name="Sum of ERROR ESTANDAR" fld="28" baseField="0" baseItem="0"/>
    <dataField name="Sum of CARBONO-DA (KG)" fld="2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48"/>
  <sheetViews>
    <sheetView tabSelected="1" topLeftCell="G1" workbookViewId="0">
      <selection activeCell="L7" sqref="L7:L1248"/>
    </sheetView>
  </sheetViews>
  <sheetFormatPr baseColWidth="10" defaultRowHeight="16"/>
  <cols>
    <col min="1" max="1" width="11.6640625" customWidth="1"/>
    <col min="2" max="2" width="17.1640625" style="5" bestFit="1" customWidth="1"/>
    <col min="3" max="3" width="11" style="3" bestFit="1" customWidth="1"/>
    <col min="4" max="4" width="22.1640625" style="5" customWidth="1"/>
    <col min="5" max="6" width="16.6640625" customWidth="1"/>
    <col min="7" max="7" width="25.1640625" customWidth="1"/>
    <col min="8" max="8" width="15.5" customWidth="1"/>
    <col min="9" max="9" width="21.1640625" style="1" customWidth="1"/>
    <col min="10" max="10" width="21.6640625" style="1" customWidth="1"/>
    <col min="11" max="11" width="19.5" style="1" customWidth="1"/>
    <col min="12" max="12" width="5.1640625" bestFit="1" customWidth="1"/>
    <col min="13" max="13" width="21.6640625" customWidth="1"/>
    <col min="14" max="14" width="23.5" customWidth="1"/>
    <col min="15" max="16" width="13.6640625" style="1" customWidth="1"/>
    <col min="17" max="17" width="34.1640625" customWidth="1"/>
    <col min="18" max="18" width="36.83203125" customWidth="1"/>
    <col min="19" max="19" width="10.83203125" style="3" bestFit="1" customWidth="1"/>
    <col min="20" max="20" width="17" style="1" customWidth="1"/>
    <col min="21" max="21" width="19.5" customWidth="1"/>
    <col min="22" max="22" width="23.5" customWidth="1"/>
    <col min="23" max="23" width="16.1640625" style="1" customWidth="1"/>
    <col min="24" max="24" width="19.1640625" customWidth="1"/>
    <col min="25" max="25" width="22.1640625" customWidth="1"/>
    <col min="26" max="26" width="14.83203125" style="1" customWidth="1"/>
    <col min="27" max="27" width="12.83203125" style="1" customWidth="1"/>
    <col min="28" max="29" width="16" style="1" customWidth="1"/>
    <col min="30" max="30" width="16.83203125" style="1" customWidth="1"/>
    <col min="31" max="31" width="16.83203125" style="69" customWidth="1"/>
    <col min="32" max="32" width="16" style="1" customWidth="1"/>
    <col min="33" max="33" width="16" bestFit="1" customWidth="1"/>
    <col min="34" max="34" width="16" style="1" customWidth="1"/>
    <col min="35" max="35" width="16" style="67" customWidth="1"/>
    <col min="36" max="36" width="15.33203125" style="1" customWidth="1"/>
    <col min="37" max="37" width="16" customWidth="1"/>
    <col min="38" max="38" width="15.83203125" customWidth="1"/>
  </cols>
  <sheetData>
    <row r="1" spans="1:38">
      <c r="A1" s="36"/>
      <c r="B1" s="36"/>
      <c r="C1" s="36"/>
      <c r="D1" s="9"/>
      <c r="E1" s="8"/>
      <c r="F1" s="8"/>
      <c r="G1" s="8"/>
      <c r="H1" s="8"/>
      <c r="I1" s="10"/>
      <c r="J1" s="10"/>
      <c r="K1" s="10"/>
      <c r="L1" s="8"/>
      <c r="M1" s="8"/>
      <c r="N1" s="8"/>
      <c r="O1" s="10"/>
      <c r="P1" s="10"/>
      <c r="Q1" s="10" t="s">
        <v>58</v>
      </c>
      <c r="R1" s="8"/>
      <c r="S1" s="12"/>
      <c r="T1" s="10"/>
      <c r="U1" s="8"/>
      <c r="V1" s="8"/>
      <c r="W1" s="10"/>
      <c r="X1" s="8"/>
      <c r="Y1" s="8"/>
      <c r="Z1" s="10"/>
      <c r="AA1" s="10"/>
      <c r="AB1" s="10"/>
      <c r="AC1" s="10"/>
      <c r="AD1" s="10"/>
      <c r="AE1" s="65"/>
      <c r="AF1" s="10"/>
      <c r="AG1" s="8"/>
      <c r="AH1" s="10"/>
      <c r="AI1" s="63"/>
      <c r="AJ1" s="10"/>
      <c r="AK1" s="8"/>
      <c r="AL1" s="8"/>
    </row>
    <row r="2" spans="1:38">
      <c r="A2" s="10" t="s">
        <v>115</v>
      </c>
      <c r="B2" s="13" t="s">
        <v>116</v>
      </c>
      <c r="C2" s="10" t="s">
        <v>1</v>
      </c>
      <c r="D2" s="13"/>
      <c r="E2" s="10" t="s">
        <v>101</v>
      </c>
      <c r="F2" s="8"/>
      <c r="G2" s="8"/>
      <c r="H2" s="8"/>
      <c r="I2" s="10"/>
      <c r="J2" s="10"/>
      <c r="K2" s="10"/>
      <c r="L2" s="8"/>
      <c r="M2" s="10"/>
      <c r="N2" s="10"/>
      <c r="O2" s="10"/>
      <c r="P2" s="10"/>
      <c r="Q2" s="10" t="s">
        <v>59</v>
      </c>
      <c r="R2" s="8"/>
      <c r="S2" s="12"/>
      <c r="T2" s="10"/>
      <c r="U2" s="10" t="s">
        <v>17</v>
      </c>
      <c r="V2" s="12"/>
      <c r="W2" s="10"/>
      <c r="X2" s="12"/>
      <c r="Y2" s="12"/>
      <c r="Z2" s="10"/>
      <c r="AA2" s="10"/>
      <c r="AB2" s="85" t="s">
        <v>263</v>
      </c>
      <c r="AC2" s="85"/>
      <c r="AD2" s="85"/>
      <c r="AE2" s="64"/>
      <c r="AF2" s="85" t="s">
        <v>264</v>
      </c>
      <c r="AG2" s="85"/>
      <c r="AH2" s="85"/>
      <c r="AI2" s="64"/>
      <c r="AJ2" s="85" t="s">
        <v>265</v>
      </c>
      <c r="AK2" s="85"/>
      <c r="AL2" s="85"/>
    </row>
    <row r="3" spans="1:38">
      <c r="A3" s="10">
        <v>21</v>
      </c>
      <c r="B3" s="36">
        <v>21</v>
      </c>
      <c r="C3" s="10">
        <f>A3*B3</f>
        <v>441</v>
      </c>
      <c r="D3" s="9"/>
      <c r="E3" s="8"/>
      <c r="F3" s="8"/>
      <c r="G3" s="8"/>
      <c r="H3" s="8"/>
      <c r="I3" s="10"/>
      <c r="J3" s="10"/>
      <c r="K3" s="10"/>
      <c r="L3" s="8"/>
      <c r="M3" s="8"/>
      <c r="N3" s="8"/>
      <c r="O3" s="10"/>
      <c r="P3" s="10"/>
      <c r="Q3" s="8"/>
      <c r="R3" s="8"/>
      <c r="S3" s="12"/>
      <c r="T3" s="10"/>
      <c r="U3" s="10" t="s">
        <v>15</v>
      </c>
      <c r="V3" s="8"/>
      <c r="W3" s="10"/>
      <c r="X3" s="8"/>
      <c r="Y3" s="8"/>
      <c r="Z3" s="10"/>
      <c r="AA3" s="10"/>
      <c r="AB3" s="10"/>
      <c r="AC3" s="10"/>
      <c r="AD3" s="10"/>
      <c r="AE3" s="65"/>
      <c r="AF3" s="10"/>
      <c r="AG3" s="8"/>
      <c r="AH3" s="10"/>
      <c r="AI3" s="63"/>
      <c r="AJ3" s="10"/>
      <c r="AK3" s="8"/>
      <c r="AL3" s="8"/>
    </row>
    <row r="4" spans="1:38">
      <c r="A4" s="10"/>
      <c r="B4" s="32"/>
      <c r="C4" s="10"/>
      <c r="D4" s="13"/>
      <c r="E4" s="10"/>
      <c r="F4" s="8"/>
      <c r="G4" s="10"/>
      <c r="H4" s="10"/>
      <c r="I4" s="10"/>
      <c r="J4" s="10"/>
      <c r="K4" s="10"/>
      <c r="L4" s="10"/>
      <c r="M4" s="10"/>
      <c r="N4" s="10"/>
      <c r="O4" s="10"/>
      <c r="P4" s="10"/>
      <c r="Q4" s="10" t="s">
        <v>64</v>
      </c>
      <c r="R4" s="10"/>
      <c r="S4" s="12"/>
      <c r="T4" s="10"/>
      <c r="U4" s="8"/>
      <c r="V4" s="8"/>
      <c r="W4" s="10"/>
      <c r="X4" s="8"/>
      <c r="Y4" s="10" t="s">
        <v>26</v>
      </c>
      <c r="Z4" s="10"/>
      <c r="AA4" s="10"/>
      <c r="AB4" s="86" t="s">
        <v>18</v>
      </c>
      <c r="AC4" s="86"/>
      <c r="AD4" s="10" t="s">
        <v>254</v>
      </c>
      <c r="AE4" s="65"/>
      <c r="AF4" s="86" t="s">
        <v>18</v>
      </c>
      <c r="AG4" s="86"/>
      <c r="AH4" s="10" t="s">
        <v>254</v>
      </c>
      <c r="AI4" s="65"/>
      <c r="AJ4" s="10" t="s">
        <v>33</v>
      </c>
      <c r="AK4" s="10"/>
      <c r="AL4" s="10" t="s">
        <v>254</v>
      </c>
    </row>
    <row r="5" spans="1:38">
      <c r="A5" s="8"/>
      <c r="B5" s="26"/>
      <c r="C5" s="12"/>
      <c r="D5" s="9"/>
      <c r="E5" s="84" t="s">
        <v>19</v>
      </c>
      <c r="F5" s="84"/>
      <c r="G5" s="47"/>
      <c r="H5" s="8"/>
      <c r="I5" s="10"/>
      <c r="J5" s="10"/>
      <c r="K5" s="10"/>
      <c r="L5" s="8"/>
      <c r="M5" s="8"/>
      <c r="N5" s="8"/>
      <c r="O5" s="10"/>
      <c r="P5" s="10"/>
      <c r="Q5" s="8"/>
      <c r="R5" s="25" t="s">
        <v>21</v>
      </c>
      <c r="S5" s="12"/>
      <c r="T5" s="10"/>
      <c r="U5" s="10" t="s">
        <v>24</v>
      </c>
      <c r="V5" s="12"/>
      <c r="W5" s="10"/>
      <c r="X5" s="10" t="s">
        <v>24</v>
      </c>
      <c r="Y5" s="8"/>
      <c r="Z5" s="10"/>
      <c r="AA5" s="10"/>
      <c r="AB5" s="10"/>
      <c r="AC5" s="36"/>
      <c r="AD5" s="10"/>
      <c r="AE5" s="65"/>
      <c r="AF5" s="10"/>
      <c r="AG5" s="10"/>
      <c r="AH5" s="10"/>
      <c r="AI5" s="65"/>
      <c r="AJ5" s="10"/>
      <c r="AK5" s="33"/>
      <c r="AL5" s="10"/>
    </row>
    <row r="6" spans="1:38" s="5" customFormat="1">
      <c r="A6" s="14" t="s">
        <v>0</v>
      </c>
      <c r="B6" s="14" t="s">
        <v>100</v>
      </c>
      <c r="C6" s="14" t="s">
        <v>2</v>
      </c>
      <c r="D6" s="14" t="s">
        <v>13</v>
      </c>
      <c r="E6" s="14" t="s">
        <v>5</v>
      </c>
      <c r="F6" s="14" t="s">
        <v>28</v>
      </c>
      <c r="G6" s="14" t="s">
        <v>208</v>
      </c>
      <c r="H6" s="14" t="s">
        <v>30</v>
      </c>
      <c r="I6" s="25" t="s">
        <v>117</v>
      </c>
      <c r="J6" s="25" t="s">
        <v>118</v>
      </c>
      <c r="K6" s="35" t="s">
        <v>114</v>
      </c>
      <c r="L6" s="14" t="s">
        <v>35</v>
      </c>
      <c r="M6" s="14" t="s">
        <v>14</v>
      </c>
      <c r="N6" s="14" t="s">
        <v>9</v>
      </c>
      <c r="O6" s="35" t="s">
        <v>7</v>
      </c>
      <c r="P6" s="35" t="s">
        <v>8</v>
      </c>
      <c r="Q6" s="14" t="s">
        <v>20</v>
      </c>
      <c r="R6" s="14" t="s">
        <v>10</v>
      </c>
      <c r="S6" s="14" t="s">
        <v>4</v>
      </c>
      <c r="T6" s="35" t="s">
        <v>285</v>
      </c>
      <c r="U6" s="14" t="s">
        <v>23</v>
      </c>
      <c r="V6" s="14" t="s">
        <v>12</v>
      </c>
      <c r="W6" s="13" t="s">
        <v>74</v>
      </c>
      <c r="X6" s="14" t="s">
        <v>25</v>
      </c>
      <c r="Y6" s="14" t="s">
        <v>16</v>
      </c>
      <c r="Z6" s="13" t="s">
        <v>75</v>
      </c>
      <c r="AA6" s="35" t="s">
        <v>3</v>
      </c>
      <c r="AB6" s="35" t="s">
        <v>258</v>
      </c>
      <c r="AC6" s="25" t="s">
        <v>262</v>
      </c>
      <c r="AD6" s="35" t="s">
        <v>259</v>
      </c>
      <c r="AE6" s="68"/>
      <c r="AF6" s="35" t="s">
        <v>257</v>
      </c>
      <c r="AG6" s="25" t="s">
        <v>262</v>
      </c>
      <c r="AH6" s="35" t="s">
        <v>260</v>
      </c>
      <c r="AI6" s="66"/>
      <c r="AJ6" s="35" t="s">
        <v>255</v>
      </c>
      <c r="AK6" s="25" t="s">
        <v>261</v>
      </c>
      <c r="AL6" s="35" t="s">
        <v>256</v>
      </c>
    </row>
    <row r="7" spans="1:38">
      <c r="A7" s="18">
        <v>41473</v>
      </c>
      <c r="B7" s="19" t="s">
        <v>141</v>
      </c>
      <c r="C7" s="12">
        <v>50.1</v>
      </c>
      <c r="D7" s="9" t="s">
        <v>80</v>
      </c>
      <c r="E7">
        <v>8.4082600000000003</v>
      </c>
      <c r="F7">
        <v>83.313869999999994</v>
      </c>
      <c r="G7" s="8">
        <v>50</v>
      </c>
      <c r="H7" s="8">
        <v>25</v>
      </c>
      <c r="I7" s="10">
        <f t="shared" ref="I7:I69" si="0">1/TAN(H7/100)</f>
        <v>3.9163173646459399</v>
      </c>
      <c r="J7" s="10">
        <f t="shared" ref="J7:J69" si="1">RADIANS(I7)</f>
        <v>6.8352632566099025E-2</v>
      </c>
      <c r="K7" s="10">
        <f t="shared" ref="K7:K69" si="2">21/COS(J7)</f>
        <v>21.049152545814849</v>
      </c>
      <c r="L7" s="8">
        <v>609</v>
      </c>
      <c r="M7" s="8" t="s">
        <v>39</v>
      </c>
      <c r="N7" s="8" t="s">
        <v>69</v>
      </c>
      <c r="O7" s="10" t="s">
        <v>65</v>
      </c>
      <c r="P7" s="10" t="s">
        <v>70</v>
      </c>
      <c r="Q7" s="8">
        <v>0.37</v>
      </c>
      <c r="R7" s="8" t="s">
        <v>71</v>
      </c>
      <c r="S7" s="29">
        <v>17</v>
      </c>
      <c r="T7" s="79">
        <f>0.00007854*S7^2</f>
        <v>2.2698060000000003E-2</v>
      </c>
      <c r="U7" s="8">
        <v>17</v>
      </c>
      <c r="V7" s="8">
        <v>75</v>
      </c>
      <c r="W7" s="10">
        <f t="shared" ref="W7:W49" si="3">RADIANS(V7)</f>
        <v>1.3089969389957472</v>
      </c>
      <c r="X7" s="22">
        <v>5</v>
      </c>
      <c r="Y7" s="22">
        <v>15</v>
      </c>
      <c r="Z7" s="10">
        <f t="shared" ref="Z7:Z49" si="4">RADIANS(Y7)</f>
        <v>0.26179938779914941</v>
      </c>
      <c r="AA7" s="10">
        <f t="shared" ref="AA7:AA49" si="5">(SIN(W7)*U7)+(SIN(Z7)*X7)</f>
        <v>17.714834272426764</v>
      </c>
      <c r="AB7" s="10">
        <f t="shared" ref="AB7:AB49" si="6">0.0776*(Q7*S7^2*AA7)^0.94</f>
        <v>93.46568262445264</v>
      </c>
      <c r="AC7" s="10">
        <f>AB7*0.125</f>
        <v>11.68321032805658</v>
      </c>
      <c r="AD7" s="10">
        <f t="shared" ref="AD7:AD70" si="7">AB7/2</f>
        <v>46.73284131222632</v>
      </c>
      <c r="AE7" s="65"/>
      <c r="AF7" s="10">
        <f t="shared" ref="AF7:AF70" si="8">Q7*EXP(-1.239+1.98*LN(S7)+0.207*(LN(S7))^2-0.0281*(LN(S7))^3)</f>
        <v>81.373990452885536</v>
      </c>
      <c r="AG7" s="8">
        <f>AF7*0.195</f>
        <v>15.86792813831268</v>
      </c>
      <c r="AH7" s="10">
        <f>AF7/2</f>
        <v>40.686995226442768</v>
      </c>
      <c r="AI7" s="63"/>
      <c r="AJ7" s="10">
        <f t="shared" ref="AJ7:AJ70" si="9">21.297-6.953*S7+0.74*(S7^2)</f>
        <v>116.95599999999997</v>
      </c>
      <c r="AK7" s="8"/>
      <c r="AL7" s="8">
        <f>AJ7/2</f>
        <v>58.477999999999987</v>
      </c>
    </row>
    <row r="8" spans="1:38">
      <c r="A8" s="18">
        <v>41473</v>
      </c>
      <c r="B8" s="19" t="s">
        <v>141</v>
      </c>
      <c r="C8" s="12">
        <v>50.1</v>
      </c>
      <c r="D8" s="19" t="s">
        <v>80</v>
      </c>
      <c r="E8">
        <v>8.4082600000000003</v>
      </c>
      <c r="F8">
        <v>83.313869999999994</v>
      </c>
      <c r="G8" s="8">
        <v>50</v>
      </c>
      <c r="H8" s="8">
        <v>25</v>
      </c>
      <c r="I8" s="10">
        <f t="shared" si="0"/>
        <v>3.9163173646459399</v>
      </c>
      <c r="J8" s="10">
        <f t="shared" si="1"/>
        <v>6.8352632566099025E-2</v>
      </c>
      <c r="K8" s="10">
        <f t="shared" si="2"/>
        <v>21.049152545814849</v>
      </c>
      <c r="L8" s="8">
        <v>675</v>
      </c>
      <c r="M8" s="31" t="s">
        <v>231</v>
      </c>
      <c r="N8" s="8" t="s">
        <v>171</v>
      </c>
      <c r="O8" s="10" t="s">
        <v>99</v>
      </c>
      <c r="P8" s="10" t="s">
        <v>99</v>
      </c>
      <c r="Q8" s="8">
        <v>0.57999999999999996</v>
      </c>
      <c r="R8" s="8" t="s">
        <v>103</v>
      </c>
      <c r="S8" s="12">
        <v>12.8</v>
      </c>
      <c r="T8" s="79">
        <f t="shared" ref="T8:T71" si="10">0.00007854*S8^2</f>
        <v>1.2867993600000002E-2</v>
      </c>
      <c r="U8" s="8">
        <v>16</v>
      </c>
      <c r="V8" s="8">
        <v>60</v>
      </c>
      <c r="W8" s="10">
        <f t="shared" si="3"/>
        <v>1.0471975511965976</v>
      </c>
      <c r="X8" s="22">
        <v>6</v>
      </c>
      <c r="Y8" s="22">
        <v>14</v>
      </c>
      <c r="Z8" s="10">
        <f t="shared" si="4"/>
        <v>0.24434609527920614</v>
      </c>
      <c r="AA8" s="10">
        <f t="shared" si="5"/>
        <v>15.307937834149024</v>
      </c>
      <c r="AB8" s="10">
        <f t="shared" si="6"/>
        <v>72.92231823507494</v>
      </c>
      <c r="AC8" s="10">
        <f t="shared" ref="AC8:AC70" si="11">AB8*0.125</f>
        <v>9.1152897793843675</v>
      </c>
      <c r="AD8" s="10">
        <f t="shared" si="7"/>
        <v>36.46115911753747</v>
      </c>
      <c r="AE8" s="65"/>
      <c r="AF8" s="10">
        <f t="shared" si="8"/>
        <v>63.052866513653171</v>
      </c>
      <c r="AG8" s="8">
        <f t="shared" ref="AG8:AG70" si="12">AF8*0.195</f>
        <v>12.295308970162369</v>
      </c>
      <c r="AH8" s="10">
        <f t="shared" ref="AH8:AH70" si="13">AF8/2</f>
        <v>31.526433256826586</v>
      </c>
      <c r="AI8" s="63"/>
      <c r="AJ8" s="10">
        <f t="shared" si="9"/>
        <v>53.540200000000013</v>
      </c>
      <c r="AK8" s="8"/>
      <c r="AL8" s="8">
        <f t="shared" ref="AL8:AL70" si="14">AJ8/2</f>
        <v>26.770100000000006</v>
      </c>
    </row>
    <row r="9" spans="1:38">
      <c r="A9" s="18">
        <v>41473</v>
      </c>
      <c r="B9" s="19" t="s">
        <v>141</v>
      </c>
      <c r="C9" s="12">
        <v>50.1</v>
      </c>
      <c r="D9" s="19" t="s">
        <v>80</v>
      </c>
      <c r="E9">
        <v>8.4082600000000003</v>
      </c>
      <c r="F9">
        <v>83.313869999999994</v>
      </c>
      <c r="G9" s="8">
        <v>50</v>
      </c>
      <c r="H9" s="8">
        <v>25</v>
      </c>
      <c r="I9" s="10">
        <f t="shared" si="0"/>
        <v>3.9163173646459399</v>
      </c>
      <c r="J9" s="10">
        <f t="shared" si="1"/>
        <v>6.8352632566099025E-2</v>
      </c>
      <c r="K9" s="10">
        <f t="shared" si="2"/>
        <v>21.049152545814849</v>
      </c>
      <c r="L9" s="8">
        <v>669</v>
      </c>
      <c r="M9" s="22" t="s">
        <v>149</v>
      </c>
      <c r="N9" s="8" t="s">
        <v>167</v>
      </c>
      <c r="O9" s="10" t="s">
        <v>168</v>
      </c>
      <c r="P9" s="10" t="s">
        <v>169</v>
      </c>
      <c r="Q9" s="8">
        <v>0.41699999999999998</v>
      </c>
      <c r="R9" s="22" t="s">
        <v>170</v>
      </c>
      <c r="S9" s="12">
        <v>5.7</v>
      </c>
      <c r="T9" s="79">
        <f t="shared" si="10"/>
        <v>2.5517646000000004E-3</v>
      </c>
      <c r="U9" s="8">
        <v>7</v>
      </c>
      <c r="V9" s="8">
        <v>58</v>
      </c>
      <c r="W9" s="10">
        <f t="shared" si="3"/>
        <v>1.0122909661567112</v>
      </c>
      <c r="X9" s="22">
        <v>6</v>
      </c>
      <c r="Y9" s="22">
        <v>12</v>
      </c>
      <c r="Z9" s="10">
        <f t="shared" si="4"/>
        <v>0.20943951023931956</v>
      </c>
      <c r="AA9" s="10">
        <f t="shared" si="5"/>
        <v>7.1838068180015373</v>
      </c>
      <c r="AB9" s="10">
        <f t="shared" si="6"/>
        <v>5.7386231762832187</v>
      </c>
      <c r="AC9" s="10">
        <f t="shared" si="11"/>
        <v>0.71732789703540234</v>
      </c>
      <c r="AD9" s="10">
        <f t="shared" si="7"/>
        <v>2.8693115881416094</v>
      </c>
      <c r="AE9" s="65"/>
      <c r="AF9" s="10">
        <f t="shared" si="8"/>
        <v>6.118717655521527</v>
      </c>
      <c r="AG9" s="8">
        <f t="shared" si="12"/>
        <v>1.1931499428266978</v>
      </c>
      <c r="AH9" s="10">
        <f t="shared" si="13"/>
        <v>3.0593588277607635</v>
      </c>
      <c r="AI9" s="63"/>
      <c r="AJ9" s="10">
        <f t="shared" si="9"/>
        <v>5.7074999999999996</v>
      </c>
      <c r="AK9" s="8"/>
      <c r="AL9" s="8">
        <f t="shared" si="14"/>
        <v>2.8537499999999998</v>
      </c>
    </row>
    <row r="10" spans="1:38">
      <c r="A10" s="18">
        <v>41473</v>
      </c>
      <c r="B10" s="19" t="s">
        <v>141</v>
      </c>
      <c r="C10" s="12">
        <v>50.1</v>
      </c>
      <c r="D10" s="19" t="s">
        <v>80</v>
      </c>
      <c r="E10">
        <v>8.4082600000000003</v>
      </c>
      <c r="F10">
        <v>83.313869999999994</v>
      </c>
      <c r="G10" s="8">
        <v>50</v>
      </c>
      <c r="H10" s="8">
        <v>25</v>
      </c>
      <c r="I10" s="10">
        <f t="shared" si="0"/>
        <v>3.9163173646459399</v>
      </c>
      <c r="J10" s="10">
        <f t="shared" si="1"/>
        <v>6.8352632566099025E-2</v>
      </c>
      <c r="K10" s="10">
        <f t="shared" si="2"/>
        <v>21.049152545814849</v>
      </c>
      <c r="L10" s="22">
        <v>721</v>
      </c>
      <c r="M10" s="22" t="s">
        <v>39</v>
      </c>
      <c r="N10" s="8" t="s">
        <v>69</v>
      </c>
      <c r="O10" s="10" t="s">
        <v>65</v>
      </c>
      <c r="P10" s="10" t="s">
        <v>70</v>
      </c>
      <c r="Q10" s="8">
        <v>0.37</v>
      </c>
      <c r="R10" s="8" t="s">
        <v>71</v>
      </c>
      <c r="S10" s="31">
        <v>14.5</v>
      </c>
      <c r="T10" s="79">
        <f t="shared" si="10"/>
        <v>1.6513035000000002E-2</v>
      </c>
      <c r="U10" s="22">
        <v>17</v>
      </c>
      <c r="V10" s="22">
        <v>65</v>
      </c>
      <c r="W10" s="10">
        <f t="shared" si="3"/>
        <v>1.1344640137963142</v>
      </c>
      <c r="X10" s="22">
        <v>8</v>
      </c>
      <c r="Y10" s="22">
        <v>1</v>
      </c>
      <c r="Z10" s="10">
        <f t="shared" si="4"/>
        <v>1.7453292519943295E-2</v>
      </c>
      <c r="AA10" s="10">
        <f t="shared" si="5"/>
        <v>15.546851631121315</v>
      </c>
      <c r="AB10" s="10">
        <f t="shared" si="6"/>
        <v>61.303757245901927</v>
      </c>
      <c r="AC10" s="10">
        <f t="shared" si="11"/>
        <v>7.6629696557377409</v>
      </c>
      <c r="AD10" s="10">
        <f t="shared" si="7"/>
        <v>30.651878622950964</v>
      </c>
      <c r="AE10" s="65"/>
      <c r="AF10" s="10">
        <f t="shared" si="8"/>
        <v>54.843117197174983</v>
      </c>
      <c r="AG10" s="8">
        <f t="shared" si="12"/>
        <v>10.694407853449123</v>
      </c>
      <c r="AH10" s="10">
        <f t="shared" si="13"/>
        <v>27.421558598587492</v>
      </c>
      <c r="AI10" s="63"/>
      <c r="AJ10" s="10">
        <f t="shared" si="9"/>
        <v>76.063500000000005</v>
      </c>
      <c r="AK10" s="8"/>
      <c r="AL10" s="8">
        <f t="shared" si="14"/>
        <v>38.031750000000002</v>
      </c>
    </row>
    <row r="11" spans="1:38">
      <c r="A11" s="18">
        <v>41473</v>
      </c>
      <c r="B11" s="19" t="s">
        <v>141</v>
      </c>
      <c r="C11" s="12">
        <v>50.1</v>
      </c>
      <c r="D11" s="19" t="s">
        <v>80</v>
      </c>
      <c r="E11">
        <v>8.4082600000000003</v>
      </c>
      <c r="F11">
        <v>83.313869999999994</v>
      </c>
      <c r="G11" s="8">
        <v>50</v>
      </c>
      <c r="H11" s="8">
        <v>25</v>
      </c>
      <c r="I11" s="10">
        <f t="shared" si="0"/>
        <v>3.9163173646459399</v>
      </c>
      <c r="J11" s="10">
        <f t="shared" si="1"/>
        <v>6.8352632566099025E-2</v>
      </c>
      <c r="K11" s="10">
        <f t="shared" si="2"/>
        <v>21.049152545814849</v>
      </c>
      <c r="L11" s="22">
        <v>600</v>
      </c>
      <c r="M11" s="22" t="s">
        <v>39</v>
      </c>
      <c r="N11" s="8" t="s">
        <v>69</v>
      </c>
      <c r="O11" s="10" t="s">
        <v>65</v>
      </c>
      <c r="P11" s="10" t="s">
        <v>70</v>
      </c>
      <c r="Q11" s="8">
        <v>0.37</v>
      </c>
      <c r="R11" s="8" t="s">
        <v>71</v>
      </c>
      <c r="S11" s="31">
        <v>11.6</v>
      </c>
      <c r="T11" s="79">
        <f t="shared" si="10"/>
        <v>1.05683424E-2</v>
      </c>
      <c r="U11" s="22">
        <v>17</v>
      </c>
      <c r="V11" s="22">
        <v>55</v>
      </c>
      <c r="W11" s="10">
        <f t="shared" si="3"/>
        <v>0.95993108859688125</v>
      </c>
      <c r="X11" s="22">
        <v>7</v>
      </c>
      <c r="Y11" s="22">
        <v>1</v>
      </c>
      <c r="Z11" s="10">
        <f t="shared" si="4"/>
        <v>1.7453292519943295E-2</v>
      </c>
      <c r="AA11" s="10">
        <f t="shared" si="5"/>
        <v>14.047751597973845</v>
      </c>
      <c r="AB11" s="10">
        <f t="shared" si="6"/>
        <v>36.635554702108706</v>
      </c>
      <c r="AC11" s="10">
        <f t="shared" si="11"/>
        <v>4.5794443377635883</v>
      </c>
      <c r="AD11" s="10">
        <f t="shared" si="7"/>
        <v>18.317777351054353</v>
      </c>
      <c r="AE11" s="65"/>
      <c r="AF11" s="10">
        <f t="shared" si="8"/>
        <v>31.485404505655083</v>
      </c>
      <c r="AG11" s="8">
        <f t="shared" si="12"/>
        <v>6.1396538786027417</v>
      </c>
      <c r="AH11" s="10">
        <f t="shared" si="13"/>
        <v>15.742702252827542</v>
      </c>
      <c r="AI11" s="63"/>
      <c r="AJ11" s="10">
        <f t="shared" si="9"/>
        <v>40.2166</v>
      </c>
      <c r="AK11" s="8"/>
      <c r="AL11" s="8">
        <f t="shared" si="14"/>
        <v>20.1083</v>
      </c>
    </row>
    <row r="12" spans="1:38">
      <c r="A12" s="18">
        <v>41473</v>
      </c>
      <c r="B12" s="19" t="s">
        <v>141</v>
      </c>
      <c r="C12" s="12">
        <v>50.1</v>
      </c>
      <c r="D12" s="19" t="s">
        <v>80</v>
      </c>
      <c r="E12">
        <v>8.4082600000000003</v>
      </c>
      <c r="F12">
        <v>83.313869999999994</v>
      </c>
      <c r="G12" s="8">
        <v>50</v>
      </c>
      <c r="H12" s="8">
        <v>25</v>
      </c>
      <c r="I12" s="10">
        <f t="shared" si="0"/>
        <v>3.9163173646459399</v>
      </c>
      <c r="J12" s="10">
        <f t="shared" si="1"/>
        <v>6.8352632566099025E-2</v>
      </c>
      <c r="K12" s="10">
        <f t="shared" si="2"/>
        <v>21.049152545814849</v>
      </c>
      <c r="L12" s="22">
        <v>604</v>
      </c>
      <c r="M12" s="22" t="s">
        <v>39</v>
      </c>
      <c r="N12" s="8" t="s">
        <v>69</v>
      </c>
      <c r="O12" s="10" t="s">
        <v>65</v>
      </c>
      <c r="P12" s="10" t="s">
        <v>70</v>
      </c>
      <c r="Q12" s="8">
        <v>0.37</v>
      </c>
      <c r="R12" s="8" t="s">
        <v>71</v>
      </c>
      <c r="S12" s="31">
        <v>15.3</v>
      </c>
      <c r="T12" s="79">
        <f t="shared" si="10"/>
        <v>1.8385428600000003E-2</v>
      </c>
      <c r="U12" s="22">
        <v>17</v>
      </c>
      <c r="V12" s="22">
        <v>72</v>
      </c>
      <c r="W12" s="10">
        <f t="shared" si="3"/>
        <v>1.2566370614359172</v>
      </c>
      <c r="X12" s="22">
        <v>6</v>
      </c>
      <c r="Y12" s="22">
        <v>5</v>
      </c>
      <c r="Z12" s="10">
        <f t="shared" si="4"/>
        <v>8.7266462599716474E-2</v>
      </c>
      <c r="AA12" s="10">
        <f t="shared" si="5"/>
        <v>16.690895233503557</v>
      </c>
      <c r="AB12" s="10">
        <f t="shared" si="6"/>
        <v>72.497342157687683</v>
      </c>
      <c r="AC12" s="10">
        <f t="shared" si="11"/>
        <v>9.0621677697109604</v>
      </c>
      <c r="AD12" s="10">
        <f t="shared" si="7"/>
        <v>36.248671078843842</v>
      </c>
      <c r="AE12" s="65"/>
      <c r="AF12" s="10">
        <f t="shared" si="8"/>
        <v>62.666965974082792</v>
      </c>
      <c r="AG12" s="8">
        <f t="shared" si="12"/>
        <v>12.220058364946144</v>
      </c>
      <c r="AH12" s="10">
        <f t="shared" si="13"/>
        <v>31.333482987041396</v>
      </c>
      <c r="AI12" s="63"/>
      <c r="AJ12" s="10">
        <f t="shared" si="9"/>
        <v>88.142700000000005</v>
      </c>
      <c r="AK12" s="8"/>
      <c r="AL12" s="8">
        <f t="shared" si="14"/>
        <v>44.071350000000002</v>
      </c>
    </row>
    <row r="13" spans="1:38">
      <c r="A13" s="18">
        <v>41473</v>
      </c>
      <c r="B13" s="19" t="s">
        <v>141</v>
      </c>
      <c r="C13" s="12">
        <v>50.1</v>
      </c>
      <c r="D13" s="19" t="s">
        <v>80</v>
      </c>
      <c r="E13">
        <v>8.4082600000000003</v>
      </c>
      <c r="F13">
        <v>83.313869999999994</v>
      </c>
      <c r="G13" s="8">
        <v>50</v>
      </c>
      <c r="H13" s="8">
        <v>25</v>
      </c>
      <c r="I13" s="10">
        <f t="shared" si="0"/>
        <v>3.9163173646459399</v>
      </c>
      <c r="J13" s="10">
        <f t="shared" si="1"/>
        <v>6.8352632566099025E-2</v>
      </c>
      <c r="K13" s="10">
        <f t="shared" si="2"/>
        <v>21.049152545814849</v>
      </c>
      <c r="L13" s="22">
        <v>683</v>
      </c>
      <c r="M13" s="22" t="s">
        <v>39</v>
      </c>
      <c r="N13" s="8" t="s">
        <v>69</v>
      </c>
      <c r="O13" s="10" t="s">
        <v>65</v>
      </c>
      <c r="P13" s="10" t="s">
        <v>70</v>
      </c>
      <c r="Q13" s="8">
        <v>0.37</v>
      </c>
      <c r="R13" s="8" t="s">
        <v>71</v>
      </c>
      <c r="S13" s="31">
        <v>12.3</v>
      </c>
      <c r="T13" s="79">
        <f t="shared" si="10"/>
        <v>1.1882316600000001E-2</v>
      </c>
      <c r="U13" s="22">
        <v>17</v>
      </c>
      <c r="V13" s="22">
        <v>62</v>
      </c>
      <c r="W13" s="10">
        <f t="shared" si="3"/>
        <v>1.0821041362364843</v>
      </c>
      <c r="X13" s="8">
        <v>7</v>
      </c>
      <c r="Y13" s="22">
        <v>5</v>
      </c>
      <c r="Z13" s="10">
        <f t="shared" si="4"/>
        <v>8.7266462599716474E-2</v>
      </c>
      <c r="AA13" s="10">
        <f t="shared" si="5"/>
        <v>15.620199277835363</v>
      </c>
      <c r="AB13" s="10">
        <f t="shared" si="6"/>
        <v>45.191663437207716</v>
      </c>
      <c r="AC13" s="10">
        <f t="shared" si="11"/>
        <v>5.6489579296509644</v>
      </c>
      <c r="AD13" s="10">
        <f t="shared" si="7"/>
        <v>22.595831718603858</v>
      </c>
      <c r="AE13" s="65"/>
      <c r="AF13" s="10">
        <f t="shared" si="8"/>
        <v>36.427319212704134</v>
      </c>
      <c r="AG13" s="8">
        <f t="shared" si="12"/>
        <v>7.1033272464773063</v>
      </c>
      <c r="AH13" s="10">
        <f t="shared" si="13"/>
        <v>18.213659606352067</v>
      </c>
      <c r="AI13" s="63"/>
      <c r="AJ13" s="10">
        <f t="shared" si="9"/>
        <v>47.729700000000008</v>
      </c>
      <c r="AK13" s="8"/>
      <c r="AL13" s="8">
        <f t="shared" si="14"/>
        <v>23.864850000000004</v>
      </c>
    </row>
    <row r="14" spans="1:38">
      <c r="A14" s="18">
        <v>41473</v>
      </c>
      <c r="B14" s="19" t="s">
        <v>141</v>
      </c>
      <c r="C14" s="12">
        <v>50.1</v>
      </c>
      <c r="D14" s="19" t="s">
        <v>80</v>
      </c>
      <c r="E14">
        <v>8.4082600000000003</v>
      </c>
      <c r="F14">
        <v>83.313869999999994</v>
      </c>
      <c r="G14" s="8">
        <v>50</v>
      </c>
      <c r="H14" s="8">
        <v>25</v>
      </c>
      <c r="I14" s="10">
        <f t="shared" si="0"/>
        <v>3.9163173646459399</v>
      </c>
      <c r="J14" s="10">
        <f t="shared" si="1"/>
        <v>6.8352632566099025E-2</v>
      </c>
      <c r="K14" s="10">
        <f t="shared" si="2"/>
        <v>21.049152545814849</v>
      </c>
      <c r="L14" s="22">
        <v>648</v>
      </c>
      <c r="M14" s="22" t="s">
        <v>39</v>
      </c>
      <c r="N14" s="8" t="s">
        <v>69</v>
      </c>
      <c r="O14" s="10" t="s">
        <v>65</v>
      </c>
      <c r="P14" s="10" t="s">
        <v>70</v>
      </c>
      <c r="Q14" s="8">
        <v>0.37</v>
      </c>
      <c r="R14" s="8" t="s">
        <v>71</v>
      </c>
      <c r="S14" s="31">
        <v>9.3000000000000007</v>
      </c>
      <c r="T14" s="79">
        <f t="shared" si="10"/>
        <v>6.7929246000000007E-3</v>
      </c>
      <c r="U14" s="22">
        <v>15</v>
      </c>
      <c r="V14" s="22">
        <v>45</v>
      </c>
      <c r="W14" s="10">
        <f t="shared" si="3"/>
        <v>0.78539816339744828</v>
      </c>
      <c r="X14" s="8">
        <v>8</v>
      </c>
      <c r="Y14" s="22">
        <v>13</v>
      </c>
      <c r="Z14" s="10">
        <f t="shared" si="4"/>
        <v>0.22689280275926285</v>
      </c>
      <c r="AA14" s="10">
        <f t="shared" si="5"/>
        <v>12.406210152549132</v>
      </c>
      <c r="AB14" s="10">
        <f t="shared" si="6"/>
        <v>21.514936602054274</v>
      </c>
      <c r="AC14" s="10">
        <f t="shared" si="11"/>
        <v>2.6893670752567842</v>
      </c>
      <c r="AD14" s="10">
        <f t="shared" si="7"/>
        <v>10.757468301027137</v>
      </c>
      <c r="AE14" s="65"/>
      <c r="AF14" s="10">
        <f t="shared" si="8"/>
        <v>18.173363244130609</v>
      </c>
      <c r="AG14" s="8">
        <f t="shared" si="12"/>
        <v>3.5438058326054689</v>
      </c>
      <c r="AH14" s="10">
        <f t="shared" si="13"/>
        <v>9.0866816220653046</v>
      </c>
      <c r="AI14" s="63"/>
      <c r="AJ14" s="10">
        <f t="shared" si="9"/>
        <v>20.63669999999999</v>
      </c>
      <c r="AK14" s="8"/>
      <c r="AL14" s="8">
        <f t="shared" si="14"/>
        <v>10.318349999999995</v>
      </c>
    </row>
    <row r="15" spans="1:38">
      <c r="A15" s="18">
        <v>41473</v>
      </c>
      <c r="B15" s="19" t="s">
        <v>141</v>
      </c>
      <c r="C15" s="12">
        <v>50.1</v>
      </c>
      <c r="D15" s="19" t="s">
        <v>80</v>
      </c>
      <c r="E15">
        <v>8.4082600000000003</v>
      </c>
      <c r="F15">
        <v>83.313869999999994</v>
      </c>
      <c r="G15" s="8">
        <v>50</v>
      </c>
      <c r="H15" s="8">
        <v>25</v>
      </c>
      <c r="I15" s="10">
        <f t="shared" si="0"/>
        <v>3.9163173646459399</v>
      </c>
      <c r="J15" s="10">
        <f t="shared" si="1"/>
        <v>6.8352632566099025E-2</v>
      </c>
      <c r="K15" s="10">
        <f t="shared" si="2"/>
        <v>21.049152545814849</v>
      </c>
      <c r="L15" s="22">
        <v>708</v>
      </c>
      <c r="M15" s="22" t="s">
        <v>39</v>
      </c>
      <c r="N15" s="8" t="s">
        <v>69</v>
      </c>
      <c r="O15" s="10" t="s">
        <v>65</v>
      </c>
      <c r="P15" s="10" t="s">
        <v>70</v>
      </c>
      <c r="Q15" s="8">
        <v>0.37</v>
      </c>
      <c r="R15" s="8" t="s">
        <v>71</v>
      </c>
      <c r="S15" s="31">
        <v>14.8</v>
      </c>
      <c r="T15" s="79">
        <f t="shared" si="10"/>
        <v>1.7203401600000001E-2</v>
      </c>
      <c r="U15" s="22">
        <v>16</v>
      </c>
      <c r="V15" s="22">
        <v>70</v>
      </c>
      <c r="W15" s="10">
        <f t="shared" si="3"/>
        <v>1.2217304763960306</v>
      </c>
      <c r="X15" s="8">
        <v>8</v>
      </c>
      <c r="Y15" s="22">
        <v>1</v>
      </c>
      <c r="Z15" s="10">
        <f t="shared" si="4"/>
        <v>1.7453292519943295E-2</v>
      </c>
      <c r="AA15" s="10">
        <f t="shared" si="5"/>
        <v>15.1747011840728</v>
      </c>
      <c r="AB15" s="10">
        <f t="shared" si="6"/>
        <v>62.275368461092469</v>
      </c>
      <c r="AC15" s="10">
        <f t="shared" si="11"/>
        <v>7.7844210576365587</v>
      </c>
      <c r="AD15" s="10">
        <f t="shared" si="7"/>
        <v>31.137684230546235</v>
      </c>
      <c r="AE15" s="65"/>
      <c r="AF15" s="10">
        <f t="shared" si="8"/>
        <v>57.704938931876811</v>
      </c>
      <c r="AG15" s="8">
        <f t="shared" si="12"/>
        <v>11.252463091715978</v>
      </c>
      <c r="AH15" s="10">
        <f t="shared" si="13"/>
        <v>28.852469465938405</v>
      </c>
      <c r="AI15" s="63"/>
      <c r="AJ15" s="10">
        <f t="shared" si="9"/>
        <v>80.482200000000006</v>
      </c>
      <c r="AK15" s="8"/>
      <c r="AL15" s="8">
        <f t="shared" si="14"/>
        <v>40.241100000000003</v>
      </c>
    </row>
    <row r="16" spans="1:38">
      <c r="A16" s="18">
        <v>41473</v>
      </c>
      <c r="B16" s="19" t="s">
        <v>141</v>
      </c>
      <c r="C16" s="12">
        <v>50.1</v>
      </c>
      <c r="D16" s="19" t="s">
        <v>80</v>
      </c>
      <c r="E16">
        <v>8.4082600000000003</v>
      </c>
      <c r="F16">
        <v>83.313869999999994</v>
      </c>
      <c r="G16" s="8">
        <v>50</v>
      </c>
      <c r="H16" s="8">
        <v>25</v>
      </c>
      <c r="I16" s="10">
        <f t="shared" si="0"/>
        <v>3.9163173646459399</v>
      </c>
      <c r="J16" s="10">
        <f t="shared" si="1"/>
        <v>6.8352632566099025E-2</v>
      </c>
      <c r="K16" s="10">
        <f t="shared" si="2"/>
        <v>21.049152545814849</v>
      </c>
      <c r="L16" s="22">
        <v>642</v>
      </c>
      <c r="M16" s="22" t="s">
        <v>54</v>
      </c>
      <c r="N16" s="8" t="s">
        <v>55</v>
      </c>
      <c r="O16" s="10" t="s">
        <v>56</v>
      </c>
      <c r="P16" s="10" t="s">
        <v>57</v>
      </c>
      <c r="Q16" s="11">
        <v>0.315</v>
      </c>
      <c r="R16" s="12" t="s">
        <v>66</v>
      </c>
      <c r="S16" s="31">
        <v>17.600000000000001</v>
      </c>
      <c r="T16" s="79">
        <f t="shared" si="10"/>
        <v>2.4328550400000006E-2</v>
      </c>
      <c r="U16" s="22">
        <v>20</v>
      </c>
      <c r="V16" s="22">
        <v>65</v>
      </c>
      <c r="W16" s="10">
        <f t="shared" si="3"/>
        <v>1.1344640137963142</v>
      </c>
      <c r="X16" s="8">
        <v>9</v>
      </c>
      <c r="Y16" s="22">
        <v>0</v>
      </c>
      <c r="Z16" s="10">
        <f t="shared" si="4"/>
        <v>0</v>
      </c>
      <c r="AA16" s="10">
        <f t="shared" si="5"/>
        <v>18.126155740732997</v>
      </c>
      <c r="AB16" s="10">
        <f t="shared" si="6"/>
        <v>87.628387896764636</v>
      </c>
      <c r="AC16" s="10">
        <f t="shared" si="11"/>
        <v>10.953548487095579</v>
      </c>
      <c r="AD16" s="10">
        <f t="shared" si="7"/>
        <v>43.814193948382318</v>
      </c>
      <c r="AE16" s="65"/>
      <c r="AF16" s="10">
        <f t="shared" si="8"/>
        <v>75.488212317950072</v>
      </c>
      <c r="AG16" s="8">
        <f t="shared" si="12"/>
        <v>14.720201402000265</v>
      </c>
      <c r="AH16" s="10">
        <f t="shared" si="13"/>
        <v>37.744106158975036</v>
      </c>
      <c r="AI16" s="63"/>
      <c r="AJ16" s="10">
        <f t="shared" si="9"/>
        <v>128.14660000000001</v>
      </c>
      <c r="AK16" s="8"/>
      <c r="AL16" s="8">
        <f t="shared" si="14"/>
        <v>64.073300000000003</v>
      </c>
    </row>
    <row r="17" spans="1:38">
      <c r="A17" s="18">
        <v>41473</v>
      </c>
      <c r="B17" s="19" t="s">
        <v>141</v>
      </c>
      <c r="C17" s="12">
        <v>50.1</v>
      </c>
      <c r="D17" s="19" t="s">
        <v>80</v>
      </c>
      <c r="E17">
        <v>8.4082600000000003</v>
      </c>
      <c r="F17">
        <v>83.313869999999994</v>
      </c>
      <c r="G17" s="8">
        <v>50</v>
      </c>
      <c r="H17" s="8">
        <v>25</v>
      </c>
      <c r="I17" s="10">
        <f t="shared" si="0"/>
        <v>3.9163173646459399</v>
      </c>
      <c r="J17" s="10">
        <f t="shared" si="1"/>
        <v>6.8352632566099025E-2</v>
      </c>
      <c r="K17" s="10">
        <f t="shared" si="2"/>
        <v>21.049152545814849</v>
      </c>
      <c r="L17" s="22">
        <v>614</v>
      </c>
      <c r="M17" s="22" t="s">
        <v>39</v>
      </c>
      <c r="N17" s="8" t="s">
        <v>69</v>
      </c>
      <c r="O17" s="10" t="s">
        <v>65</v>
      </c>
      <c r="P17" s="10" t="s">
        <v>70</v>
      </c>
      <c r="Q17" s="8">
        <v>0.37</v>
      </c>
      <c r="R17" s="8" t="s">
        <v>71</v>
      </c>
      <c r="S17" s="31">
        <v>35.5</v>
      </c>
      <c r="T17" s="79">
        <f t="shared" si="10"/>
        <v>9.8980035000000008E-2</v>
      </c>
      <c r="U17" s="22">
        <v>20</v>
      </c>
      <c r="V17" s="22">
        <v>67</v>
      </c>
      <c r="W17" s="10">
        <f t="shared" si="3"/>
        <v>1.1693705988362009</v>
      </c>
      <c r="X17" s="8">
        <v>9</v>
      </c>
      <c r="Y17" s="22">
        <v>-1</v>
      </c>
      <c r="Z17" s="10">
        <f t="shared" si="4"/>
        <v>-1.7453292519943295E-2</v>
      </c>
      <c r="AA17" s="10">
        <f t="shared" si="5"/>
        <v>18.253025411113253</v>
      </c>
      <c r="AB17" s="10">
        <f t="shared" si="6"/>
        <v>383.75620661298404</v>
      </c>
      <c r="AC17" s="10">
        <f t="shared" si="11"/>
        <v>47.969525826623006</v>
      </c>
      <c r="AD17" s="10">
        <f t="shared" si="7"/>
        <v>191.87810330649202</v>
      </c>
      <c r="AE17" s="65"/>
      <c r="AF17" s="10">
        <f t="shared" si="8"/>
        <v>489.7514488752546</v>
      </c>
      <c r="AG17" s="8">
        <f t="shared" si="12"/>
        <v>95.501532530674652</v>
      </c>
      <c r="AH17" s="10">
        <f t="shared" si="13"/>
        <v>244.8757244376273</v>
      </c>
      <c r="AI17" s="63"/>
      <c r="AJ17" s="10">
        <f t="shared" si="9"/>
        <v>707.05050000000006</v>
      </c>
      <c r="AK17" s="8"/>
      <c r="AL17" s="8">
        <f t="shared" si="14"/>
        <v>353.52525000000003</v>
      </c>
    </row>
    <row r="18" spans="1:38">
      <c r="A18" s="18">
        <v>41473</v>
      </c>
      <c r="B18" s="19" t="s">
        <v>141</v>
      </c>
      <c r="C18" s="12">
        <v>50.1</v>
      </c>
      <c r="D18" s="19" t="s">
        <v>80</v>
      </c>
      <c r="E18">
        <v>8.4082600000000003</v>
      </c>
      <c r="F18">
        <v>83.313869999999994</v>
      </c>
      <c r="G18" s="8">
        <v>50</v>
      </c>
      <c r="H18" s="8">
        <v>25</v>
      </c>
      <c r="I18" s="10">
        <f t="shared" si="0"/>
        <v>3.9163173646459399</v>
      </c>
      <c r="J18" s="10">
        <f t="shared" si="1"/>
        <v>6.8352632566099025E-2</v>
      </c>
      <c r="K18" s="10">
        <f t="shared" si="2"/>
        <v>21.049152545814849</v>
      </c>
      <c r="L18" s="22">
        <v>779</v>
      </c>
      <c r="M18" s="22" t="s">
        <v>39</v>
      </c>
      <c r="N18" s="8" t="s">
        <v>69</v>
      </c>
      <c r="O18" s="10" t="s">
        <v>65</v>
      </c>
      <c r="P18" s="10" t="s">
        <v>70</v>
      </c>
      <c r="Q18" s="8">
        <v>0.37</v>
      </c>
      <c r="R18" s="8" t="s">
        <v>71</v>
      </c>
      <c r="S18" s="31">
        <v>26.6</v>
      </c>
      <c r="T18" s="79">
        <f t="shared" si="10"/>
        <v>5.5571762400000009E-2</v>
      </c>
      <c r="U18" s="22">
        <v>26</v>
      </c>
      <c r="V18" s="22">
        <v>62</v>
      </c>
      <c r="W18" s="10">
        <f t="shared" si="3"/>
        <v>1.0821041362364843</v>
      </c>
      <c r="X18" s="8">
        <v>11</v>
      </c>
      <c r="Y18" s="22">
        <v>-2</v>
      </c>
      <c r="Z18" s="10">
        <f t="shared" si="4"/>
        <v>-3.4906585039886591E-2</v>
      </c>
      <c r="AA18" s="10">
        <f t="shared" si="5"/>
        <v>22.572742950604589</v>
      </c>
      <c r="AB18" s="10">
        <f t="shared" si="6"/>
        <v>272.3441773619677</v>
      </c>
      <c r="AC18" s="10">
        <f t="shared" si="11"/>
        <v>34.043022170245962</v>
      </c>
      <c r="AD18" s="10">
        <f t="shared" si="7"/>
        <v>136.17208868098385</v>
      </c>
      <c r="AE18" s="65"/>
      <c r="AF18" s="10">
        <f t="shared" si="8"/>
        <v>244.39149113040955</v>
      </c>
      <c r="AG18" s="8">
        <f t="shared" si="12"/>
        <v>47.656340770429864</v>
      </c>
      <c r="AH18" s="10">
        <f t="shared" si="13"/>
        <v>122.19574556520477</v>
      </c>
      <c r="AI18" s="63"/>
      <c r="AJ18" s="10">
        <f t="shared" si="9"/>
        <v>359.94160000000005</v>
      </c>
      <c r="AK18" s="8"/>
      <c r="AL18" s="8">
        <f t="shared" si="14"/>
        <v>179.97080000000003</v>
      </c>
    </row>
    <row r="19" spans="1:38">
      <c r="A19" s="18">
        <v>41473</v>
      </c>
      <c r="B19" s="19" t="s">
        <v>141</v>
      </c>
      <c r="C19" s="12">
        <v>50.1</v>
      </c>
      <c r="D19" s="19" t="s">
        <v>80</v>
      </c>
      <c r="E19">
        <v>8.4082600000000003</v>
      </c>
      <c r="F19">
        <v>83.313869999999994</v>
      </c>
      <c r="G19" s="8">
        <v>50</v>
      </c>
      <c r="H19" s="8">
        <v>25</v>
      </c>
      <c r="I19" s="10">
        <f t="shared" si="0"/>
        <v>3.9163173646459399</v>
      </c>
      <c r="J19" s="10">
        <f t="shared" si="1"/>
        <v>6.8352632566099025E-2</v>
      </c>
      <c r="K19" s="10">
        <f t="shared" si="2"/>
        <v>21.049152545814849</v>
      </c>
      <c r="L19" s="22">
        <v>673</v>
      </c>
      <c r="M19" s="22" t="s">
        <v>54</v>
      </c>
      <c r="N19" s="8" t="s">
        <v>55</v>
      </c>
      <c r="O19" s="10" t="s">
        <v>56</v>
      </c>
      <c r="P19" s="10" t="s">
        <v>57</v>
      </c>
      <c r="Q19" s="11">
        <v>0.315</v>
      </c>
      <c r="R19" s="12" t="s">
        <v>66</v>
      </c>
      <c r="S19" s="30">
        <v>26</v>
      </c>
      <c r="T19" s="79">
        <f t="shared" si="10"/>
        <v>5.3093040000000001E-2</v>
      </c>
      <c r="U19" s="22">
        <v>19</v>
      </c>
      <c r="V19" s="22">
        <v>72</v>
      </c>
      <c r="W19" s="10">
        <f t="shared" si="3"/>
        <v>1.2566370614359172</v>
      </c>
      <c r="X19" s="8">
        <v>5</v>
      </c>
      <c r="Y19" s="22">
        <v>-2</v>
      </c>
      <c r="Z19" s="10">
        <f t="shared" si="4"/>
        <v>-3.4906585039886591E-2</v>
      </c>
      <c r="AA19" s="10">
        <f t="shared" si="5"/>
        <v>17.895576326095412</v>
      </c>
      <c r="AB19" s="10">
        <f t="shared" si="6"/>
        <v>180.30363568411266</v>
      </c>
      <c r="AC19" s="10">
        <f t="shared" si="11"/>
        <v>22.537954460514083</v>
      </c>
      <c r="AD19" s="10">
        <f t="shared" si="7"/>
        <v>90.151817842056332</v>
      </c>
      <c r="AE19" s="65"/>
      <c r="AF19" s="10">
        <f t="shared" si="8"/>
        <v>196.83107427271787</v>
      </c>
      <c r="AG19" s="8">
        <f t="shared" si="12"/>
        <v>38.382059483179987</v>
      </c>
      <c r="AH19" s="10">
        <f t="shared" si="13"/>
        <v>98.415537136358935</v>
      </c>
      <c r="AI19" s="63"/>
      <c r="AJ19" s="10">
        <f t="shared" si="9"/>
        <v>340.75900000000001</v>
      </c>
      <c r="AK19" s="8"/>
      <c r="AL19" s="8">
        <f t="shared" si="14"/>
        <v>170.37950000000001</v>
      </c>
    </row>
    <row r="20" spans="1:38">
      <c r="A20" s="18">
        <v>41473</v>
      </c>
      <c r="B20" s="19" t="s">
        <v>141</v>
      </c>
      <c r="C20" s="12">
        <v>50.1</v>
      </c>
      <c r="D20" s="19" t="s">
        <v>80</v>
      </c>
      <c r="E20">
        <v>8.4082600000000003</v>
      </c>
      <c r="F20">
        <v>83.313869999999994</v>
      </c>
      <c r="G20" s="8">
        <v>50</v>
      </c>
      <c r="H20" s="8">
        <v>25</v>
      </c>
      <c r="I20" s="10">
        <f t="shared" si="0"/>
        <v>3.9163173646459399</v>
      </c>
      <c r="J20" s="10">
        <f t="shared" si="1"/>
        <v>6.8352632566099025E-2</v>
      </c>
      <c r="K20" s="10">
        <f t="shared" si="2"/>
        <v>21.049152545814849</v>
      </c>
      <c r="L20" s="22">
        <v>734</v>
      </c>
      <c r="M20" s="22" t="s">
        <v>47</v>
      </c>
      <c r="N20" s="8" t="s">
        <v>48</v>
      </c>
      <c r="O20" s="10" t="s">
        <v>49</v>
      </c>
      <c r="P20" s="10" t="s">
        <v>50</v>
      </c>
      <c r="Q20" s="20">
        <v>0.75</v>
      </c>
      <c r="R20" s="8" t="s">
        <v>67</v>
      </c>
      <c r="S20" s="30">
        <v>7</v>
      </c>
      <c r="T20" s="79">
        <f t="shared" si="10"/>
        <v>3.8484600000000002E-3</v>
      </c>
      <c r="U20" s="22">
        <v>12</v>
      </c>
      <c r="V20" s="22">
        <v>45</v>
      </c>
      <c r="W20" s="10">
        <f t="shared" si="3"/>
        <v>0.78539816339744828</v>
      </c>
      <c r="X20" s="8">
        <v>6</v>
      </c>
      <c r="Y20" s="22">
        <v>-3</v>
      </c>
      <c r="Z20" s="10">
        <f t="shared" si="4"/>
        <v>-5.235987755982989E-2</v>
      </c>
      <c r="AA20" s="10">
        <f t="shared" si="5"/>
        <v>8.1712656367809071</v>
      </c>
      <c r="AB20" s="10">
        <f t="shared" si="6"/>
        <v>16.548384128704985</v>
      </c>
      <c r="AC20" s="10">
        <f t="shared" si="11"/>
        <v>2.0685480160881231</v>
      </c>
      <c r="AD20" s="10">
        <f t="shared" si="7"/>
        <v>8.2741920643524924</v>
      </c>
      <c r="AE20" s="65"/>
      <c r="AF20" s="10">
        <f t="shared" si="8"/>
        <v>18.228558598957047</v>
      </c>
      <c r="AG20" s="8">
        <f t="shared" si="12"/>
        <v>3.5545689267966245</v>
      </c>
      <c r="AH20" s="10">
        <f t="shared" si="13"/>
        <v>9.1142792994785236</v>
      </c>
      <c r="AI20" s="63"/>
      <c r="AJ20" s="10">
        <f t="shared" si="9"/>
        <v>8.8859999999999992</v>
      </c>
      <c r="AK20" s="8"/>
      <c r="AL20" s="8">
        <f t="shared" si="14"/>
        <v>4.4429999999999996</v>
      </c>
    </row>
    <row r="21" spans="1:38">
      <c r="A21" s="18">
        <v>41473</v>
      </c>
      <c r="B21" s="19" t="s">
        <v>141</v>
      </c>
      <c r="C21" s="12">
        <v>50.1</v>
      </c>
      <c r="D21" s="19" t="s">
        <v>80</v>
      </c>
      <c r="E21">
        <v>8.4082600000000003</v>
      </c>
      <c r="F21">
        <v>83.313869999999994</v>
      </c>
      <c r="G21" s="8">
        <v>50</v>
      </c>
      <c r="H21" s="8">
        <v>25</v>
      </c>
      <c r="I21" s="10">
        <f t="shared" si="0"/>
        <v>3.9163173646459399</v>
      </c>
      <c r="J21" s="10">
        <f t="shared" si="1"/>
        <v>6.8352632566099025E-2</v>
      </c>
      <c r="K21" s="10">
        <f t="shared" si="2"/>
        <v>21.049152545814849</v>
      </c>
      <c r="L21" s="22">
        <v>622</v>
      </c>
      <c r="M21" s="22" t="s">
        <v>47</v>
      </c>
      <c r="N21" s="8" t="s">
        <v>48</v>
      </c>
      <c r="O21" s="10" t="s">
        <v>49</v>
      </c>
      <c r="P21" s="10" t="s">
        <v>50</v>
      </c>
      <c r="Q21" s="20">
        <v>0.75</v>
      </c>
      <c r="R21" s="8" t="s">
        <v>67</v>
      </c>
      <c r="S21" s="31">
        <v>8.3000000000000007</v>
      </c>
      <c r="T21" s="79">
        <f t="shared" si="10"/>
        <v>5.4106206000000016E-3</v>
      </c>
      <c r="U21" s="22">
        <v>13</v>
      </c>
      <c r="V21" s="22">
        <v>45</v>
      </c>
      <c r="W21" s="10">
        <f t="shared" si="3"/>
        <v>0.78539816339744828</v>
      </c>
      <c r="X21" s="8">
        <v>6</v>
      </c>
      <c r="Y21" s="22">
        <v>-3</v>
      </c>
      <c r="Z21" s="10">
        <f t="shared" si="4"/>
        <v>-5.235987755982989E-2</v>
      </c>
      <c r="AA21" s="10">
        <f t="shared" si="5"/>
        <v>8.878372417967455</v>
      </c>
      <c r="AB21" s="10">
        <f t="shared" si="6"/>
        <v>24.644469804943174</v>
      </c>
      <c r="AC21" s="10">
        <f t="shared" si="11"/>
        <v>3.0805587256178968</v>
      </c>
      <c r="AD21" s="10">
        <f t="shared" si="7"/>
        <v>12.322234902471587</v>
      </c>
      <c r="AE21" s="65"/>
      <c r="AF21" s="10">
        <f t="shared" si="8"/>
        <v>27.777793071567885</v>
      </c>
      <c r="AG21" s="8">
        <f t="shared" si="12"/>
        <v>5.4166696489557378</v>
      </c>
      <c r="AH21" s="10">
        <f t="shared" si="13"/>
        <v>13.888896535783942</v>
      </c>
      <c r="AI21" s="63"/>
      <c r="AJ21" s="10">
        <f t="shared" si="9"/>
        <v>14.5657</v>
      </c>
      <c r="AK21" s="8"/>
      <c r="AL21" s="8">
        <f t="shared" si="14"/>
        <v>7.2828499999999998</v>
      </c>
    </row>
    <row r="22" spans="1:38">
      <c r="A22" s="18">
        <v>41473</v>
      </c>
      <c r="B22" s="19" t="s">
        <v>141</v>
      </c>
      <c r="C22" s="12">
        <v>50.1</v>
      </c>
      <c r="D22" s="19" t="s">
        <v>80</v>
      </c>
      <c r="E22">
        <v>8.4082600000000003</v>
      </c>
      <c r="F22">
        <v>83.313869999999994</v>
      </c>
      <c r="G22" s="8">
        <v>50</v>
      </c>
      <c r="H22" s="8">
        <v>25</v>
      </c>
      <c r="I22" s="10">
        <f t="shared" si="0"/>
        <v>3.9163173646459399</v>
      </c>
      <c r="J22" s="10">
        <f t="shared" si="1"/>
        <v>6.8352632566099025E-2</v>
      </c>
      <c r="K22" s="10">
        <f t="shared" si="2"/>
        <v>21.049152545814849</v>
      </c>
      <c r="L22" s="22">
        <v>644</v>
      </c>
      <c r="M22" s="22" t="s">
        <v>47</v>
      </c>
      <c r="N22" s="8" t="s">
        <v>48</v>
      </c>
      <c r="O22" s="10" t="s">
        <v>49</v>
      </c>
      <c r="P22" s="10" t="s">
        <v>50</v>
      </c>
      <c r="Q22" s="20">
        <v>0.75</v>
      </c>
      <c r="R22" s="8" t="s">
        <v>67</v>
      </c>
      <c r="S22" s="30">
        <v>8</v>
      </c>
      <c r="T22" s="79">
        <f t="shared" si="10"/>
        <v>5.0265600000000002E-3</v>
      </c>
      <c r="U22" s="22">
        <v>12</v>
      </c>
      <c r="V22" s="22">
        <v>45</v>
      </c>
      <c r="W22" s="10">
        <f t="shared" si="3"/>
        <v>0.78539816339744828</v>
      </c>
      <c r="X22" s="8">
        <v>6</v>
      </c>
      <c r="Y22" s="22">
        <v>-3</v>
      </c>
      <c r="Z22" s="10">
        <f t="shared" si="4"/>
        <v>-5.235987755982989E-2</v>
      </c>
      <c r="AA22" s="10">
        <f t="shared" si="5"/>
        <v>8.1712656367809071</v>
      </c>
      <c r="AB22" s="10">
        <f t="shared" si="6"/>
        <v>21.27063492430559</v>
      </c>
      <c r="AC22" s="10">
        <f t="shared" si="11"/>
        <v>2.6588293655381987</v>
      </c>
      <c r="AD22" s="10">
        <f t="shared" si="7"/>
        <v>10.635317462152795</v>
      </c>
      <c r="AE22" s="65"/>
      <c r="AF22" s="10">
        <f t="shared" si="8"/>
        <v>25.356379154094324</v>
      </c>
      <c r="AG22" s="8">
        <f t="shared" si="12"/>
        <v>4.944493935048393</v>
      </c>
      <c r="AH22" s="10">
        <f t="shared" si="13"/>
        <v>12.678189577047162</v>
      </c>
      <c r="AI22" s="63"/>
      <c r="AJ22" s="10">
        <f t="shared" si="9"/>
        <v>13.033000000000001</v>
      </c>
      <c r="AK22" s="8"/>
      <c r="AL22" s="8">
        <f t="shared" si="14"/>
        <v>6.5165000000000006</v>
      </c>
    </row>
    <row r="23" spans="1:38">
      <c r="A23" s="18">
        <v>41473</v>
      </c>
      <c r="B23" s="19" t="s">
        <v>141</v>
      </c>
      <c r="C23" s="12">
        <v>50.1</v>
      </c>
      <c r="D23" s="19" t="s">
        <v>80</v>
      </c>
      <c r="E23">
        <v>8.4082600000000003</v>
      </c>
      <c r="F23">
        <v>83.313869999999994</v>
      </c>
      <c r="G23" s="8">
        <v>50</v>
      </c>
      <c r="H23" s="8">
        <v>25</v>
      </c>
      <c r="I23" s="10">
        <f t="shared" si="0"/>
        <v>3.9163173646459399</v>
      </c>
      <c r="J23" s="10">
        <f t="shared" si="1"/>
        <v>6.8352632566099025E-2</v>
      </c>
      <c r="K23" s="10">
        <f t="shared" si="2"/>
        <v>21.049152545814849</v>
      </c>
      <c r="L23" s="22">
        <v>757</v>
      </c>
      <c r="M23" s="22" t="s">
        <v>39</v>
      </c>
      <c r="N23" s="8" t="s">
        <v>69</v>
      </c>
      <c r="O23" s="10" t="s">
        <v>65</v>
      </c>
      <c r="P23" s="10" t="s">
        <v>70</v>
      </c>
      <c r="Q23" s="8">
        <v>0.37</v>
      </c>
      <c r="R23" s="8" t="s">
        <v>71</v>
      </c>
      <c r="S23" s="30">
        <v>43.5</v>
      </c>
      <c r="T23" s="79">
        <f t="shared" si="10"/>
        <v>0.148617315</v>
      </c>
      <c r="U23" s="22">
        <v>17</v>
      </c>
      <c r="V23" s="22">
        <v>77</v>
      </c>
      <c r="W23" s="10">
        <f t="shared" si="3"/>
        <v>1.3439035240356338</v>
      </c>
      <c r="X23" s="8">
        <v>6</v>
      </c>
      <c r="Y23" s="22">
        <v>-9</v>
      </c>
      <c r="Z23" s="10">
        <f t="shared" si="4"/>
        <v>-0.15707963267948966</v>
      </c>
      <c r="AA23" s="10">
        <f t="shared" si="5"/>
        <v>15.625684311107614</v>
      </c>
      <c r="AB23" s="10">
        <f t="shared" si="6"/>
        <v>485.89211128791209</v>
      </c>
      <c r="AC23" s="10">
        <f t="shared" si="11"/>
        <v>60.736513910989011</v>
      </c>
      <c r="AD23" s="10">
        <f t="shared" si="7"/>
        <v>242.94605564395604</v>
      </c>
      <c r="AE23" s="65"/>
      <c r="AF23" s="10">
        <f t="shared" si="8"/>
        <v>791.72416724362711</v>
      </c>
      <c r="AG23" s="8">
        <f t="shared" si="12"/>
        <v>154.38621261250728</v>
      </c>
      <c r="AH23" s="10">
        <f t="shared" si="13"/>
        <v>395.86208362181355</v>
      </c>
      <c r="AI23" s="63"/>
      <c r="AJ23" s="10">
        <f t="shared" si="9"/>
        <v>1119.1064999999999</v>
      </c>
      <c r="AK23" s="8"/>
      <c r="AL23" s="8">
        <f t="shared" si="14"/>
        <v>559.55324999999993</v>
      </c>
    </row>
    <row r="24" spans="1:38">
      <c r="A24" s="18">
        <v>41473</v>
      </c>
      <c r="B24" s="19" t="s">
        <v>141</v>
      </c>
      <c r="C24" s="12">
        <v>50.1</v>
      </c>
      <c r="D24" s="19" t="s">
        <v>80</v>
      </c>
      <c r="E24">
        <v>8.4082600000000003</v>
      </c>
      <c r="F24">
        <v>83.313869999999994</v>
      </c>
      <c r="G24" s="8">
        <v>50</v>
      </c>
      <c r="H24" s="8">
        <v>25</v>
      </c>
      <c r="I24" s="10">
        <f t="shared" si="0"/>
        <v>3.9163173646459399</v>
      </c>
      <c r="J24" s="10">
        <f t="shared" si="1"/>
        <v>6.8352632566099025E-2</v>
      </c>
      <c r="K24" s="10">
        <f t="shared" si="2"/>
        <v>21.049152545814849</v>
      </c>
      <c r="L24" s="22">
        <v>629</v>
      </c>
      <c r="M24" s="22" t="s">
        <v>39</v>
      </c>
      <c r="N24" s="8" t="s">
        <v>69</v>
      </c>
      <c r="O24" s="10" t="s">
        <v>65</v>
      </c>
      <c r="P24" s="10" t="s">
        <v>70</v>
      </c>
      <c r="Q24" s="8">
        <v>0.37</v>
      </c>
      <c r="R24" s="8" t="s">
        <v>71</v>
      </c>
      <c r="S24" s="30">
        <v>9</v>
      </c>
      <c r="T24" s="79">
        <f t="shared" si="10"/>
        <v>6.3617400000000003E-3</v>
      </c>
      <c r="U24" s="22">
        <v>12</v>
      </c>
      <c r="V24" s="22">
        <v>74</v>
      </c>
      <c r="W24" s="10">
        <f t="shared" si="3"/>
        <v>1.2915436464758039</v>
      </c>
      <c r="X24" s="8">
        <v>5</v>
      </c>
      <c r="Y24" s="22">
        <v>-1</v>
      </c>
      <c r="Z24" s="10">
        <f t="shared" si="4"/>
        <v>-1.7453292519943295E-2</v>
      </c>
      <c r="AA24" s="10">
        <f t="shared" si="5"/>
        <v>11.447878319073409</v>
      </c>
      <c r="AB24" s="10">
        <f t="shared" si="6"/>
        <v>18.756368818296064</v>
      </c>
      <c r="AC24" s="10">
        <f t="shared" si="11"/>
        <v>2.344546102287008</v>
      </c>
      <c r="AD24" s="10">
        <f t="shared" si="7"/>
        <v>9.378184409148032</v>
      </c>
      <c r="AE24" s="65"/>
      <c r="AF24" s="10">
        <f t="shared" si="8"/>
        <v>16.752178459439236</v>
      </c>
      <c r="AG24" s="8">
        <f t="shared" si="12"/>
        <v>3.2666747995906511</v>
      </c>
      <c r="AH24" s="10">
        <f t="shared" si="13"/>
        <v>8.3760892297196179</v>
      </c>
      <c r="AI24" s="63"/>
      <c r="AJ24" s="10">
        <f t="shared" si="9"/>
        <v>18.659999999999997</v>
      </c>
      <c r="AK24" s="8"/>
      <c r="AL24" s="8">
        <f t="shared" si="14"/>
        <v>9.3299999999999983</v>
      </c>
    </row>
    <row r="25" spans="1:38">
      <c r="A25" s="18">
        <v>41473</v>
      </c>
      <c r="B25" s="19" t="s">
        <v>141</v>
      </c>
      <c r="C25" s="12">
        <v>50.1</v>
      </c>
      <c r="D25" s="19" t="s">
        <v>80</v>
      </c>
      <c r="E25">
        <v>8.4082600000000003</v>
      </c>
      <c r="F25">
        <v>83.313869999999994</v>
      </c>
      <c r="G25" s="8">
        <v>50</v>
      </c>
      <c r="H25" s="8">
        <v>25</v>
      </c>
      <c r="I25" s="10">
        <f t="shared" si="0"/>
        <v>3.9163173646459399</v>
      </c>
      <c r="J25" s="10">
        <f t="shared" si="1"/>
        <v>6.8352632566099025E-2</v>
      </c>
      <c r="K25" s="10">
        <f t="shared" si="2"/>
        <v>21.049152545814849</v>
      </c>
      <c r="L25" s="22">
        <v>651</v>
      </c>
      <c r="M25" s="22" t="s">
        <v>39</v>
      </c>
      <c r="N25" s="8" t="s">
        <v>69</v>
      </c>
      <c r="O25" s="10" t="s">
        <v>65</v>
      </c>
      <c r="P25" s="10" t="s">
        <v>70</v>
      </c>
      <c r="Q25" s="8">
        <v>0.37</v>
      </c>
      <c r="R25" s="8" t="s">
        <v>71</v>
      </c>
      <c r="S25" s="30">
        <v>7.7</v>
      </c>
      <c r="T25" s="79">
        <f t="shared" si="10"/>
        <v>4.6566366000000007E-3</v>
      </c>
      <c r="U25" s="22">
        <v>13</v>
      </c>
      <c r="V25" s="22">
        <v>66</v>
      </c>
      <c r="W25" s="10">
        <f t="shared" si="3"/>
        <v>1.1519173063162575</v>
      </c>
      <c r="X25" s="8">
        <v>5</v>
      </c>
      <c r="Y25" s="22">
        <v>0</v>
      </c>
      <c r="Z25" s="10">
        <f t="shared" si="4"/>
        <v>0</v>
      </c>
      <c r="AA25" s="10">
        <f t="shared" si="5"/>
        <v>11.876090949353811</v>
      </c>
      <c r="AB25" s="10">
        <f t="shared" si="6"/>
        <v>14.479948230839936</v>
      </c>
      <c r="AC25" s="10">
        <f t="shared" si="11"/>
        <v>1.809993528854992</v>
      </c>
      <c r="AD25" s="10">
        <f t="shared" si="7"/>
        <v>7.2399741154199679</v>
      </c>
      <c r="AE25" s="65"/>
      <c r="AF25" s="10">
        <f t="shared" si="8"/>
        <v>11.380008699664662</v>
      </c>
      <c r="AG25" s="8">
        <f t="shared" si="12"/>
        <v>2.2191016964346093</v>
      </c>
      <c r="AH25" s="10">
        <f t="shared" si="13"/>
        <v>5.6900043498323312</v>
      </c>
      <c r="AI25" s="63"/>
      <c r="AJ25" s="10">
        <f t="shared" si="9"/>
        <v>11.633499999999998</v>
      </c>
      <c r="AK25" s="8"/>
      <c r="AL25" s="8">
        <f t="shared" si="14"/>
        <v>5.816749999999999</v>
      </c>
    </row>
    <row r="26" spans="1:38">
      <c r="A26" s="18">
        <v>41473</v>
      </c>
      <c r="B26" s="19" t="s">
        <v>141</v>
      </c>
      <c r="C26" s="12">
        <v>50.1</v>
      </c>
      <c r="D26" s="19" t="s">
        <v>80</v>
      </c>
      <c r="E26">
        <v>8.4082600000000003</v>
      </c>
      <c r="F26">
        <v>83.313869999999994</v>
      </c>
      <c r="G26" s="8">
        <v>50</v>
      </c>
      <c r="H26" s="8">
        <v>25</v>
      </c>
      <c r="I26" s="10">
        <f t="shared" si="0"/>
        <v>3.9163173646459399</v>
      </c>
      <c r="J26" s="10">
        <f t="shared" si="1"/>
        <v>6.8352632566099025E-2</v>
      </c>
      <c r="K26" s="10">
        <f t="shared" si="2"/>
        <v>21.049152545814849</v>
      </c>
      <c r="L26" s="22">
        <v>681</v>
      </c>
      <c r="M26" s="22" t="s">
        <v>39</v>
      </c>
      <c r="N26" s="8" t="s">
        <v>69</v>
      </c>
      <c r="O26" s="10" t="s">
        <v>65</v>
      </c>
      <c r="P26" s="10" t="s">
        <v>70</v>
      </c>
      <c r="Q26" s="8">
        <v>0.37</v>
      </c>
      <c r="R26" s="8" t="s">
        <v>71</v>
      </c>
      <c r="S26" s="30">
        <v>15.3</v>
      </c>
      <c r="T26" s="79">
        <f t="shared" si="10"/>
        <v>1.8385428600000003E-2</v>
      </c>
      <c r="U26" s="22">
        <v>20</v>
      </c>
      <c r="V26" s="22">
        <v>75</v>
      </c>
      <c r="W26" s="10">
        <f t="shared" si="3"/>
        <v>1.3089969389957472</v>
      </c>
      <c r="X26" s="22">
        <v>6</v>
      </c>
      <c r="Y26" s="22">
        <v>10</v>
      </c>
      <c r="Z26" s="10">
        <f t="shared" si="4"/>
        <v>0.17453292519943295</v>
      </c>
      <c r="AA26" s="10">
        <f t="shared" si="5"/>
        <v>20.360405591782946</v>
      </c>
      <c r="AB26" s="10">
        <f t="shared" si="6"/>
        <v>87.387732674756975</v>
      </c>
      <c r="AC26" s="10">
        <f t="shared" si="11"/>
        <v>10.923466584344622</v>
      </c>
      <c r="AD26" s="10">
        <f t="shared" si="7"/>
        <v>43.693866337378488</v>
      </c>
      <c r="AE26" s="65"/>
      <c r="AF26" s="10">
        <f t="shared" si="8"/>
        <v>62.666965974082792</v>
      </c>
      <c r="AG26" s="8">
        <f t="shared" si="12"/>
        <v>12.220058364946144</v>
      </c>
      <c r="AH26" s="10">
        <f t="shared" si="13"/>
        <v>31.333482987041396</v>
      </c>
      <c r="AI26" s="63"/>
      <c r="AJ26" s="10">
        <f t="shared" si="9"/>
        <v>88.142700000000005</v>
      </c>
      <c r="AK26" s="8"/>
      <c r="AL26" s="8">
        <f t="shared" si="14"/>
        <v>44.071350000000002</v>
      </c>
    </row>
    <row r="27" spans="1:38">
      <c r="A27" s="18">
        <v>41473</v>
      </c>
      <c r="B27" s="19" t="s">
        <v>141</v>
      </c>
      <c r="C27" s="12">
        <v>50.1</v>
      </c>
      <c r="D27" s="19" t="s">
        <v>80</v>
      </c>
      <c r="E27">
        <v>8.4082600000000003</v>
      </c>
      <c r="F27">
        <v>83.313869999999994</v>
      </c>
      <c r="G27" s="8">
        <v>50</v>
      </c>
      <c r="H27" s="8">
        <v>25</v>
      </c>
      <c r="I27" s="10">
        <f t="shared" si="0"/>
        <v>3.9163173646459399</v>
      </c>
      <c r="J27" s="10">
        <f t="shared" si="1"/>
        <v>6.8352632566099025E-2</v>
      </c>
      <c r="K27" s="10">
        <f t="shared" si="2"/>
        <v>21.049152545814849</v>
      </c>
      <c r="L27" s="22">
        <v>624</v>
      </c>
      <c r="M27" s="22" t="s">
        <v>39</v>
      </c>
      <c r="N27" s="8" t="s">
        <v>69</v>
      </c>
      <c r="O27" s="10" t="s">
        <v>65</v>
      </c>
      <c r="P27" s="10" t="s">
        <v>70</v>
      </c>
      <c r="Q27" s="8">
        <v>0.37</v>
      </c>
      <c r="R27" s="8" t="s">
        <v>71</v>
      </c>
      <c r="S27" s="30">
        <v>8.9</v>
      </c>
      <c r="T27" s="79">
        <f t="shared" si="10"/>
        <v>6.2211534000000011E-3</v>
      </c>
      <c r="U27" s="22">
        <v>11</v>
      </c>
      <c r="V27" s="22">
        <v>49</v>
      </c>
      <c r="W27" s="10">
        <f t="shared" si="3"/>
        <v>0.85521133347722145</v>
      </c>
      <c r="X27" s="22">
        <v>6</v>
      </c>
      <c r="Y27" s="22">
        <v>-11</v>
      </c>
      <c r="Z27" s="10">
        <f t="shared" si="4"/>
        <v>-0.19198621771937624</v>
      </c>
      <c r="AA27" s="10">
        <f t="shared" si="5"/>
        <v>7.1569514101912235</v>
      </c>
      <c r="AB27" s="10">
        <f t="shared" si="6"/>
        <v>11.810517813109088</v>
      </c>
      <c r="AC27" s="10">
        <f t="shared" si="11"/>
        <v>1.4763147266386361</v>
      </c>
      <c r="AD27" s="10">
        <f t="shared" si="7"/>
        <v>5.9052589065545442</v>
      </c>
      <c r="AE27" s="65"/>
      <c r="AF27" s="10">
        <f t="shared" si="8"/>
        <v>16.293910860178588</v>
      </c>
      <c r="AG27" s="8">
        <f t="shared" si="12"/>
        <v>3.1773126177348248</v>
      </c>
      <c r="AH27" s="10">
        <f t="shared" si="13"/>
        <v>8.1469554300892941</v>
      </c>
      <c r="AI27" s="63"/>
      <c r="AJ27" s="10">
        <f t="shared" si="9"/>
        <v>18.03070000000001</v>
      </c>
      <c r="AK27" s="8"/>
      <c r="AL27" s="8">
        <f t="shared" si="14"/>
        <v>9.0153500000000051</v>
      </c>
    </row>
    <row r="28" spans="1:38">
      <c r="A28" s="18">
        <v>41473</v>
      </c>
      <c r="B28" s="19" t="s">
        <v>141</v>
      </c>
      <c r="C28" s="12">
        <v>50.1</v>
      </c>
      <c r="D28" s="19" t="s">
        <v>80</v>
      </c>
      <c r="E28">
        <v>8.4082600000000003</v>
      </c>
      <c r="F28">
        <v>83.313869999999994</v>
      </c>
      <c r="G28" s="8">
        <v>50</v>
      </c>
      <c r="H28" s="8">
        <v>25</v>
      </c>
      <c r="I28" s="10">
        <f t="shared" si="0"/>
        <v>3.9163173646459399</v>
      </c>
      <c r="J28" s="10">
        <f t="shared" si="1"/>
        <v>6.8352632566099025E-2</v>
      </c>
      <c r="K28" s="10">
        <f t="shared" si="2"/>
        <v>21.049152545814849</v>
      </c>
      <c r="L28" s="22">
        <v>628</v>
      </c>
      <c r="M28" s="22" t="s">
        <v>39</v>
      </c>
      <c r="N28" s="8" t="s">
        <v>69</v>
      </c>
      <c r="O28" s="10" t="s">
        <v>65</v>
      </c>
      <c r="P28" s="10" t="s">
        <v>70</v>
      </c>
      <c r="Q28" s="8">
        <v>0.37</v>
      </c>
      <c r="R28" s="8" t="s">
        <v>71</v>
      </c>
      <c r="S28" s="30">
        <v>23.5</v>
      </c>
      <c r="T28" s="79">
        <f t="shared" si="10"/>
        <v>4.3373715E-2</v>
      </c>
      <c r="U28" s="22">
        <v>15</v>
      </c>
      <c r="V28" s="22">
        <v>70</v>
      </c>
      <c r="W28" s="10">
        <f t="shared" si="3"/>
        <v>1.2217304763960306</v>
      </c>
      <c r="X28" s="22">
        <v>5</v>
      </c>
      <c r="Y28" s="22">
        <v>5</v>
      </c>
      <c r="Z28" s="10">
        <f t="shared" si="4"/>
        <v>8.7266462599716474E-2</v>
      </c>
      <c r="AA28" s="10">
        <f t="shared" si="5"/>
        <v>14.531168025526915</v>
      </c>
      <c r="AB28" s="10">
        <f t="shared" si="6"/>
        <v>142.60718791595787</v>
      </c>
      <c r="AC28" s="10">
        <f t="shared" si="11"/>
        <v>17.825898489494733</v>
      </c>
      <c r="AD28" s="10">
        <f t="shared" si="7"/>
        <v>71.303593957978933</v>
      </c>
      <c r="AE28" s="65"/>
      <c r="AF28" s="10">
        <f t="shared" si="8"/>
        <v>180.64733840258364</v>
      </c>
      <c r="AG28" s="8">
        <f t="shared" si="12"/>
        <v>35.226230988503815</v>
      </c>
      <c r="AH28" s="10">
        <f t="shared" si="13"/>
        <v>90.323669201291821</v>
      </c>
      <c r="AI28" s="63"/>
      <c r="AJ28" s="10">
        <f t="shared" si="9"/>
        <v>266.56650000000002</v>
      </c>
      <c r="AK28" s="8"/>
      <c r="AL28" s="8">
        <f t="shared" si="14"/>
        <v>133.28325000000001</v>
      </c>
    </row>
    <row r="29" spans="1:38">
      <c r="A29" s="18">
        <v>41473</v>
      </c>
      <c r="B29" s="19" t="s">
        <v>141</v>
      </c>
      <c r="C29" s="12">
        <v>50.1</v>
      </c>
      <c r="D29" s="19" t="s">
        <v>80</v>
      </c>
      <c r="E29">
        <v>8.4082600000000003</v>
      </c>
      <c r="F29">
        <v>83.313869999999994</v>
      </c>
      <c r="G29" s="8">
        <v>50</v>
      </c>
      <c r="H29" s="8">
        <v>25</v>
      </c>
      <c r="I29" s="10">
        <f t="shared" si="0"/>
        <v>3.9163173646459399</v>
      </c>
      <c r="J29" s="10">
        <f t="shared" si="1"/>
        <v>6.8352632566099025E-2</v>
      </c>
      <c r="K29" s="10">
        <f t="shared" si="2"/>
        <v>21.049152545814849</v>
      </c>
      <c r="L29" s="22">
        <v>687</v>
      </c>
      <c r="M29" s="22" t="s">
        <v>39</v>
      </c>
      <c r="N29" s="8" t="s">
        <v>69</v>
      </c>
      <c r="O29" s="10" t="s">
        <v>65</v>
      </c>
      <c r="P29" s="10" t="s">
        <v>70</v>
      </c>
      <c r="Q29" s="8">
        <v>0.37</v>
      </c>
      <c r="R29" s="8" t="s">
        <v>71</v>
      </c>
      <c r="S29" s="30">
        <v>5.4</v>
      </c>
      <c r="T29" s="79">
        <f t="shared" si="10"/>
        <v>2.2902264000000004E-3</v>
      </c>
      <c r="U29" s="22">
        <v>6</v>
      </c>
      <c r="V29" s="22">
        <v>25</v>
      </c>
      <c r="W29" s="10">
        <f t="shared" si="3"/>
        <v>0.43633231299858238</v>
      </c>
      <c r="X29" s="22">
        <v>5</v>
      </c>
      <c r="Y29" s="22">
        <v>31</v>
      </c>
      <c r="Z29" s="10">
        <f t="shared" si="4"/>
        <v>0.54105206811824214</v>
      </c>
      <c r="AA29" s="10">
        <f t="shared" si="5"/>
        <v>5.1108999449944674</v>
      </c>
      <c r="AB29" s="10">
        <f t="shared" si="6"/>
        <v>3.3640244727293522</v>
      </c>
      <c r="AC29" s="10">
        <f t="shared" si="11"/>
        <v>0.42050305909116903</v>
      </c>
      <c r="AD29" s="10">
        <f t="shared" si="7"/>
        <v>1.6820122363646761</v>
      </c>
      <c r="AE29" s="65"/>
      <c r="AF29" s="10">
        <f t="shared" si="8"/>
        <v>4.7576096750276804</v>
      </c>
      <c r="AG29" s="8">
        <f t="shared" si="12"/>
        <v>0.92773388663039769</v>
      </c>
      <c r="AH29" s="10">
        <f t="shared" si="13"/>
        <v>2.3788048375138402</v>
      </c>
      <c r="AI29" s="63"/>
      <c r="AJ29" s="10">
        <f t="shared" si="9"/>
        <v>5.3291999999999966</v>
      </c>
      <c r="AK29" s="8"/>
      <c r="AL29" s="8">
        <f t="shared" si="14"/>
        <v>2.6645999999999983</v>
      </c>
    </row>
    <row r="30" spans="1:38">
      <c r="A30" s="18">
        <v>41473</v>
      </c>
      <c r="B30" s="19" t="s">
        <v>141</v>
      </c>
      <c r="C30" s="12">
        <v>50.1</v>
      </c>
      <c r="D30" s="19" t="s">
        <v>80</v>
      </c>
      <c r="E30">
        <v>8.4082600000000003</v>
      </c>
      <c r="F30">
        <v>83.313869999999994</v>
      </c>
      <c r="G30" s="8">
        <v>50</v>
      </c>
      <c r="H30" s="8">
        <v>25</v>
      </c>
      <c r="I30" s="10">
        <f t="shared" si="0"/>
        <v>3.9163173646459399</v>
      </c>
      <c r="J30" s="10">
        <f t="shared" si="1"/>
        <v>6.8352632566099025E-2</v>
      </c>
      <c r="K30" s="10">
        <f t="shared" si="2"/>
        <v>21.049152545814849</v>
      </c>
      <c r="L30" s="22">
        <v>636</v>
      </c>
      <c r="M30" s="22" t="s">
        <v>39</v>
      </c>
      <c r="N30" s="8" t="s">
        <v>69</v>
      </c>
      <c r="O30" s="10" t="s">
        <v>65</v>
      </c>
      <c r="P30" s="10" t="s">
        <v>70</v>
      </c>
      <c r="Q30" s="8">
        <v>0.37</v>
      </c>
      <c r="R30" s="8" t="s">
        <v>71</v>
      </c>
      <c r="S30" s="30">
        <v>32.5</v>
      </c>
      <c r="T30" s="79">
        <f t="shared" si="10"/>
        <v>8.2957875E-2</v>
      </c>
      <c r="U30" s="22">
        <v>18</v>
      </c>
      <c r="V30" s="22">
        <v>70</v>
      </c>
      <c r="W30" s="10">
        <f t="shared" si="3"/>
        <v>1.2217304763960306</v>
      </c>
      <c r="X30" s="22">
        <v>7</v>
      </c>
      <c r="Y30" s="22">
        <v>0</v>
      </c>
      <c r="Z30" s="10">
        <f t="shared" si="4"/>
        <v>0</v>
      </c>
      <c r="AA30" s="10">
        <f t="shared" si="5"/>
        <v>16.914467174146349</v>
      </c>
      <c r="AB30" s="10">
        <f t="shared" si="6"/>
        <v>302.60415209586796</v>
      </c>
      <c r="AC30" s="10">
        <f t="shared" si="11"/>
        <v>37.825519011983495</v>
      </c>
      <c r="AD30" s="10">
        <f t="shared" si="7"/>
        <v>151.30207604793398</v>
      </c>
      <c r="AE30" s="65"/>
      <c r="AF30" s="10">
        <f t="shared" si="8"/>
        <v>396.51924672437872</v>
      </c>
      <c r="AG30" s="8">
        <f t="shared" si="12"/>
        <v>77.321253111253853</v>
      </c>
      <c r="AH30" s="10">
        <f t="shared" si="13"/>
        <v>198.25962336218936</v>
      </c>
      <c r="AI30" s="63"/>
      <c r="AJ30" s="10">
        <f t="shared" si="9"/>
        <v>576.94949999999994</v>
      </c>
      <c r="AK30" s="8"/>
      <c r="AL30" s="8">
        <f t="shared" si="14"/>
        <v>288.47474999999997</v>
      </c>
    </row>
    <row r="31" spans="1:38">
      <c r="A31" s="18">
        <v>41473</v>
      </c>
      <c r="B31" s="19" t="s">
        <v>141</v>
      </c>
      <c r="C31" s="12">
        <v>50.1</v>
      </c>
      <c r="D31" s="19" t="s">
        <v>80</v>
      </c>
      <c r="E31">
        <v>8.4082600000000003</v>
      </c>
      <c r="F31">
        <v>83.313869999999994</v>
      </c>
      <c r="G31" s="8">
        <v>50</v>
      </c>
      <c r="H31" s="8">
        <v>25</v>
      </c>
      <c r="I31" s="10">
        <f t="shared" si="0"/>
        <v>3.9163173646459399</v>
      </c>
      <c r="J31" s="10">
        <f t="shared" si="1"/>
        <v>6.8352632566099025E-2</v>
      </c>
      <c r="K31" s="10">
        <f t="shared" si="2"/>
        <v>21.049152545814849</v>
      </c>
      <c r="L31" s="22">
        <v>684</v>
      </c>
      <c r="M31" s="22" t="s">
        <v>39</v>
      </c>
      <c r="N31" s="8" t="s">
        <v>69</v>
      </c>
      <c r="O31" s="10" t="s">
        <v>65</v>
      </c>
      <c r="P31" s="10" t="s">
        <v>70</v>
      </c>
      <c r="Q31" s="8">
        <v>0.37</v>
      </c>
      <c r="R31" s="8" t="s">
        <v>71</v>
      </c>
      <c r="S31" s="30">
        <v>14.5</v>
      </c>
      <c r="T31" s="79">
        <f t="shared" si="10"/>
        <v>1.6513035000000002E-2</v>
      </c>
      <c r="U31" s="22">
        <v>10</v>
      </c>
      <c r="V31" s="22">
        <v>56</v>
      </c>
      <c r="W31" s="10">
        <f t="shared" si="3"/>
        <v>0.97738438111682457</v>
      </c>
      <c r="X31" s="22">
        <v>8</v>
      </c>
      <c r="Y31" s="22">
        <v>0</v>
      </c>
      <c r="Z31" s="10">
        <f t="shared" si="4"/>
        <v>0</v>
      </c>
      <c r="AA31" s="10">
        <f t="shared" si="5"/>
        <v>8.2903757255504171</v>
      </c>
      <c r="AB31" s="10">
        <f t="shared" si="6"/>
        <v>33.947120876690704</v>
      </c>
      <c r="AC31" s="10">
        <f t="shared" si="11"/>
        <v>4.243390109586338</v>
      </c>
      <c r="AD31" s="10">
        <f t="shared" si="7"/>
        <v>16.973560438345352</v>
      </c>
      <c r="AE31" s="65"/>
      <c r="AF31" s="10">
        <f t="shared" si="8"/>
        <v>54.843117197174983</v>
      </c>
      <c r="AG31" s="8">
        <f t="shared" si="12"/>
        <v>10.694407853449123</v>
      </c>
      <c r="AH31" s="10">
        <f t="shared" si="13"/>
        <v>27.421558598587492</v>
      </c>
      <c r="AI31" s="63"/>
      <c r="AJ31" s="10">
        <f t="shared" si="9"/>
        <v>76.063500000000005</v>
      </c>
      <c r="AK31" s="8"/>
      <c r="AL31" s="8">
        <f t="shared" si="14"/>
        <v>38.031750000000002</v>
      </c>
    </row>
    <row r="32" spans="1:38">
      <c r="A32" s="18">
        <v>41473</v>
      </c>
      <c r="B32" s="19" t="s">
        <v>141</v>
      </c>
      <c r="C32" s="12">
        <v>50.1</v>
      </c>
      <c r="D32" s="19" t="s">
        <v>80</v>
      </c>
      <c r="E32">
        <v>8.4082600000000003</v>
      </c>
      <c r="F32">
        <v>83.313869999999994</v>
      </c>
      <c r="G32" s="8">
        <v>50</v>
      </c>
      <c r="H32" s="8">
        <v>25</v>
      </c>
      <c r="I32" s="10">
        <f t="shared" si="0"/>
        <v>3.9163173646459399</v>
      </c>
      <c r="J32" s="10">
        <f t="shared" si="1"/>
        <v>6.8352632566099025E-2</v>
      </c>
      <c r="K32" s="10">
        <f t="shared" si="2"/>
        <v>21.049152545814849</v>
      </c>
      <c r="L32" s="22">
        <v>667</v>
      </c>
      <c r="M32" s="22" t="s">
        <v>39</v>
      </c>
      <c r="N32" s="8" t="s">
        <v>69</v>
      </c>
      <c r="O32" s="10" t="s">
        <v>65</v>
      </c>
      <c r="P32" s="10" t="s">
        <v>70</v>
      </c>
      <c r="Q32" s="8">
        <v>0.37</v>
      </c>
      <c r="R32" s="8" t="s">
        <v>71</v>
      </c>
      <c r="S32" s="30">
        <v>5.8</v>
      </c>
      <c r="T32" s="79">
        <f t="shared" si="10"/>
        <v>2.6420856E-3</v>
      </c>
      <c r="U32" s="22">
        <v>7</v>
      </c>
      <c r="V32" s="22">
        <v>32</v>
      </c>
      <c r="W32" s="10">
        <f t="shared" si="3"/>
        <v>0.55850536063818546</v>
      </c>
      <c r="X32" s="22">
        <v>5</v>
      </c>
      <c r="Y32" s="22">
        <v>15</v>
      </c>
      <c r="Z32" s="10">
        <f t="shared" si="4"/>
        <v>0.26179938779914941</v>
      </c>
      <c r="AA32" s="10">
        <f t="shared" si="5"/>
        <v>5.0035300751450382</v>
      </c>
      <c r="AB32" s="10">
        <f t="shared" si="6"/>
        <v>3.7716891590509629</v>
      </c>
      <c r="AC32" s="10">
        <f t="shared" si="11"/>
        <v>0.47146114488137036</v>
      </c>
      <c r="AD32" s="10">
        <f t="shared" si="7"/>
        <v>1.8858445795254815</v>
      </c>
      <c r="AE32" s="65"/>
      <c r="AF32" s="10">
        <f t="shared" si="8"/>
        <v>5.6650375177496333</v>
      </c>
      <c r="AG32" s="8">
        <f t="shared" si="12"/>
        <v>1.1046823159611785</v>
      </c>
      <c r="AH32" s="10">
        <f t="shared" si="13"/>
        <v>2.8325187588748166</v>
      </c>
      <c r="AI32" s="63"/>
      <c r="AJ32" s="10">
        <f t="shared" si="9"/>
        <v>5.8632000000000026</v>
      </c>
      <c r="AK32" s="8"/>
      <c r="AL32" s="8">
        <f t="shared" si="14"/>
        <v>2.9316000000000013</v>
      </c>
    </row>
    <row r="33" spans="1:38">
      <c r="A33" s="18">
        <v>41473</v>
      </c>
      <c r="B33" s="19" t="s">
        <v>141</v>
      </c>
      <c r="C33" s="12">
        <v>50.1</v>
      </c>
      <c r="D33" s="19" t="s">
        <v>80</v>
      </c>
      <c r="E33">
        <v>8.4082600000000003</v>
      </c>
      <c r="F33">
        <v>83.313869999999994</v>
      </c>
      <c r="G33" s="8">
        <v>50</v>
      </c>
      <c r="H33" s="8">
        <v>25</v>
      </c>
      <c r="I33" s="10">
        <f t="shared" si="0"/>
        <v>3.9163173646459399</v>
      </c>
      <c r="J33" s="10">
        <f t="shared" si="1"/>
        <v>6.8352632566099025E-2</v>
      </c>
      <c r="K33" s="10">
        <f t="shared" si="2"/>
        <v>21.049152545814849</v>
      </c>
      <c r="L33" s="22">
        <v>739</v>
      </c>
      <c r="M33" s="22" t="s">
        <v>54</v>
      </c>
      <c r="N33" s="8" t="s">
        <v>55</v>
      </c>
      <c r="O33" s="10" t="s">
        <v>56</v>
      </c>
      <c r="P33" s="10" t="s">
        <v>57</v>
      </c>
      <c r="Q33" s="11">
        <v>0.315</v>
      </c>
      <c r="R33" s="12" t="s">
        <v>66</v>
      </c>
      <c r="S33" s="30">
        <v>14.5</v>
      </c>
      <c r="T33" s="79">
        <f t="shared" si="10"/>
        <v>1.6513035000000002E-2</v>
      </c>
      <c r="U33" s="22">
        <v>19</v>
      </c>
      <c r="V33" s="22">
        <v>58</v>
      </c>
      <c r="W33" s="10">
        <f t="shared" si="3"/>
        <v>1.0122909661567112</v>
      </c>
      <c r="X33" s="22">
        <v>7</v>
      </c>
      <c r="Y33" s="22">
        <v>20</v>
      </c>
      <c r="Z33" s="10">
        <f t="shared" si="4"/>
        <v>0.3490658503988659</v>
      </c>
      <c r="AA33" s="10">
        <f t="shared" si="5"/>
        <v>18.507054830251775</v>
      </c>
      <c r="AB33" s="10">
        <f t="shared" si="6"/>
        <v>62.078692173198014</v>
      </c>
      <c r="AC33" s="10">
        <f t="shared" si="11"/>
        <v>7.7598365216497518</v>
      </c>
      <c r="AD33" s="10">
        <f t="shared" si="7"/>
        <v>31.039346086599007</v>
      </c>
      <c r="AE33" s="65"/>
      <c r="AF33" s="10">
        <f t="shared" si="8"/>
        <v>46.690761938135459</v>
      </c>
      <c r="AG33" s="8">
        <f t="shared" si="12"/>
        <v>9.1046985779364142</v>
      </c>
      <c r="AH33" s="10">
        <f t="shared" si="13"/>
        <v>23.34538096906773</v>
      </c>
      <c r="AI33" s="63"/>
      <c r="AJ33" s="10">
        <f t="shared" si="9"/>
        <v>76.063500000000005</v>
      </c>
      <c r="AK33" s="8"/>
      <c r="AL33" s="8">
        <f t="shared" si="14"/>
        <v>38.031750000000002</v>
      </c>
    </row>
    <row r="34" spans="1:38">
      <c r="A34" s="18">
        <v>41473</v>
      </c>
      <c r="B34" s="19" t="s">
        <v>141</v>
      </c>
      <c r="C34" s="12">
        <v>50.1</v>
      </c>
      <c r="D34" s="19" t="s">
        <v>80</v>
      </c>
      <c r="E34">
        <v>8.4082600000000003</v>
      </c>
      <c r="F34">
        <v>83.313869999999994</v>
      </c>
      <c r="G34" s="8">
        <v>50</v>
      </c>
      <c r="H34" s="8">
        <v>25</v>
      </c>
      <c r="I34" s="10">
        <f t="shared" si="0"/>
        <v>3.9163173646459399</v>
      </c>
      <c r="J34" s="10">
        <f t="shared" si="1"/>
        <v>6.8352632566099025E-2</v>
      </c>
      <c r="K34" s="10">
        <f t="shared" si="2"/>
        <v>21.049152545814849</v>
      </c>
      <c r="L34" s="22">
        <v>698</v>
      </c>
      <c r="M34" s="22" t="s">
        <v>39</v>
      </c>
      <c r="N34" s="8" t="s">
        <v>69</v>
      </c>
      <c r="O34" s="10" t="s">
        <v>65</v>
      </c>
      <c r="P34" s="10" t="s">
        <v>70</v>
      </c>
      <c r="Q34" s="8">
        <v>0.37</v>
      </c>
      <c r="R34" s="8" t="s">
        <v>71</v>
      </c>
      <c r="S34" s="30">
        <v>13.9</v>
      </c>
      <c r="T34" s="79">
        <f t="shared" si="10"/>
        <v>1.5174713400000001E-2</v>
      </c>
      <c r="U34" s="22">
        <v>11</v>
      </c>
      <c r="V34" s="22">
        <v>56</v>
      </c>
      <c r="W34" s="10">
        <f t="shared" si="3"/>
        <v>0.97738438111682457</v>
      </c>
      <c r="X34" s="22">
        <v>5</v>
      </c>
      <c r="Y34" s="22">
        <v>11</v>
      </c>
      <c r="Z34" s="10">
        <f t="shared" si="4"/>
        <v>0.19198621771937624</v>
      </c>
      <c r="AA34" s="10">
        <f t="shared" si="5"/>
        <v>10.073458274988182</v>
      </c>
      <c r="AB34" s="10">
        <f t="shared" si="6"/>
        <v>37.655380701395352</v>
      </c>
      <c r="AC34" s="10">
        <f t="shared" si="11"/>
        <v>4.706922587674419</v>
      </c>
      <c r="AD34" s="10">
        <f t="shared" si="7"/>
        <v>18.827690350697676</v>
      </c>
      <c r="AE34" s="65"/>
      <c r="AF34" s="10">
        <f t="shared" si="8"/>
        <v>49.375850631923164</v>
      </c>
      <c r="AG34" s="8">
        <f t="shared" si="12"/>
        <v>9.6282908732250174</v>
      </c>
      <c r="AH34" s="10">
        <f t="shared" si="13"/>
        <v>24.687925315961582</v>
      </c>
      <c r="AI34" s="63"/>
      <c r="AJ34" s="10">
        <f t="shared" si="9"/>
        <v>67.625699999999995</v>
      </c>
      <c r="AK34" s="8"/>
      <c r="AL34" s="8">
        <f t="shared" si="14"/>
        <v>33.812849999999997</v>
      </c>
    </row>
    <row r="35" spans="1:38">
      <c r="A35" s="18">
        <v>41473</v>
      </c>
      <c r="B35" s="19" t="s">
        <v>141</v>
      </c>
      <c r="C35" s="12">
        <v>50.1</v>
      </c>
      <c r="D35" s="19" t="s">
        <v>80</v>
      </c>
      <c r="E35">
        <v>8.4082600000000003</v>
      </c>
      <c r="F35">
        <v>83.313869999999994</v>
      </c>
      <c r="G35" s="8">
        <v>50</v>
      </c>
      <c r="H35" s="8">
        <v>25</v>
      </c>
      <c r="I35" s="10">
        <f t="shared" si="0"/>
        <v>3.9163173646459399</v>
      </c>
      <c r="J35" s="10">
        <f t="shared" si="1"/>
        <v>6.8352632566099025E-2</v>
      </c>
      <c r="K35" s="10">
        <f t="shared" si="2"/>
        <v>21.049152545814849</v>
      </c>
      <c r="L35" s="22">
        <v>630</v>
      </c>
      <c r="M35" s="22" t="s">
        <v>39</v>
      </c>
      <c r="N35" s="8" t="s">
        <v>69</v>
      </c>
      <c r="O35" s="10" t="s">
        <v>65</v>
      </c>
      <c r="P35" s="10" t="s">
        <v>70</v>
      </c>
      <c r="Q35" s="8">
        <v>0.37</v>
      </c>
      <c r="R35" s="8" t="s">
        <v>71</v>
      </c>
      <c r="S35" s="30">
        <v>40.5</v>
      </c>
      <c r="T35" s="79">
        <f t="shared" si="10"/>
        <v>0.12882523500000001</v>
      </c>
      <c r="U35" s="22">
        <v>18</v>
      </c>
      <c r="V35" s="22">
        <v>61</v>
      </c>
      <c r="W35" s="10">
        <f t="shared" si="3"/>
        <v>1.064650843716541</v>
      </c>
      <c r="X35" s="22">
        <v>7</v>
      </c>
      <c r="Y35" s="22">
        <v>21</v>
      </c>
      <c r="Z35" s="10">
        <f t="shared" si="4"/>
        <v>0.36651914291880922</v>
      </c>
      <c r="AA35" s="10">
        <f t="shared" si="5"/>
        <v>18.251730375326225</v>
      </c>
      <c r="AB35" s="10">
        <f t="shared" si="6"/>
        <v>491.60080725033635</v>
      </c>
      <c r="AC35" s="10">
        <f t="shared" si="11"/>
        <v>61.450100906292043</v>
      </c>
      <c r="AD35" s="10">
        <f t="shared" si="7"/>
        <v>245.80040362516817</v>
      </c>
      <c r="AE35" s="65"/>
      <c r="AF35" s="10">
        <f t="shared" si="8"/>
        <v>669.34388474968102</v>
      </c>
      <c r="AG35" s="8">
        <f t="shared" si="12"/>
        <v>130.52205752618781</v>
      </c>
      <c r="AH35" s="10">
        <f t="shared" si="13"/>
        <v>334.67194237484051</v>
      </c>
      <c r="AI35" s="63"/>
      <c r="AJ35" s="10">
        <f t="shared" si="9"/>
        <v>953.48550000000012</v>
      </c>
      <c r="AK35" s="8"/>
      <c r="AL35" s="8">
        <f t="shared" si="14"/>
        <v>476.74275000000006</v>
      </c>
    </row>
    <row r="36" spans="1:38">
      <c r="A36" s="18">
        <v>41473</v>
      </c>
      <c r="B36" s="19" t="s">
        <v>141</v>
      </c>
      <c r="C36" s="12">
        <v>50.1</v>
      </c>
      <c r="D36" s="19" t="s">
        <v>80</v>
      </c>
      <c r="E36">
        <v>8.4082600000000003</v>
      </c>
      <c r="F36">
        <v>83.313869999999994</v>
      </c>
      <c r="G36" s="8">
        <v>50</v>
      </c>
      <c r="H36" s="8">
        <v>25</v>
      </c>
      <c r="I36" s="10">
        <f t="shared" si="0"/>
        <v>3.9163173646459399</v>
      </c>
      <c r="J36" s="10">
        <f t="shared" si="1"/>
        <v>6.8352632566099025E-2</v>
      </c>
      <c r="K36" s="10">
        <f t="shared" si="2"/>
        <v>21.049152545814849</v>
      </c>
      <c r="L36" s="22">
        <v>760</v>
      </c>
      <c r="M36" s="31" t="s">
        <v>222</v>
      </c>
      <c r="N36" s="22" t="s">
        <v>171</v>
      </c>
      <c r="O36" s="50" t="s">
        <v>172</v>
      </c>
      <c r="P36" s="50" t="s">
        <v>173</v>
      </c>
      <c r="Q36" s="23">
        <v>0.24</v>
      </c>
      <c r="R36" s="22" t="s">
        <v>174</v>
      </c>
      <c r="S36" s="30">
        <v>28.4</v>
      </c>
      <c r="T36" s="79">
        <f t="shared" si="10"/>
        <v>6.33472224E-2</v>
      </c>
      <c r="U36" s="22">
        <v>13</v>
      </c>
      <c r="V36" s="22">
        <v>54</v>
      </c>
      <c r="W36" s="10">
        <f t="shared" si="3"/>
        <v>0.94247779607693793</v>
      </c>
      <c r="X36" s="22">
        <v>6</v>
      </c>
      <c r="Y36" s="22">
        <v>20</v>
      </c>
      <c r="Z36" s="10">
        <f t="shared" si="4"/>
        <v>0.3490658503988659</v>
      </c>
      <c r="AA36" s="10">
        <f t="shared" si="5"/>
        <v>12.569341786828328</v>
      </c>
      <c r="AB36" s="10">
        <f t="shared" si="6"/>
        <v>118.26399659289071</v>
      </c>
      <c r="AC36" s="10">
        <f t="shared" si="11"/>
        <v>14.782999574111338</v>
      </c>
      <c r="AD36" s="10">
        <f t="shared" si="7"/>
        <v>59.131998296445353</v>
      </c>
      <c r="AE36" s="65"/>
      <c r="AF36" s="10">
        <f t="shared" si="8"/>
        <v>185.8182065241603</v>
      </c>
      <c r="AG36" s="8">
        <f t="shared" si="12"/>
        <v>36.234550272211258</v>
      </c>
      <c r="AH36" s="10">
        <f t="shared" si="13"/>
        <v>92.909103262080151</v>
      </c>
      <c r="AI36" s="63"/>
      <c r="AJ36" s="10">
        <f t="shared" si="9"/>
        <v>420.68619999999993</v>
      </c>
      <c r="AK36" s="8"/>
      <c r="AL36" s="8">
        <f t="shared" si="14"/>
        <v>210.34309999999996</v>
      </c>
    </row>
    <row r="37" spans="1:38">
      <c r="A37" s="18">
        <v>41473</v>
      </c>
      <c r="B37" s="19" t="s">
        <v>141</v>
      </c>
      <c r="C37" s="12">
        <v>50.1</v>
      </c>
      <c r="D37" s="19" t="s">
        <v>80</v>
      </c>
      <c r="E37">
        <v>8.4082600000000003</v>
      </c>
      <c r="F37">
        <v>83.313869999999994</v>
      </c>
      <c r="G37" s="8">
        <v>50</v>
      </c>
      <c r="H37" s="8">
        <v>25</v>
      </c>
      <c r="I37" s="10">
        <f t="shared" si="0"/>
        <v>3.9163173646459399</v>
      </c>
      <c r="J37" s="10">
        <f t="shared" si="1"/>
        <v>6.8352632566099025E-2</v>
      </c>
      <c r="K37" s="10">
        <f t="shared" si="2"/>
        <v>21.049152545814849</v>
      </c>
      <c r="L37" s="22">
        <v>612</v>
      </c>
      <c r="M37" s="22" t="s">
        <v>39</v>
      </c>
      <c r="N37" s="8" t="s">
        <v>69</v>
      </c>
      <c r="O37" s="10" t="s">
        <v>65</v>
      </c>
      <c r="P37" s="10" t="s">
        <v>70</v>
      </c>
      <c r="Q37" s="8">
        <v>0.37</v>
      </c>
      <c r="R37" s="8" t="s">
        <v>71</v>
      </c>
      <c r="S37" s="30">
        <v>25.5</v>
      </c>
      <c r="T37" s="79">
        <f t="shared" si="10"/>
        <v>5.1070635000000003E-2</v>
      </c>
      <c r="U37" s="22">
        <v>20</v>
      </c>
      <c r="V37" s="22">
        <v>50</v>
      </c>
      <c r="W37" s="10">
        <f t="shared" si="3"/>
        <v>0.87266462599716477</v>
      </c>
      <c r="X37" s="22">
        <v>6</v>
      </c>
      <c r="Y37" s="22">
        <v>20</v>
      </c>
      <c r="Z37" s="10">
        <f t="shared" si="4"/>
        <v>0.3490658503988659</v>
      </c>
      <c r="AA37" s="10">
        <f t="shared" si="5"/>
        <v>17.37300972233357</v>
      </c>
      <c r="AB37" s="10">
        <f t="shared" si="6"/>
        <v>196.67512733928231</v>
      </c>
      <c r="AC37" s="10">
        <f t="shared" si="11"/>
        <v>24.584390917410289</v>
      </c>
      <c r="AD37" s="10">
        <f t="shared" si="7"/>
        <v>98.337563669641156</v>
      </c>
      <c r="AE37" s="65"/>
      <c r="AF37" s="10">
        <f t="shared" si="8"/>
        <v>220.51979881364119</v>
      </c>
      <c r="AG37" s="8">
        <f t="shared" si="12"/>
        <v>43.001360768660035</v>
      </c>
      <c r="AH37" s="10">
        <f t="shared" si="13"/>
        <v>110.25989940682059</v>
      </c>
      <c r="AI37" s="63"/>
      <c r="AJ37" s="10">
        <f t="shared" si="9"/>
        <v>325.18049999999999</v>
      </c>
      <c r="AK37" s="8"/>
      <c r="AL37" s="8">
        <f t="shared" si="14"/>
        <v>162.59025</v>
      </c>
    </row>
    <row r="38" spans="1:38">
      <c r="A38" s="18">
        <v>41473</v>
      </c>
      <c r="B38" s="19" t="s">
        <v>141</v>
      </c>
      <c r="C38" s="12">
        <v>50.1</v>
      </c>
      <c r="D38" s="19" t="s">
        <v>80</v>
      </c>
      <c r="E38">
        <v>8.4082600000000003</v>
      </c>
      <c r="F38">
        <v>83.313869999999994</v>
      </c>
      <c r="G38" s="8">
        <v>50</v>
      </c>
      <c r="H38" s="8">
        <v>25</v>
      </c>
      <c r="I38" s="10">
        <f t="shared" si="0"/>
        <v>3.9163173646459399</v>
      </c>
      <c r="J38" s="10">
        <f t="shared" si="1"/>
        <v>6.8352632566099025E-2</v>
      </c>
      <c r="K38" s="10">
        <f t="shared" si="2"/>
        <v>21.049152545814849</v>
      </c>
      <c r="L38" s="22">
        <v>778</v>
      </c>
      <c r="M38" s="22" t="s">
        <v>39</v>
      </c>
      <c r="N38" s="8" t="s">
        <v>69</v>
      </c>
      <c r="O38" s="10" t="s">
        <v>65</v>
      </c>
      <c r="P38" s="10" t="s">
        <v>70</v>
      </c>
      <c r="Q38" s="8">
        <v>0.37</v>
      </c>
      <c r="R38" s="8" t="s">
        <v>71</v>
      </c>
      <c r="S38" s="30">
        <v>15</v>
      </c>
      <c r="T38" s="79">
        <f t="shared" si="10"/>
        <v>1.76715E-2</v>
      </c>
      <c r="U38" s="22">
        <v>17</v>
      </c>
      <c r="V38" s="22">
        <v>60</v>
      </c>
      <c r="W38" s="10">
        <f t="shared" si="3"/>
        <v>1.0471975511965976</v>
      </c>
      <c r="X38" s="22">
        <v>6</v>
      </c>
      <c r="Y38" s="22">
        <v>25</v>
      </c>
      <c r="Z38" s="10">
        <f t="shared" si="4"/>
        <v>0.43633231299858238</v>
      </c>
      <c r="AA38" s="10">
        <f t="shared" si="5"/>
        <v>17.258141434779652</v>
      </c>
      <c r="AB38" s="10">
        <f t="shared" si="6"/>
        <v>72.07709778917247</v>
      </c>
      <c r="AC38" s="10">
        <f t="shared" si="11"/>
        <v>9.0096372236465587</v>
      </c>
      <c r="AD38" s="10">
        <f t="shared" si="7"/>
        <v>36.038548894586235</v>
      </c>
      <c r="AE38" s="65"/>
      <c r="AF38" s="10">
        <f t="shared" si="8"/>
        <v>59.660774588777542</v>
      </c>
      <c r="AG38" s="8">
        <f t="shared" si="12"/>
        <v>11.633851044811621</v>
      </c>
      <c r="AH38" s="10">
        <f t="shared" si="13"/>
        <v>29.830387294388771</v>
      </c>
      <c r="AI38" s="63"/>
      <c r="AJ38" s="10">
        <f t="shared" si="9"/>
        <v>83.501999999999995</v>
      </c>
      <c r="AK38" s="8"/>
      <c r="AL38" s="8">
        <f t="shared" si="14"/>
        <v>41.750999999999998</v>
      </c>
    </row>
    <row r="39" spans="1:38">
      <c r="A39" s="18">
        <v>41473</v>
      </c>
      <c r="B39" s="19" t="s">
        <v>141</v>
      </c>
      <c r="C39" s="12">
        <v>50.1</v>
      </c>
      <c r="D39" s="19" t="s">
        <v>80</v>
      </c>
      <c r="E39">
        <v>8.4082600000000003</v>
      </c>
      <c r="F39">
        <v>83.313869999999994</v>
      </c>
      <c r="G39" s="8">
        <v>50</v>
      </c>
      <c r="H39" s="8">
        <v>25</v>
      </c>
      <c r="I39" s="10">
        <f t="shared" si="0"/>
        <v>3.9163173646459399</v>
      </c>
      <c r="J39" s="10">
        <f t="shared" si="1"/>
        <v>6.8352632566099025E-2</v>
      </c>
      <c r="K39" s="10">
        <f t="shared" si="2"/>
        <v>21.049152545814849</v>
      </c>
      <c r="L39" s="22">
        <v>745</v>
      </c>
      <c r="M39" s="22" t="s">
        <v>39</v>
      </c>
      <c r="N39" s="8" t="s">
        <v>69</v>
      </c>
      <c r="O39" s="10" t="s">
        <v>65</v>
      </c>
      <c r="P39" s="10" t="s">
        <v>70</v>
      </c>
      <c r="Q39" s="8">
        <v>0.37</v>
      </c>
      <c r="R39" s="8" t="s">
        <v>71</v>
      </c>
      <c r="S39" s="30">
        <v>14</v>
      </c>
      <c r="T39" s="79">
        <f t="shared" si="10"/>
        <v>1.5393840000000001E-2</v>
      </c>
      <c r="U39" s="22">
        <v>18</v>
      </c>
      <c r="V39" s="22">
        <v>65</v>
      </c>
      <c r="W39" s="10">
        <f t="shared" si="3"/>
        <v>1.1344640137963142</v>
      </c>
      <c r="X39" s="22">
        <v>5</v>
      </c>
      <c r="Y39" s="22">
        <v>18</v>
      </c>
      <c r="Z39" s="10">
        <f t="shared" si="4"/>
        <v>0.31415926535897931</v>
      </c>
      <c r="AA39" s="10">
        <f t="shared" si="5"/>
        <v>17.858625138534435</v>
      </c>
      <c r="AB39" s="10">
        <f t="shared" si="6"/>
        <v>65.377632414097818</v>
      </c>
      <c r="AC39" s="10">
        <f t="shared" si="11"/>
        <v>8.1722040517622272</v>
      </c>
      <c r="AD39" s="10">
        <f t="shared" si="7"/>
        <v>32.688816207048909</v>
      </c>
      <c r="AE39" s="65"/>
      <c r="AF39" s="10">
        <f t="shared" si="8"/>
        <v>50.263500225893274</v>
      </c>
      <c r="AG39" s="8">
        <f t="shared" si="12"/>
        <v>9.8013825440491882</v>
      </c>
      <c r="AH39" s="10">
        <f t="shared" si="13"/>
        <v>25.131750112946637</v>
      </c>
      <c r="AI39" s="63"/>
      <c r="AJ39" s="10">
        <f t="shared" si="9"/>
        <v>68.99499999999999</v>
      </c>
      <c r="AK39" s="8"/>
      <c r="AL39" s="8">
        <f t="shared" si="14"/>
        <v>34.497499999999995</v>
      </c>
    </row>
    <row r="40" spans="1:38">
      <c r="A40" s="18">
        <v>41473</v>
      </c>
      <c r="B40" s="19" t="s">
        <v>141</v>
      </c>
      <c r="C40" s="12">
        <v>50.1</v>
      </c>
      <c r="D40" s="19" t="s">
        <v>80</v>
      </c>
      <c r="E40">
        <v>8.4082600000000003</v>
      </c>
      <c r="F40">
        <v>83.313869999999994</v>
      </c>
      <c r="G40" s="8">
        <v>50</v>
      </c>
      <c r="H40" s="8">
        <v>25</v>
      </c>
      <c r="I40" s="10">
        <f t="shared" si="0"/>
        <v>3.9163173646459399</v>
      </c>
      <c r="J40" s="10">
        <f t="shared" si="1"/>
        <v>6.8352632566099025E-2</v>
      </c>
      <c r="K40" s="10">
        <f t="shared" si="2"/>
        <v>21.049152545814849</v>
      </c>
      <c r="L40" s="22">
        <v>650</v>
      </c>
      <c r="M40" s="22" t="s">
        <v>39</v>
      </c>
      <c r="N40" s="8" t="s">
        <v>69</v>
      </c>
      <c r="O40" s="10" t="s">
        <v>65</v>
      </c>
      <c r="P40" s="10" t="s">
        <v>70</v>
      </c>
      <c r="Q40" s="8">
        <v>0.37</v>
      </c>
      <c r="R40" s="8" t="s">
        <v>71</v>
      </c>
      <c r="S40" s="30">
        <v>6</v>
      </c>
      <c r="T40" s="79">
        <f t="shared" si="10"/>
        <v>2.8274400000000001E-3</v>
      </c>
      <c r="U40" s="22">
        <v>6</v>
      </c>
      <c r="V40" s="22">
        <v>46</v>
      </c>
      <c r="W40" s="10">
        <f t="shared" si="3"/>
        <v>0.8028514559173916</v>
      </c>
      <c r="X40" s="22">
        <v>5</v>
      </c>
      <c r="Y40" s="22">
        <v>19</v>
      </c>
      <c r="Z40" s="10">
        <f t="shared" si="4"/>
        <v>0.33161255787892263</v>
      </c>
      <c r="AA40" s="10">
        <f t="shared" si="5"/>
        <v>5.9438795743176902</v>
      </c>
      <c r="AB40" s="10">
        <f t="shared" si="6"/>
        <v>4.7263022798397643</v>
      </c>
      <c r="AC40" s="10">
        <f t="shared" si="11"/>
        <v>0.59078778497997053</v>
      </c>
      <c r="AD40" s="10">
        <f t="shared" si="7"/>
        <v>2.3631511399198821</v>
      </c>
      <c r="AE40" s="65"/>
      <c r="AF40" s="10">
        <f t="shared" si="8"/>
        <v>6.1554997659111184</v>
      </c>
      <c r="AG40" s="8">
        <f t="shared" si="12"/>
        <v>1.200322454352668</v>
      </c>
      <c r="AH40" s="10">
        <f t="shared" si="13"/>
        <v>3.0777498829555592</v>
      </c>
      <c r="AI40" s="63"/>
      <c r="AJ40" s="10">
        <f t="shared" si="9"/>
        <v>6.2189999999999976</v>
      </c>
      <c r="AK40" s="8"/>
      <c r="AL40" s="8">
        <f t="shared" si="14"/>
        <v>3.1094999999999988</v>
      </c>
    </row>
    <row r="41" spans="1:38">
      <c r="A41" s="18">
        <v>41473</v>
      </c>
      <c r="B41" s="19" t="s">
        <v>141</v>
      </c>
      <c r="C41" s="12">
        <v>50.1</v>
      </c>
      <c r="D41" s="19" t="s">
        <v>80</v>
      </c>
      <c r="E41">
        <v>8.4082600000000003</v>
      </c>
      <c r="F41">
        <v>83.313869999999994</v>
      </c>
      <c r="G41" s="8">
        <v>50</v>
      </c>
      <c r="H41" s="8">
        <v>25</v>
      </c>
      <c r="I41" s="10">
        <f t="shared" si="0"/>
        <v>3.9163173646459399</v>
      </c>
      <c r="J41" s="10">
        <f t="shared" si="1"/>
        <v>6.8352632566099025E-2</v>
      </c>
      <c r="K41" s="10">
        <f t="shared" si="2"/>
        <v>21.049152545814849</v>
      </c>
      <c r="L41" s="22">
        <v>647</v>
      </c>
      <c r="M41" s="22" t="s">
        <v>39</v>
      </c>
      <c r="N41" s="8" t="s">
        <v>69</v>
      </c>
      <c r="O41" s="10" t="s">
        <v>65</v>
      </c>
      <c r="P41" s="10" t="s">
        <v>70</v>
      </c>
      <c r="Q41" s="8">
        <v>0.37</v>
      </c>
      <c r="R41" s="8" t="s">
        <v>71</v>
      </c>
      <c r="S41" s="30">
        <v>5.8</v>
      </c>
      <c r="T41" s="79">
        <f t="shared" si="10"/>
        <v>2.6420856E-3</v>
      </c>
      <c r="U41" s="22">
        <v>8</v>
      </c>
      <c r="V41" s="22">
        <v>28</v>
      </c>
      <c r="W41" s="10">
        <f t="shared" si="3"/>
        <v>0.48869219055841229</v>
      </c>
      <c r="X41" s="22">
        <v>6</v>
      </c>
      <c r="Y41" s="22">
        <v>20</v>
      </c>
      <c r="Z41" s="10">
        <f t="shared" si="4"/>
        <v>0.3490658503988659</v>
      </c>
      <c r="AA41" s="10">
        <f t="shared" si="5"/>
        <v>5.8078933622411384</v>
      </c>
      <c r="AB41" s="10">
        <f t="shared" si="6"/>
        <v>4.3390383191487523</v>
      </c>
      <c r="AC41" s="10">
        <f t="shared" si="11"/>
        <v>0.54237978989359403</v>
      </c>
      <c r="AD41" s="10">
        <f t="shared" si="7"/>
        <v>2.1695191595743761</v>
      </c>
      <c r="AE41" s="65"/>
      <c r="AF41" s="10">
        <f t="shared" si="8"/>
        <v>5.6650375177496333</v>
      </c>
      <c r="AG41" s="8">
        <f t="shared" si="12"/>
        <v>1.1046823159611785</v>
      </c>
      <c r="AH41" s="10">
        <f t="shared" si="13"/>
        <v>2.8325187588748166</v>
      </c>
      <c r="AI41" s="63"/>
      <c r="AJ41" s="10">
        <f t="shared" si="9"/>
        <v>5.8632000000000026</v>
      </c>
      <c r="AK41" s="8"/>
      <c r="AL41" s="8">
        <f t="shared" si="14"/>
        <v>2.9316000000000013</v>
      </c>
    </row>
    <row r="42" spans="1:38">
      <c r="A42" s="18">
        <v>41473</v>
      </c>
      <c r="B42" s="19" t="s">
        <v>141</v>
      </c>
      <c r="C42" s="12">
        <v>50.1</v>
      </c>
      <c r="D42" s="19" t="s">
        <v>80</v>
      </c>
      <c r="E42">
        <v>8.4082600000000003</v>
      </c>
      <c r="F42">
        <v>83.313869999999994</v>
      </c>
      <c r="G42" s="8">
        <v>50</v>
      </c>
      <c r="H42" s="8">
        <v>25</v>
      </c>
      <c r="I42" s="10">
        <f t="shared" si="0"/>
        <v>3.9163173646459399</v>
      </c>
      <c r="J42" s="10">
        <f t="shared" si="1"/>
        <v>6.8352632566099025E-2</v>
      </c>
      <c r="K42" s="10">
        <f t="shared" si="2"/>
        <v>21.049152545814849</v>
      </c>
      <c r="L42" s="22">
        <v>750</v>
      </c>
      <c r="M42" s="22" t="s">
        <v>39</v>
      </c>
      <c r="N42" s="8" t="s">
        <v>69</v>
      </c>
      <c r="O42" s="10" t="s">
        <v>65</v>
      </c>
      <c r="P42" s="10" t="s">
        <v>70</v>
      </c>
      <c r="Q42" s="8">
        <v>0.37</v>
      </c>
      <c r="R42" s="8" t="s">
        <v>71</v>
      </c>
      <c r="S42" s="30">
        <v>23.5</v>
      </c>
      <c r="T42" s="79">
        <f t="shared" si="10"/>
        <v>4.3373715E-2</v>
      </c>
      <c r="U42" s="22">
        <v>17</v>
      </c>
      <c r="V42" s="22">
        <v>67</v>
      </c>
      <c r="W42" s="10">
        <f t="shared" si="3"/>
        <v>1.1693705988362009</v>
      </c>
      <c r="X42" s="22">
        <v>5</v>
      </c>
      <c r="Y42" s="22">
        <v>27</v>
      </c>
      <c r="Z42" s="10">
        <f t="shared" si="4"/>
        <v>0.47123889803846897</v>
      </c>
      <c r="AA42" s="10">
        <f t="shared" si="5"/>
        <v>17.91853500738922</v>
      </c>
      <c r="AB42" s="10">
        <f t="shared" si="6"/>
        <v>173.65339264672673</v>
      </c>
      <c r="AC42" s="10">
        <f t="shared" si="11"/>
        <v>21.706674080840841</v>
      </c>
      <c r="AD42" s="10">
        <f t="shared" si="7"/>
        <v>86.826696323363365</v>
      </c>
      <c r="AE42" s="65"/>
      <c r="AF42" s="10">
        <f t="shared" si="8"/>
        <v>180.64733840258364</v>
      </c>
      <c r="AG42" s="8">
        <f t="shared" si="12"/>
        <v>35.226230988503815</v>
      </c>
      <c r="AH42" s="10">
        <f t="shared" si="13"/>
        <v>90.323669201291821</v>
      </c>
      <c r="AI42" s="63"/>
      <c r="AJ42" s="10">
        <f t="shared" si="9"/>
        <v>266.56650000000002</v>
      </c>
      <c r="AK42" s="8"/>
      <c r="AL42" s="8">
        <f t="shared" si="14"/>
        <v>133.28325000000001</v>
      </c>
    </row>
    <row r="43" spans="1:38">
      <c r="A43" s="18">
        <v>41473</v>
      </c>
      <c r="B43" s="19" t="s">
        <v>141</v>
      </c>
      <c r="C43" s="12">
        <v>50.1</v>
      </c>
      <c r="D43" s="19" t="s">
        <v>80</v>
      </c>
      <c r="E43">
        <v>8.4082600000000003</v>
      </c>
      <c r="F43">
        <v>83.313869999999994</v>
      </c>
      <c r="G43" s="8">
        <v>50</v>
      </c>
      <c r="H43" s="8">
        <v>25</v>
      </c>
      <c r="I43" s="10">
        <f t="shared" si="0"/>
        <v>3.9163173646459399</v>
      </c>
      <c r="J43" s="10">
        <f t="shared" si="1"/>
        <v>6.8352632566099025E-2</v>
      </c>
      <c r="K43" s="10">
        <f t="shared" si="2"/>
        <v>21.049152545814849</v>
      </c>
      <c r="L43" s="22">
        <v>732</v>
      </c>
      <c r="M43" s="22" t="s">
        <v>39</v>
      </c>
      <c r="N43" s="8" t="s">
        <v>69</v>
      </c>
      <c r="O43" s="10" t="s">
        <v>65</v>
      </c>
      <c r="P43" s="10" t="s">
        <v>70</v>
      </c>
      <c r="Q43" s="8">
        <v>0.37</v>
      </c>
      <c r="R43" s="8" t="s">
        <v>71</v>
      </c>
      <c r="S43" s="30">
        <v>20</v>
      </c>
      <c r="T43" s="79">
        <f t="shared" si="10"/>
        <v>3.1415999999999999E-2</v>
      </c>
      <c r="U43" s="22">
        <v>15</v>
      </c>
      <c r="V43" s="22">
        <v>60</v>
      </c>
      <c r="W43" s="10">
        <f t="shared" si="3"/>
        <v>1.0471975511965976</v>
      </c>
      <c r="X43" s="22">
        <v>6</v>
      </c>
      <c r="Y43" s="22">
        <v>26</v>
      </c>
      <c r="Z43" s="10">
        <f t="shared" si="4"/>
        <v>0.4537856055185257</v>
      </c>
      <c r="AA43" s="10">
        <f t="shared" si="5"/>
        <v>15.620607937501042</v>
      </c>
      <c r="AB43" s="10">
        <f t="shared" si="6"/>
        <v>112.71553842973313</v>
      </c>
      <c r="AC43" s="10">
        <f t="shared" si="11"/>
        <v>14.089442303716641</v>
      </c>
      <c r="AD43" s="10">
        <f t="shared" si="7"/>
        <v>56.357769214866565</v>
      </c>
      <c r="AE43" s="65"/>
      <c r="AF43" s="10">
        <f t="shared" si="8"/>
        <v>121.57534600256564</v>
      </c>
      <c r="AG43" s="8">
        <f t="shared" si="12"/>
        <v>23.707192470500299</v>
      </c>
      <c r="AH43" s="10">
        <f t="shared" si="13"/>
        <v>60.787673001282819</v>
      </c>
      <c r="AI43" s="63"/>
      <c r="AJ43" s="10">
        <f t="shared" si="9"/>
        <v>178.23699999999999</v>
      </c>
      <c r="AK43" s="8"/>
      <c r="AL43" s="8">
        <f t="shared" si="14"/>
        <v>89.118499999999997</v>
      </c>
    </row>
    <row r="44" spans="1:38">
      <c r="A44" s="18">
        <v>41473</v>
      </c>
      <c r="B44" s="19" t="s">
        <v>141</v>
      </c>
      <c r="C44" s="12">
        <v>50.1</v>
      </c>
      <c r="D44" s="19" t="s">
        <v>80</v>
      </c>
      <c r="E44">
        <v>8.4082600000000003</v>
      </c>
      <c r="F44">
        <v>83.313869999999994</v>
      </c>
      <c r="G44" s="8">
        <v>50</v>
      </c>
      <c r="H44" s="8">
        <v>25</v>
      </c>
      <c r="I44" s="10">
        <f t="shared" si="0"/>
        <v>3.9163173646459399</v>
      </c>
      <c r="J44" s="10">
        <f t="shared" si="1"/>
        <v>6.8352632566099025E-2</v>
      </c>
      <c r="K44" s="10">
        <f t="shared" si="2"/>
        <v>21.049152545814849</v>
      </c>
      <c r="L44" s="22">
        <v>768</v>
      </c>
      <c r="M44" s="22" t="s">
        <v>39</v>
      </c>
      <c r="N44" s="8" t="s">
        <v>69</v>
      </c>
      <c r="O44" s="10" t="s">
        <v>65</v>
      </c>
      <c r="P44" s="10" t="s">
        <v>70</v>
      </c>
      <c r="Q44" s="8">
        <v>0.37</v>
      </c>
      <c r="R44" s="8" t="s">
        <v>71</v>
      </c>
      <c r="S44" s="30">
        <v>28.8</v>
      </c>
      <c r="T44" s="79">
        <f t="shared" si="10"/>
        <v>6.5144217600000012E-2</v>
      </c>
      <c r="U44" s="22">
        <v>18</v>
      </c>
      <c r="V44" s="22">
        <v>66</v>
      </c>
      <c r="W44" s="10">
        <f t="shared" si="3"/>
        <v>1.1519173063162575</v>
      </c>
      <c r="X44" s="22">
        <v>6</v>
      </c>
      <c r="Y44" s="22">
        <v>25</v>
      </c>
      <c r="Z44" s="10">
        <f t="shared" si="4"/>
        <v>0.43633231299858238</v>
      </c>
      <c r="AA44" s="10">
        <f t="shared" si="5"/>
        <v>18.979527808011014</v>
      </c>
      <c r="AB44" s="10">
        <f t="shared" si="6"/>
        <v>268.66896239503245</v>
      </c>
      <c r="AC44" s="10">
        <f t="shared" si="11"/>
        <v>33.583620299379056</v>
      </c>
      <c r="AD44" s="10">
        <f t="shared" si="7"/>
        <v>134.33448119751623</v>
      </c>
      <c r="AE44" s="65"/>
      <c r="AF44" s="10">
        <f t="shared" si="8"/>
        <v>296.33311985697213</v>
      </c>
      <c r="AG44" s="8">
        <f t="shared" si="12"/>
        <v>57.784958372109571</v>
      </c>
      <c r="AH44" s="10">
        <f t="shared" si="13"/>
        <v>148.16655992848607</v>
      </c>
      <c r="AI44" s="63"/>
      <c r="AJ44" s="10">
        <f t="shared" si="9"/>
        <v>434.83620000000002</v>
      </c>
      <c r="AK44" s="8"/>
      <c r="AL44" s="8">
        <f t="shared" si="14"/>
        <v>217.41810000000001</v>
      </c>
    </row>
    <row r="45" spans="1:38">
      <c r="A45" s="18">
        <v>41473</v>
      </c>
      <c r="B45" s="19" t="s">
        <v>141</v>
      </c>
      <c r="C45" s="12">
        <v>50.1</v>
      </c>
      <c r="D45" s="19" t="s">
        <v>80</v>
      </c>
      <c r="E45">
        <v>8.4082600000000003</v>
      </c>
      <c r="F45">
        <v>83.313869999999994</v>
      </c>
      <c r="G45" s="8">
        <v>50</v>
      </c>
      <c r="H45" s="8">
        <v>25</v>
      </c>
      <c r="I45" s="10">
        <f t="shared" si="0"/>
        <v>3.9163173646459399</v>
      </c>
      <c r="J45" s="10">
        <f t="shared" si="1"/>
        <v>6.8352632566099025E-2</v>
      </c>
      <c r="K45" s="10">
        <f t="shared" si="2"/>
        <v>21.049152545814849</v>
      </c>
      <c r="L45" s="22">
        <v>665</v>
      </c>
      <c r="M45" s="22" t="s">
        <v>54</v>
      </c>
      <c r="N45" s="8" t="s">
        <v>55</v>
      </c>
      <c r="O45" s="10" t="s">
        <v>56</v>
      </c>
      <c r="P45" s="10" t="s">
        <v>57</v>
      </c>
      <c r="Q45" s="11">
        <v>0.315</v>
      </c>
      <c r="R45" s="12" t="s">
        <v>66</v>
      </c>
      <c r="S45" s="30">
        <v>29</v>
      </c>
      <c r="T45" s="79">
        <f t="shared" si="10"/>
        <v>6.6052140000000009E-2</v>
      </c>
      <c r="U45" s="22">
        <v>20</v>
      </c>
      <c r="V45" s="22">
        <v>66</v>
      </c>
      <c r="W45" s="10">
        <f t="shared" si="3"/>
        <v>1.1519173063162575</v>
      </c>
      <c r="X45" s="22">
        <v>5</v>
      </c>
      <c r="Y45" s="22">
        <v>26</v>
      </c>
      <c r="Z45" s="10">
        <f t="shared" si="4"/>
        <v>0.4537856055185257</v>
      </c>
      <c r="AA45" s="10">
        <f t="shared" si="5"/>
        <v>20.462764886797405</v>
      </c>
      <c r="AB45" s="10">
        <f t="shared" si="6"/>
        <v>251.12406532550759</v>
      </c>
      <c r="AC45" s="10">
        <f t="shared" si="11"/>
        <v>31.390508165688448</v>
      </c>
      <c r="AD45" s="10">
        <f t="shared" si="7"/>
        <v>125.56203266275379</v>
      </c>
      <c r="AE45" s="65"/>
      <c r="AF45" s="10">
        <f t="shared" si="8"/>
        <v>256.54205624686085</v>
      </c>
      <c r="AG45" s="8">
        <f t="shared" si="12"/>
        <v>50.025700968137869</v>
      </c>
      <c r="AH45" s="10">
        <f t="shared" si="13"/>
        <v>128.27102812343043</v>
      </c>
      <c r="AI45" s="63"/>
      <c r="AJ45" s="10">
        <f t="shared" si="9"/>
        <v>442</v>
      </c>
      <c r="AK45" s="8"/>
      <c r="AL45" s="8">
        <f t="shared" si="14"/>
        <v>221</v>
      </c>
    </row>
    <row r="46" spans="1:38">
      <c r="A46" s="18">
        <v>41473</v>
      </c>
      <c r="B46" s="19" t="s">
        <v>141</v>
      </c>
      <c r="C46" s="12">
        <v>50.1</v>
      </c>
      <c r="D46" s="19" t="s">
        <v>80</v>
      </c>
      <c r="E46">
        <v>8.4082600000000003</v>
      </c>
      <c r="F46">
        <v>83.313869999999994</v>
      </c>
      <c r="G46" s="8">
        <v>50</v>
      </c>
      <c r="H46" s="8">
        <v>25</v>
      </c>
      <c r="I46" s="10">
        <f t="shared" si="0"/>
        <v>3.9163173646459399</v>
      </c>
      <c r="J46" s="10">
        <f t="shared" si="1"/>
        <v>6.8352632566099025E-2</v>
      </c>
      <c r="K46" s="10">
        <f t="shared" si="2"/>
        <v>21.049152545814849</v>
      </c>
      <c r="L46" s="22">
        <v>767</v>
      </c>
      <c r="M46" s="22" t="s">
        <v>39</v>
      </c>
      <c r="N46" s="8" t="s">
        <v>69</v>
      </c>
      <c r="O46" s="10" t="s">
        <v>65</v>
      </c>
      <c r="P46" s="10" t="s">
        <v>70</v>
      </c>
      <c r="Q46" s="8">
        <v>0.37</v>
      </c>
      <c r="R46" s="8" t="s">
        <v>71</v>
      </c>
      <c r="S46" s="30">
        <v>8</v>
      </c>
      <c r="T46" s="79">
        <f t="shared" si="10"/>
        <v>5.0265600000000002E-3</v>
      </c>
      <c r="U46" s="22">
        <v>7</v>
      </c>
      <c r="V46" s="22">
        <v>46</v>
      </c>
      <c r="W46" s="10">
        <f t="shared" si="3"/>
        <v>0.8028514559173916</v>
      </c>
      <c r="X46" s="22">
        <v>5</v>
      </c>
      <c r="Y46" s="22">
        <v>26</v>
      </c>
      <c r="Z46" s="10">
        <f t="shared" si="4"/>
        <v>0.4537856055185257</v>
      </c>
      <c r="AA46" s="10">
        <f t="shared" si="5"/>
        <v>7.227234336315945</v>
      </c>
      <c r="AB46" s="10">
        <f t="shared" si="6"/>
        <v>9.7547091709587797</v>
      </c>
      <c r="AC46" s="10">
        <f t="shared" si="11"/>
        <v>1.2193386463698475</v>
      </c>
      <c r="AD46" s="10">
        <f t="shared" si="7"/>
        <v>4.8773545854793898</v>
      </c>
      <c r="AE46" s="65"/>
      <c r="AF46" s="10">
        <f t="shared" si="8"/>
        <v>12.509147049353199</v>
      </c>
      <c r="AG46" s="8">
        <f t="shared" si="12"/>
        <v>2.4392836746238737</v>
      </c>
      <c r="AH46" s="10">
        <f t="shared" si="13"/>
        <v>6.2545735246765997</v>
      </c>
      <c r="AI46" s="63"/>
      <c r="AJ46" s="10">
        <f t="shared" si="9"/>
        <v>13.033000000000001</v>
      </c>
      <c r="AK46" s="8"/>
      <c r="AL46" s="8">
        <f t="shared" si="14"/>
        <v>6.5165000000000006</v>
      </c>
    </row>
    <row r="47" spans="1:38">
      <c r="A47" s="18">
        <v>41473</v>
      </c>
      <c r="B47" s="19" t="s">
        <v>141</v>
      </c>
      <c r="C47" s="12">
        <v>50.1</v>
      </c>
      <c r="D47" s="19" t="s">
        <v>80</v>
      </c>
      <c r="E47">
        <v>8.4082600000000003</v>
      </c>
      <c r="F47">
        <v>83.313869999999994</v>
      </c>
      <c r="G47" s="8">
        <v>50</v>
      </c>
      <c r="H47" s="8">
        <v>25</v>
      </c>
      <c r="I47" s="10">
        <f t="shared" si="0"/>
        <v>3.9163173646459399</v>
      </c>
      <c r="J47" s="10">
        <f t="shared" si="1"/>
        <v>6.8352632566099025E-2</v>
      </c>
      <c r="K47" s="10">
        <f t="shared" si="2"/>
        <v>21.049152545814849</v>
      </c>
      <c r="L47" s="22">
        <v>762</v>
      </c>
      <c r="M47" s="22" t="s">
        <v>39</v>
      </c>
      <c r="N47" s="8" t="s">
        <v>69</v>
      </c>
      <c r="O47" s="10" t="s">
        <v>65</v>
      </c>
      <c r="P47" s="10" t="s">
        <v>70</v>
      </c>
      <c r="Q47" s="8">
        <v>0.37</v>
      </c>
      <c r="R47" s="8" t="s">
        <v>71</v>
      </c>
      <c r="S47" s="30">
        <v>19.5</v>
      </c>
      <c r="T47" s="79">
        <f t="shared" si="10"/>
        <v>2.9864835000000003E-2</v>
      </c>
      <c r="U47" s="22">
        <v>17</v>
      </c>
      <c r="V47" s="22">
        <v>56</v>
      </c>
      <c r="W47" s="10">
        <f t="shared" si="3"/>
        <v>0.97738438111682457</v>
      </c>
      <c r="X47" s="22">
        <v>5</v>
      </c>
      <c r="Y47" s="22">
        <v>26</v>
      </c>
      <c r="Z47" s="10">
        <f t="shared" si="4"/>
        <v>0.4537856055185257</v>
      </c>
      <c r="AA47" s="10">
        <f t="shared" si="5"/>
        <v>16.285494467381096</v>
      </c>
      <c r="AB47" s="10">
        <f t="shared" si="6"/>
        <v>111.77104300568817</v>
      </c>
      <c r="AC47" s="10">
        <f t="shared" si="11"/>
        <v>13.971380375711021</v>
      </c>
      <c r="AD47" s="10">
        <f t="shared" si="7"/>
        <v>55.885521502844085</v>
      </c>
      <c r="AE47" s="65"/>
      <c r="AF47" s="10">
        <f t="shared" si="8"/>
        <v>114.22043605825135</v>
      </c>
      <c r="AG47" s="8">
        <f t="shared" si="12"/>
        <v>22.272985031359013</v>
      </c>
      <c r="AH47" s="10">
        <f t="shared" si="13"/>
        <v>57.110218029125676</v>
      </c>
      <c r="AI47" s="63"/>
      <c r="AJ47" s="10">
        <f t="shared" si="9"/>
        <v>167.09849999999997</v>
      </c>
      <c r="AK47" s="8"/>
      <c r="AL47" s="8">
        <f t="shared" si="14"/>
        <v>83.549249999999986</v>
      </c>
    </row>
    <row r="48" spans="1:38">
      <c r="A48" s="18">
        <v>41473</v>
      </c>
      <c r="B48" s="19" t="s">
        <v>141</v>
      </c>
      <c r="C48" s="12">
        <v>50.1</v>
      </c>
      <c r="D48" s="19" t="s">
        <v>80</v>
      </c>
      <c r="E48">
        <v>8.4082600000000003</v>
      </c>
      <c r="F48">
        <v>83.313869999999994</v>
      </c>
      <c r="G48" s="8">
        <v>50</v>
      </c>
      <c r="H48" s="8">
        <v>25</v>
      </c>
      <c r="I48" s="10">
        <f t="shared" si="0"/>
        <v>3.9163173646459399</v>
      </c>
      <c r="J48" s="10">
        <f t="shared" si="1"/>
        <v>6.8352632566099025E-2</v>
      </c>
      <c r="K48" s="10">
        <f t="shared" si="2"/>
        <v>21.049152545814849</v>
      </c>
      <c r="L48" s="22">
        <v>704</v>
      </c>
      <c r="M48" s="22" t="s">
        <v>150</v>
      </c>
      <c r="N48" s="22" t="s">
        <v>99</v>
      </c>
      <c r="O48" s="10" t="s">
        <v>99</v>
      </c>
      <c r="P48" s="10" t="s">
        <v>99</v>
      </c>
      <c r="Q48" s="22">
        <v>0.57999999999999996</v>
      </c>
      <c r="R48" s="22" t="s">
        <v>103</v>
      </c>
      <c r="S48" s="30">
        <v>6</v>
      </c>
      <c r="T48" s="79">
        <f t="shared" si="10"/>
        <v>2.8274400000000001E-3</v>
      </c>
      <c r="U48" s="22">
        <v>7</v>
      </c>
      <c r="V48" s="22">
        <v>43</v>
      </c>
      <c r="W48" s="10">
        <f t="shared" si="3"/>
        <v>0.75049157835756175</v>
      </c>
      <c r="X48" s="22">
        <v>5</v>
      </c>
      <c r="Y48" s="22">
        <v>29</v>
      </c>
      <c r="Z48" s="10">
        <f t="shared" si="4"/>
        <v>0.50614548307835561</v>
      </c>
      <c r="AA48" s="10">
        <f t="shared" si="5"/>
        <v>7.1980366216691749</v>
      </c>
      <c r="AB48" s="10">
        <f t="shared" si="6"/>
        <v>8.6335537016279122</v>
      </c>
      <c r="AC48" s="10">
        <f t="shared" si="11"/>
        <v>1.079194212703489</v>
      </c>
      <c r="AD48" s="10">
        <f t="shared" si="7"/>
        <v>4.3167768508139561</v>
      </c>
      <c r="AE48" s="65"/>
      <c r="AF48" s="10">
        <f t="shared" si="8"/>
        <v>9.6491617952120237</v>
      </c>
      <c r="AG48" s="8">
        <f t="shared" si="12"/>
        <v>1.8815865500663447</v>
      </c>
      <c r="AH48" s="10">
        <f t="shared" si="13"/>
        <v>4.8245808976060118</v>
      </c>
      <c r="AI48" s="63"/>
      <c r="AJ48" s="10">
        <f t="shared" si="9"/>
        <v>6.2189999999999976</v>
      </c>
      <c r="AK48" s="8"/>
      <c r="AL48" s="8">
        <f t="shared" si="14"/>
        <v>3.1094999999999988</v>
      </c>
    </row>
    <row r="49" spans="1:38">
      <c r="A49" s="18">
        <v>41473</v>
      </c>
      <c r="B49" s="19" t="s">
        <v>141</v>
      </c>
      <c r="C49" s="12">
        <v>50.1</v>
      </c>
      <c r="D49" s="19" t="s">
        <v>80</v>
      </c>
      <c r="E49">
        <v>8.4082600000000003</v>
      </c>
      <c r="F49">
        <v>83.313869999999994</v>
      </c>
      <c r="G49" s="8">
        <v>50</v>
      </c>
      <c r="H49" s="8">
        <v>25</v>
      </c>
      <c r="I49" s="10">
        <f t="shared" si="0"/>
        <v>3.9163173646459399</v>
      </c>
      <c r="J49" s="10">
        <f t="shared" si="1"/>
        <v>6.8352632566099025E-2</v>
      </c>
      <c r="K49" s="10">
        <f t="shared" si="2"/>
        <v>21.049152545814849</v>
      </c>
      <c r="L49" s="22">
        <v>724</v>
      </c>
      <c r="M49" s="22" t="s">
        <v>39</v>
      </c>
      <c r="N49" s="8" t="s">
        <v>69</v>
      </c>
      <c r="O49" s="10" t="s">
        <v>65</v>
      </c>
      <c r="P49" s="10" t="s">
        <v>70</v>
      </c>
      <c r="Q49" s="8">
        <v>0.37</v>
      </c>
      <c r="R49" s="8" t="s">
        <v>71</v>
      </c>
      <c r="S49" s="30">
        <v>6.2</v>
      </c>
      <c r="T49" s="79">
        <f t="shared" si="10"/>
        <v>3.0190776000000004E-3</v>
      </c>
      <c r="U49" s="22">
        <v>8</v>
      </c>
      <c r="V49" s="22">
        <v>33</v>
      </c>
      <c r="W49" s="10">
        <f t="shared" si="3"/>
        <v>0.57595865315812877</v>
      </c>
      <c r="X49" s="22">
        <v>6</v>
      </c>
      <c r="Y49" s="22">
        <v>23</v>
      </c>
      <c r="Z49" s="10">
        <f t="shared" si="4"/>
        <v>0.4014257279586958</v>
      </c>
      <c r="AA49" s="10">
        <f t="shared" si="5"/>
        <v>6.7014990510558592</v>
      </c>
      <c r="AB49" s="10">
        <f t="shared" si="6"/>
        <v>5.6269021235933039</v>
      </c>
      <c r="AC49" s="10">
        <f t="shared" si="11"/>
        <v>0.70336276544916299</v>
      </c>
      <c r="AD49" s="10">
        <f t="shared" si="7"/>
        <v>2.8134510617966519</v>
      </c>
      <c r="AE49" s="65"/>
      <c r="AF49" s="10">
        <f t="shared" si="8"/>
        <v>6.6710545294287398</v>
      </c>
      <c r="AG49" s="8">
        <f t="shared" si="12"/>
        <v>1.3008556332386043</v>
      </c>
      <c r="AH49" s="10">
        <f t="shared" si="13"/>
        <v>3.3355272647143699</v>
      </c>
      <c r="AI49" s="63"/>
      <c r="AJ49" s="10">
        <f t="shared" si="9"/>
        <v>6.6340000000000003</v>
      </c>
      <c r="AK49" s="8"/>
      <c r="AL49" s="8">
        <f t="shared" si="14"/>
        <v>3.3170000000000002</v>
      </c>
    </row>
    <row r="50" spans="1:38">
      <c r="A50" s="18">
        <v>41479</v>
      </c>
      <c r="B50" s="19" t="s">
        <v>141</v>
      </c>
      <c r="C50" s="12">
        <v>50.2</v>
      </c>
      <c r="D50" s="9" t="s">
        <v>80</v>
      </c>
      <c r="E50" s="8">
        <v>8.4092300000000009</v>
      </c>
      <c r="F50" s="8">
        <v>83.314769999999996</v>
      </c>
      <c r="G50" s="22">
        <v>50</v>
      </c>
      <c r="H50" s="22">
        <v>25</v>
      </c>
      <c r="I50" s="10">
        <f t="shared" si="0"/>
        <v>3.9163173646459399</v>
      </c>
      <c r="J50" s="10">
        <f t="shared" si="1"/>
        <v>6.8352632566099025E-2</v>
      </c>
      <c r="K50" s="10">
        <f t="shared" si="2"/>
        <v>21.049152545814849</v>
      </c>
      <c r="L50" s="22">
        <v>723</v>
      </c>
      <c r="M50" s="22" t="s">
        <v>39</v>
      </c>
      <c r="N50" s="8" t="s">
        <v>69</v>
      </c>
      <c r="O50" s="10" t="s">
        <v>65</v>
      </c>
      <c r="P50" s="10" t="s">
        <v>70</v>
      </c>
      <c r="Q50" s="8">
        <v>0.37</v>
      </c>
      <c r="R50" s="8" t="s">
        <v>71</v>
      </c>
      <c r="S50" s="30">
        <v>12.9</v>
      </c>
      <c r="T50" s="79">
        <f t="shared" si="10"/>
        <v>1.3069841400000001E-2</v>
      </c>
      <c r="U50" s="22">
        <v>16</v>
      </c>
      <c r="V50" s="22">
        <v>61</v>
      </c>
      <c r="W50" s="10">
        <f t="shared" ref="W50:W81" si="15">RADIANS(V50)</f>
        <v>1.064650843716541</v>
      </c>
      <c r="X50" s="22">
        <v>9</v>
      </c>
      <c r="Y50" s="22">
        <v>9</v>
      </c>
      <c r="Z50" s="10">
        <f t="shared" ref="Z50:Z81" si="16">RADIANS(Y50)</f>
        <v>0.15707963267948966</v>
      </c>
      <c r="AA50" s="10">
        <f t="shared" ref="AA50:AA81" si="17">(SIN(W50)*U50)+(SIN(Z50)*X50)</f>
        <v>15.401825499592409</v>
      </c>
      <c r="AB50" s="10">
        <f t="shared" ref="AB50:AB81" si="18">0.0776*(Q50*S50^2*AA50)^0.94</f>
        <v>48.775065796299835</v>
      </c>
      <c r="AC50" s="10">
        <f t="shared" si="11"/>
        <v>6.0968832245374793</v>
      </c>
      <c r="AD50" s="10">
        <f t="shared" si="7"/>
        <v>24.387532898149917</v>
      </c>
      <c r="AE50" s="65"/>
      <c r="AF50" s="10">
        <f t="shared" si="8"/>
        <v>41.00960810206891</v>
      </c>
      <c r="AG50" s="8">
        <f t="shared" si="12"/>
        <v>7.9968735799034381</v>
      </c>
      <c r="AH50" s="10">
        <f t="shared" si="13"/>
        <v>20.504804051034455</v>
      </c>
      <c r="AI50" s="63"/>
      <c r="AJ50" s="10">
        <f t="shared" si="9"/>
        <v>54.74669999999999</v>
      </c>
      <c r="AK50" s="8"/>
      <c r="AL50" s="8">
        <f t="shared" si="14"/>
        <v>27.373349999999995</v>
      </c>
    </row>
    <row r="51" spans="1:38">
      <c r="A51" s="18">
        <v>41479</v>
      </c>
      <c r="B51" s="19" t="s">
        <v>141</v>
      </c>
      <c r="C51" s="12">
        <v>50.2</v>
      </c>
      <c r="D51" s="19" t="s">
        <v>80</v>
      </c>
      <c r="E51" s="8">
        <v>8.4092300000000009</v>
      </c>
      <c r="F51" s="8">
        <v>83.314769999999996</v>
      </c>
      <c r="G51" s="22">
        <v>50</v>
      </c>
      <c r="H51" s="22">
        <v>25</v>
      </c>
      <c r="I51" s="10">
        <f t="shared" si="0"/>
        <v>3.9163173646459399</v>
      </c>
      <c r="J51" s="10">
        <f t="shared" si="1"/>
        <v>6.8352632566099025E-2</v>
      </c>
      <c r="K51" s="10">
        <f t="shared" si="2"/>
        <v>21.049152545814849</v>
      </c>
      <c r="L51" s="22">
        <v>833</v>
      </c>
      <c r="M51" s="22" t="s">
        <v>36</v>
      </c>
      <c r="N51" s="8" t="s">
        <v>46</v>
      </c>
      <c r="O51" s="10" t="s">
        <v>37</v>
      </c>
      <c r="P51" s="10" t="s">
        <v>38</v>
      </c>
      <c r="Q51" s="11">
        <v>0.48</v>
      </c>
      <c r="R51" s="8" t="s">
        <v>60</v>
      </c>
      <c r="S51" s="30">
        <v>19</v>
      </c>
      <c r="T51" s="79">
        <f t="shared" si="10"/>
        <v>2.835294E-2</v>
      </c>
      <c r="U51" s="22">
        <v>12</v>
      </c>
      <c r="V51" s="22">
        <v>40</v>
      </c>
      <c r="W51" s="10">
        <f t="shared" si="15"/>
        <v>0.69813170079773179</v>
      </c>
      <c r="X51" s="22">
        <v>10</v>
      </c>
      <c r="Y51" s="22">
        <v>11</v>
      </c>
      <c r="Z51" s="10">
        <f t="shared" si="16"/>
        <v>0.19198621771937624</v>
      </c>
      <c r="AA51" s="10">
        <f t="shared" si="17"/>
        <v>9.6215412700039185</v>
      </c>
      <c r="AB51" s="10">
        <f t="shared" si="18"/>
        <v>82.896314457659429</v>
      </c>
      <c r="AC51" s="10">
        <f t="shared" si="11"/>
        <v>10.362039307207429</v>
      </c>
      <c r="AD51" s="10">
        <f t="shared" si="7"/>
        <v>41.448157228829714</v>
      </c>
      <c r="AE51" s="65"/>
      <c r="AF51" s="10">
        <f t="shared" si="8"/>
        <v>138.98006247703458</v>
      </c>
      <c r="AG51" s="8">
        <f t="shared" si="12"/>
        <v>27.101112183021744</v>
      </c>
      <c r="AH51" s="10">
        <f t="shared" si="13"/>
        <v>69.49003123851729</v>
      </c>
      <c r="AI51" s="63"/>
      <c r="AJ51" s="10">
        <f t="shared" si="9"/>
        <v>156.32999999999998</v>
      </c>
      <c r="AK51" s="8"/>
      <c r="AL51" s="8">
        <f t="shared" si="14"/>
        <v>78.164999999999992</v>
      </c>
    </row>
    <row r="52" spans="1:38">
      <c r="A52" s="18">
        <v>41479</v>
      </c>
      <c r="B52" s="19" t="s">
        <v>141</v>
      </c>
      <c r="C52" s="12">
        <v>50.2</v>
      </c>
      <c r="D52" s="19" t="s">
        <v>80</v>
      </c>
      <c r="E52" s="8">
        <v>8.4092300000000009</v>
      </c>
      <c r="F52" s="8">
        <v>83.314769999999996</v>
      </c>
      <c r="G52" s="22">
        <v>50</v>
      </c>
      <c r="H52" s="22">
        <v>25</v>
      </c>
      <c r="I52" s="10">
        <f t="shared" si="0"/>
        <v>3.9163173646459399</v>
      </c>
      <c r="J52" s="10">
        <f t="shared" si="1"/>
        <v>6.8352632566099025E-2</v>
      </c>
      <c r="K52" s="10">
        <f t="shared" si="2"/>
        <v>21.049152545814849</v>
      </c>
      <c r="L52" s="22">
        <v>788</v>
      </c>
      <c r="M52" s="22" t="s">
        <v>39</v>
      </c>
      <c r="N52" s="8" t="s">
        <v>69</v>
      </c>
      <c r="O52" s="10" t="s">
        <v>65</v>
      </c>
      <c r="P52" s="10" t="s">
        <v>70</v>
      </c>
      <c r="Q52" s="8">
        <v>0.37</v>
      </c>
      <c r="R52" s="8" t="s">
        <v>71</v>
      </c>
      <c r="S52" s="30">
        <v>7.8</v>
      </c>
      <c r="T52" s="79">
        <f t="shared" si="10"/>
        <v>4.7783736E-3</v>
      </c>
      <c r="U52" s="22">
        <v>14</v>
      </c>
      <c r="V52" s="22">
        <v>44</v>
      </c>
      <c r="W52" s="10">
        <f t="shared" si="15"/>
        <v>0.76794487087750496</v>
      </c>
      <c r="X52" s="22">
        <v>9</v>
      </c>
      <c r="Y52" s="22">
        <v>10</v>
      </c>
      <c r="Z52" s="10">
        <f t="shared" si="16"/>
        <v>0.17453292519943295</v>
      </c>
      <c r="AA52" s="10">
        <f t="shared" si="17"/>
        <v>11.288050785428334</v>
      </c>
      <c r="AB52" s="10">
        <f t="shared" si="18"/>
        <v>14.143959767502411</v>
      </c>
      <c r="AC52" s="10">
        <f t="shared" si="11"/>
        <v>1.7679949709378013</v>
      </c>
      <c r="AD52" s="10">
        <f t="shared" si="7"/>
        <v>7.0719798837512053</v>
      </c>
      <c r="AE52" s="65"/>
      <c r="AF52" s="10">
        <f t="shared" si="8"/>
        <v>11.749194449882149</v>
      </c>
      <c r="AG52" s="8">
        <f t="shared" si="12"/>
        <v>2.2910929177270192</v>
      </c>
      <c r="AH52" s="10">
        <f t="shared" si="13"/>
        <v>5.8745972249410743</v>
      </c>
      <c r="AI52" s="63"/>
      <c r="AJ52" s="10">
        <f t="shared" si="9"/>
        <v>12.085199999999993</v>
      </c>
      <c r="AK52" s="8"/>
      <c r="AL52" s="8">
        <f t="shared" si="14"/>
        <v>6.0425999999999966</v>
      </c>
    </row>
    <row r="53" spans="1:38">
      <c r="A53" s="18">
        <v>41479</v>
      </c>
      <c r="B53" s="19" t="s">
        <v>141</v>
      </c>
      <c r="C53" s="12">
        <v>50.2</v>
      </c>
      <c r="D53" s="19" t="s">
        <v>80</v>
      </c>
      <c r="E53" s="8">
        <v>8.4092300000000009</v>
      </c>
      <c r="F53" s="8">
        <v>83.314769999999996</v>
      </c>
      <c r="G53" s="22">
        <v>50</v>
      </c>
      <c r="H53" s="22">
        <v>25</v>
      </c>
      <c r="I53" s="10">
        <f t="shared" si="0"/>
        <v>3.9163173646459399</v>
      </c>
      <c r="J53" s="10">
        <f t="shared" si="1"/>
        <v>6.8352632566099025E-2</v>
      </c>
      <c r="K53" s="10">
        <f t="shared" si="2"/>
        <v>21.049152545814849</v>
      </c>
      <c r="L53" s="22">
        <v>791</v>
      </c>
      <c r="M53" s="22" t="s">
        <v>39</v>
      </c>
      <c r="N53" s="8" t="s">
        <v>69</v>
      </c>
      <c r="O53" s="10" t="s">
        <v>65</v>
      </c>
      <c r="P53" s="10" t="s">
        <v>70</v>
      </c>
      <c r="Q53" s="8">
        <v>0.37</v>
      </c>
      <c r="R53" s="8" t="s">
        <v>71</v>
      </c>
      <c r="S53" s="30">
        <v>5.9</v>
      </c>
      <c r="T53" s="79">
        <f t="shared" si="10"/>
        <v>2.7339774000000004E-3</v>
      </c>
      <c r="U53" s="22">
        <v>12</v>
      </c>
      <c r="V53" s="22">
        <v>47</v>
      </c>
      <c r="W53" s="10">
        <f t="shared" si="15"/>
        <v>0.82030474843733492</v>
      </c>
      <c r="X53" s="22">
        <v>8</v>
      </c>
      <c r="Y53" s="22">
        <v>10</v>
      </c>
      <c r="Z53" s="10">
        <f t="shared" si="16"/>
        <v>0.17453292519943295</v>
      </c>
      <c r="AA53" s="10">
        <f t="shared" si="17"/>
        <v>10.165429840765489</v>
      </c>
      <c r="AB53" s="10">
        <f t="shared" si="18"/>
        <v>7.5835285523420115</v>
      </c>
      <c r="AC53" s="10">
        <f t="shared" si="11"/>
        <v>0.94794106904275144</v>
      </c>
      <c r="AD53" s="10">
        <f t="shared" si="7"/>
        <v>3.7917642761710058</v>
      </c>
      <c r="AE53" s="65"/>
      <c r="AF53" s="10">
        <f t="shared" si="8"/>
        <v>5.9071595524931588</v>
      </c>
      <c r="AG53" s="8">
        <f t="shared" si="12"/>
        <v>1.151896112736166</v>
      </c>
      <c r="AH53" s="10">
        <f t="shared" si="13"/>
        <v>2.9535797762465794</v>
      </c>
      <c r="AI53" s="63"/>
      <c r="AJ53" s="10">
        <f t="shared" si="9"/>
        <v>6.0336999999999961</v>
      </c>
      <c r="AK53" s="8"/>
      <c r="AL53" s="8">
        <f t="shared" si="14"/>
        <v>3.016849999999998</v>
      </c>
    </row>
    <row r="54" spans="1:38">
      <c r="A54" s="18">
        <v>41479</v>
      </c>
      <c r="B54" s="19" t="s">
        <v>141</v>
      </c>
      <c r="C54" s="12">
        <v>50.2</v>
      </c>
      <c r="D54" s="19" t="s">
        <v>80</v>
      </c>
      <c r="E54" s="8">
        <v>8.4092300000000009</v>
      </c>
      <c r="F54" s="8">
        <v>83.314769999999996</v>
      </c>
      <c r="G54" s="22">
        <v>50</v>
      </c>
      <c r="H54" s="22">
        <v>25</v>
      </c>
      <c r="I54" s="10">
        <f t="shared" si="0"/>
        <v>3.9163173646459399</v>
      </c>
      <c r="J54" s="10">
        <f t="shared" si="1"/>
        <v>6.8352632566099025E-2</v>
      </c>
      <c r="K54" s="10">
        <f t="shared" si="2"/>
        <v>21.049152545814849</v>
      </c>
      <c r="L54" s="22">
        <v>805</v>
      </c>
      <c r="M54" s="22" t="s">
        <v>36</v>
      </c>
      <c r="N54" s="8" t="s">
        <v>46</v>
      </c>
      <c r="O54" s="10" t="s">
        <v>37</v>
      </c>
      <c r="P54" s="10" t="s">
        <v>38</v>
      </c>
      <c r="Q54" s="11">
        <v>0.48</v>
      </c>
      <c r="R54" s="8" t="s">
        <v>60</v>
      </c>
      <c r="S54" s="30">
        <v>20</v>
      </c>
      <c r="T54" s="79">
        <f t="shared" si="10"/>
        <v>3.1415999999999999E-2</v>
      </c>
      <c r="U54" s="22">
        <v>11</v>
      </c>
      <c r="V54" s="22">
        <v>40</v>
      </c>
      <c r="W54" s="10">
        <f t="shared" si="15"/>
        <v>0.69813170079773179</v>
      </c>
      <c r="X54" s="22">
        <v>9</v>
      </c>
      <c r="Y54" s="22">
        <v>8</v>
      </c>
      <c r="Z54" s="10">
        <f t="shared" si="16"/>
        <v>0.13962634015954636</v>
      </c>
      <c r="AA54" s="10">
        <f t="shared" si="17"/>
        <v>8.3232216151925194</v>
      </c>
      <c r="AB54" s="10">
        <f t="shared" si="18"/>
        <v>79.659733124671291</v>
      </c>
      <c r="AC54" s="10">
        <f t="shared" si="11"/>
        <v>9.9574666405839114</v>
      </c>
      <c r="AD54" s="10">
        <f t="shared" si="7"/>
        <v>39.829866562335646</v>
      </c>
      <c r="AE54" s="65"/>
      <c r="AF54" s="10">
        <f t="shared" si="8"/>
        <v>157.71936778711219</v>
      </c>
      <c r="AG54" s="8">
        <f t="shared" si="12"/>
        <v>30.755276718486879</v>
      </c>
      <c r="AH54" s="10">
        <f t="shared" si="13"/>
        <v>78.859683893556095</v>
      </c>
      <c r="AI54" s="63"/>
      <c r="AJ54" s="10">
        <f t="shared" si="9"/>
        <v>178.23699999999999</v>
      </c>
      <c r="AK54" s="8"/>
      <c r="AL54" s="8">
        <f t="shared" si="14"/>
        <v>89.118499999999997</v>
      </c>
    </row>
    <row r="55" spans="1:38">
      <c r="A55" s="18">
        <v>41479</v>
      </c>
      <c r="B55" s="19" t="s">
        <v>141</v>
      </c>
      <c r="C55" s="12">
        <v>50.2</v>
      </c>
      <c r="D55" s="19" t="s">
        <v>80</v>
      </c>
      <c r="E55" s="8">
        <v>8.4092300000000009</v>
      </c>
      <c r="F55" s="8">
        <v>83.314769999999996</v>
      </c>
      <c r="G55" s="22">
        <v>50</v>
      </c>
      <c r="H55" s="22">
        <v>25</v>
      </c>
      <c r="I55" s="10">
        <f t="shared" si="0"/>
        <v>3.9163173646459399</v>
      </c>
      <c r="J55" s="10">
        <f t="shared" si="1"/>
        <v>6.8352632566099025E-2</v>
      </c>
      <c r="K55" s="10">
        <f t="shared" si="2"/>
        <v>21.049152545814849</v>
      </c>
      <c r="L55" s="22">
        <v>815</v>
      </c>
      <c r="M55" s="22" t="s">
        <v>39</v>
      </c>
      <c r="N55" s="8" t="s">
        <v>69</v>
      </c>
      <c r="O55" s="10" t="s">
        <v>65</v>
      </c>
      <c r="P55" s="10" t="s">
        <v>70</v>
      </c>
      <c r="Q55" s="8">
        <v>0.37</v>
      </c>
      <c r="R55" s="8" t="s">
        <v>71</v>
      </c>
      <c r="S55" s="30">
        <v>24.8</v>
      </c>
      <c r="T55" s="79">
        <f t="shared" si="10"/>
        <v>4.8305241600000007E-2</v>
      </c>
      <c r="U55" s="22">
        <v>19</v>
      </c>
      <c r="V55" s="22">
        <v>65</v>
      </c>
      <c r="W55" s="10">
        <f t="shared" si="15"/>
        <v>1.1344640137963142</v>
      </c>
      <c r="X55" s="22">
        <v>9</v>
      </c>
      <c r="Y55" s="22">
        <v>7</v>
      </c>
      <c r="Z55" s="10">
        <f t="shared" si="16"/>
        <v>0.12217304763960307</v>
      </c>
      <c r="AA55" s="10">
        <f t="shared" si="17"/>
        <v>18.316672044342674</v>
      </c>
      <c r="AB55" s="10">
        <f t="shared" si="18"/>
        <v>196.16263074037187</v>
      </c>
      <c r="AC55" s="10">
        <f t="shared" si="11"/>
        <v>24.520328842546483</v>
      </c>
      <c r="AD55" s="10">
        <f t="shared" si="7"/>
        <v>98.081315370185933</v>
      </c>
      <c r="AE55" s="65"/>
      <c r="AF55" s="10">
        <f t="shared" si="8"/>
        <v>206.04921083099129</v>
      </c>
      <c r="AG55" s="8">
        <f t="shared" si="12"/>
        <v>40.179596112043299</v>
      </c>
      <c r="AH55" s="10">
        <f t="shared" si="13"/>
        <v>103.02460541549564</v>
      </c>
      <c r="AI55" s="63"/>
      <c r="AJ55" s="10">
        <f t="shared" si="9"/>
        <v>303.99220000000003</v>
      </c>
      <c r="AK55" s="8"/>
      <c r="AL55" s="8">
        <f t="shared" si="14"/>
        <v>151.99610000000001</v>
      </c>
    </row>
    <row r="56" spans="1:38">
      <c r="A56" s="18">
        <v>41479</v>
      </c>
      <c r="B56" s="19" t="s">
        <v>141</v>
      </c>
      <c r="C56" s="12">
        <v>50.2</v>
      </c>
      <c r="D56" s="19" t="s">
        <v>80</v>
      </c>
      <c r="E56" s="8">
        <v>8.4092300000000009</v>
      </c>
      <c r="F56" s="8">
        <v>83.314769999999996</v>
      </c>
      <c r="G56" s="22">
        <v>50</v>
      </c>
      <c r="H56" s="22">
        <v>25</v>
      </c>
      <c r="I56" s="10">
        <f t="shared" si="0"/>
        <v>3.9163173646459399</v>
      </c>
      <c r="J56" s="10">
        <f t="shared" si="1"/>
        <v>6.8352632566099025E-2</v>
      </c>
      <c r="K56" s="10">
        <f t="shared" si="2"/>
        <v>21.049152545814849</v>
      </c>
      <c r="L56" s="22">
        <v>803</v>
      </c>
      <c r="M56" s="22" t="s">
        <v>39</v>
      </c>
      <c r="N56" s="8" t="s">
        <v>69</v>
      </c>
      <c r="O56" s="10" t="s">
        <v>65</v>
      </c>
      <c r="P56" s="10" t="s">
        <v>70</v>
      </c>
      <c r="Q56" s="8">
        <v>0.37</v>
      </c>
      <c r="R56" s="8" t="s">
        <v>71</v>
      </c>
      <c r="S56" s="30">
        <v>9.3000000000000007</v>
      </c>
      <c r="T56" s="79">
        <f t="shared" si="10"/>
        <v>6.7929246000000007E-3</v>
      </c>
      <c r="U56" s="22">
        <v>11</v>
      </c>
      <c r="V56" s="22">
        <v>43</v>
      </c>
      <c r="W56" s="10">
        <f t="shared" si="15"/>
        <v>0.75049157835756175</v>
      </c>
      <c r="X56" s="22">
        <v>8</v>
      </c>
      <c r="Y56" s="22">
        <v>10</v>
      </c>
      <c r="Z56" s="10">
        <f t="shared" si="16"/>
        <v>0.17453292519943295</v>
      </c>
      <c r="AA56" s="10">
        <f t="shared" si="17"/>
        <v>8.8911673820229264</v>
      </c>
      <c r="AB56" s="10">
        <f t="shared" si="18"/>
        <v>15.730428178992074</v>
      </c>
      <c r="AC56" s="10">
        <f t="shared" si="11"/>
        <v>1.9663035223740093</v>
      </c>
      <c r="AD56" s="10">
        <f t="shared" si="7"/>
        <v>7.8652140894960372</v>
      </c>
      <c r="AE56" s="65"/>
      <c r="AF56" s="10">
        <f t="shared" si="8"/>
        <v>18.173363244130609</v>
      </c>
      <c r="AG56" s="8">
        <f t="shared" si="12"/>
        <v>3.5438058326054689</v>
      </c>
      <c r="AH56" s="10">
        <f t="shared" si="13"/>
        <v>9.0866816220653046</v>
      </c>
      <c r="AI56" s="63"/>
      <c r="AJ56" s="10">
        <f t="shared" si="9"/>
        <v>20.63669999999999</v>
      </c>
      <c r="AK56" s="8"/>
      <c r="AL56" s="8">
        <f t="shared" si="14"/>
        <v>10.318349999999995</v>
      </c>
    </row>
    <row r="57" spans="1:38">
      <c r="A57" s="18">
        <v>41479</v>
      </c>
      <c r="B57" s="19" t="s">
        <v>141</v>
      </c>
      <c r="C57" s="12">
        <v>50.2</v>
      </c>
      <c r="D57" s="19" t="s">
        <v>80</v>
      </c>
      <c r="E57" s="8">
        <v>8.4092300000000009</v>
      </c>
      <c r="F57" s="8">
        <v>83.314769999999996</v>
      </c>
      <c r="G57" s="22">
        <v>50</v>
      </c>
      <c r="H57" s="22">
        <v>25</v>
      </c>
      <c r="I57" s="10">
        <f t="shared" si="0"/>
        <v>3.9163173646459399</v>
      </c>
      <c r="J57" s="10">
        <f t="shared" si="1"/>
        <v>6.8352632566099025E-2</v>
      </c>
      <c r="K57" s="10">
        <f t="shared" si="2"/>
        <v>21.049152545814849</v>
      </c>
      <c r="L57" s="22">
        <v>821</v>
      </c>
      <c r="M57" s="22" t="s">
        <v>39</v>
      </c>
      <c r="N57" s="8" t="s">
        <v>69</v>
      </c>
      <c r="O57" s="10" t="s">
        <v>65</v>
      </c>
      <c r="P57" s="10" t="s">
        <v>70</v>
      </c>
      <c r="Q57" s="8">
        <v>0.37</v>
      </c>
      <c r="R57" s="8" t="s">
        <v>71</v>
      </c>
      <c r="S57" s="30">
        <v>27</v>
      </c>
      <c r="T57" s="79">
        <f t="shared" si="10"/>
        <v>5.725566E-2</v>
      </c>
      <c r="U57" s="22">
        <v>19</v>
      </c>
      <c r="V57" s="22">
        <v>70</v>
      </c>
      <c r="W57" s="10">
        <f t="shared" si="15"/>
        <v>1.2217304763960306</v>
      </c>
      <c r="X57" s="22">
        <v>7</v>
      </c>
      <c r="Y57" s="22">
        <v>12</v>
      </c>
      <c r="Z57" s="10">
        <f t="shared" si="16"/>
        <v>0.20943951023931956</v>
      </c>
      <c r="AA57" s="10">
        <f t="shared" si="17"/>
        <v>19.309541630656572</v>
      </c>
      <c r="AB57" s="10">
        <f t="shared" si="18"/>
        <v>241.85822722607577</v>
      </c>
      <c r="AC57" s="10">
        <f t="shared" si="11"/>
        <v>30.232278403259471</v>
      </c>
      <c r="AD57" s="10">
        <f t="shared" si="7"/>
        <v>120.92911361303788</v>
      </c>
      <c r="AE57" s="65"/>
      <c r="AF57" s="10">
        <f t="shared" si="8"/>
        <v>253.41741358500934</v>
      </c>
      <c r="AG57" s="8">
        <f t="shared" si="12"/>
        <v>49.416395649076826</v>
      </c>
      <c r="AH57" s="10">
        <f t="shared" si="13"/>
        <v>126.70870679250467</v>
      </c>
      <c r="AI57" s="63"/>
      <c r="AJ57" s="10">
        <f t="shared" si="9"/>
        <v>373.02600000000007</v>
      </c>
      <c r="AK57" s="8"/>
      <c r="AL57" s="8">
        <f t="shared" si="14"/>
        <v>186.51300000000003</v>
      </c>
    </row>
    <row r="58" spans="1:38">
      <c r="A58" s="18">
        <v>41479</v>
      </c>
      <c r="B58" s="19" t="s">
        <v>141</v>
      </c>
      <c r="C58" s="12">
        <v>50.2</v>
      </c>
      <c r="D58" s="19" t="s">
        <v>80</v>
      </c>
      <c r="E58" s="8">
        <v>8.4092300000000009</v>
      </c>
      <c r="F58" s="8">
        <v>83.314769999999996</v>
      </c>
      <c r="G58" s="22">
        <v>50</v>
      </c>
      <c r="H58" s="22">
        <v>25</v>
      </c>
      <c r="I58" s="10">
        <f t="shared" si="0"/>
        <v>3.9163173646459399</v>
      </c>
      <c r="J58" s="10">
        <f t="shared" si="1"/>
        <v>6.8352632566099025E-2</v>
      </c>
      <c r="K58" s="10">
        <f t="shared" si="2"/>
        <v>21.049152545814849</v>
      </c>
      <c r="L58" s="22">
        <v>783</v>
      </c>
      <c r="M58" s="22" t="s">
        <v>36</v>
      </c>
      <c r="N58" s="8" t="s">
        <v>46</v>
      </c>
      <c r="O58" s="10" t="s">
        <v>37</v>
      </c>
      <c r="P58" s="10" t="s">
        <v>38</v>
      </c>
      <c r="Q58" s="11">
        <v>0.48</v>
      </c>
      <c r="R58" s="8" t="s">
        <v>60</v>
      </c>
      <c r="S58" s="30">
        <v>29</v>
      </c>
      <c r="T58" s="79">
        <f t="shared" si="10"/>
        <v>6.6052140000000009E-2</v>
      </c>
      <c r="U58" s="22">
        <v>12</v>
      </c>
      <c r="V58" s="22">
        <v>65</v>
      </c>
      <c r="W58" s="10">
        <f t="shared" si="15"/>
        <v>1.1344640137963142</v>
      </c>
      <c r="X58" s="22">
        <v>8</v>
      </c>
      <c r="Y58" s="22">
        <v>10</v>
      </c>
      <c r="Z58" s="10">
        <f t="shared" si="16"/>
        <v>0.17453292519943295</v>
      </c>
      <c r="AA58" s="10">
        <f t="shared" si="17"/>
        <v>12.264878865775241</v>
      </c>
      <c r="AB58" s="10">
        <f t="shared" si="18"/>
        <v>230.61108966926557</v>
      </c>
      <c r="AC58" s="10">
        <f t="shared" si="11"/>
        <v>28.826386208658196</v>
      </c>
      <c r="AD58" s="10">
        <f t="shared" si="7"/>
        <v>115.30554483463278</v>
      </c>
      <c r="AE58" s="65"/>
      <c r="AF58" s="10">
        <f t="shared" si="8"/>
        <v>390.92122856664514</v>
      </c>
      <c r="AG58" s="8">
        <f t="shared" si="12"/>
        <v>76.229639570495806</v>
      </c>
      <c r="AH58" s="10">
        <f t="shared" si="13"/>
        <v>195.46061428332257</v>
      </c>
      <c r="AI58" s="63"/>
      <c r="AJ58" s="10">
        <f t="shared" si="9"/>
        <v>442</v>
      </c>
      <c r="AK58" s="8"/>
      <c r="AL58" s="8">
        <f t="shared" si="14"/>
        <v>221</v>
      </c>
    </row>
    <row r="59" spans="1:38">
      <c r="A59" s="18">
        <v>41479</v>
      </c>
      <c r="B59" s="19" t="s">
        <v>141</v>
      </c>
      <c r="C59" s="12">
        <v>50.2</v>
      </c>
      <c r="D59" s="19" t="s">
        <v>80</v>
      </c>
      <c r="E59" s="8">
        <v>8.4092300000000009</v>
      </c>
      <c r="F59" s="8">
        <v>83.314769999999996</v>
      </c>
      <c r="G59" s="22">
        <v>50</v>
      </c>
      <c r="H59" s="22">
        <v>25</v>
      </c>
      <c r="I59" s="10">
        <f t="shared" si="0"/>
        <v>3.9163173646459399</v>
      </c>
      <c r="J59" s="10">
        <f t="shared" si="1"/>
        <v>6.8352632566099025E-2</v>
      </c>
      <c r="K59" s="10">
        <f t="shared" si="2"/>
        <v>21.049152545814849</v>
      </c>
      <c r="L59" s="22">
        <v>789</v>
      </c>
      <c r="M59" s="22" t="s">
        <v>36</v>
      </c>
      <c r="N59" s="8" t="s">
        <v>46</v>
      </c>
      <c r="O59" s="10" t="s">
        <v>37</v>
      </c>
      <c r="P59" s="10" t="s">
        <v>38</v>
      </c>
      <c r="Q59" s="11">
        <v>0.48</v>
      </c>
      <c r="R59" s="8" t="s">
        <v>60</v>
      </c>
      <c r="S59" s="30">
        <v>14.8</v>
      </c>
      <c r="T59" s="79">
        <f t="shared" si="10"/>
        <v>1.7203401600000001E-2</v>
      </c>
      <c r="U59" s="22">
        <v>13</v>
      </c>
      <c r="V59" s="22">
        <v>35</v>
      </c>
      <c r="W59" s="10">
        <f t="shared" si="15"/>
        <v>0.6108652381980153</v>
      </c>
      <c r="X59" s="22">
        <v>9</v>
      </c>
      <c r="Y59" s="22">
        <v>12</v>
      </c>
      <c r="Z59" s="10">
        <f t="shared" si="16"/>
        <v>0.20943951023931956</v>
      </c>
      <c r="AA59" s="10">
        <f t="shared" si="17"/>
        <v>9.3276988899234325</v>
      </c>
      <c r="AB59" s="10">
        <f t="shared" si="18"/>
        <v>50.339460443101515</v>
      </c>
      <c r="AC59" s="10">
        <f t="shared" si="11"/>
        <v>6.2924325553876894</v>
      </c>
      <c r="AD59" s="10">
        <f t="shared" si="7"/>
        <v>25.169730221550758</v>
      </c>
      <c r="AE59" s="65"/>
      <c r="AF59" s="10">
        <f t="shared" si="8"/>
        <v>74.860461317029376</v>
      </c>
      <c r="AG59" s="8">
        <f t="shared" si="12"/>
        <v>14.597789956820728</v>
      </c>
      <c r="AH59" s="10">
        <f t="shared" si="13"/>
        <v>37.430230658514688</v>
      </c>
      <c r="AI59" s="63"/>
      <c r="AJ59" s="10">
        <f t="shared" si="9"/>
        <v>80.482200000000006</v>
      </c>
      <c r="AK59" s="8"/>
      <c r="AL59" s="8">
        <f t="shared" si="14"/>
        <v>40.241100000000003</v>
      </c>
    </row>
    <row r="60" spans="1:38">
      <c r="A60" s="18">
        <v>41479</v>
      </c>
      <c r="B60" s="19" t="s">
        <v>141</v>
      </c>
      <c r="C60" s="12">
        <v>50.2</v>
      </c>
      <c r="D60" s="19" t="s">
        <v>80</v>
      </c>
      <c r="E60" s="8">
        <v>8.4092300000000009</v>
      </c>
      <c r="F60" s="8">
        <v>83.314769999999996</v>
      </c>
      <c r="G60" s="22">
        <v>50</v>
      </c>
      <c r="H60" s="22">
        <v>25</v>
      </c>
      <c r="I60" s="10">
        <f t="shared" si="0"/>
        <v>3.9163173646459399</v>
      </c>
      <c r="J60" s="10">
        <f t="shared" si="1"/>
        <v>6.8352632566099025E-2</v>
      </c>
      <c r="K60" s="10">
        <f t="shared" si="2"/>
        <v>21.049152545814849</v>
      </c>
      <c r="L60" s="22">
        <v>819</v>
      </c>
      <c r="M60" s="22" t="s">
        <v>39</v>
      </c>
      <c r="N60" s="8" t="s">
        <v>69</v>
      </c>
      <c r="O60" s="10" t="s">
        <v>65</v>
      </c>
      <c r="P60" s="10" t="s">
        <v>70</v>
      </c>
      <c r="Q60" s="8">
        <v>0.37</v>
      </c>
      <c r="R60" s="8" t="s">
        <v>71</v>
      </c>
      <c r="S60" s="30">
        <v>12.5</v>
      </c>
      <c r="T60" s="79">
        <f t="shared" si="10"/>
        <v>1.2271875E-2</v>
      </c>
      <c r="U60" s="22">
        <v>16</v>
      </c>
      <c r="V60" s="22">
        <v>50</v>
      </c>
      <c r="W60" s="10">
        <f t="shared" si="15"/>
        <v>0.87266462599716477</v>
      </c>
      <c r="X60" s="22">
        <v>9</v>
      </c>
      <c r="Y60" s="22">
        <v>12</v>
      </c>
      <c r="Z60" s="10">
        <f t="shared" si="16"/>
        <v>0.20943951023931956</v>
      </c>
      <c r="AA60" s="10">
        <f t="shared" si="17"/>
        <v>14.127916307263483</v>
      </c>
      <c r="AB60" s="10">
        <f t="shared" si="18"/>
        <v>42.387284327317147</v>
      </c>
      <c r="AC60" s="10">
        <f t="shared" si="11"/>
        <v>5.2984105409146434</v>
      </c>
      <c r="AD60" s="10">
        <f t="shared" si="7"/>
        <v>21.193642163658573</v>
      </c>
      <c r="AE60" s="65"/>
      <c r="AF60" s="10">
        <f t="shared" si="8"/>
        <v>37.918849958606977</v>
      </c>
      <c r="AG60" s="8">
        <f t="shared" si="12"/>
        <v>7.3941757419283611</v>
      </c>
      <c r="AH60" s="10">
        <f t="shared" si="13"/>
        <v>18.959424979303488</v>
      </c>
      <c r="AI60" s="63"/>
      <c r="AJ60" s="10">
        <f t="shared" si="9"/>
        <v>50.009499999999989</v>
      </c>
      <c r="AK60" s="8"/>
      <c r="AL60" s="8">
        <f t="shared" si="14"/>
        <v>25.004749999999994</v>
      </c>
    </row>
    <row r="61" spans="1:38">
      <c r="A61" s="18">
        <v>41479</v>
      </c>
      <c r="B61" s="19" t="s">
        <v>141</v>
      </c>
      <c r="C61" s="12">
        <v>50.2</v>
      </c>
      <c r="D61" s="19" t="s">
        <v>80</v>
      </c>
      <c r="E61" s="8">
        <v>8.4092300000000009</v>
      </c>
      <c r="F61" s="8">
        <v>83.314769999999996</v>
      </c>
      <c r="G61" s="22">
        <v>50</v>
      </c>
      <c r="H61" s="22">
        <v>25</v>
      </c>
      <c r="I61" s="10">
        <f t="shared" si="0"/>
        <v>3.9163173646459399</v>
      </c>
      <c r="J61" s="10">
        <f t="shared" si="1"/>
        <v>6.8352632566099025E-2</v>
      </c>
      <c r="K61" s="10">
        <f t="shared" si="2"/>
        <v>21.049152545814849</v>
      </c>
      <c r="L61" s="22">
        <v>782</v>
      </c>
      <c r="M61" s="22" t="s">
        <v>39</v>
      </c>
      <c r="N61" s="8" t="s">
        <v>69</v>
      </c>
      <c r="O61" s="10" t="s">
        <v>65</v>
      </c>
      <c r="P61" s="10" t="s">
        <v>70</v>
      </c>
      <c r="Q61" s="8">
        <v>0.37</v>
      </c>
      <c r="R61" s="8" t="s">
        <v>71</v>
      </c>
      <c r="S61" s="30">
        <v>20.7</v>
      </c>
      <c r="T61" s="79">
        <f t="shared" si="10"/>
        <v>3.3653604599999998E-2</v>
      </c>
      <c r="U61" s="22">
        <v>16</v>
      </c>
      <c r="V61" s="22">
        <v>70</v>
      </c>
      <c r="W61" s="10">
        <f t="shared" si="15"/>
        <v>1.2217304763960306</v>
      </c>
      <c r="X61" s="22">
        <v>5</v>
      </c>
      <c r="Y61" s="22">
        <v>20</v>
      </c>
      <c r="Z61" s="10">
        <f t="shared" si="16"/>
        <v>0.3490658503988659</v>
      </c>
      <c r="AA61" s="10">
        <f t="shared" si="17"/>
        <v>16.745182649202878</v>
      </c>
      <c r="AB61" s="10">
        <f t="shared" si="18"/>
        <v>128.36661437799177</v>
      </c>
      <c r="AC61" s="10">
        <f t="shared" si="11"/>
        <v>16.045826797248971</v>
      </c>
      <c r="AD61" s="10">
        <f t="shared" si="7"/>
        <v>64.183307188995883</v>
      </c>
      <c r="AE61" s="65"/>
      <c r="AF61" s="10">
        <f t="shared" si="8"/>
        <v>132.32137498911288</v>
      </c>
      <c r="AG61" s="8">
        <f t="shared" si="12"/>
        <v>25.802668122877012</v>
      </c>
      <c r="AH61" s="10">
        <f t="shared" si="13"/>
        <v>66.160687494556441</v>
      </c>
      <c r="AI61" s="63"/>
      <c r="AJ61" s="10">
        <f t="shared" si="9"/>
        <v>194.45249999999996</v>
      </c>
      <c r="AK61" s="8"/>
      <c r="AL61" s="8">
        <f t="shared" si="14"/>
        <v>97.226249999999979</v>
      </c>
    </row>
    <row r="62" spans="1:38">
      <c r="A62" s="18">
        <v>41479</v>
      </c>
      <c r="B62" s="19" t="s">
        <v>141</v>
      </c>
      <c r="C62" s="12">
        <v>50.2</v>
      </c>
      <c r="D62" s="19" t="s">
        <v>80</v>
      </c>
      <c r="E62" s="8">
        <v>8.4092300000000009</v>
      </c>
      <c r="F62" s="8">
        <v>83.314769999999996</v>
      </c>
      <c r="G62" s="22">
        <v>50</v>
      </c>
      <c r="H62" s="22">
        <v>25</v>
      </c>
      <c r="I62" s="10">
        <f t="shared" si="0"/>
        <v>3.9163173646459399</v>
      </c>
      <c r="J62" s="10">
        <f t="shared" si="1"/>
        <v>6.8352632566099025E-2</v>
      </c>
      <c r="K62" s="10">
        <f t="shared" si="2"/>
        <v>21.049152545814849</v>
      </c>
      <c r="L62" s="22">
        <v>795</v>
      </c>
      <c r="M62" s="22" t="s">
        <v>39</v>
      </c>
      <c r="N62" s="8" t="s">
        <v>69</v>
      </c>
      <c r="O62" s="10" t="s">
        <v>65</v>
      </c>
      <c r="P62" s="10" t="s">
        <v>70</v>
      </c>
      <c r="Q62" s="8">
        <v>0.37</v>
      </c>
      <c r="R62" s="8" t="s">
        <v>71</v>
      </c>
      <c r="S62" s="30">
        <v>35.6</v>
      </c>
      <c r="T62" s="79">
        <f t="shared" si="10"/>
        <v>9.9538454400000018E-2</v>
      </c>
      <c r="U62" s="22">
        <v>21</v>
      </c>
      <c r="V62" s="22">
        <v>80</v>
      </c>
      <c r="W62" s="10">
        <f t="shared" si="15"/>
        <v>1.3962634015954636</v>
      </c>
      <c r="X62" s="22">
        <v>6</v>
      </c>
      <c r="Y62" s="22">
        <v>10</v>
      </c>
      <c r="Z62" s="10">
        <f t="shared" si="16"/>
        <v>0.17453292519943295</v>
      </c>
      <c r="AA62" s="10">
        <f t="shared" si="17"/>
        <v>21.722851879257949</v>
      </c>
      <c r="AB62" s="10">
        <f t="shared" si="18"/>
        <v>454.35903503367058</v>
      </c>
      <c r="AC62" s="10">
        <f t="shared" si="11"/>
        <v>56.794879379208822</v>
      </c>
      <c r="AD62" s="10">
        <f t="shared" si="7"/>
        <v>227.17951751683529</v>
      </c>
      <c r="AE62" s="65"/>
      <c r="AF62" s="10">
        <f t="shared" si="8"/>
        <v>493.04596407916262</v>
      </c>
      <c r="AG62" s="8">
        <f t="shared" si="12"/>
        <v>96.143962995436709</v>
      </c>
      <c r="AH62" s="10">
        <f t="shared" si="13"/>
        <v>246.52298203958131</v>
      </c>
      <c r="AI62" s="63"/>
      <c r="AJ62" s="10">
        <f t="shared" si="9"/>
        <v>711.61660000000006</v>
      </c>
      <c r="AK62" s="8"/>
      <c r="AL62" s="8">
        <f t="shared" si="14"/>
        <v>355.80830000000003</v>
      </c>
    </row>
    <row r="63" spans="1:38">
      <c r="A63" s="18">
        <v>41479</v>
      </c>
      <c r="B63" s="19" t="s">
        <v>141</v>
      </c>
      <c r="C63" s="12">
        <v>50.2</v>
      </c>
      <c r="D63" s="19" t="s">
        <v>80</v>
      </c>
      <c r="E63" s="8">
        <v>8.4092300000000009</v>
      </c>
      <c r="F63" s="8">
        <v>83.314769999999996</v>
      </c>
      <c r="G63" s="22">
        <v>50</v>
      </c>
      <c r="H63" s="22">
        <v>25</v>
      </c>
      <c r="I63" s="10">
        <f t="shared" si="0"/>
        <v>3.9163173646459399</v>
      </c>
      <c r="J63" s="10">
        <f t="shared" si="1"/>
        <v>6.8352632566099025E-2</v>
      </c>
      <c r="K63" s="10">
        <f t="shared" si="2"/>
        <v>21.049152545814849</v>
      </c>
      <c r="L63" s="22">
        <v>679</v>
      </c>
      <c r="M63" s="22" t="s">
        <v>39</v>
      </c>
      <c r="N63" s="8" t="s">
        <v>69</v>
      </c>
      <c r="O63" s="10" t="s">
        <v>65</v>
      </c>
      <c r="P63" s="10" t="s">
        <v>70</v>
      </c>
      <c r="Q63" s="8">
        <v>0.37</v>
      </c>
      <c r="R63" s="8" t="s">
        <v>71</v>
      </c>
      <c r="S63" s="30">
        <v>39.700000000000003</v>
      </c>
      <c r="T63" s="79">
        <f t="shared" si="10"/>
        <v>0.12378610860000001</v>
      </c>
      <c r="U63" s="22">
        <v>20</v>
      </c>
      <c r="V63" s="22">
        <v>75</v>
      </c>
      <c r="W63" s="10">
        <f t="shared" si="15"/>
        <v>1.3089969389957472</v>
      </c>
      <c r="X63" s="22">
        <v>5</v>
      </c>
      <c r="Y63" s="22">
        <v>10</v>
      </c>
      <c r="Z63" s="10">
        <f t="shared" si="16"/>
        <v>0.17453292519943295</v>
      </c>
      <c r="AA63" s="10">
        <f t="shared" si="17"/>
        <v>20.186757414116016</v>
      </c>
      <c r="AB63" s="10">
        <f t="shared" si="18"/>
        <v>520.54714016883679</v>
      </c>
      <c r="AC63" s="10">
        <f t="shared" si="11"/>
        <v>65.068392521104599</v>
      </c>
      <c r="AD63" s="10">
        <f t="shared" si="7"/>
        <v>260.2735700844184</v>
      </c>
      <c r="AE63" s="65"/>
      <c r="AF63" s="10">
        <f t="shared" si="8"/>
        <v>638.56482881204067</v>
      </c>
      <c r="AG63" s="8">
        <f t="shared" si="12"/>
        <v>124.52014161834794</v>
      </c>
      <c r="AH63" s="10">
        <f t="shared" si="13"/>
        <v>319.28241440602034</v>
      </c>
      <c r="AI63" s="63"/>
      <c r="AJ63" s="10">
        <f t="shared" si="9"/>
        <v>911.56950000000006</v>
      </c>
      <c r="AK63" s="8"/>
      <c r="AL63" s="8">
        <f t="shared" si="14"/>
        <v>455.78475000000003</v>
      </c>
    </row>
    <row r="64" spans="1:38">
      <c r="A64" s="18">
        <v>41479</v>
      </c>
      <c r="B64" s="19" t="s">
        <v>141</v>
      </c>
      <c r="C64" s="12">
        <v>50.2</v>
      </c>
      <c r="D64" s="19" t="s">
        <v>80</v>
      </c>
      <c r="E64" s="8">
        <v>8.4092300000000009</v>
      </c>
      <c r="F64" s="8">
        <v>83.314769999999996</v>
      </c>
      <c r="G64" s="22">
        <v>50</v>
      </c>
      <c r="H64" s="22">
        <v>25</v>
      </c>
      <c r="I64" s="10">
        <f t="shared" si="0"/>
        <v>3.9163173646459399</v>
      </c>
      <c r="J64" s="10">
        <f t="shared" si="1"/>
        <v>6.8352632566099025E-2</v>
      </c>
      <c r="K64" s="10">
        <f t="shared" si="2"/>
        <v>21.049152545814849</v>
      </c>
      <c r="L64" s="22">
        <v>817</v>
      </c>
      <c r="M64" s="22" t="s">
        <v>39</v>
      </c>
      <c r="N64" s="8" t="s">
        <v>69</v>
      </c>
      <c r="O64" s="10" t="s">
        <v>65</v>
      </c>
      <c r="P64" s="10" t="s">
        <v>70</v>
      </c>
      <c r="Q64" s="8">
        <v>0.37</v>
      </c>
      <c r="R64" s="8" t="s">
        <v>71</v>
      </c>
      <c r="S64" s="30">
        <v>9.6</v>
      </c>
      <c r="T64" s="79">
        <f t="shared" si="10"/>
        <v>7.2382464000000004E-3</v>
      </c>
      <c r="U64" s="22">
        <v>10</v>
      </c>
      <c r="V64" s="22">
        <v>61</v>
      </c>
      <c r="W64" s="10">
        <f t="shared" si="15"/>
        <v>1.064650843716541</v>
      </c>
      <c r="X64" s="22">
        <v>7</v>
      </c>
      <c r="Y64" s="22">
        <v>17</v>
      </c>
      <c r="Z64" s="10">
        <f t="shared" si="16"/>
        <v>0.29670597283903605</v>
      </c>
      <c r="AA64" s="10">
        <f t="shared" si="17"/>
        <v>10.792799004453116</v>
      </c>
      <c r="AB64" s="10">
        <f t="shared" si="18"/>
        <v>20.034905756244431</v>
      </c>
      <c r="AC64" s="10">
        <f t="shared" si="11"/>
        <v>2.5043632195305539</v>
      </c>
      <c r="AD64" s="10">
        <f t="shared" si="7"/>
        <v>10.017452878122215</v>
      </c>
      <c r="AE64" s="65"/>
      <c r="AF64" s="10">
        <f t="shared" si="8"/>
        <v>19.664975382941176</v>
      </c>
      <c r="AG64" s="8">
        <f t="shared" si="12"/>
        <v>3.8346701996735293</v>
      </c>
      <c r="AH64" s="10">
        <f t="shared" si="13"/>
        <v>9.8324876914705879</v>
      </c>
      <c r="AI64" s="63"/>
      <c r="AJ64" s="10">
        <f t="shared" si="9"/>
        <v>22.746599999999987</v>
      </c>
      <c r="AK64" s="8"/>
      <c r="AL64" s="8">
        <f t="shared" si="14"/>
        <v>11.373299999999993</v>
      </c>
    </row>
    <row r="65" spans="1:38">
      <c r="A65" s="18">
        <v>41479</v>
      </c>
      <c r="B65" s="19" t="s">
        <v>141</v>
      </c>
      <c r="C65" s="12">
        <v>50.2</v>
      </c>
      <c r="D65" s="19" t="s">
        <v>80</v>
      </c>
      <c r="E65" s="8">
        <v>8.4092300000000009</v>
      </c>
      <c r="F65" s="8">
        <v>83.314769999999996</v>
      </c>
      <c r="G65" s="22">
        <v>50</v>
      </c>
      <c r="H65" s="22">
        <v>25</v>
      </c>
      <c r="I65" s="10">
        <f t="shared" si="0"/>
        <v>3.9163173646459399</v>
      </c>
      <c r="J65" s="10">
        <f t="shared" si="1"/>
        <v>6.8352632566099025E-2</v>
      </c>
      <c r="K65" s="10">
        <f t="shared" si="2"/>
        <v>21.049152545814849</v>
      </c>
      <c r="L65" s="22">
        <v>603</v>
      </c>
      <c r="M65" s="22" t="s">
        <v>39</v>
      </c>
      <c r="N65" s="8" t="s">
        <v>69</v>
      </c>
      <c r="O65" s="10" t="s">
        <v>65</v>
      </c>
      <c r="P65" s="10" t="s">
        <v>70</v>
      </c>
      <c r="Q65" s="8">
        <v>0.37</v>
      </c>
      <c r="R65" s="8" t="s">
        <v>71</v>
      </c>
      <c r="S65" s="30">
        <v>15.8</v>
      </c>
      <c r="T65" s="79">
        <f t="shared" si="10"/>
        <v>1.9606725600000003E-2</v>
      </c>
      <c r="U65" s="22">
        <v>13</v>
      </c>
      <c r="V65" s="22">
        <v>63</v>
      </c>
      <c r="W65" s="10">
        <f t="shared" si="15"/>
        <v>1.0995574287564276</v>
      </c>
      <c r="X65" s="22">
        <v>6</v>
      </c>
      <c r="Y65" s="22">
        <v>17</v>
      </c>
      <c r="Z65" s="10">
        <f t="shared" si="16"/>
        <v>0.29670597283903605</v>
      </c>
      <c r="AA65" s="10">
        <f t="shared" si="17"/>
        <v>13.337315042785203</v>
      </c>
      <c r="AB65" s="10">
        <f t="shared" si="18"/>
        <v>62.375059167939234</v>
      </c>
      <c r="AC65" s="10">
        <f t="shared" si="11"/>
        <v>7.7968823959924043</v>
      </c>
      <c r="AD65" s="10">
        <f t="shared" si="7"/>
        <v>31.187529583969617</v>
      </c>
      <c r="AE65" s="65"/>
      <c r="AF65" s="10">
        <f t="shared" si="8"/>
        <v>67.87209628923344</v>
      </c>
      <c r="AG65" s="8">
        <f t="shared" si="12"/>
        <v>13.235058776400521</v>
      </c>
      <c r="AH65" s="10">
        <f t="shared" si="13"/>
        <v>33.93604814461672</v>
      </c>
      <c r="AI65" s="63"/>
      <c r="AJ65" s="10">
        <f t="shared" si="9"/>
        <v>96.17319999999998</v>
      </c>
      <c r="AK65" s="8"/>
      <c r="AL65" s="8">
        <f t="shared" si="14"/>
        <v>48.08659999999999</v>
      </c>
    </row>
    <row r="66" spans="1:38">
      <c r="A66" s="18">
        <v>41479</v>
      </c>
      <c r="B66" s="19" t="s">
        <v>141</v>
      </c>
      <c r="C66" s="12">
        <v>50.2</v>
      </c>
      <c r="D66" s="19" t="s">
        <v>80</v>
      </c>
      <c r="E66" s="8">
        <v>8.4092300000000009</v>
      </c>
      <c r="F66" s="8">
        <v>83.314769999999996</v>
      </c>
      <c r="G66" s="22">
        <v>50</v>
      </c>
      <c r="H66" s="22">
        <v>25</v>
      </c>
      <c r="I66" s="10">
        <f t="shared" si="0"/>
        <v>3.9163173646459399</v>
      </c>
      <c r="J66" s="10">
        <f t="shared" si="1"/>
        <v>6.8352632566099025E-2</v>
      </c>
      <c r="K66" s="10">
        <f t="shared" si="2"/>
        <v>21.049152545814849</v>
      </c>
      <c r="L66" s="22">
        <v>829</v>
      </c>
      <c r="M66" s="22" t="s">
        <v>39</v>
      </c>
      <c r="N66" s="8" t="s">
        <v>69</v>
      </c>
      <c r="O66" s="10" t="s">
        <v>65</v>
      </c>
      <c r="P66" s="10" t="s">
        <v>70</v>
      </c>
      <c r="Q66" s="8">
        <v>0.37</v>
      </c>
      <c r="R66" s="8" t="s">
        <v>71</v>
      </c>
      <c r="S66" s="30">
        <v>23.7</v>
      </c>
      <c r="T66" s="79">
        <f t="shared" si="10"/>
        <v>4.4115132599999995E-2</v>
      </c>
      <c r="U66" s="22">
        <v>18</v>
      </c>
      <c r="V66" s="22">
        <v>66</v>
      </c>
      <c r="W66" s="10">
        <f t="shared" si="15"/>
        <v>1.1519173063162575</v>
      </c>
      <c r="X66" s="22">
        <v>7</v>
      </c>
      <c r="Y66" s="22">
        <v>20</v>
      </c>
      <c r="Z66" s="10">
        <f t="shared" si="16"/>
        <v>0.3490658503988659</v>
      </c>
      <c r="AA66" s="10">
        <f t="shared" si="17"/>
        <v>18.837959240846498</v>
      </c>
      <c r="AB66" s="10">
        <f t="shared" si="18"/>
        <v>184.9396596713629</v>
      </c>
      <c r="AC66" s="10">
        <f t="shared" si="11"/>
        <v>23.117457458920363</v>
      </c>
      <c r="AD66" s="10">
        <f t="shared" si="7"/>
        <v>92.469829835681452</v>
      </c>
      <c r="AE66" s="65"/>
      <c r="AF66" s="10">
        <f t="shared" si="8"/>
        <v>184.43152515256031</v>
      </c>
      <c r="AG66" s="8">
        <f t="shared" si="12"/>
        <v>35.964147404749262</v>
      </c>
      <c r="AH66" s="10">
        <f t="shared" si="13"/>
        <v>92.215762576280156</v>
      </c>
      <c r="AI66" s="63"/>
      <c r="AJ66" s="10">
        <f t="shared" si="9"/>
        <v>272.16149999999993</v>
      </c>
      <c r="AK66" s="8"/>
      <c r="AL66" s="8">
        <f t="shared" si="14"/>
        <v>136.08074999999997</v>
      </c>
    </row>
    <row r="67" spans="1:38">
      <c r="A67" s="18">
        <v>41479</v>
      </c>
      <c r="B67" s="19" t="s">
        <v>141</v>
      </c>
      <c r="C67" s="12">
        <v>50.2</v>
      </c>
      <c r="D67" s="19" t="s">
        <v>80</v>
      </c>
      <c r="E67" s="8">
        <v>8.4092300000000009</v>
      </c>
      <c r="F67" s="8">
        <v>83.314769999999996</v>
      </c>
      <c r="G67" s="22">
        <v>50</v>
      </c>
      <c r="H67" s="22">
        <v>25</v>
      </c>
      <c r="I67" s="10">
        <f t="shared" si="0"/>
        <v>3.9163173646459399</v>
      </c>
      <c r="J67" s="10">
        <f t="shared" si="1"/>
        <v>6.8352632566099025E-2</v>
      </c>
      <c r="K67" s="10">
        <f t="shared" si="2"/>
        <v>21.049152545814849</v>
      </c>
      <c r="L67" s="22">
        <v>820</v>
      </c>
      <c r="M67" s="22" t="s">
        <v>54</v>
      </c>
      <c r="N67" s="8" t="s">
        <v>55</v>
      </c>
      <c r="O67" s="10" t="s">
        <v>56</v>
      </c>
      <c r="P67" s="10" t="s">
        <v>57</v>
      </c>
      <c r="Q67" s="11">
        <v>0.315</v>
      </c>
      <c r="R67" s="12" t="s">
        <v>66</v>
      </c>
      <c r="S67" s="30">
        <v>10.4</v>
      </c>
      <c r="T67" s="79">
        <f t="shared" si="10"/>
        <v>8.494886400000002E-3</v>
      </c>
      <c r="U67" s="22">
        <v>13</v>
      </c>
      <c r="V67" s="22">
        <v>50</v>
      </c>
      <c r="W67" s="10">
        <f t="shared" si="15"/>
        <v>0.87266462599716477</v>
      </c>
      <c r="X67" s="22">
        <v>6</v>
      </c>
      <c r="Y67" s="22">
        <v>21</v>
      </c>
      <c r="Z67" s="10">
        <f t="shared" si="16"/>
        <v>0.36651914291880922</v>
      </c>
      <c r="AA67" s="10">
        <f t="shared" si="17"/>
        <v>12.108785457818515</v>
      </c>
      <c r="AB67" s="10">
        <f t="shared" si="18"/>
        <v>22.305443826392878</v>
      </c>
      <c r="AC67" s="10">
        <f t="shared" si="11"/>
        <v>2.7881804782991098</v>
      </c>
      <c r="AD67" s="10">
        <f t="shared" si="7"/>
        <v>11.152721913196439</v>
      </c>
      <c r="AE67" s="65"/>
      <c r="AF67" s="10">
        <f t="shared" si="8"/>
        <v>20.428180207646765</v>
      </c>
      <c r="AG67" s="8">
        <f t="shared" si="12"/>
        <v>3.9834951404911192</v>
      </c>
      <c r="AH67" s="10">
        <f t="shared" si="13"/>
        <v>10.214090103823382</v>
      </c>
      <c r="AI67" s="63"/>
      <c r="AJ67" s="10">
        <f t="shared" si="9"/>
        <v>29.024200000000008</v>
      </c>
      <c r="AK67" s="8"/>
      <c r="AL67" s="8">
        <f t="shared" si="14"/>
        <v>14.512100000000004</v>
      </c>
    </row>
    <row r="68" spans="1:38">
      <c r="A68" s="18">
        <v>41479</v>
      </c>
      <c r="B68" s="19" t="s">
        <v>141</v>
      </c>
      <c r="C68" s="12">
        <v>50.2</v>
      </c>
      <c r="D68" s="19" t="s">
        <v>80</v>
      </c>
      <c r="E68" s="8">
        <v>8.4092300000000009</v>
      </c>
      <c r="F68" s="8">
        <v>83.314769999999996</v>
      </c>
      <c r="G68" s="22">
        <v>50</v>
      </c>
      <c r="H68" s="22">
        <v>25</v>
      </c>
      <c r="I68" s="10">
        <f t="shared" si="0"/>
        <v>3.9163173646459399</v>
      </c>
      <c r="J68" s="10">
        <f t="shared" si="1"/>
        <v>6.8352632566099025E-2</v>
      </c>
      <c r="K68" s="10">
        <f t="shared" si="2"/>
        <v>21.049152545814849</v>
      </c>
      <c r="L68" s="22">
        <v>610</v>
      </c>
      <c r="M68" s="22" t="s">
        <v>39</v>
      </c>
      <c r="N68" s="8" t="s">
        <v>69</v>
      </c>
      <c r="O68" s="10" t="s">
        <v>65</v>
      </c>
      <c r="P68" s="10" t="s">
        <v>70</v>
      </c>
      <c r="Q68" s="8">
        <v>0.37</v>
      </c>
      <c r="R68" s="8" t="s">
        <v>71</v>
      </c>
      <c r="S68" s="30">
        <v>23.8</v>
      </c>
      <c r="T68" s="79">
        <f t="shared" si="10"/>
        <v>4.4488197600000008E-2</v>
      </c>
      <c r="U68" s="22">
        <v>15</v>
      </c>
      <c r="V68" s="22">
        <v>63</v>
      </c>
      <c r="W68" s="10">
        <f t="shared" si="15"/>
        <v>1.0995574287564276</v>
      </c>
      <c r="X68" s="22">
        <v>7</v>
      </c>
      <c r="Y68" s="22">
        <v>21</v>
      </c>
      <c r="Z68" s="10">
        <f t="shared" si="16"/>
        <v>0.36651914291880922</v>
      </c>
      <c r="AA68" s="10">
        <f t="shared" si="17"/>
        <v>15.873673509642618</v>
      </c>
      <c r="AB68" s="10">
        <f t="shared" si="18"/>
        <v>158.69849858995875</v>
      </c>
      <c r="AC68" s="10">
        <f t="shared" si="11"/>
        <v>19.837312323744843</v>
      </c>
      <c r="AD68" s="10">
        <f t="shared" si="7"/>
        <v>79.349249294979373</v>
      </c>
      <c r="AE68" s="65"/>
      <c r="AF68" s="10">
        <f t="shared" si="8"/>
        <v>186.3404392227817</v>
      </c>
      <c r="AG68" s="8">
        <f t="shared" si="12"/>
        <v>36.33638564844243</v>
      </c>
      <c r="AH68" s="10">
        <f t="shared" si="13"/>
        <v>93.170219611390849</v>
      </c>
      <c r="AI68" s="63"/>
      <c r="AJ68" s="10">
        <f t="shared" si="9"/>
        <v>274.98120000000006</v>
      </c>
      <c r="AK68" s="8"/>
      <c r="AL68" s="8">
        <f t="shared" si="14"/>
        <v>137.49060000000003</v>
      </c>
    </row>
    <row r="69" spans="1:38">
      <c r="A69" s="18">
        <v>41479</v>
      </c>
      <c r="B69" s="19" t="s">
        <v>141</v>
      </c>
      <c r="C69" s="12">
        <v>50.2</v>
      </c>
      <c r="D69" s="19" t="s">
        <v>80</v>
      </c>
      <c r="E69" s="8">
        <v>8.4092300000000009</v>
      </c>
      <c r="F69" s="8">
        <v>83.314769999999996</v>
      </c>
      <c r="G69" s="22">
        <v>50</v>
      </c>
      <c r="H69" s="22">
        <v>25</v>
      </c>
      <c r="I69" s="10">
        <f t="shared" si="0"/>
        <v>3.9163173646459399</v>
      </c>
      <c r="J69" s="10">
        <f t="shared" si="1"/>
        <v>6.8352632566099025E-2</v>
      </c>
      <c r="K69" s="10">
        <f t="shared" si="2"/>
        <v>21.049152545814849</v>
      </c>
      <c r="L69" s="22">
        <v>765</v>
      </c>
      <c r="M69" s="22" t="s">
        <v>129</v>
      </c>
      <c r="N69" s="22" t="s">
        <v>171</v>
      </c>
      <c r="O69" s="58" t="s">
        <v>175</v>
      </c>
      <c r="P69" s="10" t="s">
        <v>176</v>
      </c>
      <c r="Q69" s="22">
        <v>0.23</v>
      </c>
      <c r="R69" s="22" t="s">
        <v>190</v>
      </c>
      <c r="S69" s="30">
        <v>16.3</v>
      </c>
      <c r="T69" s="79">
        <f t="shared" si="10"/>
        <v>2.08672926E-2</v>
      </c>
      <c r="U69" s="22">
        <v>16</v>
      </c>
      <c r="V69" s="22">
        <v>47</v>
      </c>
      <c r="W69" s="10">
        <f t="shared" si="15"/>
        <v>0.82030474843733492</v>
      </c>
      <c r="X69" s="22">
        <v>8</v>
      </c>
      <c r="Y69" s="22">
        <v>21</v>
      </c>
      <c r="Z69" s="10">
        <f t="shared" si="16"/>
        <v>0.36651914291880922</v>
      </c>
      <c r="AA69" s="10">
        <f t="shared" si="17"/>
        <v>14.56860282226913</v>
      </c>
      <c r="AB69" s="10">
        <f t="shared" si="18"/>
        <v>45.963322303406414</v>
      </c>
      <c r="AC69" s="10">
        <f t="shared" si="11"/>
        <v>5.7454152879258018</v>
      </c>
      <c r="AD69" s="10">
        <f t="shared" si="7"/>
        <v>22.981661151703207</v>
      </c>
      <c r="AE69" s="65"/>
      <c r="AF69" s="10">
        <f t="shared" si="8"/>
        <v>45.57936878910445</v>
      </c>
      <c r="AG69" s="8">
        <f t="shared" si="12"/>
        <v>8.8879769138753684</v>
      </c>
      <c r="AH69" s="10">
        <f t="shared" si="13"/>
        <v>22.789684394552225</v>
      </c>
      <c r="AI69" s="63"/>
      <c r="AJ69" s="10">
        <f t="shared" si="9"/>
        <v>104.57369999999999</v>
      </c>
      <c r="AK69" s="8"/>
      <c r="AL69" s="8">
        <f t="shared" si="14"/>
        <v>52.286849999999994</v>
      </c>
    </row>
    <row r="70" spans="1:38">
      <c r="A70" s="18">
        <v>41479</v>
      </c>
      <c r="B70" s="19" t="s">
        <v>141</v>
      </c>
      <c r="C70" s="12">
        <v>50.2</v>
      </c>
      <c r="D70" s="19" t="s">
        <v>80</v>
      </c>
      <c r="E70" s="8">
        <v>8.4092300000000009</v>
      </c>
      <c r="F70" s="8">
        <v>83.314769999999996</v>
      </c>
      <c r="G70" s="22">
        <v>50</v>
      </c>
      <c r="H70" s="22">
        <v>25</v>
      </c>
      <c r="I70" s="10">
        <f t="shared" ref="I70:I132" si="19">1/TAN(H70/100)</f>
        <v>3.9163173646459399</v>
      </c>
      <c r="J70" s="10">
        <f t="shared" ref="J70:J132" si="20">RADIANS(I70)</f>
        <v>6.8352632566099025E-2</v>
      </c>
      <c r="K70" s="10">
        <f t="shared" ref="K70:K132" si="21">21/COS(J70)</f>
        <v>21.049152545814849</v>
      </c>
      <c r="L70" s="22">
        <v>686</v>
      </c>
      <c r="M70" s="22" t="s">
        <v>36</v>
      </c>
      <c r="N70" s="8" t="s">
        <v>46</v>
      </c>
      <c r="O70" s="10" t="s">
        <v>37</v>
      </c>
      <c r="P70" s="10" t="s">
        <v>38</v>
      </c>
      <c r="Q70" s="11">
        <v>0.48</v>
      </c>
      <c r="R70" s="8" t="s">
        <v>60</v>
      </c>
      <c r="S70" s="30">
        <v>8.5</v>
      </c>
      <c r="T70" s="79">
        <f t="shared" si="10"/>
        <v>5.6745150000000006E-3</v>
      </c>
      <c r="U70" s="22">
        <v>6</v>
      </c>
      <c r="V70" s="22">
        <v>20</v>
      </c>
      <c r="W70" s="10">
        <f t="shared" si="15"/>
        <v>0.3490658503988659</v>
      </c>
      <c r="X70" s="22">
        <v>5</v>
      </c>
      <c r="Y70" s="22">
        <v>19</v>
      </c>
      <c r="Z70" s="10">
        <f t="shared" si="16"/>
        <v>0.33161255787892263</v>
      </c>
      <c r="AA70" s="10">
        <f t="shared" si="17"/>
        <v>3.6799616322397961</v>
      </c>
      <c r="AB70" s="10">
        <f t="shared" si="18"/>
        <v>7.4033581219915297</v>
      </c>
      <c r="AC70" s="10">
        <f t="shared" si="11"/>
        <v>0.92541976524894121</v>
      </c>
      <c r="AD70" s="10">
        <f t="shared" si="7"/>
        <v>3.7016790609957648</v>
      </c>
      <c r="AE70" s="65"/>
      <c r="AF70" s="10">
        <f t="shared" si="8"/>
        <v>18.858852597535876</v>
      </c>
      <c r="AG70" s="8">
        <f t="shared" si="12"/>
        <v>3.6774762565194958</v>
      </c>
      <c r="AH70" s="10">
        <f t="shared" si="13"/>
        <v>9.4294262987679378</v>
      </c>
      <c r="AI70" s="63"/>
      <c r="AJ70" s="10">
        <f t="shared" si="9"/>
        <v>15.661499999999997</v>
      </c>
      <c r="AK70" s="8"/>
      <c r="AL70" s="8">
        <f t="shared" si="14"/>
        <v>7.8307499999999983</v>
      </c>
    </row>
    <row r="71" spans="1:38">
      <c r="A71" s="18">
        <v>41479</v>
      </c>
      <c r="B71" s="19" t="s">
        <v>141</v>
      </c>
      <c r="C71" s="12">
        <v>50.2</v>
      </c>
      <c r="D71" s="19" t="s">
        <v>80</v>
      </c>
      <c r="E71" s="8">
        <v>8.4092300000000009</v>
      </c>
      <c r="F71" s="8">
        <v>83.314769999999996</v>
      </c>
      <c r="G71" s="22">
        <v>50</v>
      </c>
      <c r="H71" s="22">
        <v>25</v>
      </c>
      <c r="I71" s="10">
        <f t="shared" si="19"/>
        <v>3.9163173646459399</v>
      </c>
      <c r="J71" s="10">
        <f t="shared" si="20"/>
        <v>6.8352632566099025E-2</v>
      </c>
      <c r="K71" s="10">
        <f t="shared" si="21"/>
        <v>21.049152545814849</v>
      </c>
      <c r="L71" s="22">
        <v>813</v>
      </c>
      <c r="M71" s="22" t="s">
        <v>39</v>
      </c>
      <c r="N71" s="8" t="s">
        <v>69</v>
      </c>
      <c r="O71" s="10" t="s">
        <v>65</v>
      </c>
      <c r="P71" s="10" t="s">
        <v>70</v>
      </c>
      <c r="Q71" s="8">
        <v>0.37</v>
      </c>
      <c r="R71" s="8" t="s">
        <v>71</v>
      </c>
      <c r="S71" s="30">
        <v>9</v>
      </c>
      <c r="T71" s="79">
        <f t="shared" si="10"/>
        <v>6.3617400000000003E-3</v>
      </c>
      <c r="U71" s="22">
        <v>13</v>
      </c>
      <c r="V71" s="22">
        <v>57</v>
      </c>
      <c r="W71" s="10">
        <f t="shared" si="15"/>
        <v>0.99483767363676789</v>
      </c>
      <c r="X71" s="22">
        <v>6</v>
      </c>
      <c r="Y71" s="22">
        <v>5</v>
      </c>
      <c r="Z71" s="10">
        <f t="shared" si="16"/>
        <v>8.7266462599716474E-2</v>
      </c>
      <c r="AA71" s="10">
        <f t="shared" si="17"/>
        <v>11.425651839776462</v>
      </c>
      <c r="AB71" s="10">
        <f t="shared" si="18"/>
        <v>18.722135610136121</v>
      </c>
      <c r="AC71" s="10">
        <f t="shared" ref="AC71:AC133" si="22">AB71*0.125</f>
        <v>2.3402669512670151</v>
      </c>
      <c r="AD71" s="10">
        <f t="shared" ref="AD71:AD134" si="23">AB71/2</f>
        <v>9.3610678050680605</v>
      </c>
      <c r="AE71" s="65"/>
      <c r="AF71" s="10">
        <f t="shared" ref="AF71:AF134" si="24">Q71*EXP(-1.239+1.98*LN(S71)+0.207*(LN(S71))^2-0.0281*(LN(S71))^3)</f>
        <v>16.752178459439236</v>
      </c>
      <c r="AG71" s="8">
        <f t="shared" ref="AG71:AG133" si="25">AF71*0.195</f>
        <v>3.2666747995906511</v>
      </c>
      <c r="AH71" s="10">
        <f t="shared" ref="AH71:AH133" si="26">AF71/2</f>
        <v>8.3760892297196179</v>
      </c>
      <c r="AI71" s="63"/>
      <c r="AJ71" s="10">
        <f t="shared" ref="AJ71:AJ134" si="27">21.297-6.953*S71+0.74*(S71^2)</f>
        <v>18.659999999999997</v>
      </c>
      <c r="AK71" s="8"/>
      <c r="AL71" s="8">
        <f t="shared" ref="AL71:AL133" si="28">AJ71/2</f>
        <v>9.3299999999999983</v>
      </c>
    </row>
    <row r="72" spans="1:38">
      <c r="A72" s="18">
        <v>41479</v>
      </c>
      <c r="B72" s="19" t="s">
        <v>141</v>
      </c>
      <c r="C72" s="12">
        <v>50.2</v>
      </c>
      <c r="D72" s="19" t="s">
        <v>80</v>
      </c>
      <c r="E72" s="8">
        <v>8.4092300000000009</v>
      </c>
      <c r="F72" s="8">
        <v>83.314769999999996</v>
      </c>
      <c r="G72" s="22">
        <v>50</v>
      </c>
      <c r="H72" s="22">
        <v>25</v>
      </c>
      <c r="I72" s="10">
        <f t="shared" si="19"/>
        <v>3.9163173646459399</v>
      </c>
      <c r="J72" s="10">
        <f t="shared" si="20"/>
        <v>6.8352632566099025E-2</v>
      </c>
      <c r="K72" s="10">
        <f t="shared" si="21"/>
        <v>21.049152545814849</v>
      </c>
      <c r="L72" s="22">
        <v>726</v>
      </c>
      <c r="M72" s="22" t="s">
        <v>36</v>
      </c>
      <c r="N72" s="8" t="s">
        <v>46</v>
      </c>
      <c r="O72" s="10" t="s">
        <v>37</v>
      </c>
      <c r="P72" s="10" t="s">
        <v>38</v>
      </c>
      <c r="Q72" s="11">
        <v>0.48</v>
      </c>
      <c r="R72" s="8" t="s">
        <v>60</v>
      </c>
      <c r="S72" s="30">
        <v>14.7</v>
      </c>
      <c r="T72" s="79">
        <f t="shared" ref="T72:T135" si="29">0.00007854*S72^2</f>
        <v>1.69717086E-2</v>
      </c>
      <c r="U72" s="22">
        <v>7</v>
      </c>
      <c r="V72" s="22">
        <v>47</v>
      </c>
      <c r="W72" s="10">
        <f t="shared" si="15"/>
        <v>0.82030474843733492</v>
      </c>
      <c r="X72" s="22">
        <v>6</v>
      </c>
      <c r="Y72" s="22">
        <v>5</v>
      </c>
      <c r="Z72" s="10">
        <f t="shared" si="16"/>
        <v>8.7266462599716474E-2</v>
      </c>
      <c r="AA72" s="10">
        <f t="shared" si="17"/>
        <v>5.6424103678201423</v>
      </c>
      <c r="AB72" s="10">
        <f t="shared" si="18"/>
        <v>30.985739288094614</v>
      </c>
      <c r="AC72" s="10">
        <f t="shared" si="22"/>
        <v>3.8732174110118267</v>
      </c>
      <c r="AD72" s="10">
        <f t="shared" si="23"/>
        <v>15.492869644047307</v>
      </c>
      <c r="AE72" s="65"/>
      <c r="AF72" s="10">
        <f t="shared" si="24"/>
        <v>73.610507764208975</v>
      </c>
      <c r="AG72" s="8">
        <f t="shared" si="25"/>
        <v>14.354049014020751</v>
      </c>
      <c r="AH72" s="10">
        <f t="shared" si="26"/>
        <v>36.805253882104488</v>
      </c>
      <c r="AI72" s="63"/>
      <c r="AJ72" s="10">
        <f t="shared" si="27"/>
        <v>78.994499999999974</v>
      </c>
      <c r="AK72" s="8"/>
      <c r="AL72" s="8">
        <f t="shared" si="28"/>
        <v>39.497249999999987</v>
      </c>
    </row>
    <row r="73" spans="1:38">
      <c r="A73" s="18">
        <v>41479</v>
      </c>
      <c r="B73" s="19" t="s">
        <v>141</v>
      </c>
      <c r="C73" s="12">
        <v>50.2</v>
      </c>
      <c r="D73" s="19" t="s">
        <v>80</v>
      </c>
      <c r="E73" s="8">
        <v>8.4092300000000009</v>
      </c>
      <c r="F73" s="8">
        <v>83.314769999999996</v>
      </c>
      <c r="G73" s="22">
        <v>50</v>
      </c>
      <c r="H73" s="22">
        <v>25</v>
      </c>
      <c r="I73" s="10">
        <f t="shared" si="19"/>
        <v>3.9163173646459399</v>
      </c>
      <c r="J73" s="10">
        <f t="shared" si="20"/>
        <v>6.8352632566099025E-2</v>
      </c>
      <c r="K73" s="10">
        <f t="shared" si="21"/>
        <v>21.049152545814849</v>
      </c>
      <c r="L73" s="22">
        <v>680</v>
      </c>
      <c r="M73" s="22" t="s">
        <v>54</v>
      </c>
      <c r="N73" s="8" t="s">
        <v>55</v>
      </c>
      <c r="O73" s="10" t="s">
        <v>56</v>
      </c>
      <c r="P73" s="10" t="s">
        <v>57</v>
      </c>
      <c r="Q73" s="11">
        <v>0.315</v>
      </c>
      <c r="R73" s="12" t="s">
        <v>66</v>
      </c>
      <c r="S73" s="30">
        <v>5.6</v>
      </c>
      <c r="T73" s="79">
        <f t="shared" si="29"/>
        <v>2.4630143999999996E-3</v>
      </c>
      <c r="U73" s="22">
        <v>13</v>
      </c>
      <c r="V73" s="22">
        <v>53</v>
      </c>
      <c r="W73" s="10">
        <f t="shared" si="15"/>
        <v>0.92502450355699462</v>
      </c>
      <c r="X73" s="22">
        <v>6</v>
      </c>
      <c r="Y73" s="22">
        <v>5</v>
      </c>
      <c r="Z73" s="10">
        <f t="shared" si="16"/>
        <v>8.7266462599716474E-2</v>
      </c>
      <c r="AA73" s="10">
        <f t="shared" si="17"/>
        <v>10.905196087100755</v>
      </c>
      <c r="AB73" s="10">
        <f t="shared" si="18"/>
        <v>6.3130990445527191</v>
      </c>
      <c r="AC73" s="10">
        <f t="shared" si="22"/>
        <v>0.78913738056908989</v>
      </c>
      <c r="AD73" s="10">
        <f t="shared" si="23"/>
        <v>3.1565495222763595</v>
      </c>
      <c r="AE73" s="65"/>
      <c r="AF73" s="10">
        <f t="shared" si="24"/>
        <v>4.4263670873314807</v>
      </c>
      <c r="AG73" s="8">
        <f t="shared" si="25"/>
        <v>0.86314158202963875</v>
      </c>
      <c r="AH73" s="10">
        <f t="shared" si="26"/>
        <v>2.2131835436657403</v>
      </c>
      <c r="AI73" s="63"/>
      <c r="AJ73" s="10">
        <f t="shared" si="27"/>
        <v>5.5665999999999976</v>
      </c>
      <c r="AK73" s="8"/>
      <c r="AL73" s="8">
        <f t="shared" si="28"/>
        <v>2.7832999999999988</v>
      </c>
    </row>
    <row r="74" spans="1:38">
      <c r="A74" s="18">
        <v>41479</v>
      </c>
      <c r="B74" s="19" t="s">
        <v>141</v>
      </c>
      <c r="C74" s="12">
        <v>50.2</v>
      </c>
      <c r="D74" s="19" t="s">
        <v>80</v>
      </c>
      <c r="E74" s="8">
        <v>8.4092300000000009</v>
      </c>
      <c r="F74" s="8">
        <v>83.314769999999996</v>
      </c>
      <c r="G74" s="22">
        <v>50</v>
      </c>
      <c r="H74" s="22">
        <v>25</v>
      </c>
      <c r="I74" s="10">
        <f t="shared" si="19"/>
        <v>3.9163173646459399</v>
      </c>
      <c r="J74" s="10">
        <f t="shared" si="20"/>
        <v>6.8352632566099025E-2</v>
      </c>
      <c r="K74" s="10">
        <f t="shared" si="21"/>
        <v>21.049152545814849</v>
      </c>
      <c r="L74" s="22">
        <v>638</v>
      </c>
      <c r="M74" s="22" t="s">
        <v>39</v>
      </c>
      <c r="N74" s="8" t="s">
        <v>69</v>
      </c>
      <c r="O74" s="10" t="s">
        <v>65</v>
      </c>
      <c r="P74" s="10" t="s">
        <v>70</v>
      </c>
      <c r="Q74" s="8">
        <v>0.37</v>
      </c>
      <c r="R74" s="8" t="s">
        <v>71</v>
      </c>
      <c r="S74" s="30">
        <v>6.3</v>
      </c>
      <c r="T74" s="79">
        <f t="shared" si="29"/>
        <v>3.1172525999999998E-3</v>
      </c>
      <c r="U74" s="22">
        <v>8</v>
      </c>
      <c r="V74" s="22">
        <v>55</v>
      </c>
      <c r="W74" s="10">
        <f t="shared" si="15"/>
        <v>0.95993108859688125</v>
      </c>
      <c r="X74" s="22">
        <v>5</v>
      </c>
      <c r="Y74" s="22">
        <v>5</v>
      </c>
      <c r="Z74" s="10">
        <f t="shared" si="16"/>
        <v>8.7266462599716474E-2</v>
      </c>
      <c r="AA74" s="10">
        <f t="shared" si="17"/>
        <v>6.9889950680502251</v>
      </c>
      <c r="AB74" s="10">
        <f t="shared" si="18"/>
        <v>6.0322790675114781</v>
      </c>
      <c r="AC74" s="10">
        <f t="shared" si="22"/>
        <v>0.75403488343893477</v>
      </c>
      <c r="AD74" s="10">
        <f t="shared" si="23"/>
        <v>3.0161395337557391</v>
      </c>
      <c r="AE74" s="65"/>
      <c r="AF74" s="10">
        <f t="shared" si="24"/>
        <v>6.9383776146001477</v>
      </c>
      <c r="AG74" s="8">
        <f t="shared" si="25"/>
        <v>1.3529836348470288</v>
      </c>
      <c r="AH74" s="10">
        <f t="shared" si="26"/>
        <v>3.4691888073000738</v>
      </c>
      <c r="AI74" s="63"/>
      <c r="AJ74" s="10">
        <f t="shared" si="27"/>
        <v>6.8637000000000015</v>
      </c>
      <c r="AK74" s="8"/>
      <c r="AL74" s="8">
        <f t="shared" si="28"/>
        <v>3.4318500000000007</v>
      </c>
    </row>
    <row r="75" spans="1:38">
      <c r="A75" s="18">
        <v>41479</v>
      </c>
      <c r="B75" s="19" t="s">
        <v>141</v>
      </c>
      <c r="C75" s="12">
        <v>50.2</v>
      </c>
      <c r="D75" s="19" t="s">
        <v>80</v>
      </c>
      <c r="E75" s="8">
        <v>8.4092300000000009</v>
      </c>
      <c r="F75" s="8">
        <v>83.314769999999996</v>
      </c>
      <c r="G75" s="22">
        <v>50</v>
      </c>
      <c r="H75" s="22">
        <v>25</v>
      </c>
      <c r="I75" s="10">
        <f t="shared" si="19"/>
        <v>3.9163173646459399</v>
      </c>
      <c r="J75" s="10">
        <f t="shared" si="20"/>
        <v>6.8352632566099025E-2</v>
      </c>
      <c r="K75" s="10">
        <f t="shared" si="21"/>
        <v>21.049152545814849</v>
      </c>
      <c r="L75" s="22">
        <v>709</v>
      </c>
      <c r="M75" s="22" t="s">
        <v>39</v>
      </c>
      <c r="N75" s="8" t="s">
        <v>69</v>
      </c>
      <c r="O75" s="10" t="s">
        <v>65</v>
      </c>
      <c r="P75" s="10" t="s">
        <v>70</v>
      </c>
      <c r="Q75" s="8">
        <v>0.37</v>
      </c>
      <c r="R75" s="8" t="s">
        <v>71</v>
      </c>
      <c r="S75" s="30">
        <v>9.5</v>
      </c>
      <c r="T75" s="79">
        <f t="shared" si="29"/>
        <v>7.088235E-3</v>
      </c>
      <c r="U75" s="22">
        <v>14</v>
      </c>
      <c r="V75" s="22">
        <v>50</v>
      </c>
      <c r="W75" s="10">
        <f t="shared" si="15"/>
        <v>0.87266462599716477</v>
      </c>
      <c r="X75" s="22">
        <v>8</v>
      </c>
      <c r="Y75" s="22">
        <v>0</v>
      </c>
      <c r="Z75" s="10">
        <f t="shared" si="16"/>
        <v>0</v>
      </c>
      <c r="AA75" s="10">
        <f t="shared" si="17"/>
        <v>10.724622203665692</v>
      </c>
      <c r="AB75" s="10">
        <f t="shared" si="18"/>
        <v>19.527686845173179</v>
      </c>
      <c r="AC75" s="10">
        <f t="shared" si="22"/>
        <v>2.4409608556466473</v>
      </c>
      <c r="AD75" s="10">
        <f t="shared" si="23"/>
        <v>9.7638434225865893</v>
      </c>
      <c r="AE75" s="65"/>
      <c r="AF75" s="10">
        <f t="shared" si="24"/>
        <v>19.15987915500568</v>
      </c>
      <c r="AG75" s="8">
        <f t="shared" si="25"/>
        <v>3.7361764352261075</v>
      </c>
      <c r="AH75" s="10">
        <f t="shared" si="26"/>
        <v>9.5799395775028398</v>
      </c>
      <c r="AI75" s="63"/>
      <c r="AJ75" s="10">
        <f t="shared" si="27"/>
        <v>22.028499999999994</v>
      </c>
      <c r="AK75" s="8"/>
      <c r="AL75" s="8">
        <f t="shared" si="28"/>
        <v>11.014249999999997</v>
      </c>
    </row>
    <row r="76" spans="1:38">
      <c r="A76" s="18">
        <v>41479</v>
      </c>
      <c r="B76" s="19" t="s">
        <v>141</v>
      </c>
      <c r="C76" s="12">
        <v>50.2</v>
      </c>
      <c r="D76" s="19" t="s">
        <v>80</v>
      </c>
      <c r="E76" s="8">
        <v>8.4092300000000009</v>
      </c>
      <c r="F76" s="8">
        <v>83.314769999999996</v>
      </c>
      <c r="G76" s="22">
        <v>50</v>
      </c>
      <c r="H76" s="22">
        <v>25</v>
      </c>
      <c r="I76" s="10">
        <f t="shared" si="19"/>
        <v>3.9163173646459399</v>
      </c>
      <c r="J76" s="10">
        <f t="shared" si="20"/>
        <v>6.8352632566099025E-2</v>
      </c>
      <c r="K76" s="10">
        <f t="shared" si="21"/>
        <v>21.049152545814849</v>
      </c>
      <c r="L76" s="22">
        <v>719</v>
      </c>
      <c r="M76" s="22" t="s">
        <v>39</v>
      </c>
      <c r="N76" s="8" t="s">
        <v>69</v>
      </c>
      <c r="O76" s="10" t="s">
        <v>65</v>
      </c>
      <c r="P76" s="10" t="s">
        <v>70</v>
      </c>
      <c r="Q76" s="8">
        <v>0.37</v>
      </c>
      <c r="R76" s="8" t="s">
        <v>71</v>
      </c>
      <c r="S76" s="30">
        <v>9.6</v>
      </c>
      <c r="T76" s="79">
        <f t="shared" si="29"/>
        <v>7.2382464000000004E-3</v>
      </c>
      <c r="U76" s="22">
        <v>13</v>
      </c>
      <c r="V76" s="22">
        <v>60</v>
      </c>
      <c r="W76" s="10">
        <f t="shared" si="15"/>
        <v>1.0471975511965976</v>
      </c>
      <c r="X76" s="22">
        <v>6</v>
      </c>
      <c r="Y76" s="22">
        <v>6</v>
      </c>
      <c r="Z76" s="10">
        <f t="shared" si="16"/>
        <v>0.10471975511965978</v>
      </c>
      <c r="AA76" s="10">
        <f t="shared" si="17"/>
        <v>11.885501028803622</v>
      </c>
      <c r="AB76" s="10">
        <f t="shared" si="18"/>
        <v>21.936013480069516</v>
      </c>
      <c r="AC76" s="10">
        <f t="shared" si="22"/>
        <v>2.7420016850086895</v>
      </c>
      <c r="AD76" s="10">
        <f t="shared" si="23"/>
        <v>10.968006740034758</v>
      </c>
      <c r="AE76" s="65"/>
      <c r="AF76" s="10">
        <f t="shared" si="24"/>
        <v>19.664975382941176</v>
      </c>
      <c r="AG76" s="8">
        <f t="shared" si="25"/>
        <v>3.8346701996735293</v>
      </c>
      <c r="AH76" s="10">
        <f t="shared" si="26"/>
        <v>9.8324876914705879</v>
      </c>
      <c r="AI76" s="63"/>
      <c r="AJ76" s="10">
        <f t="shared" si="27"/>
        <v>22.746599999999987</v>
      </c>
      <c r="AK76" s="8"/>
      <c r="AL76" s="8">
        <f t="shared" si="28"/>
        <v>11.373299999999993</v>
      </c>
    </row>
    <row r="77" spans="1:38">
      <c r="A77" s="18">
        <v>41479</v>
      </c>
      <c r="B77" s="19" t="s">
        <v>141</v>
      </c>
      <c r="C77" s="12">
        <v>50.2</v>
      </c>
      <c r="D77" s="19" t="s">
        <v>80</v>
      </c>
      <c r="E77" s="8">
        <v>8.4092300000000009</v>
      </c>
      <c r="F77" s="8">
        <v>83.314769999999996</v>
      </c>
      <c r="G77" s="22">
        <v>50</v>
      </c>
      <c r="H77" s="22">
        <v>25</v>
      </c>
      <c r="I77" s="10">
        <f t="shared" si="19"/>
        <v>3.9163173646459399</v>
      </c>
      <c r="J77" s="10">
        <f t="shared" si="20"/>
        <v>6.8352632566099025E-2</v>
      </c>
      <c r="K77" s="10">
        <f t="shared" si="21"/>
        <v>21.049152545814849</v>
      </c>
      <c r="L77" s="22">
        <v>738</v>
      </c>
      <c r="M77" s="22" t="s">
        <v>36</v>
      </c>
      <c r="N77" s="8" t="s">
        <v>46</v>
      </c>
      <c r="O77" s="10" t="s">
        <v>37</v>
      </c>
      <c r="P77" s="10" t="s">
        <v>38</v>
      </c>
      <c r="Q77" s="11">
        <v>0.48</v>
      </c>
      <c r="R77" s="8" t="s">
        <v>60</v>
      </c>
      <c r="S77" s="30">
        <v>14</v>
      </c>
      <c r="T77" s="79">
        <f t="shared" si="29"/>
        <v>1.5393840000000001E-2</v>
      </c>
      <c r="U77" s="22">
        <v>7</v>
      </c>
      <c r="V77" s="22">
        <v>40</v>
      </c>
      <c r="W77" s="10">
        <f t="shared" si="15"/>
        <v>0.69813170079773179</v>
      </c>
      <c r="X77" s="22">
        <v>7</v>
      </c>
      <c r="Y77" s="22">
        <v>14</v>
      </c>
      <c r="Z77" s="10">
        <f t="shared" si="16"/>
        <v>0.24434609527920614</v>
      </c>
      <c r="AA77" s="10">
        <f t="shared" si="17"/>
        <v>6.1929665370034481</v>
      </c>
      <c r="AB77" s="10">
        <f t="shared" si="18"/>
        <v>30.855600351685325</v>
      </c>
      <c r="AC77" s="10">
        <f t="shared" si="22"/>
        <v>3.8569500439606657</v>
      </c>
      <c r="AD77" s="10">
        <f t="shared" si="23"/>
        <v>15.427800175842663</v>
      </c>
      <c r="AE77" s="65"/>
      <c r="AF77" s="10">
        <f t="shared" si="24"/>
        <v>65.206702995753432</v>
      </c>
      <c r="AG77" s="8">
        <f t="shared" si="25"/>
        <v>12.71530708417192</v>
      </c>
      <c r="AH77" s="10">
        <f t="shared" si="26"/>
        <v>32.603351497876716</v>
      </c>
      <c r="AI77" s="63"/>
      <c r="AJ77" s="10">
        <f t="shared" si="27"/>
        <v>68.99499999999999</v>
      </c>
      <c r="AK77" s="8"/>
      <c r="AL77" s="8">
        <f t="shared" si="28"/>
        <v>34.497499999999995</v>
      </c>
    </row>
    <row r="78" spans="1:38">
      <c r="A78" s="18">
        <v>41479</v>
      </c>
      <c r="B78" s="19" t="s">
        <v>141</v>
      </c>
      <c r="C78" s="12">
        <v>50.2</v>
      </c>
      <c r="D78" s="19" t="s">
        <v>80</v>
      </c>
      <c r="E78" s="8">
        <v>8.4092300000000009</v>
      </c>
      <c r="F78" s="8">
        <v>83.314769999999996</v>
      </c>
      <c r="G78" s="22">
        <v>50</v>
      </c>
      <c r="H78" s="22">
        <v>25</v>
      </c>
      <c r="I78" s="10">
        <f t="shared" si="19"/>
        <v>3.9163173646459399</v>
      </c>
      <c r="J78" s="10">
        <f t="shared" si="20"/>
        <v>6.8352632566099025E-2</v>
      </c>
      <c r="K78" s="10">
        <f t="shared" si="21"/>
        <v>21.049152545814849</v>
      </c>
      <c r="L78" s="22">
        <v>830</v>
      </c>
      <c r="M78" s="22" t="s">
        <v>36</v>
      </c>
      <c r="N78" s="8" t="s">
        <v>46</v>
      </c>
      <c r="O78" s="10" t="s">
        <v>37</v>
      </c>
      <c r="P78" s="10" t="s">
        <v>38</v>
      </c>
      <c r="Q78" s="11">
        <v>0.48</v>
      </c>
      <c r="R78" s="8" t="s">
        <v>60</v>
      </c>
      <c r="S78" s="30">
        <v>16.5</v>
      </c>
      <c r="T78" s="79">
        <f t="shared" si="29"/>
        <v>2.1382515000000001E-2</v>
      </c>
      <c r="U78" s="22">
        <v>7</v>
      </c>
      <c r="V78" s="22">
        <v>31</v>
      </c>
      <c r="W78" s="10">
        <f t="shared" si="15"/>
        <v>0.54105206811824214</v>
      </c>
      <c r="X78" s="22">
        <v>6</v>
      </c>
      <c r="Y78" s="22">
        <v>16</v>
      </c>
      <c r="Z78" s="10">
        <f t="shared" si="16"/>
        <v>0.27925268031909273</v>
      </c>
      <c r="AA78" s="10">
        <f t="shared" si="17"/>
        <v>5.2590906592723741</v>
      </c>
      <c r="AB78" s="10">
        <f t="shared" si="18"/>
        <v>36.037471966805541</v>
      </c>
      <c r="AC78" s="10">
        <f t="shared" si="22"/>
        <v>4.5046839958506926</v>
      </c>
      <c r="AD78" s="10">
        <f t="shared" si="23"/>
        <v>18.01873598340277</v>
      </c>
      <c r="AE78" s="65"/>
      <c r="AF78" s="10">
        <f t="shared" si="24"/>
        <v>98.041149912548704</v>
      </c>
      <c r="AG78" s="8">
        <f t="shared" si="25"/>
        <v>19.118024232946997</v>
      </c>
      <c r="AH78" s="10">
        <f t="shared" si="26"/>
        <v>49.020574956274352</v>
      </c>
      <c r="AI78" s="63"/>
      <c r="AJ78" s="10">
        <f t="shared" si="27"/>
        <v>108.03749999999999</v>
      </c>
      <c r="AK78" s="8"/>
      <c r="AL78" s="8">
        <f t="shared" si="28"/>
        <v>54.018749999999997</v>
      </c>
    </row>
    <row r="79" spans="1:38">
      <c r="A79" s="18">
        <v>41479</v>
      </c>
      <c r="B79" s="19" t="s">
        <v>141</v>
      </c>
      <c r="C79" s="12">
        <v>50.2</v>
      </c>
      <c r="D79" s="19" t="s">
        <v>80</v>
      </c>
      <c r="E79" s="8">
        <v>8.4092300000000009</v>
      </c>
      <c r="F79" s="8">
        <v>83.314769999999996</v>
      </c>
      <c r="G79" s="22">
        <v>50</v>
      </c>
      <c r="H79" s="22">
        <v>25</v>
      </c>
      <c r="I79" s="10">
        <f t="shared" si="19"/>
        <v>3.9163173646459399</v>
      </c>
      <c r="J79" s="10">
        <f t="shared" si="20"/>
        <v>6.8352632566099025E-2</v>
      </c>
      <c r="K79" s="10">
        <f t="shared" si="21"/>
        <v>21.049152545814849</v>
      </c>
      <c r="L79" s="22">
        <v>793</v>
      </c>
      <c r="M79" s="22" t="s">
        <v>39</v>
      </c>
      <c r="N79" s="8" t="s">
        <v>69</v>
      </c>
      <c r="O79" s="10" t="s">
        <v>65</v>
      </c>
      <c r="P79" s="10" t="s">
        <v>70</v>
      </c>
      <c r="Q79" s="8">
        <v>0.37</v>
      </c>
      <c r="R79" s="8" t="s">
        <v>71</v>
      </c>
      <c r="S79" s="30">
        <v>5.8</v>
      </c>
      <c r="T79" s="79">
        <f t="shared" si="29"/>
        <v>2.6420856E-3</v>
      </c>
      <c r="U79" s="22">
        <v>8</v>
      </c>
      <c r="V79" s="22">
        <v>60</v>
      </c>
      <c r="W79" s="10">
        <f t="shared" si="15"/>
        <v>1.0471975511965976</v>
      </c>
      <c r="X79" s="22">
        <v>5</v>
      </c>
      <c r="Y79" s="22">
        <v>15</v>
      </c>
      <c r="Z79" s="10">
        <f t="shared" si="16"/>
        <v>0.26179938779914941</v>
      </c>
      <c r="AA79" s="10">
        <f t="shared" si="17"/>
        <v>8.2222984557881134</v>
      </c>
      <c r="AB79" s="10">
        <f t="shared" si="18"/>
        <v>6.0160247248549075</v>
      </c>
      <c r="AC79" s="10">
        <f t="shared" si="22"/>
        <v>0.75200309060686343</v>
      </c>
      <c r="AD79" s="10">
        <f t="shared" si="23"/>
        <v>3.0080123624274537</v>
      </c>
      <c r="AE79" s="65"/>
      <c r="AF79" s="10">
        <f t="shared" si="24"/>
        <v>5.6650375177496333</v>
      </c>
      <c r="AG79" s="8">
        <f t="shared" si="25"/>
        <v>1.1046823159611785</v>
      </c>
      <c r="AH79" s="10">
        <f t="shared" si="26"/>
        <v>2.8325187588748166</v>
      </c>
      <c r="AI79" s="63"/>
      <c r="AJ79" s="10">
        <f t="shared" si="27"/>
        <v>5.8632000000000026</v>
      </c>
      <c r="AK79" s="8"/>
      <c r="AL79" s="8">
        <f t="shared" si="28"/>
        <v>2.9316000000000013</v>
      </c>
    </row>
    <row r="80" spans="1:38">
      <c r="A80" s="18">
        <v>41479</v>
      </c>
      <c r="B80" s="19" t="s">
        <v>141</v>
      </c>
      <c r="C80" s="12">
        <v>50.2</v>
      </c>
      <c r="D80" s="19" t="s">
        <v>80</v>
      </c>
      <c r="E80" s="8">
        <v>8.4092300000000009</v>
      </c>
      <c r="F80" s="8">
        <v>83.314769999999996</v>
      </c>
      <c r="G80" s="22">
        <v>50</v>
      </c>
      <c r="H80" s="22">
        <v>25</v>
      </c>
      <c r="I80" s="10">
        <f t="shared" si="19"/>
        <v>3.9163173646459399</v>
      </c>
      <c r="J80" s="10">
        <f t="shared" si="20"/>
        <v>6.8352632566099025E-2</v>
      </c>
      <c r="K80" s="10">
        <f t="shared" si="21"/>
        <v>21.049152545814849</v>
      </c>
      <c r="L80" s="22">
        <v>631</v>
      </c>
      <c r="M80" s="22" t="s">
        <v>39</v>
      </c>
      <c r="N80" s="8" t="s">
        <v>69</v>
      </c>
      <c r="O80" s="10" t="s">
        <v>65</v>
      </c>
      <c r="P80" s="10" t="s">
        <v>70</v>
      </c>
      <c r="Q80" s="8">
        <v>0.37</v>
      </c>
      <c r="R80" s="8" t="s">
        <v>71</v>
      </c>
      <c r="S80" s="30">
        <v>15.2</v>
      </c>
      <c r="T80" s="79">
        <f t="shared" si="29"/>
        <v>1.81458816E-2</v>
      </c>
      <c r="U80" s="22">
        <v>20</v>
      </c>
      <c r="V80" s="22">
        <v>65</v>
      </c>
      <c r="W80" s="10">
        <f t="shared" si="15"/>
        <v>1.1344640137963142</v>
      </c>
      <c r="X80" s="22">
        <v>6</v>
      </c>
      <c r="Y80" s="22">
        <v>15</v>
      </c>
      <c r="Z80" s="10">
        <f t="shared" si="16"/>
        <v>0.26179938779914941</v>
      </c>
      <c r="AA80" s="10">
        <f t="shared" si="17"/>
        <v>19.679070011348124</v>
      </c>
      <c r="AB80" s="10">
        <f t="shared" si="18"/>
        <v>83.599096491423737</v>
      </c>
      <c r="AC80" s="10">
        <f t="shared" si="22"/>
        <v>10.449887061427967</v>
      </c>
      <c r="AD80" s="10">
        <f t="shared" si="23"/>
        <v>41.799548245711868</v>
      </c>
      <c r="AE80" s="65"/>
      <c r="AF80" s="10">
        <f t="shared" si="24"/>
        <v>61.655210522878484</v>
      </c>
      <c r="AG80" s="8">
        <f t="shared" si="25"/>
        <v>12.022766051961305</v>
      </c>
      <c r="AH80" s="10">
        <f t="shared" si="26"/>
        <v>30.827605261439242</v>
      </c>
      <c r="AI80" s="63"/>
      <c r="AJ80" s="10">
        <f t="shared" si="27"/>
        <v>86.580999999999989</v>
      </c>
      <c r="AK80" s="8"/>
      <c r="AL80" s="8">
        <f t="shared" si="28"/>
        <v>43.290499999999994</v>
      </c>
    </row>
    <row r="81" spans="1:38">
      <c r="A81" s="18">
        <v>41479</v>
      </c>
      <c r="B81" s="19" t="s">
        <v>141</v>
      </c>
      <c r="C81" s="12">
        <v>50.2</v>
      </c>
      <c r="D81" s="19" t="s">
        <v>80</v>
      </c>
      <c r="E81" s="8">
        <v>8.4092300000000009</v>
      </c>
      <c r="F81" s="8">
        <v>83.314769999999996</v>
      </c>
      <c r="G81" s="22">
        <v>50</v>
      </c>
      <c r="H81" s="22">
        <v>25</v>
      </c>
      <c r="I81" s="10">
        <f t="shared" si="19"/>
        <v>3.9163173646459399</v>
      </c>
      <c r="J81" s="10">
        <f t="shared" si="20"/>
        <v>6.8352632566099025E-2</v>
      </c>
      <c r="K81" s="10">
        <f t="shared" si="21"/>
        <v>21.049152545814849</v>
      </c>
      <c r="L81" s="22">
        <v>809</v>
      </c>
      <c r="M81" s="22" t="s">
        <v>39</v>
      </c>
      <c r="N81" s="8" t="s">
        <v>69</v>
      </c>
      <c r="O81" s="10" t="s">
        <v>65</v>
      </c>
      <c r="P81" s="10" t="s">
        <v>70</v>
      </c>
      <c r="Q81" s="8">
        <v>0.37</v>
      </c>
      <c r="R81" s="8" t="s">
        <v>71</v>
      </c>
      <c r="S81" s="30">
        <v>30.9</v>
      </c>
      <c r="T81" s="79">
        <f t="shared" si="29"/>
        <v>7.49907774E-2</v>
      </c>
      <c r="U81" s="22">
        <v>21</v>
      </c>
      <c r="V81" s="22">
        <v>70</v>
      </c>
      <c r="W81" s="10">
        <f t="shared" si="15"/>
        <v>1.2217304763960306</v>
      </c>
      <c r="X81" s="22">
        <v>7</v>
      </c>
      <c r="Y81" s="22">
        <v>15</v>
      </c>
      <c r="Z81" s="10">
        <f t="shared" si="16"/>
        <v>0.26179938779914941</v>
      </c>
      <c r="AA81" s="10">
        <f t="shared" si="17"/>
        <v>21.545278352221722</v>
      </c>
      <c r="AB81" s="10">
        <f t="shared" si="18"/>
        <v>345.49698826194225</v>
      </c>
      <c r="AC81" s="10">
        <f t="shared" si="22"/>
        <v>43.187123532742781</v>
      </c>
      <c r="AD81" s="10">
        <f t="shared" si="23"/>
        <v>172.74849413097112</v>
      </c>
      <c r="AE81" s="65"/>
      <c r="AF81" s="10">
        <f t="shared" si="24"/>
        <v>351.20380447334315</v>
      </c>
      <c r="AG81" s="8">
        <f t="shared" si="25"/>
        <v>68.484741872301925</v>
      </c>
      <c r="AH81" s="10">
        <f t="shared" si="26"/>
        <v>175.60190223667158</v>
      </c>
      <c r="AI81" s="63"/>
      <c r="AJ81" s="10">
        <f t="shared" si="27"/>
        <v>513.00869999999998</v>
      </c>
      <c r="AK81" s="8"/>
      <c r="AL81" s="8">
        <f t="shared" si="28"/>
        <v>256.50434999999999</v>
      </c>
    </row>
    <row r="82" spans="1:38">
      <c r="A82" s="18">
        <v>41479</v>
      </c>
      <c r="B82" s="19" t="s">
        <v>141</v>
      </c>
      <c r="C82" s="12">
        <v>50.2</v>
      </c>
      <c r="D82" s="19" t="s">
        <v>80</v>
      </c>
      <c r="E82" s="8">
        <v>8.4092300000000009</v>
      </c>
      <c r="F82" s="8">
        <v>83.314769999999996</v>
      </c>
      <c r="G82" s="22">
        <v>50</v>
      </c>
      <c r="H82" s="22">
        <v>25</v>
      </c>
      <c r="I82" s="10">
        <f t="shared" si="19"/>
        <v>3.9163173646459399</v>
      </c>
      <c r="J82" s="10">
        <f t="shared" si="20"/>
        <v>6.8352632566099025E-2</v>
      </c>
      <c r="K82" s="10">
        <f t="shared" si="21"/>
        <v>21.049152545814849</v>
      </c>
      <c r="L82" s="22">
        <v>784</v>
      </c>
      <c r="M82" s="22" t="s">
        <v>39</v>
      </c>
      <c r="N82" s="8" t="s">
        <v>69</v>
      </c>
      <c r="O82" s="10" t="s">
        <v>65</v>
      </c>
      <c r="P82" s="10" t="s">
        <v>70</v>
      </c>
      <c r="Q82" s="8">
        <v>0.37</v>
      </c>
      <c r="R82" s="8" t="s">
        <v>71</v>
      </c>
      <c r="S82" s="30">
        <v>10.4</v>
      </c>
      <c r="T82" s="79">
        <f t="shared" si="29"/>
        <v>8.494886400000002E-3</v>
      </c>
      <c r="U82" s="22">
        <v>12</v>
      </c>
      <c r="V82" s="22">
        <v>62</v>
      </c>
      <c r="W82" s="10">
        <f t="shared" ref="W82:W113" si="30">RADIANS(V82)</f>
        <v>1.0821041362364843</v>
      </c>
      <c r="X82" s="22">
        <v>5</v>
      </c>
      <c r="Y82" s="22">
        <v>13</v>
      </c>
      <c r="Z82" s="10">
        <f t="shared" ref="Z82:Z113" si="31">RADIANS(Y82)</f>
        <v>0.22689280275926285</v>
      </c>
      <c r="AA82" s="10">
        <f t="shared" ref="AA82:AA113" si="32">(SIN(W82)*U82)+(SIN(Z82)*X82)</f>
        <v>11.720126386026447</v>
      </c>
      <c r="AB82" s="10">
        <f t="shared" ref="AB82:AB113" si="33">0.0776*(Q82*S82^2*AA82)^0.94</f>
        <v>25.164620021458528</v>
      </c>
      <c r="AC82" s="10">
        <f t="shared" si="22"/>
        <v>3.1455775026823161</v>
      </c>
      <c r="AD82" s="10">
        <f t="shared" si="23"/>
        <v>12.582310010729264</v>
      </c>
      <c r="AE82" s="65"/>
      <c r="AF82" s="10">
        <f t="shared" si="24"/>
        <v>23.995005323267627</v>
      </c>
      <c r="AG82" s="8">
        <f t="shared" si="25"/>
        <v>4.6790260380371871</v>
      </c>
      <c r="AH82" s="10">
        <f t="shared" si="26"/>
        <v>11.997502661633813</v>
      </c>
      <c r="AI82" s="63"/>
      <c r="AJ82" s="10">
        <f t="shared" si="27"/>
        <v>29.024200000000008</v>
      </c>
      <c r="AK82" s="8"/>
      <c r="AL82" s="8">
        <f t="shared" si="28"/>
        <v>14.512100000000004</v>
      </c>
    </row>
    <row r="83" spans="1:38">
      <c r="A83" s="18">
        <v>41479</v>
      </c>
      <c r="B83" s="19" t="s">
        <v>141</v>
      </c>
      <c r="C83" s="12">
        <v>50.2</v>
      </c>
      <c r="D83" s="19" t="s">
        <v>80</v>
      </c>
      <c r="E83" s="8">
        <v>8.4092300000000009</v>
      </c>
      <c r="F83" s="8">
        <v>83.314769999999996</v>
      </c>
      <c r="G83" s="22">
        <v>50</v>
      </c>
      <c r="H83" s="22">
        <v>25</v>
      </c>
      <c r="I83" s="10">
        <f t="shared" si="19"/>
        <v>3.9163173646459399</v>
      </c>
      <c r="J83" s="10">
        <f t="shared" si="20"/>
        <v>6.8352632566099025E-2</v>
      </c>
      <c r="K83" s="10">
        <f t="shared" si="21"/>
        <v>21.049152545814849</v>
      </c>
      <c r="L83" s="22">
        <v>598</v>
      </c>
      <c r="M83" s="22" t="s">
        <v>39</v>
      </c>
      <c r="N83" s="8" t="s">
        <v>69</v>
      </c>
      <c r="O83" s="10" t="s">
        <v>65</v>
      </c>
      <c r="P83" s="10" t="s">
        <v>70</v>
      </c>
      <c r="Q83" s="8">
        <v>0.37</v>
      </c>
      <c r="R83" s="8" t="s">
        <v>71</v>
      </c>
      <c r="S83" s="30">
        <v>29.2</v>
      </c>
      <c r="T83" s="79">
        <f t="shared" si="29"/>
        <v>6.6966345600000005E-2</v>
      </c>
      <c r="U83" s="22">
        <v>19</v>
      </c>
      <c r="V83" s="22">
        <v>70</v>
      </c>
      <c r="W83" s="10">
        <f t="shared" si="30"/>
        <v>1.2217304763960306</v>
      </c>
      <c r="X83" s="22">
        <v>5</v>
      </c>
      <c r="Y83" s="22">
        <v>16</v>
      </c>
      <c r="Z83" s="10">
        <f t="shared" si="31"/>
        <v>0.27925268031909273</v>
      </c>
      <c r="AA83" s="10">
        <f t="shared" si="32"/>
        <v>19.232346574017253</v>
      </c>
      <c r="AB83" s="10">
        <f t="shared" si="33"/>
        <v>279.17816126169151</v>
      </c>
      <c r="AC83" s="10">
        <f t="shared" si="22"/>
        <v>34.897270157711439</v>
      </c>
      <c r="AD83" s="10">
        <f t="shared" si="23"/>
        <v>139.58908063084576</v>
      </c>
      <c r="AE83" s="65"/>
      <c r="AF83" s="10">
        <f t="shared" si="24"/>
        <v>306.3840569624989</v>
      </c>
      <c r="AG83" s="8">
        <f t="shared" si="25"/>
        <v>59.744891107687288</v>
      </c>
      <c r="AH83" s="10">
        <f t="shared" si="26"/>
        <v>153.19202848124945</v>
      </c>
      <c r="AI83" s="63"/>
      <c r="AJ83" s="10">
        <f t="shared" si="27"/>
        <v>449.22299999999996</v>
      </c>
      <c r="AK83" s="8"/>
      <c r="AL83" s="8">
        <f t="shared" si="28"/>
        <v>224.61149999999998</v>
      </c>
    </row>
    <row r="84" spans="1:38">
      <c r="A84" s="18">
        <v>41479</v>
      </c>
      <c r="B84" s="19" t="s">
        <v>141</v>
      </c>
      <c r="C84" s="12">
        <v>50.2</v>
      </c>
      <c r="D84" s="19" t="s">
        <v>80</v>
      </c>
      <c r="E84" s="8">
        <v>8.4092300000000009</v>
      </c>
      <c r="F84" s="8">
        <v>83.314769999999996</v>
      </c>
      <c r="G84" s="22">
        <v>50</v>
      </c>
      <c r="H84" s="22">
        <v>25</v>
      </c>
      <c r="I84" s="10">
        <f t="shared" si="19"/>
        <v>3.9163173646459399</v>
      </c>
      <c r="J84" s="10">
        <f t="shared" si="20"/>
        <v>6.8352632566099025E-2</v>
      </c>
      <c r="K84" s="10">
        <f t="shared" si="21"/>
        <v>21.049152545814849</v>
      </c>
      <c r="L84" s="22">
        <v>800</v>
      </c>
      <c r="M84" s="22" t="s">
        <v>39</v>
      </c>
      <c r="N84" s="8" t="s">
        <v>69</v>
      </c>
      <c r="O84" s="10" t="s">
        <v>65</v>
      </c>
      <c r="P84" s="10" t="s">
        <v>70</v>
      </c>
      <c r="Q84" s="8">
        <v>0.37</v>
      </c>
      <c r="R84" s="8" t="s">
        <v>71</v>
      </c>
      <c r="S84" s="30">
        <v>9.1999999999999993</v>
      </c>
      <c r="T84" s="79">
        <f t="shared" si="29"/>
        <v>6.6476255999999992E-3</v>
      </c>
      <c r="U84" s="22">
        <v>12</v>
      </c>
      <c r="V84" s="22">
        <v>60</v>
      </c>
      <c r="W84" s="10">
        <f t="shared" si="30"/>
        <v>1.0471975511965976</v>
      </c>
      <c r="X84" s="22">
        <v>5</v>
      </c>
      <c r="Y84" s="22">
        <v>16</v>
      </c>
      <c r="Z84" s="10">
        <f t="shared" si="31"/>
        <v>0.27925268031909273</v>
      </c>
      <c r="AA84" s="10">
        <f t="shared" si="32"/>
        <v>11.770491624498259</v>
      </c>
      <c r="AB84" s="10">
        <f t="shared" si="33"/>
        <v>20.065010150348208</v>
      </c>
      <c r="AC84" s="10">
        <f t="shared" si="22"/>
        <v>2.508126268793526</v>
      </c>
      <c r="AD84" s="10">
        <f t="shared" si="23"/>
        <v>10.032505075174104</v>
      </c>
      <c r="AE84" s="65"/>
      <c r="AF84" s="10">
        <f t="shared" si="24"/>
        <v>17.691863609548438</v>
      </c>
      <c r="AG84" s="8">
        <f t="shared" si="25"/>
        <v>3.4499134038619457</v>
      </c>
      <c r="AH84" s="10">
        <f t="shared" si="26"/>
        <v>8.845931804774219</v>
      </c>
      <c r="AI84" s="63"/>
      <c r="AJ84" s="10">
        <f t="shared" si="27"/>
        <v>19.962999999999994</v>
      </c>
      <c r="AK84" s="8"/>
      <c r="AL84" s="8">
        <f t="shared" si="28"/>
        <v>9.9814999999999969</v>
      </c>
    </row>
    <row r="85" spans="1:38">
      <c r="A85" s="18">
        <v>41479</v>
      </c>
      <c r="B85" s="19" t="s">
        <v>141</v>
      </c>
      <c r="C85" s="12">
        <v>50.2</v>
      </c>
      <c r="D85" s="19" t="s">
        <v>80</v>
      </c>
      <c r="E85" s="8">
        <v>8.4092300000000009</v>
      </c>
      <c r="F85" s="8">
        <v>83.314769999999996</v>
      </c>
      <c r="G85" s="22">
        <v>50</v>
      </c>
      <c r="H85" s="22">
        <v>25</v>
      </c>
      <c r="I85" s="10">
        <f t="shared" si="19"/>
        <v>3.9163173646459399</v>
      </c>
      <c r="J85" s="10">
        <f t="shared" si="20"/>
        <v>6.8352632566099025E-2</v>
      </c>
      <c r="K85" s="10">
        <f t="shared" si="21"/>
        <v>21.049152545814849</v>
      </c>
      <c r="L85" s="22">
        <v>664</v>
      </c>
      <c r="M85" s="22" t="s">
        <v>36</v>
      </c>
      <c r="N85" s="8" t="s">
        <v>46</v>
      </c>
      <c r="O85" s="10" t="s">
        <v>37</v>
      </c>
      <c r="P85" s="10" t="s">
        <v>38</v>
      </c>
      <c r="Q85" s="11">
        <v>0.48</v>
      </c>
      <c r="R85" s="8" t="s">
        <v>60</v>
      </c>
      <c r="S85" s="30">
        <v>10.8</v>
      </c>
      <c r="T85" s="79">
        <f t="shared" si="29"/>
        <v>9.1609056000000015E-3</v>
      </c>
      <c r="U85" s="22">
        <v>9</v>
      </c>
      <c r="V85" s="22">
        <v>33</v>
      </c>
      <c r="W85" s="10">
        <f t="shared" si="30"/>
        <v>0.57595865315812877</v>
      </c>
      <c r="X85" s="22">
        <v>5</v>
      </c>
      <c r="Y85" s="22">
        <v>20</v>
      </c>
      <c r="Z85" s="10">
        <f t="shared" si="31"/>
        <v>0.3490658503988659</v>
      </c>
      <c r="AA85" s="10">
        <f t="shared" si="32"/>
        <v>6.611852031763588</v>
      </c>
      <c r="AB85" s="10">
        <f t="shared" si="33"/>
        <v>20.145074739342899</v>
      </c>
      <c r="AC85" s="10">
        <f t="shared" si="22"/>
        <v>2.5181343424178624</v>
      </c>
      <c r="AD85" s="10">
        <f t="shared" si="23"/>
        <v>10.07253736967145</v>
      </c>
      <c r="AE85" s="65"/>
      <c r="AF85" s="10">
        <f t="shared" si="24"/>
        <v>34.192583044124127</v>
      </c>
      <c r="AG85" s="8">
        <f t="shared" si="25"/>
        <v>6.667553693604205</v>
      </c>
      <c r="AH85" s="10">
        <f t="shared" si="26"/>
        <v>17.096291522062064</v>
      </c>
      <c r="AI85" s="63"/>
      <c r="AJ85" s="10">
        <f t="shared" si="27"/>
        <v>32.518199999999993</v>
      </c>
      <c r="AK85" s="8"/>
      <c r="AL85" s="8">
        <f t="shared" si="28"/>
        <v>16.259099999999997</v>
      </c>
    </row>
    <row r="86" spans="1:38">
      <c r="A86" s="18">
        <v>41479</v>
      </c>
      <c r="B86" s="19" t="s">
        <v>141</v>
      </c>
      <c r="C86" s="12">
        <v>50.2</v>
      </c>
      <c r="D86" s="19" t="s">
        <v>80</v>
      </c>
      <c r="E86" s="8">
        <v>8.4092300000000009</v>
      </c>
      <c r="F86" s="8">
        <v>83.314769999999996</v>
      </c>
      <c r="G86" s="22">
        <v>50</v>
      </c>
      <c r="H86" s="22">
        <v>25</v>
      </c>
      <c r="I86" s="10">
        <f t="shared" si="19"/>
        <v>3.9163173646459399</v>
      </c>
      <c r="J86" s="10">
        <f t="shared" si="20"/>
        <v>6.8352632566099025E-2</v>
      </c>
      <c r="K86" s="10">
        <f t="shared" si="21"/>
        <v>21.049152545814849</v>
      </c>
      <c r="L86" s="22">
        <v>725</v>
      </c>
      <c r="M86" s="22" t="s">
        <v>54</v>
      </c>
      <c r="N86" s="8" t="s">
        <v>55</v>
      </c>
      <c r="O86" s="10" t="s">
        <v>56</v>
      </c>
      <c r="P86" s="10" t="s">
        <v>57</v>
      </c>
      <c r="Q86" s="11">
        <v>0.315</v>
      </c>
      <c r="R86" s="12" t="s">
        <v>66</v>
      </c>
      <c r="S86" s="30">
        <v>28.4</v>
      </c>
      <c r="T86" s="79">
        <f t="shared" si="29"/>
        <v>6.33472224E-2</v>
      </c>
      <c r="U86" s="22">
        <v>18</v>
      </c>
      <c r="V86" s="22">
        <v>75</v>
      </c>
      <c r="W86" s="10">
        <f t="shared" si="30"/>
        <v>1.3089969389957472</v>
      </c>
      <c r="X86" s="22">
        <v>6</v>
      </c>
      <c r="Y86" s="22">
        <v>11</v>
      </c>
      <c r="Z86" s="10">
        <f t="shared" si="31"/>
        <v>0.19198621771937624</v>
      </c>
      <c r="AA86" s="10">
        <f t="shared" si="32"/>
        <v>18.5315188454625</v>
      </c>
      <c r="AB86" s="10">
        <f t="shared" si="33"/>
        <v>219.96241325639525</v>
      </c>
      <c r="AC86" s="10">
        <f t="shared" si="22"/>
        <v>27.495301657049406</v>
      </c>
      <c r="AD86" s="10">
        <f t="shared" si="23"/>
        <v>109.98120662819763</v>
      </c>
      <c r="AE86" s="65"/>
      <c r="AF86" s="10">
        <f t="shared" si="24"/>
        <v>243.88639606296042</v>
      </c>
      <c r="AG86" s="8">
        <f t="shared" si="25"/>
        <v>47.557847232277283</v>
      </c>
      <c r="AH86" s="10">
        <f t="shared" si="26"/>
        <v>121.94319803148021</v>
      </c>
      <c r="AI86" s="63"/>
      <c r="AJ86" s="10">
        <f t="shared" si="27"/>
        <v>420.68619999999993</v>
      </c>
      <c r="AK86" s="8"/>
      <c r="AL86" s="8">
        <f t="shared" si="28"/>
        <v>210.34309999999996</v>
      </c>
    </row>
    <row r="87" spans="1:38">
      <c r="A87" s="18">
        <v>41479</v>
      </c>
      <c r="B87" s="19" t="s">
        <v>141</v>
      </c>
      <c r="C87" s="12">
        <v>50.2</v>
      </c>
      <c r="D87" s="19" t="s">
        <v>80</v>
      </c>
      <c r="E87" s="8">
        <v>8.4092300000000009</v>
      </c>
      <c r="F87" s="8">
        <v>83.314769999999996</v>
      </c>
      <c r="G87" s="22">
        <v>50</v>
      </c>
      <c r="H87" s="22">
        <v>25</v>
      </c>
      <c r="I87" s="10">
        <f t="shared" si="19"/>
        <v>3.9163173646459399</v>
      </c>
      <c r="J87" s="10">
        <f t="shared" si="20"/>
        <v>6.8352632566099025E-2</v>
      </c>
      <c r="K87" s="10">
        <f t="shared" si="21"/>
        <v>21.049152545814849</v>
      </c>
      <c r="L87" s="22">
        <v>627</v>
      </c>
      <c r="M87" s="22" t="s">
        <v>36</v>
      </c>
      <c r="N87" s="8" t="s">
        <v>46</v>
      </c>
      <c r="O87" s="10" t="s">
        <v>37</v>
      </c>
      <c r="P87" s="10" t="s">
        <v>38</v>
      </c>
      <c r="Q87" s="11">
        <v>0.48</v>
      </c>
      <c r="R87" s="8" t="s">
        <v>60</v>
      </c>
      <c r="S87" s="30">
        <v>9.1999999999999993</v>
      </c>
      <c r="T87" s="79">
        <f t="shared" si="29"/>
        <v>6.6476255999999992E-3</v>
      </c>
      <c r="U87" s="22">
        <v>8</v>
      </c>
      <c r="V87" s="22">
        <v>44</v>
      </c>
      <c r="W87" s="10">
        <f t="shared" si="30"/>
        <v>0.76794487087750496</v>
      </c>
      <c r="X87" s="22">
        <v>5</v>
      </c>
      <c r="Y87" s="22">
        <v>16</v>
      </c>
      <c r="Z87" s="10">
        <f t="shared" si="31"/>
        <v>0.27925268031909273</v>
      </c>
      <c r="AA87" s="10">
        <f t="shared" si="32"/>
        <v>6.935453742756974</v>
      </c>
      <c r="AB87" s="10">
        <f t="shared" si="33"/>
        <v>15.586908519225188</v>
      </c>
      <c r="AC87" s="10">
        <f t="shared" si="22"/>
        <v>1.9483635649031485</v>
      </c>
      <c r="AD87" s="10">
        <f t="shared" si="23"/>
        <v>7.7934542596125942</v>
      </c>
      <c r="AE87" s="65"/>
      <c r="AF87" s="10">
        <f t="shared" si="24"/>
        <v>22.951606844819594</v>
      </c>
      <c r="AG87" s="8">
        <f t="shared" si="25"/>
        <v>4.4755633347398209</v>
      </c>
      <c r="AH87" s="10">
        <f t="shared" si="26"/>
        <v>11.475803422409797</v>
      </c>
      <c r="AI87" s="63"/>
      <c r="AJ87" s="10">
        <f t="shared" si="27"/>
        <v>19.962999999999994</v>
      </c>
      <c r="AK87" s="8"/>
      <c r="AL87" s="8">
        <f t="shared" si="28"/>
        <v>9.9814999999999969</v>
      </c>
    </row>
    <row r="88" spans="1:38">
      <c r="A88" s="18">
        <v>41479</v>
      </c>
      <c r="B88" s="19" t="s">
        <v>141</v>
      </c>
      <c r="C88" s="12">
        <v>50.2</v>
      </c>
      <c r="D88" s="19" t="s">
        <v>80</v>
      </c>
      <c r="E88" s="8">
        <v>8.4092300000000009</v>
      </c>
      <c r="F88" s="8">
        <v>83.314769999999996</v>
      </c>
      <c r="G88" s="22">
        <v>50</v>
      </c>
      <c r="H88" s="22">
        <v>25</v>
      </c>
      <c r="I88" s="10">
        <f t="shared" si="19"/>
        <v>3.9163173646459399</v>
      </c>
      <c r="J88" s="10">
        <f t="shared" si="20"/>
        <v>6.8352632566099025E-2</v>
      </c>
      <c r="K88" s="10">
        <f t="shared" si="21"/>
        <v>21.049152545814849</v>
      </c>
      <c r="L88" s="22">
        <v>605</v>
      </c>
      <c r="M88" s="22" t="s">
        <v>39</v>
      </c>
      <c r="N88" s="8" t="s">
        <v>69</v>
      </c>
      <c r="O88" s="10" t="s">
        <v>65</v>
      </c>
      <c r="P88" s="10" t="s">
        <v>70</v>
      </c>
      <c r="Q88" s="8">
        <v>0.37</v>
      </c>
      <c r="R88" s="8" t="s">
        <v>71</v>
      </c>
      <c r="S88" s="30">
        <v>5.5</v>
      </c>
      <c r="T88" s="79">
        <f t="shared" si="29"/>
        <v>2.3758350000000002E-3</v>
      </c>
      <c r="U88" s="22">
        <v>9</v>
      </c>
      <c r="V88" s="22">
        <v>46</v>
      </c>
      <c r="W88" s="10">
        <f t="shared" si="30"/>
        <v>0.8028514559173916</v>
      </c>
      <c r="X88" s="22">
        <v>7</v>
      </c>
      <c r="Y88" s="22">
        <v>20</v>
      </c>
      <c r="Z88" s="10">
        <f t="shared" si="31"/>
        <v>0.3490658503988659</v>
      </c>
      <c r="AA88" s="10">
        <f t="shared" si="32"/>
        <v>8.8681992063275406</v>
      </c>
      <c r="AB88" s="10">
        <f t="shared" si="33"/>
        <v>5.8454575612978061</v>
      </c>
      <c r="AC88" s="10">
        <f t="shared" si="22"/>
        <v>0.73068219516222577</v>
      </c>
      <c r="AD88" s="10">
        <f t="shared" si="23"/>
        <v>2.9227287806489031</v>
      </c>
      <c r="AE88" s="65"/>
      <c r="AF88" s="10">
        <f t="shared" si="24"/>
        <v>4.9754211782977036</v>
      </c>
      <c r="AG88" s="8">
        <f t="shared" si="25"/>
        <v>0.97020712976805223</v>
      </c>
      <c r="AH88" s="10">
        <f t="shared" si="26"/>
        <v>2.4877105891488518</v>
      </c>
      <c r="AI88" s="63"/>
      <c r="AJ88" s="10">
        <f t="shared" si="27"/>
        <v>5.4404999999999966</v>
      </c>
      <c r="AK88" s="8"/>
      <c r="AL88" s="8">
        <f t="shared" si="28"/>
        <v>2.7202499999999983</v>
      </c>
    </row>
    <row r="89" spans="1:38">
      <c r="A89" s="18">
        <v>41479</v>
      </c>
      <c r="B89" s="19" t="s">
        <v>141</v>
      </c>
      <c r="C89" s="12">
        <v>50.2</v>
      </c>
      <c r="D89" s="19" t="s">
        <v>80</v>
      </c>
      <c r="E89" s="8">
        <v>8.4092300000000009</v>
      </c>
      <c r="F89" s="8">
        <v>83.314769999999996</v>
      </c>
      <c r="G89" s="22">
        <v>50</v>
      </c>
      <c r="H89" s="22">
        <v>25</v>
      </c>
      <c r="I89" s="10">
        <f t="shared" si="19"/>
        <v>3.9163173646459399</v>
      </c>
      <c r="J89" s="10">
        <f t="shared" si="20"/>
        <v>6.8352632566099025E-2</v>
      </c>
      <c r="K89" s="10">
        <f t="shared" si="21"/>
        <v>21.049152545814849</v>
      </c>
      <c r="L89" s="22">
        <v>753</v>
      </c>
      <c r="M89" s="22" t="s">
        <v>39</v>
      </c>
      <c r="N89" s="8" t="s">
        <v>69</v>
      </c>
      <c r="O89" s="10" t="s">
        <v>65</v>
      </c>
      <c r="P89" s="10" t="s">
        <v>70</v>
      </c>
      <c r="Q89" s="8">
        <v>0.37</v>
      </c>
      <c r="R89" s="8" t="s">
        <v>71</v>
      </c>
      <c r="S89" s="30">
        <v>22.1</v>
      </c>
      <c r="T89" s="79">
        <f t="shared" si="29"/>
        <v>3.8359721400000005E-2</v>
      </c>
      <c r="U89" s="22">
        <v>19</v>
      </c>
      <c r="V89" s="22">
        <v>65</v>
      </c>
      <c r="W89" s="10">
        <f t="shared" si="30"/>
        <v>1.1344640137963142</v>
      </c>
      <c r="X89" s="22">
        <v>6</v>
      </c>
      <c r="Y89" s="22">
        <v>20</v>
      </c>
      <c r="Z89" s="10">
        <f t="shared" si="31"/>
        <v>0.3490658503988659</v>
      </c>
      <c r="AA89" s="10">
        <f t="shared" si="32"/>
        <v>19.271968813650361</v>
      </c>
      <c r="AB89" s="10">
        <f t="shared" si="33"/>
        <v>165.67589888527118</v>
      </c>
      <c r="AC89" s="10">
        <f t="shared" si="22"/>
        <v>20.709487360658898</v>
      </c>
      <c r="AD89" s="10">
        <f t="shared" si="23"/>
        <v>82.83794944263559</v>
      </c>
      <c r="AE89" s="65"/>
      <c r="AF89" s="10">
        <f t="shared" si="24"/>
        <v>155.40587070295257</v>
      </c>
      <c r="AG89" s="8">
        <f t="shared" si="25"/>
        <v>30.304144787075753</v>
      </c>
      <c r="AH89" s="10">
        <f t="shared" si="26"/>
        <v>77.702935351476285</v>
      </c>
      <c r="AI89" s="63"/>
      <c r="AJ89" s="10">
        <f t="shared" si="27"/>
        <v>229.05910000000006</v>
      </c>
      <c r="AK89" s="8"/>
      <c r="AL89" s="8">
        <f t="shared" si="28"/>
        <v>114.52955000000003</v>
      </c>
    </row>
    <row r="90" spans="1:38">
      <c r="A90" s="18">
        <v>41479</v>
      </c>
      <c r="B90" s="19" t="s">
        <v>141</v>
      </c>
      <c r="C90" s="12">
        <v>50.2</v>
      </c>
      <c r="D90" s="19" t="s">
        <v>80</v>
      </c>
      <c r="E90" s="8">
        <v>8.4092300000000009</v>
      </c>
      <c r="F90" s="8">
        <v>83.314769999999996</v>
      </c>
      <c r="G90" s="22">
        <v>50</v>
      </c>
      <c r="H90" s="22">
        <v>25</v>
      </c>
      <c r="I90" s="10">
        <f t="shared" si="19"/>
        <v>3.9163173646459399</v>
      </c>
      <c r="J90" s="10">
        <f t="shared" si="20"/>
        <v>6.8352632566099025E-2</v>
      </c>
      <c r="K90" s="10">
        <f t="shared" si="21"/>
        <v>21.049152545814849</v>
      </c>
      <c r="L90" s="22">
        <v>808</v>
      </c>
      <c r="M90" s="22" t="s">
        <v>36</v>
      </c>
      <c r="N90" s="8" t="s">
        <v>46</v>
      </c>
      <c r="O90" s="10" t="s">
        <v>37</v>
      </c>
      <c r="P90" s="10" t="s">
        <v>38</v>
      </c>
      <c r="Q90" s="11">
        <v>0.48</v>
      </c>
      <c r="R90" s="8" t="s">
        <v>60</v>
      </c>
      <c r="S90" s="30">
        <v>17.7</v>
      </c>
      <c r="T90" s="79">
        <f t="shared" si="29"/>
        <v>2.4605796599999997E-2</v>
      </c>
      <c r="U90" s="22">
        <v>9</v>
      </c>
      <c r="V90" s="22">
        <v>54</v>
      </c>
      <c r="W90" s="10">
        <f t="shared" si="30"/>
        <v>0.94247779607693793</v>
      </c>
      <c r="X90" s="22">
        <v>5</v>
      </c>
      <c r="Y90" s="22">
        <v>22</v>
      </c>
      <c r="Z90" s="10">
        <f t="shared" si="31"/>
        <v>0.38397243543875248</v>
      </c>
      <c r="AA90" s="10">
        <f t="shared" si="32"/>
        <v>9.1541859164540877</v>
      </c>
      <c r="AB90" s="10">
        <f t="shared" si="33"/>
        <v>69.237403029768828</v>
      </c>
      <c r="AC90" s="10">
        <f t="shared" si="22"/>
        <v>8.6546753787211035</v>
      </c>
      <c r="AD90" s="10">
        <f t="shared" si="23"/>
        <v>34.618701514884414</v>
      </c>
      <c r="AE90" s="65"/>
      <c r="AF90" s="10">
        <f t="shared" si="24"/>
        <v>116.65322489762178</v>
      </c>
      <c r="AG90" s="8">
        <f t="shared" si="25"/>
        <v>22.747378855036249</v>
      </c>
      <c r="AH90" s="10">
        <f t="shared" si="26"/>
        <v>58.326612448810891</v>
      </c>
      <c r="AI90" s="63"/>
      <c r="AJ90" s="10">
        <f t="shared" si="27"/>
        <v>130.06349999999998</v>
      </c>
      <c r="AK90" s="8"/>
      <c r="AL90" s="8">
        <f t="shared" si="28"/>
        <v>65.031749999999988</v>
      </c>
    </row>
    <row r="91" spans="1:38">
      <c r="A91" s="18">
        <v>41479</v>
      </c>
      <c r="B91" s="19" t="s">
        <v>141</v>
      </c>
      <c r="C91" s="12">
        <v>50.2</v>
      </c>
      <c r="D91" s="19" t="s">
        <v>80</v>
      </c>
      <c r="E91" s="8">
        <v>8.4092300000000009</v>
      </c>
      <c r="F91" s="8">
        <v>83.314769999999996</v>
      </c>
      <c r="G91" s="22">
        <v>50</v>
      </c>
      <c r="H91" s="22">
        <v>25</v>
      </c>
      <c r="I91" s="10">
        <f t="shared" si="19"/>
        <v>3.9163173646459399</v>
      </c>
      <c r="J91" s="10">
        <f t="shared" si="20"/>
        <v>6.8352632566099025E-2</v>
      </c>
      <c r="K91" s="10">
        <f t="shared" si="21"/>
        <v>21.049152545814849</v>
      </c>
      <c r="L91" s="22">
        <v>695</v>
      </c>
      <c r="M91" s="22" t="s">
        <v>36</v>
      </c>
      <c r="N91" s="8" t="s">
        <v>46</v>
      </c>
      <c r="O91" s="10" t="s">
        <v>37</v>
      </c>
      <c r="P91" s="10" t="s">
        <v>38</v>
      </c>
      <c r="Q91" s="11">
        <v>0.48</v>
      </c>
      <c r="R91" s="8" t="s">
        <v>60</v>
      </c>
      <c r="S91" s="30">
        <v>9</v>
      </c>
      <c r="T91" s="79">
        <f t="shared" si="29"/>
        <v>6.3617400000000003E-3</v>
      </c>
      <c r="U91" s="22">
        <v>9</v>
      </c>
      <c r="V91" s="22">
        <v>40</v>
      </c>
      <c r="W91" s="10">
        <f t="shared" si="30"/>
        <v>0.69813170079773179</v>
      </c>
      <c r="X91" s="22">
        <v>5</v>
      </c>
      <c r="Y91" s="22">
        <v>21</v>
      </c>
      <c r="Z91" s="10">
        <f t="shared" si="31"/>
        <v>0.36651914291880922</v>
      </c>
      <c r="AA91" s="10">
        <f t="shared" si="32"/>
        <v>7.5769282349053553</v>
      </c>
      <c r="AB91" s="10">
        <f t="shared" si="33"/>
        <v>16.252792305540193</v>
      </c>
      <c r="AC91" s="10">
        <f t="shared" si="22"/>
        <v>2.0315990381925242</v>
      </c>
      <c r="AD91" s="10">
        <f t="shared" si="23"/>
        <v>8.1263961527700967</v>
      </c>
      <c r="AE91" s="65"/>
      <c r="AF91" s="10">
        <f t="shared" si="24"/>
        <v>21.732555839272521</v>
      </c>
      <c r="AG91" s="8">
        <f t="shared" si="25"/>
        <v>4.2378483886581417</v>
      </c>
      <c r="AH91" s="10">
        <f t="shared" si="26"/>
        <v>10.866277919636261</v>
      </c>
      <c r="AI91" s="63"/>
      <c r="AJ91" s="10">
        <f t="shared" si="27"/>
        <v>18.659999999999997</v>
      </c>
      <c r="AK91" s="8"/>
      <c r="AL91" s="8">
        <f t="shared" si="28"/>
        <v>9.3299999999999983</v>
      </c>
    </row>
    <row r="92" spans="1:38">
      <c r="A92" s="18">
        <v>41479</v>
      </c>
      <c r="B92" s="19" t="s">
        <v>141</v>
      </c>
      <c r="C92" s="12">
        <v>50.2</v>
      </c>
      <c r="D92" s="19" t="s">
        <v>80</v>
      </c>
      <c r="E92" s="8">
        <v>8.4092300000000009</v>
      </c>
      <c r="F92" s="8">
        <v>83.314769999999996</v>
      </c>
      <c r="G92" s="22">
        <v>50</v>
      </c>
      <c r="H92" s="22">
        <v>25</v>
      </c>
      <c r="I92" s="10">
        <f t="shared" si="19"/>
        <v>3.9163173646459399</v>
      </c>
      <c r="J92" s="10">
        <f t="shared" si="20"/>
        <v>6.8352632566099025E-2</v>
      </c>
      <c r="K92" s="10">
        <f t="shared" si="21"/>
        <v>21.049152545814849</v>
      </c>
      <c r="L92" s="22">
        <v>790</v>
      </c>
      <c r="M92" s="22" t="s">
        <v>39</v>
      </c>
      <c r="N92" s="8" t="s">
        <v>69</v>
      </c>
      <c r="O92" s="10" t="s">
        <v>65</v>
      </c>
      <c r="P92" s="10" t="s">
        <v>70</v>
      </c>
      <c r="Q92" s="8">
        <v>0.37</v>
      </c>
      <c r="R92" s="8" t="s">
        <v>71</v>
      </c>
      <c r="S92" s="30">
        <v>8.3000000000000007</v>
      </c>
      <c r="T92" s="79">
        <f t="shared" si="29"/>
        <v>5.4106206000000016E-3</v>
      </c>
      <c r="U92" s="22">
        <v>7</v>
      </c>
      <c r="V92" s="22">
        <v>35</v>
      </c>
      <c r="W92" s="10">
        <f t="shared" si="30"/>
        <v>0.6108652381980153</v>
      </c>
      <c r="X92" s="22">
        <v>5</v>
      </c>
      <c r="Y92" s="22">
        <v>21</v>
      </c>
      <c r="Z92" s="10">
        <f t="shared" si="31"/>
        <v>0.36651914291880922</v>
      </c>
      <c r="AA92" s="10">
        <f t="shared" si="32"/>
        <v>5.8068748021838239</v>
      </c>
      <c r="AB92" s="10">
        <f t="shared" si="33"/>
        <v>8.5102843346920736</v>
      </c>
      <c r="AC92" s="10">
        <f t="shared" si="22"/>
        <v>1.0637855418365092</v>
      </c>
      <c r="AD92" s="10">
        <f t="shared" si="23"/>
        <v>4.2551421673460368</v>
      </c>
      <c r="AE92" s="65"/>
      <c r="AF92" s="10">
        <f t="shared" si="24"/>
        <v>13.703711248640156</v>
      </c>
      <c r="AG92" s="8">
        <f t="shared" si="25"/>
        <v>2.6722236934848307</v>
      </c>
      <c r="AH92" s="10">
        <f t="shared" si="26"/>
        <v>6.8518556243200779</v>
      </c>
      <c r="AI92" s="63"/>
      <c r="AJ92" s="10">
        <f t="shared" si="27"/>
        <v>14.5657</v>
      </c>
      <c r="AK92" s="8"/>
      <c r="AL92" s="8">
        <f t="shared" si="28"/>
        <v>7.2828499999999998</v>
      </c>
    </row>
    <row r="93" spans="1:38">
      <c r="A93" s="18">
        <v>41479</v>
      </c>
      <c r="B93" s="19" t="s">
        <v>141</v>
      </c>
      <c r="C93" s="12">
        <v>50.2</v>
      </c>
      <c r="D93" s="19" t="s">
        <v>80</v>
      </c>
      <c r="E93" s="8">
        <v>8.4092300000000009</v>
      </c>
      <c r="F93" s="8">
        <v>83.314769999999996</v>
      </c>
      <c r="G93" s="22">
        <v>50</v>
      </c>
      <c r="H93" s="22">
        <v>25</v>
      </c>
      <c r="I93" s="10">
        <f t="shared" si="19"/>
        <v>3.9163173646459399</v>
      </c>
      <c r="J93" s="10">
        <f t="shared" si="20"/>
        <v>6.8352632566099025E-2</v>
      </c>
      <c r="K93" s="10">
        <f t="shared" si="21"/>
        <v>21.049152545814849</v>
      </c>
      <c r="L93" s="22">
        <v>832</v>
      </c>
      <c r="M93" s="22" t="s">
        <v>39</v>
      </c>
      <c r="N93" s="8" t="s">
        <v>69</v>
      </c>
      <c r="O93" s="10" t="s">
        <v>65</v>
      </c>
      <c r="P93" s="10" t="s">
        <v>70</v>
      </c>
      <c r="Q93" s="8">
        <v>0.37</v>
      </c>
      <c r="R93" s="8" t="s">
        <v>71</v>
      </c>
      <c r="S93" s="30">
        <v>9.1</v>
      </c>
      <c r="T93" s="79">
        <f t="shared" si="29"/>
        <v>6.5038973999999991E-3</v>
      </c>
      <c r="U93" s="22">
        <v>11</v>
      </c>
      <c r="V93" s="22">
        <v>40</v>
      </c>
      <c r="W93" s="10">
        <f t="shared" si="30"/>
        <v>0.69813170079773179</v>
      </c>
      <c r="X93" s="22">
        <v>5</v>
      </c>
      <c r="Y93" s="22">
        <v>20</v>
      </c>
      <c r="Z93" s="10">
        <f t="shared" si="31"/>
        <v>0.3490658503988659</v>
      </c>
      <c r="AA93" s="10">
        <f t="shared" si="32"/>
        <v>8.7807644231802744</v>
      </c>
      <c r="AB93" s="10">
        <f t="shared" si="33"/>
        <v>14.92414794605275</v>
      </c>
      <c r="AC93" s="10">
        <f t="shared" si="22"/>
        <v>1.8655184932565938</v>
      </c>
      <c r="AD93" s="10">
        <f t="shared" si="23"/>
        <v>7.4620739730263752</v>
      </c>
      <c r="AE93" s="65"/>
      <c r="AF93" s="10">
        <f t="shared" si="24"/>
        <v>17.218148968346554</v>
      </c>
      <c r="AG93" s="8">
        <f t="shared" si="25"/>
        <v>3.357539048827578</v>
      </c>
      <c r="AH93" s="10">
        <f t="shared" si="26"/>
        <v>8.6090744841732771</v>
      </c>
      <c r="AI93" s="63"/>
      <c r="AJ93" s="10">
        <f t="shared" si="27"/>
        <v>19.304099999999984</v>
      </c>
      <c r="AK93" s="8"/>
      <c r="AL93" s="8">
        <f t="shared" si="28"/>
        <v>9.652049999999992</v>
      </c>
    </row>
    <row r="94" spans="1:38">
      <c r="A94" s="18">
        <v>41479</v>
      </c>
      <c r="B94" s="19" t="s">
        <v>141</v>
      </c>
      <c r="C94" s="12">
        <v>50.2</v>
      </c>
      <c r="D94" s="19" t="s">
        <v>80</v>
      </c>
      <c r="E94" s="8">
        <v>8.4092300000000009</v>
      </c>
      <c r="F94" s="8">
        <v>83.314769999999996</v>
      </c>
      <c r="G94" s="22">
        <v>50</v>
      </c>
      <c r="H94" s="22">
        <v>25</v>
      </c>
      <c r="I94" s="10">
        <f t="shared" si="19"/>
        <v>3.9163173646459399</v>
      </c>
      <c r="J94" s="10">
        <f t="shared" si="20"/>
        <v>6.8352632566099025E-2</v>
      </c>
      <c r="K94" s="10">
        <f t="shared" si="21"/>
        <v>21.049152545814849</v>
      </c>
      <c r="L94" s="22">
        <v>822</v>
      </c>
      <c r="M94" s="22" t="s">
        <v>39</v>
      </c>
      <c r="N94" s="8" t="s">
        <v>69</v>
      </c>
      <c r="O94" s="10" t="s">
        <v>65</v>
      </c>
      <c r="P94" s="10" t="s">
        <v>70</v>
      </c>
      <c r="Q94" s="8">
        <v>0.37</v>
      </c>
      <c r="R94" s="8" t="s">
        <v>71</v>
      </c>
      <c r="S94" s="30">
        <v>32.9</v>
      </c>
      <c r="T94" s="79">
        <f t="shared" si="29"/>
        <v>8.5012481399999992E-2</v>
      </c>
      <c r="U94" s="22">
        <v>19</v>
      </c>
      <c r="V94" s="22">
        <v>70</v>
      </c>
      <c r="W94" s="10">
        <f t="shared" si="30"/>
        <v>1.2217304763960306</v>
      </c>
      <c r="X94" s="22">
        <v>5</v>
      </c>
      <c r="Y94" s="22">
        <v>18</v>
      </c>
      <c r="Z94" s="10">
        <f t="shared" si="31"/>
        <v>0.31415926535897931</v>
      </c>
      <c r="AA94" s="10">
        <f t="shared" si="32"/>
        <v>19.399244766806994</v>
      </c>
      <c r="AB94" s="10">
        <f t="shared" si="33"/>
        <v>352.22271743233961</v>
      </c>
      <c r="AC94" s="10">
        <f t="shared" si="22"/>
        <v>44.027839679042451</v>
      </c>
      <c r="AD94" s="10">
        <f t="shared" si="23"/>
        <v>176.1113587161698</v>
      </c>
      <c r="AE94" s="65"/>
      <c r="AF94" s="10">
        <f t="shared" si="24"/>
        <v>408.32558132861317</v>
      </c>
      <c r="AG94" s="8">
        <f t="shared" si="25"/>
        <v>79.623488359079573</v>
      </c>
      <c r="AH94" s="10">
        <f t="shared" si="26"/>
        <v>204.16279066430658</v>
      </c>
      <c r="AI94" s="63"/>
      <c r="AJ94" s="10">
        <f t="shared" si="27"/>
        <v>593.52669999999989</v>
      </c>
      <c r="AK94" s="8"/>
      <c r="AL94" s="8">
        <f t="shared" si="28"/>
        <v>296.76334999999995</v>
      </c>
    </row>
    <row r="95" spans="1:38">
      <c r="A95" s="18">
        <v>41479</v>
      </c>
      <c r="B95" s="19" t="s">
        <v>141</v>
      </c>
      <c r="C95" s="12">
        <v>50.2</v>
      </c>
      <c r="D95" s="19" t="s">
        <v>80</v>
      </c>
      <c r="E95" s="8">
        <v>8.4092300000000009</v>
      </c>
      <c r="F95" s="8">
        <v>83.314769999999996</v>
      </c>
      <c r="G95" s="22">
        <v>50</v>
      </c>
      <c r="H95" s="22">
        <v>25</v>
      </c>
      <c r="I95" s="10">
        <f t="shared" si="19"/>
        <v>3.9163173646459399</v>
      </c>
      <c r="J95" s="10">
        <f t="shared" si="20"/>
        <v>6.8352632566099025E-2</v>
      </c>
      <c r="K95" s="10">
        <f t="shared" si="21"/>
        <v>21.049152545814849</v>
      </c>
      <c r="L95" s="22">
        <v>690</v>
      </c>
      <c r="M95" s="22" t="s">
        <v>36</v>
      </c>
      <c r="N95" s="8" t="s">
        <v>46</v>
      </c>
      <c r="O95" s="10" t="s">
        <v>37</v>
      </c>
      <c r="P95" s="10" t="s">
        <v>38</v>
      </c>
      <c r="Q95" s="11">
        <v>0.48</v>
      </c>
      <c r="R95" s="8" t="s">
        <v>60</v>
      </c>
      <c r="S95" s="30">
        <v>17.8</v>
      </c>
      <c r="T95" s="79">
        <f t="shared" si="29"/>
        <v>2.4884613600000004E-2</v>
      </c>
      <c r="U95" s="22">
        <v>7</v>
      </c>
      <c r="V95" s="22">
        <v>54</v>
      </c>
      <c r="W95" s="10">
        <f t="shared" si="30"/>
        <v>0.94247779607693793</v>
      </c>
      <c r="X95" s="22">
        <v>5</v>
      </c>
      <c r="Y95" s="22">
        <v>23</v>
      </c>
      <c r="Z95" s="10">
        <f t="shared" si="31"/>
        <v>0.4014257279586958</v>
      </c>
      <c r="AA95" s="10">
        <f t="shared" si="32"/>
        <v>7.6167746030710006</v>
      </c>
      <c r="AB95" s="10">
        <f t="shared" si="33"/>
        <v>58.868494123825776</v>
      </c>
      <c r="AC95" s="10">
        <f t="shared" si="22"/>
        <v>7.358561765478222</v>
      </c>
      <c r="AD95" s="10">
        <f t="shared" si="23"/>
        <v>29.434247061912888</v>
      </c>
      <c r="AE95" s="65"/>
      <c r="AF95" s="10">
        <f t="shared" si="24"/>
        <v>118.29010235200761</v>
      </c>
      <c r="AG95" s="8">
        <f t="shared" si="25"/>
        <v>23.066569958641484</v>
      </c>
      <c r="AH95" s="10">
        <f t="shared" si="26"/>
        <v>59.145051176003804</v>
      </c>
      <c r="AI95" s="63"/>
      <c r="AJ95" s="10">
        <f t="shared" si="27"/>
        <v>131.99520000000001</v>
      </c>
      <c r="AK95" s="8"/>
      <c r="AL95" s="8">
        <f t="shared" si="28"/>
        <v>65.997600000000006</v>
      </c>
    </row>
    <row r="96" spans="1:38">
      <c r="A96" s="18">
        <v>41479</v>
      </c>
      <c r="B96" s="19" t="s">
        <v>141</v>
      </c>
      <c r="C96" s="12">
        <v>50.2</v>
      </c>
      <c r="D96" s="19" t="s">
        <v>80</v>
      </c>
      <c r="E96" s="8">
        <v>8.4092300000000009</v>
      </c>
      <c r="F96" s="8">
        <v>83.314769999999996</v>
      </c>
      <c r="G96" s="22">
        <v>50</v>
      </c>
      <c r="H96" s="22">
        <v>25</v>
      </c>
      <c r="I96" s="10">
        <f t="shared" si="19"/>
        <v>3.9163173646459399</v>
      </c>
      <c r="J96" s="10">
        <f t="shared" si="20"/>
        <v>6.8352632566099025E-2</v>
      </c>
      <c r="K96" s="10">
        <f t="shared" si="21"/>
        <v>21.049152545814849</v>
      </c>
      <c r="L96" s="22">
        <v>588</v>
      </c>
      <c r="M96" s="22" t="s">
        <v>39</v>
      </c>
      <c r="N96" s="8" t="s">
        <v>69</v>
      </c>
      <c r="O96" s="10" t="s">
        <v>65</v>
      </c>
      <c r="P96" s="10" t="s">
        <v>70</v>
      </c>
      <c r="Q96" s="8">
        <v>0.37</v>
      </c>
      <c r="R96" s="8" t="s">
        <v>71</v>
      </c>
      <c r="S96" s="30">
        <v>14.4</v>
      </c>
      <c r="T96" s="79">
        <f t="shared" si="29"/>
        <v>1.6286054400000003E-2</v>
      </c>
      <c r="U96" s="22">
        <v>14</v>
      </c>
      <c r="V96" s="22">
        <v>69</v>
      </c>
      <c r="W96" s="10">
        <f t="shared" si="30"/>
        <v>1.2042771838760873</v>
      </c>
      <c r="X96" s="22">
        <v>6</v>
      </c>
      <c r="Y96" s="22">
        <v>17</v>
      </c>
      <c r="Z96" s="10">
        <f t="shared" si="31"/>
        <v>0.29670597283903605</v>
      </c>
      <c r="AA96" s="10">
        <f t="shared" si="32"/>
        <v>14.824356199297245</v>
      </c>
      <c r="AB96" s="10">
        <f t="shared" si="33"/>
        <v>57.864221984388706</v>
      </c>
      <c r="AC96" s="10">
        <f t="shared" si="22"/>
        <v>7.2330277480485883</v>
      </c>
      <c r="AD96" s="10">
        <f t="shared" si="23"/>
        <v>28.932110992194353</v>
      </c>
      <c r="AE96" s="65"/>
      <c r="AF96" s="10">
        <f t="shared" si="24"/>
        <v>53.908255336369265</v>
      </c>
      <c r="AG96" s="8">
        <f t="shared" si="25"/>
        <v>10.512109790592007</v>
      </c>
      <c r="AH96" s="10">
        <f t="shared" si="26"/>
        <v>26.954127668184633</v>
      </c>
      <c r="AI96" s="63"/>
      <c r="AJ96" s="10">
        <f t="shared" si="27"/>
        <v>74.620199999999997</v>
      </c>
      <c r="AK96" s="8"/>
      <c r="AL96" s="8">
        <f t="shared" si="28"/>
        <v>37.310099999999998</v>
      </c>
    </row>
    <row r="97" spans="1:38">
      <c r="A97" s="18">
        <v>41479</v>
      </c>
      <c r="B97" s="19" t="s">
        <v>141</v>
      </c>
      <c r="C97" s="12">
        <v>50.2</v>
      </c>
      <c r="D97" s="19" t="s">
        <v>80</v>
      </c>
      <c r="E97" s="8">
        <v>8.4092300000000009</v>
      </c>
      <c r="F97" s="8">
        <v>83.314769999999996</v>
      </c>
      <c r="G97" s="22">
        <v>50</v>
      </c>
      <c r="H97" s="22">
        <v>25</v>
      </c>
      <c r="I97" s="10">
        <f t="shared" si="19"/>
        <v>3.9163173646459399</v>
      </c>
      <c r="J97" s="10">
        <f t="shared" si="20"/>
        <v>6.8352632566099025E-2</v>
      </c>
      <c r="K97" s="10">
        <f t="shared" si="21"/>
        <v>21.049152545814849</v>
      </c>
      <c r="L97" s="22">
        <v>828</v>
      </c>
      <c r="M97" s="22" t="s">
        <v>36</v>
      </c>
      <c r="N97" s="8" t="s">
        <v>46</v>
      </c>
      <c r="O97" s="10" t="s">
        <v>37</v>
      </c>
      <c r="P97" s="10" t="s">
        <v>38</v>
      </c>
      <c r="Q97" s="11">
        <v>0.48</v>
      </c>
      <c r="R97" s="8" t="s">
        <v>60</v>
      </c>
      <c r="S97" s="30">
        <v>12.5</v>
      </c>
      <c r="T97" s="79">
        <f t="shared" si="29"/>
        <v>1.2271875E-2</v>
      </c>
      <c r="U97" s="22">
        <v>8</v>
      </c>
      <c r="V97" s="22">
        <v>19</v>
      </c>
      <c r="W97" s="10">
        <f t="shared" si="30"/>
        <v>0.33161255787892263</v>
      </c>
      <c r="X97" s="22">
        <v>6</v>
      </c>
      <c r="Y97" s="22">
        <v>17</v>
      </c>
      <c r="Z97" s="10">
        <f t="shared" si="31"/>
        <v>0.29670597283903605</v>
      </c>
      <c r="AA97" s="10">
        <f t="shared" si="32"/>
        <v>4.3587754639936742</v>
      </c>
      <c r="AB97" s="10">
        <f t="shared" si="33"/>
        <v>17.923463531532551</v>
      </c>
      <c r="AC97" s="10">
        <f t="shared" si="22"/>
        <v>2.2404329414415689</v>
      </c>
      <c r="AD97" s="10">
        <f t="shared" si="23"/>
        <v>8.9617317657662756</v>
      </c>
      <c r="AE97" s="65"/>
      <c r="AF97" s="10">
        <f t="shared" si="24"/>
        <v>49.192021567922559</v>
      </c>
      <c r="AG97" s="8">
        <f t="shared" si="25"/>
        <v>9.5924442057448989</v>
      </c>
      <c r="AH97" s="10">
        <f t="shared" si="26"/>
        <v>24.59601078396128</v>
      </c>
      <c r="AI97" s="63"/>
      <c r="AJ97" s="10">
        <f t="shared" si="27"/>
        <v>50.009499999999989</v>
      </c>
      <c r="AK97" s="8"/>
      <c r="AL97" s="8">
        <f t="shared" si="28"/>
        <v>25.004749999999994</v>
      </c>
    </row>
    <row r="98" spans="1:38">
      <c r="A98" s="18">
        <v>41479</v>
      </c>
      <c r="B98" s="19" t="s">
        <v>141</v>
      </c>
      <c r="C98" s="12">
        <v>50.2</v>
      </c>
      <c r="D98" s="19" t="s">
        <v>80</v>
      </c>
      <c r="E98" s="8">
        <v>8.4092300000000009</v>
      </c>
      <c r="F98" s="8">
        <v>83.314769999999996</v>
      </c>
      <c r="G98" s="22">
        <v>50</v>
      </c>
      <c r="H98" s="22">
        <v>25</v>
      </c>
      <c r="I98" s="10">
        <f t="shared" si="19"/>
        <v>3.9163173646459399</v>
      </c>
      <c r="J98" s="10">
        <f t="shared" si="20"/>
        <v>6.8352632566099025E-2</v>
      </c>
      <c r="K98" s="10">
        <f t="shared" si="21"/>
        <v>21.049152545814849</v>
      </c>
      <c r="L98" s="22">
        <v>794</v>
      </c>
      <c r="M98" s="22" t="s">
        <v>39</v>
      </c>
      <c r="N98" s="8" t="s">
        <v>69</v>
      </c>
      <c r="O98" s="10" t="s">
        <v>65</v>
      </c>
      <c r="P98" s="10" t="s">
        <v>70</v>
      </c>
      <c r="Q98" s="8">
        <v>0.37</v>
      </c>
      <c r="R98" s="8" t="s">
        <v>71</v>
      </c>
      <c r="S98" s="30">
        <v>11</v>
      </c>
      <c r="T98" s="79">
        <f t="shared" si="29"/>
        <v>9.5033400000000007E-3</v>
      </c>
      <c r="U98" s="22">
        <v>10</v>
      </c>
      <c r="V98" s="22">
        <v>55</v>
      </c>
      <c r="W98" s="10">
        <f t="shared" si="30"/>
        <v>0.95993108859688125</v>
      </c>
      <c r="X98" s="22">
        <v>6</v>
      </c>
      <c r="Y98" s="22">
        <v>15</v>
      </c>
      <c r="Z98" s="10">
        <f t="shared" si="31"/>
        <v>0.26179938779914941</v>
      </c>
      <c r="AA98" s="10">
        <f t="shared" si="32"/>
        <v>9.7444347135050418</v>
      </c>
      <c r="AB98" s="10">
        <f t="shared" si="33"/>
        <v>23.508279262500693</v>
      </c>
      <c r="AC98" s="10">
        <f t="shared" si="22"/>
        <v>2.9385349078125866</v>
      </c>
      <c r="AD98" s="10">
        <f t="shared" si="23"/>
        <v>11.754139631250347</v>
      </c>
      <c r="AE98" s="65"/>
      <c r="AF98" s="10">
        <f t="shared" si="24"/>
        <v>27.587884777633903</v>
      </c>
      <c r="AG98" s="8">
        <f t="shared" si="25"/>
        <v>5.3796375316386111</v>
      </c>
      <c r="AH98" s="10">
        <f t="shared" si="26"/>
        <v>13.793942388816951</v>
      </c>
      <c r="AI98" s="63"/>
      <c r="AJ98" s="10">
        <f t="shared" si="27"/>
        <v>34.353999999999985</v>
      </c>
      <c r="AK98" s="8"/>
      <c r="AL98" s="8">
        <f t="shared" si="28"/>
        <v>17.176999999999992</v>
      </c>
    </row>
    <row r="99" spans="1:38">
      <c r="A99" s="18">
        <v>41479</v>
      </c>
      <c r="B99" s="19" t="s">
        <v>141</v>
      </c>
      <c r="C99" s="12">
        <v>50.2</v>
      </c>
      <c r="D99" s="19" t="s">
        <v>80</v>
      </c>
      <c r="E99" s="8">
        <v>8.4092300000000009</v>
      </c>
      <c r="F99" s="8">
        <v>83.314769999999996</v>
      </c>
      <c r="G99" s="22">
        <v>50</v>
      </c>
      <c r="H99" s="22">
        <v>25</v>
      </c>
      <c r="I99" s="10">
        <f t="shared" si="19"/>
        <v>3.9163173646459399</v>
      </c>
      <c r="J99" s="10">
        <f t="shared" si="20"/>
        <v>6.8352632566099025E-2</v>
      </c>
      <c r="K99" s="10">
        <f t="shared" si="21"/>
        <v>21.049152545814849</v>
      </c>
      <c r="L99" s="22">
        <v>787</v>
      </c>
      <c r="M99" s="22" t="s">
        <v>36</v>
      </c>
      <c r="N99" s="8" t="s">
        <v>46</v>
      </c>
      <c r="O99" s="10" t="s">
        <v>37</v>
      </c>
      <c r="P99" s="10" t="s">
        <v>38</v>
      </c>
      <c r="Q99" s="11">
        <v>0.48</v>
      </c>
      <c r="R99" s="8" t="s">
        <v>60</v>
      </c>
      <c r="S99" s="30">
        <v>12.4</v>
      </c>
      <c r="T99" s="79">
        <f t="shared" si="29"/>
        <v>1.2076310400000002E-2</v>
      </c>
      <c r="U99" s="22">
        <v>9</v>
      </c>
      <c r="V99" s="22">
        <v>29</v>
      </c>
      <c r="W99" s="10">
        <f t="shared" si="30"/>
        <v>0.50614548307835561</v>
      </c>
      <c r="X99" s="22">
        <v>7</v>
      </c>
      <c r="Y99" s="22">
        <v>10</v>
      </c>
      <c r="Z99" s="10">
        <f t="shared" si="31"/>
        <v>0.17453292519943295</v>
      </c>
      <c r="AA99" s="10">
        <f t="shared" si="32"/>
        <v>5.5788238258855456</v>
      </c>
      <c r="AB99" s="10">
        <f t="shared" si="33"/>
        <v>22.264417676188049</v>
      </c>
      <c r="AC99" s="10">
        <f t="shared" si="22"/>
        <v>2.7830522095235062</v>
      </c>
      <c r="AD99" s="10">
        <f t="shared" si="23"/>
        <v>11.132208838094025</v>
      </c>
      <c r="AE99" s="65"/>
      <c r="AF99" s="10">
        <f t="shared" si="24"/>
        <v>48.21875391412803</v>
      </c>
      <c r="AG99" s="8">
        <f t="shared" si="25"/>
        <v>9.4026570132549665</v>
      </c>
      <c r="AH99" s="10">
        <f t="shared" si="26"/>
        <v>24.109376957064015</v>
      </c>
      <c r="AI99" s="63"/>
      <c r="AJ99" s="10">
        <f t="shared" si="27"/>
        <v>48.862200000000001</v>
      </c>
      <c r="AK99" s="8"/>
      <c r="AL99" s="8">
        <f t="shared" si="28"/>
        <v>24.431100000000001</v>
      </c>
    </row>
    <row r="100" spans="1:38">
      <c r="A100" s="18">
        <v>41479</v>
      </c>
      <c r="B100" s="19" t="s">
        <v>141</v>
      </c>
      <c r="C100" s="12">
        <v>50.2</v>
      </c>
      <c r="D100" s="19" t="s">
        <v>80</v>
      </c>
      <c r="E100" s="8">
        <v>8.4092300000000009</v>
      </c>
      <c r="F100" s="8">
        <v>83.314769999999996</v>
      </c>
      <c r="G100" s="22">
        <v>50</v>
      </c>
      <c r="H100" s="22">
        <v>25</v>
      </c>
      <c r="I100" s="10">
        <f t="shared" si="19"/>
        <v>3.9163173646459399</v>
      </c>
      <c r="J100" s="10">
        <f t="shared" si="20"/>
        <v>6.8352632566099025E-2</v>
      </c>
      <c r="K100" s="10">
        <f t="shared" si="21"/>
        <v>21.049152545814849</v>
      </c>
      <c r="L100" s="22">
        <v>802</v>
      </c>
      <c r="M100" s="22" t="s">
        <v>39</v>
      </c>
      <c r="N100" s="8" t="s">
        <v>69</v>
      </c>
      <c r="O100" s="10" t="s">
        <v>65</v>
      </c>
      <c r="P100" s="10" t="s">
        <v>70</v>
      </c>
      <c r="Q100" s="8">
        <v>0.37</v>
      </c>
      <c r="R100" s="8" t="s">
        <v>71</v>
      </c>
      <c r="S100" s="30">
        <v>9</v>
      </c>
      <c r="T100" s="79">
        <f t="shared" si="29"/>
        <v>6.3617400000000003E-3</v>
      </c>
      <c r="U100" s="22">
        <v>14</v>
      </c>
      <c r="V100" s="22">
        <v>55</v>
      </c>
      <c r="W100" s="10">
        <f t="shared" si="30"/>
        <v>0.95993108859688125</v>
      </c>
      <c r="X100" s="22">
        <v>7</v>
      </c>
      <c r="Y100" s="22">
        <v>9</v>
      </c>
      <c r="Z100" s="10">
        <f t="shared" si="31"/>
        <v>0.15707963267948966</v>
      </c>
      <c r="AA100" s="10">
        <f t="shared" si="32"/>
        <v>12.563169875327501</v>
      </c>
      <c r="AB100" s="10">
        <f t="shared" si="33"/>
        <v>20.469184375202435</v>
      </c>
      <c r="AC100" s="10">
        <f t="shared" si="22"/>
        <v>2.5586480469003043</v>
      </c>
      <c r="AD100" s="10">
        <f t="shared" si="23"/>
        <v>10.234592187601217</v>
      </c>
      <c r="AE100" s="65"/>
      <c r="AF100" s="10">
        <f t="shared" si="24"/>
        <v>16.752178459439236</v>
      </c>
      <c r="AG100" s="8">
        <f t="shared" si="25"/>
        <v>3.2666747995906511</v>
      </c>
      <c r="AH100" s="10">
        <f t="shared" si="26"/>
        <v>8.3760892297196179</v>
      </c>
      <c r="AI100" s="63"/>
      <c r="AJ100" s="10">
        <f t="shared" si="27"/>
        <v>18.659999999999997</v>
      </c>
      <c r="AK100" s="8"/>
      <c r="AL100" s="8">
        <f t="shared" si="28"/>
        <v>9.3299999999999983</v>
      </c>
    </row>
    <row r="101" spans="1:38">
      <c r="A101" s="18">
        <v>41479</v>
      </c>
      <c r="B101" s="19" t="s">
        <v>141</v>
      </c>
      <c r="C101" s="12">
        <v>50.2</v>
      </c>
      <c r="D101" s="19" t="s">
        <v>80</v>
      </c>
      <c r="E101" s="8">
        <v>8.4092300000000009</v>
      </c>
      <c r="F101" s="8">
        <v>83.314769999999996</v>
      </c>
      <c r="G101" s="22">
        <v>50</v>
      </c>
      <c r="H101" s="22">
        <v>25</v>
      </c>
      <c r="I101" s="10">
        <f t="shared" si="19"/>
        <v>3.9163173646459399</v>
      </c>
      <c r="J101" s="10">
        <f t="shared" si="20"/>
        <v>6.8352632566099025E-2</v>
      </c>
      <c r="K101" s="10">
        <f t="shared" si="21"/>
        <v>21.049152545814849</v>
      </c>
      <c r="L101" s="22">
        <v>710</v>
      </c>
      <c r="M101" s="22" t="s">
        <v>39</v>
      </c>
      <c r="N101" s="8" t="s">
        <v>69</v>
      </c>
      <c r="O101" s="10" t="s">
        <v>65</v>
      </c>
      <c r="P101" s="10" t="s">
        <v>70</v>
      </c>
      <c r="Q101" s="8">
        <v>0.37</v>
      </c>
      <c r="R101" s="8" t="s">
        <v>71</v>
      </c>
      <c r="S101" s="30">
        <v>14.6</v>
      </c>
      <c r="T101" s="79">
        <f t="shared" si="29"/>
        <v>1.6741586400000001E-2</v>
      </c>
      <c r="U101" s="22">
        <v>12</v>
      </c>
      <c r="V101" s="22">
        <v>55</v>
      </c>
      <c r="W101" s="10">
        <f t="shared" si="30"/>
        <v>0.95993108859688125</v>
      </c>
      <c r="X101" s="22">
        <v>6</v>
      </c>
      <c r="Y101" s="22">
        <v>20</v>
      </c>
      <c r="Z101" s="10">
        <f t="shared" si="31"/>
        <v>0.3490658503988659</v>
      </c>
      <c r="AA101" s="10">
        <f t="shared" si="32"/>
        <v>11.881945391421914</v>
      </c>
      <c r="AB101" s="10">
        <f t="shared" si="33"/>
        <v>48.233525835434271</v>
      </c>
      <c r="AC101" s="10">
        <f t="shared" si="22"/>
        <v>6.0291907294292839</v>
      </c>
      <c r="AD101" s="10">
        <f t="shared" si="23"/>
        <v>24.116762917717136</v>
      </c>
      <c r="AE101" s="65"/>
      <c r="AF101" s="10">
        <f t="shared" si="24"/>
        <v>55.787501097333092</v>
      </c>
      <c r="AG101" s="8">
        <f t="shared" si="25"/>
        <v>10.878562713979953</v>
      </c>
      <c r="AH101" s="10">
        <f t="shared" si="26"/>
        <v>27.893750548666546</v>
      </c>
      <c r="AI101" s="63"/>
      <c r="AJ101" s="10">
        <f t="shared" si="27"/>
        <v>77.521599999999978</v>
      </c>
      <c r="AK101" s="8"/>
      <c r="AL101" s="8">
        <f t="shared" si="28"/>
        <v>38.760799999999989</v>
      </c>
    </row>
    <row r="102" spans="1:38">
      <c r="A102" s="18">
        <v>41479</v>
      </c>
      <c r="B102" s="19" t="s">
        <v>141</v>
      </c>
      <c r="C102" s="12">
        <v>50.2</v>
      </c>
      <c r="D102" s="19" t="s">
        <v>80</v>
      </c>
      <c r="E102" s="8">
        <v>8.4092300000000009</v>
      </c>
      <c r="F102" s="8">
        <v>83.314769999999996</v>
      </c>
      <c r="G102" s="22">
        <v>50</v>
      </c>
      <c r="H102" s="22">
        <v>25</v>
      </c>
      <c r="I102" s="10">
        <f t="shared" si="19"/>
        <v>3.9163173646459399</v>
      </c>
      <c r="J102" s="10">
        <f t="shared" si="20"/>
        <v>6.8352632566099025E-2</v>
      </c>
      <c r="K102" s="10">
        <f t="shared" si="21"/>
        <v>21.049152545814849</v>
      </c>
      <c r="L102" s="22">
        <v>688</v>
      </c>
      <c r="M102" s="22" t="s">
        <v>36</v>
      </c>
      <c r="N102" s="8" t="s">
        <v>46</v>
      </c>
      <c r="O102" s="10" t="s">
        <v>37</v>
      </c>
      <c r="P102" s="10" t="s">
        <v>38</v>
      </c>
      <c r="Q102" s="11">
        <v>0.48</v>
      </c>
      <c r="R102" s="8" t="s">
        <v>60</v>
      </c>
      <c r="S102" s="30">
        <v>10.1</v>
      </c>
      <c r="T102" s="79">
        <f t="shared" si="29"/>
        <v>8.0118654000000001E-3</v>
      </c>
      <c r="U102" s="22">
        <v>8</v>
      </c>
      <c r="V102" s="22">
        <v>23</v>
      </c>
      <c r="W102" s="10">
        <f t="shared" si="30"/>
        <v>0.4014257279586958</v>
      </c>
      <c r="X102" s="22">
        <v>6</v>
      </c>
      <c r="Y102" s="22">
        <v>20</v>
      </c>
      <c r="Z102" s="10">
        <f t="shared" si="31"/>
        <v>0.3490658503988659</v>
      </c>
      <c r="AA102" s="10">
        <f t="shared" si="32"/>
        <v>5.177969887868203</v>
      </c>
      <c r="AB102" s="10">
        <f t="shared" si="33"/>
        <v>14.11440634572398</v>
      </c>
      <c r="AC102" s="10">
        <f t="shared" si="22"/>
        <v>1.7643007932154975</v>
      </c>
      <c r="AD102" s="10">
        <f t="shared" si="23"/>
        <v>7.0572031728619899</v>
      </c>
      <c r="AE102" s="65"/>
      <c r="AF102" s="10">
        <f t="shared" si="24"/>
        <v>28.94323114546166</v>
      </c>
      <c r="AG102" s="8">
        <f t="shared" si="25"/>
        <v>5.6439300733650235</v>
      </c>
      <c r="AH102" s="10">
        <f t="shared" si="26"/>
        <v>14.47161557273083</v>
      </c>
      <c r="AI102" s="63"/>
      <c r="AJ102" s="10">
        <f t="shared" si="27"/>
        <v>26.559099999999987</v>
      </c>
      <c r="AK102" s="8"/>
      <c r="AL102" s="8">
        <f t="shared" si="28"/>
        <v>13.279549999999993</v>
      </c>
    </row>
    <row r="103" spans="1:38">
      <c r="A103" s="18">
        <v>41479</v>
      </c>
      <c r="B103" s="19" t="s">
        <v>141</v>
      </c>
      <c r="C103" s="12">
        <v>50.2</v>
      </c>
      <c r="D103" s="19" t="s">
        <v>80</v>
      </c>
      <c r="E103" s="8">
        <v>8.4092300000000009</v>
      </c>
      <c r="F103" s="8">
        <v>83.314769999999996</v>
      </c>
      <c r="G103" s="22">
        <v>50</v>
      </c>
      <c r="H103" s="22">
        <v>25</v>
      </c>
      <c r="I103" s="10">
        <f t="shared" si="19"/>
        <v>3.9163173646459399</v>
      </c>
      <c r="J103" s="10">
        <f t="shared" si="20"/>
        <v>6.8352632566099025E-2</v>
      </c>
      <c r="K103" s="10">
        <f t="shared" si="21"/>
        <v>21.049152545814849</v>
      </c>
      <c r="L103" s="22">
        <v>796</v>
      </c>
      <c r="M103" s="22" t="s">
        <v>39</v>
      </c>
      <c r="N103" s="8" t="s">
        <v>69</v>
      </c>
      <c r="O103" s="10" t="s">
        <v>65</v>
      </c>
      <c r="P103" s="10" t="s">
        <v>70</v>
      </c>
      <c r="Q103" s="8">
        <v>0.37</v>
      </c>
      <c r="R103" s="8" t="s">
        <v>71</v>
      </c>
      <c r="S103" s="30">
        <v>14.3</v>
      </c>
      <c r="T103" s="79">
        <f t="shared" si="29"/>
        <v>1.60606446E-2</v>
      </c>
      <c r="U103" s="22">
        <v>14</v>
      </c>
      <c r="V103" s="22">
        <v>57</v>
      </c>
      <c r="W103" s="10">
        <f t="shared" si="30"/>
        <v>0.99483767363676789</v>
      </c>
      <c r="X103" s="22">
        <v>6</v>
      </c>
      <c r="Y103" s="22">
        <v>20</v>
      </c>
      <c r="Z103" s="10">
        <f t="shared" si="31"/>
        <v>0.3490658503988659</v>
      </c>
      <c r="AA103" s="10">
        <f t="shared" si="32"/>
        <v>13.793508811189948</v>
      </c>
      <c r="AB103" s="10">
        <f t="shared" si="33"/>
        <v>53.370019754836946</v>
      </c>
      <c r="AC103" s="10">
        <f t="shared" si="22"/>
        <v>6.6712524693546182</v>
      </c>
      <c r="AD103" s="10">
        <f t="shared" si="23"/>
        <v>26.685009877418473</v>
      </c>
      <c r="AE103" s="65"/>
      <c r="AF103" s="10">
        <f t="shared" si="24"/>
        <v>52.982889272261865</v>
      </c>
      <c r="AG103" s="8">
        <f t="shared" si="25"/>
        <v>10.331663408091064</v>
      </c>
      <c r="AH103" s="10">
        <f t="shared" si="26"/>
        <v>26.491444636130932</v>
      </c>
      <c r="AI103" s="63"/>
      <c r="AJ103" s="10">
        <f t="shared" si="27"/>
        <v>73.191699999999983</v>
      </c>
      <c r="AK103" s="8"/>
      <c r="AL103" s="8">
        <f t="shared" si="28"/>
        <v>36.595849999999992</v>
      </c>
    </row>
    <row r="104" spans="1:38">
      <c r="A104" s="18">
        <v>41479</v>
      </c>
      <c r="B104" s="19" t="s">
        <v>141</v>
      </c>
      <c r="C104" s="12">
        <v>50.2</v>
      </c>
      <c r="D104" s="19" t="s">
        <v>80</v>
      </c>
      <c r="E104" s="8">
        <v>8.4092300000000009</v>
      </c>
      <c r="F104" s="8">
        <v>83.314769999999996</v>
      </c>
      <c r="G104" s="22">
        <v>50</v>
      </c>
      <c r="H104" s="22">
        <v>25</v>
      </c>
      <c r="I104" s="10">
        <f t="shared" si="19"/>
        <v>3.9163173646459399</v>
      </c>
      <c r="J104" s="10">
        <f t="shared" si="20"/>
        <v>6.8352632566099025E-2</v>
      </c>
      <c r="K104" s="10">
        <f t="shared" si="21"/>
        <v>21.049152545814849</v>
      </c>
      <c r="L104" s="22">
        <v>635</v>
      </c>
      <c r="M104" s="22" t="s">
        <v>39</v>
      </c>
      <c r="N104" s="8" t="s">
        <v>69</v>
      </c>
      <c r="O104" s="10" t="s">
        <v>65</v>
      </c>
      <c r="P104" s="10" t="s">
        <v>70</v>
      </c>
      <c r="Q104" s="8">
        <v>0.37</v>
      </c>
      <c r="R104" s="8" t="s">
        <v>71</v>
      </c>
      <c r="S104" s="30">
        <v>9.6999999999999993</v>
      </c>
      <c r="T104" s="79">
        <f t="shared" si="29"/>
        <v>7.3898285999999995E-3</v>
      </c>
      <c r="U104" s="22">
        <v>7</v>
      </c>
      <c r="V104" s="22">
        <v>30</v>
      </c>
      <c r="W104" s="10">
        <f t="shared" si="30"/>
        <v>0.52359877559829882</v>
      </c>
      <c r="X104" s="22">
        <v>5</v>
      </c>
      <c r="Y104" s="22">
        <v>25</v>
      </c>
      <c r="Z104" s="10">
        <f t="shared" si="31"/>
        <v>0.43633231299858238</v>
      </c>
      <c r="AA104" s="10">
        <f t="shared" si="32"/>
        <v>5.6130913087034973</v>
      </c>
      <c r="AB104" s="10">
        <f t="shared" si="33"/>
        <v>11.049743146354714</v>
      </c>
      <c r="AC104" s="10">
        <f t="shared" si="22"/>
        <v>1.3812178932943393</v>
      </c>
      <c r="AD104" s="10">
        <f t="shared" si="23"/>
        <v>5.5248715731773572</v>
      </c>
      <c r="AE104" s="65"/>
      <c r="AF104" s="10">
        <f t="shared" si="24"/>
        <v>20.178016515527556</v>
      </c>
      <c r="AG104" s="8">
        <f t="shared" si="25"/>
        <v>3.9347132205278736</v>
      </c>
      <c r="AH104" s="10">
        <f t="shared" si="26"/>
        <v>10.089008257763778</v>
      </c>
      <c r="AI104" s="63"/>
      <c r="AJ104" s="10">
        <f t="shared" si="27"/>
        <v>23.479500000000002</v>
      </c>
      <c r="AK104" s="8"/>
      <c r="AL104" s="8">
        <f t="shared" si="28"/>
        <v>11.739750000000001</v>
      </c>
    </row>
    <row r="105" spans="1:38">
      <c r="A105" s="18">
        <v>41479</v>
      </c>
      <c r="B105" s="19" t="s">
        <v>141</v>
      </c>
      <c r="C105" s="12">
        <v>50.2</v>
      </c>
      <c r="D105" s="19" t="s">
        <v>80</v>
      </c>
      <c r="E105" s="8">
        <v>8.4092300000000009</v>
      </c>
      <c r="F105" s="8">
        <v>83.314769999999996</v>
      </c>
      <c r="G105" s="22">
        <v>50</v>
      </c>
      <c r="H105" s="22">
        <v>25</v>
      </c>
      <c r="I105" s="10">
        <f t="shared" si="19"/>
        <v>3.9163173646459399</v>
      </c>
      <c r="J105" s="10">
        <f t="shared" si="20"/>
        <v>6.8352632566099025E-2</v>
      </c>
      <c r="K105" s="10">
        <f t="shared" si="21"/>
        <v>21.049152545814849</v>
      </c>
      <c r="L105" s="22">
        <v>814</v>
      </c>
      <c r="M105" s="22" t="s">
        <v>39</v>
      </c>
      <c r="N105" s="8" t="s">
        <v>69</v>
      </c>
      <c r="O105" s="10" t="s">
        <v>65</v>
      </c>
      <c r="P105" s="10" t="s">
        <v>70</v>
      </c>
      <c r="Q105" s="8">
        <v>0.37</v>
      </c>
      <c r="R105" s="8" t="s">
        <v>71</v>
      </c>
      <c r="S105" s="30">
        <v>5.5</v>
      </c>
      <c r="T105" s="79">
        <f t="shared" si="29"/>
        <v>2.3758350000000002E-3</v>
      </c>
      <c r="U105" s="22">
        <v>7</v>
      </c>
      <c r="V105" s="22">
        <v>40</v>
      </c>
      <c r="W105" s="10">
        <f t="shared" si="30"/>
        <v>0.69813170079773179</v>
      </c>
      <c r="X105" s="22">
        <v>5</v>
      </c>
      <c r="Y105" s="22">
        <v>20</v>
      </c>
      <c r="Z105" s="10">
        <f t="shared" si="31"/>
        <v>0.3490658503988659</v>
      </c>
      <c r="AA105" s="10">
        <f t="shared" si="32"/>
        <v>6.2096139844341174</v>
      </c>
      <c r="AB105" s="10">
        <f t="shared" si="33"/>
        <v>4.181517564459325</v>
      </c>
      <c r="AC105" s="10">
        <f t="shared" si="22"/>
        <v>0.52268969555741562</v>
      </c>
      <c r="AD105" s="10">
        <f t="shared" si="23"/>
        <v>2.0907587822296625</v>
      </c>
      <c r="AE105" s="65"/>
      <c r="AF105" s="10">
        <f t="shared" si="24"/>
        <v>4.9754211782977036</v>
      </c>
      <c r="AG105" s="8">
        <f t="shared" si="25"/>
        <v>0.97020712976805223</v>
      </c>
      <c r="AH105" s="10">
        <f t="shared" si="26"/>
        <v>2.4877105891488518</v>
      </c>
      <c r="AI105" s="63"/>
      <c r="AJ105" s="10">
        <f t="shared" si="27"/>
        <v>5.4404999999999966</v>
      </c>
      <c r="AK105" s="8"/>
      <c r="AL105" s="8">
        <f t="shared" si="28"/>
        <v>2.7202499999999983</v>
      </c>
    </row>
    <row r="106" spans="1:38">
      <c r="A106" s="18">
        <v>41479</v>
      </c>
      <c r="B106" s="19" t="s">
        <v>141</v>
      </c>
      <c r="C106" s="12">
        <v>50.2</v>
      </c>
      <c r="D106" s="19" t="s">
        <v>80</v>
      </c>
      <c r="E106" s="8">
        <v>8.4092300000000009</v>
      </c>
      <c r="F106" s="8">
        <v>83.314769999999996</v>
      </c>
      <c r="G106" s="22">
        <v>50</v>
      </c>
      <c r="H106" s="22">
        <v>25</v>
      </c>
      <c r="I106" s="10">
        <f t="shared" si="19"/>
        <v>3.9163173646459399</v>
      </c>
      <c r="J106" s="10">
        <f t="shared" si="20"/>
        <v>6.8352632566099025E-2</v>
      </c>
      <c r="K106" s="10">
        <f t="shared" si="21"/>
        <v>21.049152545814849</v>
      </c>
      <c r="L106" s="22">
        <v>811</v>
      </c>
      <c r="M106" s="22" t="s">
        <v>36</v>
      </c>
      <c r="N106" s="8" t="s">
        <v>46</v>
      </c>
      <c r="O106" s="10" t="s">
        <v>37</v>
      </c>
      <c r="P106" s="10" t="s">
        <v>38</v>
      </c>
      <c r="Q106" s="11">
        <v>0.48</v>
      </c>
      <c r="R106" s="8" t="s">
        <v>60</v>
      </c>
      <c r="S106" s="30">
        <v>6.2</v>
      </c>
      <c r="T106" s="79">
        <f t="shared" si="29"/>
        <v>3.0190776000000004E-3</v>
      </c>
      <c r="U106" s="22">
        <v>5</v>
      </c>
      <c r="V106" s="22">
        <v>33</v>
      </c>
      <c r="W106" s="10">
        <f t="shared" si="30"/>
        <v>0.57595865315812877</v>
      </c>
      <c r="X106" s="22">
        <v>6</v>
      </c>
      <c r="Y106" s="22">
        <v>21</v>
      </c>
      <c r="Z106" s="10">
        <f t="shared" si="31"/>
        <v>0.36651914291880922</v>
      </c>
      <c r="AA106" s="10">
        <f t="shared" si="32"/>
        <v>4.8734028723469365</v>
      </c>
      <c r="AB106" s="10">
        <f t="shared" si="33"/>
        <v>5.3270556861138791</v>
      </c>
      <c r="AC106" s="10">
        <f t="shared" si="22"/>
        <v>0.66588196076423489</v>
      </c>
      <c r="AD106" s="10">
        <f t="shared" si="23"/>
        <v>2.6635278430569396</v>
      </c>
      <c r="AE106" s="65"/>
      <c r="AF106" s="10">
        <f t="shared" si="24"/>
        <v>8.6543410111507963</v>
      </c>
      <c r="AG106" s="8">
        <f t="shared" si="25"/>
        <v>1.6875964971744053</v>
      </c>
      <c r="AH106" s="10">
        <f t="shared" si="26"/>
        <v>4.3271705055753982</v>
      </c>
      <c r="AI106" s="63"/>
      <c r="AJ106" s="10">
        <f t="shared" si="27"/>
        <v>6.6340000000000003</v>
      </c>
      <c r="AK106" s="8"/>
      <c r="AL106" s="8">
        <f t="shared" si="28"/>
        <v>3.3170000000000002</v>
      </c>
    </row>
    <row r="107" spans="1:38">
      <c r="A107" s="18">
        <v>41479</v>
      </c>
      <c r="B107" s="19" t="s">
        <v>141</v>
      </c>
      <c r="C107" s="12">
        <v>50.2</v>
      </c>
      <c r="D107" s="19" t="s">
        <v>80</v>
      </c>
      <c r="E107" s="8">
        <v>8.4092300000000009</v>
      </c>
      <c r="F107" s="8">
        <v>83.314769999999996</v>
      </c>
      <c r="G107" s="22">
        <v>50</v>
      </c>
      <c r="H107" s="22">
        <v>25</v>
      </c>
      <c r="I107" s="10">
        <f t="shared" si="19"/>
        <v>3.9163173646459399</v>
      </c>
      <c r="J107" s="10">
        <f t="shared" si="20"/>
        <v>6.8352632566099025E-2</v>
      </c>
      <c r="K107" s="10">
        <f t="shared" si="21"/>
        <v>21.049152545814849</v>
      </c>
      <c r="L107" s="22">
        <v>741</v>
      </c>
      <c r="M107" s="22" t="s">
        <v>36</v>
      </c>
      <c r="N107" s="8" t="s">
        <v>46</v>
      </c>
      <c r="O107" s="10" t="s">
        <v>37</v>
      </c>
      <c r="P107" s="10" t="s">
        <v>38</v>
      </c>
      <c r="Q107" s="11">
        <v>0.48</v>
      </c>
      <c r="R107" s="8" t="s">
        <v>60</v>
      </c>
      <c r="S107" s="30">
        <v>8</v>
      </c>
      <c r="T107" s="79">
        <f t="shared" si="29"/>
        <v>5.0265600000000002E-3</v>
      </c>
      <c r="U107" s="22">
        <v>8</v>
      </c>
      <c r="V107" s="22">
        <v>15</v>
      </c>
      <c r="W107" s="10">
        <f t="shared" si="30"/>
        <v>0.26179938779914941</v>
      </c>
      <c r="X107" s="22">
        <v>7</v>
      </c>
      <c r="Y107" s="22">
        <v>18</v>
      </c>
      <c r="Z107" s="10">
        <f t="shared" si="31"/>
        <v>0.31415926535897931</v>
      </c>
      <c r="AA107" s="10">
        <f t="shared" si="32"/>
        <v>4.2336713214447972</v>
      </c>
      <c r="AB107" s="10">
        <f t="shared" si="33"/>
        <v>7.5361888059722926</v>
      </c>
      <c r="AC107" s="10">
        <f t="shared" si="22"/>
        <v>0.94202360074653657</v>
      </c>
      <c r="AD107" s="10">
        <f t="shared" si="23"/>
        <v>3.7680944029861463</v>
      </c>
      <c r="AE107" s="65"/>
      <c r="AF107" s="10">
        <f t="shared" si="24"/>
        <v>16.228082658620366</v>
      </c>
      <c r="AG107" s="8">
        <f t="shared" si="25"/>
        <v>3.1644761184309713</v>
      </c>
      <c r="AH107" s="10">
        <f t="shared" si="26"/>
        <v>8.114041329310183</v>
      </c>
      <c r="AI107" s="63"/>
      <c r="AJ107" s="10">
        <f t="shared" si="27"/>
        <v>13.033000000000001</v>
      </c>
      <c r="AK107" s="8"/>
      <c r="AL107" s="8">
        <f t="shared" si="28"/>
        <v>6.5165000000000006</v>
      </c>
    </row>
    <row r="108" spans="1:38">
      <c r="A108" s="18">
        <v>41479</v>
      </c>
      <c r="B108" s="19" t="s">
        <v>141</v>
      </c>
      <c r="C108" s="12">
        <v>50.2</v>
      </c>
      <c r="D108" s="19" t="s">
        <v>80</v>
      </c>
      <c r="E108" s="8">
        <v>8.4092300000000009</v>
      </c>
      <c r="F108" s="8">
        <v>83.314769999999996</v>
      </c>
      <c r="G108" s="22">
        <v>50</v>
      </c>
      <c r="H108" s="22">
        <v>25</v>
      </c>
      <c r="I108" s="10">
        <f t="shared" si="19"/>
        <v>3.9163173646459399</v>
      </c>
      <c r="J108" s="10">
        <f t="shared" si="20"/>
        <v>6.8352632566099025E-2</v>
      </c>
      <c r="K108" s="10">
        <f t="shared" si="21"/>
        <v>21.049152545814849</v>
      </c>
      <c r="L108" s="22">
        <v>831</v>
      </c>
      <c r="M108" s="22" t="s">
        <v>39</v>
      </c>
      <c r="N108" s="8" t="s">
        <v>69</v>
      </c>
      <c r="O108" s="10" t="s">
        <v>65</v>
      </c>
      <c r="P108" s="10" t="s">
        <v>70</v>
      </c>
      <c r="Q108" s="8">
        <v>0.37</v>
      </c>
      <c r="R108" s="8" t="s">
        <v>71</v>
      </c>
      <c r="S108" s="30">
        <v>6.8</v>
      </c>
      <c r="T108" s="79">
        <f t="shared" si="29"/>
        <v>3.6316895999999998E-3</v>
      </c>
      <c r="U108" s="22">
        <v>8</v>
      </c>
      <c r="V108" s="22">
        <v>5</v>
      </c>
      <c r="W108" s="10">
        <f t="shared" si="30"/>
        <v>8.7266462599716474E-2</v>
      </c>
      <c r="X108" s="22">
        <v>8</v>
      </c>
      <c r="Y108" s="22">
        <v>17</v>
      </c>
      <c r="Z108" s="10">
        <f t="shared" si="31"/>
        <v>0.29670597283903605</v>
      </c>
      <c r="AA108" s="10">
        <f t="shared" si="32"/>
        <v>3.0362195797631593</v>
      </c>
      <c r="AB108" s="10">
        <f t="shared" si="33"/>
        <v>3.1803966238577344</v>
      </c>
      <c r="AC108" s="10">
        <f t="shared" si="22"/>
        <v>0.3975495779822168</v>
      </c>
      <c r="AD108" s="10">
        <f t="shared" si="23"/>
        <v>1.5901983119288672</v>
      </c>
      <c r="AE108" s="65"/>
      <c r="AF108" s="10">
        <f t="shared" si="24"/>
        <v>8.3725731297469217</v>
      </c>
      <c r="AG108" s="8">
        <f t="shared" si="25"/>
        <v>1.6326517603006498</v>
      </c>
      <c r="AH108" s="10">
        <f t="shared" si="26"/>
        <v>4.1862865648734608</v>
      </c>
      <c r="AI108" s="63"/>
      <c r="AJ108" s="10">
        <f t="shared" si="27"/>
        <v>8.2341999999999977</v>
      </c>
      <c r="AK108" s="8"/>
      <c r="AL108" s="8">
        <f t="shared" si="28"/>
        <v>4.1170999999999989</v>
      </c>
    </row>
    <row r="109" spans="1:38">
      <c r="A109" s="18">
        <v>41479</v>
      </c>
      <c r="B109" s="19" t="s">
        <v>141</v>
      </c>
      <c r="C109" s="12">
        <v>50.2</v>
      </c>
      <c r="D109" s="19" t="s">
        <v>80</v>
      </c>
      <c r="E109" s="8">
        <v>8.4092300000000009</v>
      </c>
      <c r="F109" s="8">
        <v>83.314769999999996</v>
      </c>
      <c r="G109" s="22">
        <v>50</v>
      </c>
      <c r="H109" s="22">
        <v>25</v>
      </c>
      <c r="I109" s="10">
        <f t="shared" si="19"/>
        <v>3.9163173646459399</v>
      </c>
      <c r="J109" s="10">
        <f t="shared" si="20"/>
        <v>6.8352632566099025E-2</v>
      </c>
      <c r="K109" s="10">
        <f t="shared" si="21"/>
        <v>21.049152545814849</v>
      </c>
      <c r="L109" s="22">
        <v>602</v>
      </c>
      <c r="M109" s="22" t="s">
        <v>39</v>
      </c>
      <c r="N109" s="8" t="s">
        <v>69</v>
      </c>
      <c r="O109" s="10" t="s">
        <v>65</v>
      </c>
      <c r="P109" s="10" t="s">
        <v>70</v>
      </c>
      <c r="Q109" s="8">
        <v>0.37</v>
      </c>
      <c r="R109" s="8" t="s">
        <v>71</v>
      </c>
      <c r="S109" s="30">
        <v>13.6</v>
      </c>
      <c r="T109" s="79">
        <f t="shared" si="29"/>
        <v>1.4526758399999999E-2</v>
      </c>
      <c r="U109" s="22">
        <v>15</v>
      </c>
      <c r="V109" s="22">
        <v>65</v>
      </c>
      <c r="W109" s="10">
        <f t="shared" si="30"/>
        <v>1.1344640137963142</v>
      </c>
      <c r="X109" s="22">
        <v>5</v>
      </c>
      <c r="Y109" s="22">
        <v>17</v>
      </c>
      <c r="Z109" s="10">
        <f t="shared" si="31"/>
        <v>0.29670597283903605</v>
      </c>
      <c r="AA109" s="10">
        <f t="shared" si="32"/>
        <v>15.056475329163433</v>
      </c>
      <c r="AB109" s="10">
        <f t="shared" si="33"/>
        <v>52.733234134606754</v>
      </c>
      <c r="AC109" s="10">
        <f t="shared" si="22"/>
        <v>6.5916542668258442</v>
      </c>
      <c r="AD109" s="10">
        <f t="shared" si="23"/>
        <v>26.366617067303377</v>
      </c>
      <c r="AE109" s="65"/>
      <c r="AF109" s="10">
        <f t="shared" si="24"/>
        <v>46.768959521787558</v>
      </c>
      <c r="AG109" s="8">
        <f t="shared" si="25"/>
        <v>9.1199471067485742</v>
      </c>
      <c r="AH109" s="10">
        <f t="shared" si="26"/>
        <v>23.384479760893779</v>
      </c>
      <c r="AI109" s="63"/>
      <c r="AJ109" s="10">
        <f t="shared" si="27"/>
        <v>63.606599999999986</v>
      </c>
      <c r="AK109" s="8"/>
      <c r="AL109" s="8">
        <f t="shared" si="28"/>
        <v>31.803299999999993</v>
      </c>
    </row>
    <row r="110" spans="1:38">
      <c r="A110" s="18">
        <v>41479</v>
      </c>
      <c r="B110" s="19" t="s">
        <v>141</v>
      </c>
      <c r="C110" s="12">
        <v>50.2</v>
      </c>
      <c r="D110" s="19" t="s">
        <v>80</v>
      </c>
      <c r="E110" s="8">
        <v>8.4092300000000009</v>
      </c>
      <c r="F110" s="8">
        <v>83.314769999999996</v>
      </c>
      <c r="G110" s="22">
        <v>50</v>
      </c>
      <c r="H110" s="22">
        <v>25</v>
      </c>
      <c r="I110" s="10">
        <f t="shared" si="19"/>
        <v>3.9163173646459399</v>
      </c>
      <c r="J110" s="10">
        <f t="shared" si="20"/>
        <v>6.8352632566099025E-2</v>
      </c>
      <c r="K110" s="10">
        <f t="shared" si="21"/>
        <v>21.049152545814849</v>
      </c>
      <c r="L110" s="22">
        <v>770</v>
      </c>
      <c r="M110" s="22" t="s">
        <v>36</v>
      </c>
      <c r="N110" s="8" t="s">
        <v>46</v>
      </c>
      <c r="O110" s="10" t="s">
        <v>37</v>
      </c>
      <c r="P110" s="10" t="s">
        <v>38</v>
      </c>
      <c r="Q110" s="11">
        <v>0.48</v>
      </c>
      <c r="R110" s="8" t="s">
        <v>60</v>
      </c>
      <c r="S110" s="30">
        <v>10</v>
      </c>
      <c r="T110" s="79">
        <f t="shared" si="29"/>
        <v>7.8539999999999999E-3</v>
      </c>
      <c r="U110" s="22">
        <v>6</v>
      </c>
      <c r="V110" s="22">
        <v>42</v>
      </c>
      <c r="W110" s="10">
        <f t="shared" si="30"/>
        <v>0.73303828583761843</v>
      </c>
      <c r="X110" s="22">
        <v>5</v>
      </c>
      <c r="Y110" s="22">
        <v>30</v>
      </c>
      <c r="Z110" s="10">
        <f t="shared" si="31"/>
        <v>0.52359877559829882</v>
      </c>
      <c r="AA110" s="10">
        <f t="shared" si="32"/>
        <v>6.5147836381531494</v>
      </c>
      <c r="AB110" s="10">
        <f t="shared" si="33"/>
        <v>17.190736422954828</v>
      </c>
      <c r="AC110" s="10">
        <f t="shared" si="22"/>
        <v>2.1488420528693535</v>
      </c>
      <c r="AD110" s="10">
        <f t="shared" si="23"/>
        <v>8.5953682114774139</v>
      </c>
      <c r="AE110" s="65"/>
      <c r="AF110" s="10">
        <f t="shared" si="24"/>
        <v>28.235933581188522</v>
      </c>
      <c r="AG110" s="8">
        <f t="shared" si="25"/>
        <v>5.506007048331762</v>
      </c>
      <c r="AH110" s="10">
        <f t="shared" si="26"/>
        <v>14.117966790594261</v>
      </c>
      <c r="AI110" s="63"/>
      <c r="AJ110" s="10">
        <f t="shared" si="27"/>
        <v>25.766999999999996</v>
      </c>
      <c r="AK110" s="8"/>
      <c r="AL110" s="8">
        <f t="shared" si="28"/>
        <v>12.883499999999998</v>
      </c>
    </row>
    <row r="111" spans="1:38">
      <c r="A111" s="18">
        <v>41479</v>
      </c>
      <c r="B111" s="19" t="s">
        <v>141</v>
      </c>
      <c r="C111" s="12">
        <v>50.2</v>
      </c>
      <c r="D111" s="19" t="s">
        <v>80</v>
      </c>
      <c r="E111" s="8">
        <v>8.4092300000000009</v>
      </c>
      <c r="F111" s="8">
        <v>83.314769999999996</v>
      </c>
      <c r="G111" s="22">
        <v>50</v>
      </c>
      <c r="H111" s="22">
        <v>25</v>
      </c>
      <c r="I111" s="10">
        <f t="shared" si="19"/>
        <v>3.9163173646459399</v>
      </c>
      <c r="J111" s="10">
        <f t="shared" si="20"/>
        <v>6.8352632566099025E-2</v>
      </c>
      <c r="K111" s="10">
        <f t="shared" si="21"/>
        <v>21.049152545814849</v>
      </c>
      <c r="L111" s="22">
        <v>812</v>
      </c>
      <c r="M111" s="22" t="s">
        <v>39</v>
      </c>
      <c r="N111" s="8" t="s">
        <v>69</v>
      </c>
      <c r="O111" s="10" t="s">
        <v>65</v>
      </c>
      <c r="P111" s="10" t="s">
        <v>70</v>
      </c>
      <c r="Q111" s="8">
        <v>0.37</v>
      </c>
      <c r="R111" s="8" t="s">
        <v>71</v>
      </c>
      <c r="S111" s="30">
        <v>14.6</v>
      </c>
      <c r="T111" s="79">
        <f t="shared" si="29"/>
        <v>1.6741586400000001E-2</v>
      </c>
      <c r="U111" s="22">
        <v>15</v>
      </c>
      <c r="V111" s="22">
        <v>60</v>
      </c>
      <c r="W111" s="10">
        <f t="shared" si="30"/>
        <v>1.0471975511965976</v>
      </c>
      <c r="X111" s="22">
        <v>6</v>
      </c>
      <c r="Y111" s="22">
        <v>33</v>
      </c>
      <c r="Z111" s="10">
        <f t="shared" si="31"/>
        <v>0.57595865315812877</v>
      </c>
      <c r="AA111" s="10">
        <f t="shared" si="32"/>
        <v>16.258215266856741</v>
      </c>
      <c r="AB111" s="10">
        <f t="shared" si="33"/>
        <v>64.768405887857298</v>
      </c>
      <c r="AC111" s="10">
        <f t="shared" si="22"/>
        <v>8.0960507359821623</v>
      </c>
      <c r="AD111" s="10">
        <f t="shared" si="23"/>
        <v>32.384202943928649</v>
      </c>
      <c r="AE111" s="65"/>
      <c r="AF111" s="10">
        <f t="shared" si="24"/>
        <v>55.787501097333092</v>
      </c>
      <c r="AG111" s="8">
        <f t="shared" si="25"/>
        <v>10.878562713979953</v>
      </c>
      <c r="AH111" s="10">
        <f t="shared" si="26"/>
        <v>27.893750548666546</v>
      </c>
      <c r="AI111" s="63"/>
      <c r="AJ111" s="10">
        <f t="shared" si="27"/>
        <v>77.521599999999978</v>
      </c>
      <c r="AK111" s="8"/>
      <c r="AL111" s="8">
        <f t="shared" si="28"/>
        <v>38.760799999999989</v>
      </c>
    </row>
    <row r="112" spans="1:38">
      <c r="A112" s="18">
        <v>41479</v>
      </c>
      <c r="B112" s="19" t="s">
        <v>141</v>
      </c>
      <c r="C112" s="12">
        <v>50.2</v>
      </c>
      <c r="D112" s="19" t="s">
        <v>80</v>
      </c>
      <c r="E112" s="8">
        <v>8.4092300000000009</v>
      </c>
      <c r="F112" s="8">
        <v>83.314769999999996</v>
      </c>
      <c r="G112" s="22">
        <v>50</v>
      </c>
      <c r="H112" s="22">
        <v>25</v>
      </c>
      <c r="I112" s="10">
        <f t="shared" si="19"/>
        <v>3.9163173646459399</v>
      </c>
      <c r="J112" s="10">
        <f t="shared" si="20"/>
        <v>6.8352632566099025E-2</v>
      </c>
      <c r="K112" s="10">
        <f t="shared" si="21"/>
        <v>21.049152545814849</v>
      </c>
      <c r="L112" s="22">
        <v>806</v>
      </c>
      <c r="M112" s="22" t="s">
        <v>39</v>
      </c>
      <c r="N112" s="8" t="s">
        <v>69</v>
      </c>
      <c r="O112" s="10" t="s">
        <v>65</v>
      </c>
      <c r="P112" s="10" t="s">
        <v>70</v>
      </c>
      <c r="Q112" s="8">
        <v>0.37</v>
      </c>
      <c r="R112" s="8" t="s">
        <v>71</v>
      </c>
      <c r="S112" s="30">
        <v>14.9</v>
      </c>
      <c r="T112" s="79">
        <f t="shared" si="29"/>
        <v>1.7436665400000002E-2</v>
      </c>
      <c r="U112" s="22">
        <v>14</v>
      </c>
      <c r="V112" s="22">
        <v>70</v>
      </c>
      <c r="W112" s="10">
        <f t="shared" si="30"/>
        <v>1.2217304763960306</v>
      </c>
      <c r="X112" s="22">
        <v>5</v>
      </c>
      <c r="Y112" s="22">
        <v>26</v>
      </c>
      <c r="Z112" s="10">
        <f t="shared" si="31"/>
        <v>0.4537856055185257</v>
      </c>
      <c r="AA112" s="10">
        <f t="shared" si="32"/>
        <v>15.347552424948104</v>
      </c>
      <c r="AB112" s="10">
        <f t="shared" si="33"/>
        <v>63.743852064105894</v>
      </c>
      <c r="AC112" s="10">
        <f t="shared" si="22"/>
        <v>7.9679815080132368</v>
      </c>
      <c r="AD112" s="10">
        <f t="shared" si="23"/>
        <v>31.871926032052947</v>
      </c>
      <c r="AE112" s="65"/>
      <c r="AF112" s="10">
        <f t="shared" si="24"/>
        <v>58.678044302563443</v>
      </c>
      <c r="AG112" s="8">
        <f t="shared" si="25"/>
        <v>11.442218638999872</v>
      </c>
      <c r="AH112" s="10">
        <f t="shared" si="26"/>
        <v>29.339022151281721</v>
      </c>
      <c r="AI112" s="63"/>
      <c r="AJ112" s="10">
        <f t="shared" si="27"/>
        <v>81.984700000000004</v>
      </c>
      <c r="AK112" s="8"/>
      <c r="AL112" s="8">
        <f t="shared" si="28"/>
        <v>40.992350000000002</v>
      </c>
    </row>
    <row r="113" spans="1:38">
      <c r="A113" s="18">
        <v>41479</v>
      </c>
      <c r="B113" s="19" t="s">
        <v>141</v>
      </c>
      <c r="C113" s="12">
        <v>50.2</v>
      </c>
      <c r="D113" s="19" t="s">
        <v>80</v>
      </c>
      <c r="E113" s="8">
        <v>8.4092300000000009</v>
      </c>
      <c r="F113" s="8">
        <v>83.314769999999996</v>
      </c>
      <c r="G113" s="22">
        <v>50</v>
      </c>
      <c r="H113" s="22">
        <v>25</v>
      </c>
      <c r="I113" s="10">
        <f t="shared" si="19"/>
        <v>3.9163173646459399</v>
      </c>
      <c r="J113" s="10">
        <f t="shared" si="20"/>
        <v>6.8352632566099025E-2</v>
      </c>
      <c r="K113" s="10">
        <f t="shared" si="21"/>
        <v>21.049152545814849</v>
      </c>
      <c r="L113" s="22">
        <v>712</v>
      </c>
      <c r="M113" s="22" t="s">
        <v>36</v>
      </c>
      <c r="N113" s="8" t="s">
        <v>46</v>
      </c>
      <c r="O113" s="10" t="s">
        <v>37</v>
      </c>
      <c r="P113" s="10" t="s">
        <v>38</v>
      </c>
      <c r="Q113" s="11">
        <v>0.48</v>
      </c>
      <c r="R113" s="8" t="s">
        <v>60</v>
      </c>
      <c r="S113" s="30">
        <v>11.5</v>
      </c>
      <c r="T113" s="79">
        <f t="shared" si="29"/>
        <v>1.0386915E-2</v>
      </c>
      <c r="U113" s="22">
        <v>5</v>
      </c>
      <c r="V113" s="22">
        <v>20</v>
      </c>
      <c r="W113" s="10">
        <f t="shared" si="30"/>
        <v>0.3490658503988659</v>
      </c>
      <c r="X113" s="22">
        <v>5</v>
      </c>
      <c r="Y113" s="22">
        <v>28</v>
      </c>
      <c r="Z113" s="10">
        <f t="shared" si="31"/>
        <v>0.48869219055841229</v>
      </c>
      <c r="AA113" s="10">
        <f t="shared" si="32"/>
        <v>4.0574585305577973</v>
      </c>
      <c r="AB113" s="10">
        <f t="shared" si="33"/>
        <v>14.325152983835954</v>
      </c>
      <c r="AC113" s="10">
        <f t="shared" si="22"/>
        <v>1.7906441229794943</v>
      </c>
      <c r="AD113" s="10">
        <f t="shared" si="23"/>
        <v>7.1625764919179771</v>
      </c>
      <c r="AE113" s="65"/>
      <c r="AF113" s="10">
        <f t="shared" si="24"/>
        <v>39.975367927888335</v>
      </c>
      <c r="AG113" s="8">
        <f t="shared" si="25"/>
        <v>7.7951967459382256</v>
      </c>
      <c r="AH113" s="10">
        <f t="shared" si="26"/>
        <v>19.987683963944168</v>
      </c>
      <c r="AI113" s="63"/>
      <c r="AJ113" s="10">
        <f t="shared" si="27"/>
        <v>39.202499999999986</v>
      </c>
      <c r="AK113" s="8"/>
      <c r="AL113" s="8">
        <f t="shared" si="28"/>
        <v>19.601249999999993</v>
      </c>
    </row>
    <row r="114" spans="1:38">
      <c r="A114" s="18">
        <v>41479</v>
      </c>
      <c r="B114" s="19" t="s">
        <v>141</v>
      </c>
      <c r="C114" s="12">
        <v>50.2</v>
      </c>
      <c r="D114" s="19" t="s">
        <v>80</v>
      </c>
      <c r="E114" s="8">
        <v>8.4092300000000009</v>
      </c>
      <c r="F114" s="8">
        <v>83.314769999999996</v>
      </c>
      <c r="G114" s="22">
        <v>50</v>
      </c>
      <c r="H114" s="22">
        <v>25</v>
      </c>
      <c r="I114" s="10">
        <f t="shared" si="19"/>
        <v>3.9163173646459399</v>
      </c>
      <c r="J114" s="10">
        <f t="shared" si="20"/>
        <v>6.8352632566099025E-2</v>
      </c>
      <c r="K114" s="10">
        <f t="shared" si="21"/>
        <v>21.049152545814849</v>
      </c>
      <c r="L114" s="22">
        <v>727</v>
      </c>
      <c r="M114" s="22" t="s">
        <v>39</v>
      </c>
      <c r="N114" s="8" t="s">
        <v>69</v>
      </c>
      <c r="O114" s="10" t="s">
        <v>65</v>
      </c>
      <c r="P114" s="10" t="s">
        <v>70</v>
      </c>
      <c r="Q114" s="8">
        <v>0.37</v>
      </c>
      <c r="R114" s="8" t="s">
        <v>71</v>
      </c>
      <c r="S114" s="30">
        <v>6.1</v>
      </c>
      <c r="T114" s="79">
        <f t="shared" si="29"/>
        <v>2.9224733999999998E-3</v>
      </c>
      <c r="U114" s="22">
        <v>8</v>
      </c>
      <c r="V114" s="22">
        <v>55</v>
      </c>
      <c r="W114" s="10">
        <f t="shared" ref="W114:W118" si="34">RADIANS(V114)</f>
        <v>0.95993108859688125</v>
      </c>
      <c r="X114" s="22">
        <v>5</v>
      </c>
      <c r="Y114" s="22">
        <v>30</v>
      </c>
      <c r="Z114" s="10">
        <f t="shared" ref="Z114:Z118" si="35">RADIANS(Y114)</f>
        <v>0.52359877559829882</v>
      </c>
      <c r="AA114" s="10">
        <f t="shared" ref="AA114:AA118" si="36">(SIN(W114)*U114)+(SIN(Z114)*X114)</f>
        <v>9.0532163543119335</v>
      </c>
      <c r="AB114" s="10">
        <f t="shared" ref="AB114:AB118" si="37">0.0776*(Q114*S114^2*AA114)^0.94</f>
        <v>7.240793416805043</v>
      </c>
      <c r="AC114" s="10">
        <f t="shared" si="22"/>
        <v>0.90509917710063037</v>
      </c>
      <c r="AD114" s="10">
        <f t="shared" si="23"/>
        <v>3.6203967084025215</v>
      </c>
      <c r="AE114" s="65"/>
      <c r="AF114" s="10">
        <f t="shared" si="24"/>
        <v>6.4101132455566106</v>
      </c>
      <c r="AG114" s="8">
        <f t="shared" si="25"/>
        <v>1.249972082883539</v>
      </c>
      <c r="AH114" s="10">
        <f t="shared" si="26"/>
        <v>3.2050566227783053</v>
      </c>
      <c r="AI114" s="63"/>
      <c r="AJ114" s="10">
        <f t="shared" si="27"/>
        <v>6.4190999999999967</v>
      </c>
      <c r="AK114" s="8"/>
      <c r="AL114" s="8">
        <f t="shared" si="28"/>
        <v>3.2095499999999983</v>
      </c>
    </row>
    <row r="115" spans="1:38">
      <c r="A115" s="18">
        <v>41479</v>
      </c>
      <c r="B115" s="19" t="s">
        <v>141</v>
      </c>
      <c r="C115" s="12">
        <v>50.2</v>
      </c>
      <c r="D115" s="19" t="s">
        <v>80</v>
      </c>
      <c r="E115" s="8">
        <v>8.4092300000000009</v>
      </c>
      <c r="F115" s="8">
        <v>83.314769999999996</v>
      </c>
      <c r="G115" s="22">
        <v>50</v>
      </c>
      <c r="H115" s="22">
        <v>25</v>
      </c>
      <c r="I115" s="10">
        <f t="shared" si="19"/>
        <v>3.9163173646459399</v>
      </c>
      <c r="J115" s="10">
        <f t="shared" si="20"/>
        <v>6.8352632566099025E-2</v>
      </c>
      <c r="K115" s="10">
        <f t="shared" si="21"/>
        <v>21.049152545814849</v>
      </c>
      <c r="L115" s="22">
        <v>626</v>
      </c>
      <c r="M115" s="22" t="s">
        <v>39</v>
      </c>
      <c r="N115" s="8" t="s">
        <v>69</v>
      </c>
      <c r="O115" s="10" t="s">
        <v>65</v>
      </c>
      <c r="P115" s="10" t="s">
        <v>70</v>
      </c>
      <c r="Q115" s="8">
        <v>0.37</v>
      </c>
      <c r="R115" s="8" t="s">
        <v>71</v>
      </c>
      <c r="S115" s="30">
        <v>12</v>
      </c>
      <c r="T115" s="79">
        <f t="shared" si="29"/>
        <v>1.130976E-2</v>
      </c>
      <c r="U115" s="22">
        <v>13</v>
      </c>
      <c r="V115" s="22">
        <v>60</v>
      </c>
      <c r="W115" s="10">
        <f t="shared" si="34"/>
        <v>1.0471975511965976</v>
      </c>
      <c r="X115" s="22">
        <v>6</v>
      </c>
      <c r="Y115" s="22">
        <v>30</v>
      </c>
      <c r="Z115" s="10">
        <f t="shared" si="35"/>
        <v>0.52359877559829882</v>
      </c>
      <c r="AA115" s="10">
        <f t="shared" si="36"/>
        <v>14.258330249197702</v>
      </c>
      <c r="AB115" s="10">
        <f t="shared" si="37"/>
        <v>39.596484884710407</v>
      </c>
      <c r="AC115" s="10">
        <f t="shared" si="22"/>
        <v>4.9495606105888008</v>
      </c>
      <c r="AD115" s="10">
        <f t="shared" si="23"/>
        <v>19.798242442355203</v>
      </c>
      <c r="AE115" s="65"/>
      <c r="AF115" s="10">
        <f t="shared" si="24"/>
        <v>34.256637001283615</v>
      </c>
      <c r="AG115" s="8">
        <f t="shared" si="25"/>
        <v>6.6800442152503052</v>
      </c>
      <c r="AH115" s="10">
        <f t="shared" si="26"/>
        <v>17.128318500641807</v>
      </c>
      <c r="AI115" s="63"/>
      <c r="AJ115" s="10">
        <f t="shared" si="27"/>
        <v>44.420999999999992</v>
      </c>
      <c r="AK115" s="8"/>
      <c r="AL115" s="8">
        <f t="shared" si="28"/>
        <v>22.210499999999996</v>
      </c>
    </row>
    <row r="116" spans="1:38">
      <c r="A116" s="18">
        <v>41479</v>
      </c>
      <c r="B116" s="19" t="s">
        <v>141</v>
      </c>
      <c r="C116" s="12">
        <v>50.2</v>
      </c>
      <c r="D116" s="19" t="s">
        <v>80</v>
      </c>
      <c r="E116" s="8">
        <v>8.4092300000000009</v>
      </c>
      <c r="F116" s="8">
        <v>83.314769999999996</v>
      </c>
      <c r="G116" s="22">
        <v>50</v>
      </c>
      <c r="H116" s="22">
        <v>25</v>
      </c>
      <c r="I116" s="10">
        <f t="shared" si="19"/>
        <v>3.9163173646459399</v>
      </c>
      <c r="J116" s="10">
        <f t="shared" si="20"/>
        <v>6.8352632566099025E-2</v>
      </c>
      <c r="K116" s="10">
        <f t="shared" si="21"/>
        <v>21.049152545814849</v>
      </c>
      <c r="L116" s="22">
        <v>825</v>
      </c>
      <c r="M116" s="22" t="s">
        <v>39</v>
      </c>
      <c r="N116" s="8" t="s">
        <v>69</v>
      </c>
      <c r="O116" s="10" t="s">
        <v>65</v>
      </c>
      <c r="P116" s="10" t="s">
        <v>70</v>
      </c>
      <c r="Q116" s="8">
        <v>0.37</v>
      </c>
      <c r="R116" s="8" t="s">
        <v>71</v>
      </c>
      <c r="S116" s="30">
        <v>18.399999999999999</v>
      </c>
      <c r="T116" s="79">
        <f t="shared" si="29"/>
        <v>2.6590502399999997E-2</v>
      </c>
      <c r="U116" s="22">
        <v>17</v>
      </c>
      <c r="V116" s="22">
        <v>62</v>
      </c>
      <c r="W116" s="10">
        <f t="shared" si="34"/>
        <v>1.0821041362364843</v>
      </c>
      <c r="X116" s="22">
        <v>6</v>
      </c>
      <c r="Y116" s="22">
        <v>30</v>
      </c>
      <c r="Z116" s="10">
        <f t="shared" si="35"/>
        <v>0.52359877559829882</v>
      </c>
      <c r="AA116" s="10">
        <f t="shared" si="36"/>
        <v>18.010109078601754</v>
      </c>
      <c r="AB116" s="10">
        <f t="shared" si="37"/>
        <v>110.1575356495462</v>
      </c>
      <c r="AC116" s="10">
        <f t="shared" si="22"/>
        <v>13.769691956193276</v>
      </c>
      <c r="AD116" s="10">
        <f t="shared" si="23"/>
        <v>55.078767824773102</v>
      </c>
      <c r="AE116" s="65"/>
      <c r="AF116" s="10">
        <f t="shared" si="24"/>
        <v>98.969074022407398</v>
      </c>
      <c r="AG116" s="8">
        <f t="shared" si="25"/>
        <v>19.298969434369443</v>
      </c>
      <c r="AH116" s="10">
        <f t="shared" si="26"/>
        <v>49.484537011203699</v>
      </c>
      <c r="AI116" s="63"/>
      <c r="AJ116" s="10">
        <f t="shared" si="27"/>
        <v>143.89619999999996</v>
      </c>
      <c r="AK116" s="8"/>
      <c r="AL116" s="8">
        <f t="shared" si="28"/>
        <v>71.948099999999982</v>
      </c>
    </row>
    <row r="117" spans="1:38">
      <c r="A117" s="18">
        <v>41479</v>
      </c>
      <c r="B117" s="19" t="s">
        <v>141</v>
      </c>
      <c r="C117" s="12">
        <v>50.2</v>
      </c>
      <c r="D117" s="19" t="s">
        <v>80</v>
      </c>
      <c r="E117" s="8">
        <v>8.4092300000000009</v>
      </c>
      <c r="F117" s="8">
        <v>83.314769999999996</v>
      </c>
      <c r="G117" s="22">
        <v>50</v>
      </c>
      <c r="H117" s="22">
        <v>25</v>
      </c>
      <c r="I117" s="10">
        <f t="shared" si="19"/>
        <v>3.9163173646459399</v>
      </c>
      <c r="J117" s="10">
        <f t="shared" si="20"/>
        <v>6.8352632566099025E-2</v>
      </c>
      <c r="K117" s="10">
        <f t="shared" si="21"/>
        <v>21.049152545814849</v>
      </c>
      <c r="L117" s="22">
        <v>785</v>
      </c>
      <c r="M117" s="22" t="s">
        <v>129</v>
      </c>
      <c r="N117" s="22" t="s">
        <v>171</v>
      </c>
      <c r="O117" s="58" t="s">
        <v>175</v>
      </c>
      <c r="P117" s="10" t="s">
        <v>176</v>
      </c>
      <c r="Q117" s="22">
        <v>0.23</v>
      </c>
      <c r="R117" s="22" t="s">
        <v>190</v>
      </c>
      <c r="S117" s="30">
        <v>14.2</v>
      </c>
      <c r="T117" s="79">
        <f t="shared" si="29"/>
        <v>1.58368056E-2</v>
      </c>
      <c r="U117" s="22">
        <v>13</v>
      </c>
      <c r="V117" s="22">
        <v>63</v>
      </c>
      <c r="W117" s="10">
        <f t="shared" si="34"/>
        <v>1.0995574287564276</v>
      </c>
      <c r="X117" s="22">
        <v>5</v>
      </c>
      <c r="Y117" s="22">
        <v>20</v>
      </c>
      <c r="Z117" s="10">
        <f t="shared" si="35"/>
        <v>0.3490658503988659</v>
      </c>
      <c r="AA117" s="10">
        <f t="shared" si="36"/>
        <v>13.293185531077125</v>
      </c>
      <c r="AB117" s="10">
        <f t="shared" si="37"/>
        <v>32.538632489383666</v>
      </c>
      <c r="AC117" s="10">
        <f t="shared" si="22"/>
        <v>4.0673290611729582</v>
      </c>
      <c r="AD117" s="10">
        <f t="shared" si="23"/>
        <v>16.269316244691833</v>
      </c>
      <c r="AE117" s="65"/>
      <c r="AF117" s="10">
        <f t="shared" si="24"/>
        <v>32.365968341333051</v>
      </c>
      <c r="AG117" s="8">
        <f t="shared" si="25"/>
        <v>6.311363826559945</v>
      </c>
      <c r="AH117" s="10">
        <f t="shared" si="26"/>
        <v>16.182984170666526</v>
      </c>
      <c r="AI117" s="63"/>
      <c r="AJ117" s="10">
        <f t="shared" si="27"/>
        <v>71.777999999999977</v>
      </c>
      <c r="AK117" s="8"/>
      <c r="AL117" s="8">
        <f t="shared" si="28"/>
        <v>35.888999999999989</v>
      </c>
    </row>
    <row r="118" spans="1:38">
      <c r="A118" s="18">
        <v>41479</v>
      </c>
      <c r="B118" s="19" t="s">
        <v>141</v>
      </c>
      <c r="C118" s="12">
        <v>50.2</v>
      </c>
      <c r="D118" s="19" t="s">
        <v>80</v>
      </c>
      <c r="E118" s="8">
        <v>8.4092300000000009</v>
      </c>
      <c r="F118" s="8">
        <v>83.314769999999996</v>
      </c>
      <c r="G118" s="22">
        <v>50</v>
      </c>
      <c r="H118" s="22">
        <v>25</v>
      </c>
      <c r="I118" s="10">
        <f t="shared" si="19"/>
        <v>3.9163173646459399</v>
      </c>
      <c r="J118" s="10">
        <f t="shared" si="20"/>
        <v>6.8352632566099025E-2</v>
      </c>
      <c r="K118" s="10">
        <f t="shared" si="21"/>
        <v>21.049152545814849</v>
      </c>
      <c r="L118" s="22">
        <v>827</v>
      </c>
      <c r="M118" s="22" t="s">
        <v>39</v>
      </c>
      <c r="N118" s="8" t="s">
        <v>69</v>
      </c>
      <c r="O118" s="10" t="s">
        <v>65</v>
      </c>
      <c r="P118" s="10" t="s">
        <v>70</v>
      </c>
      <c r="Q118" s="8">
        <v>0.37</v>
      </c>
      <c r="R118" s="8" t="s">
        <v>71</v>
      </c>
      <c r="S118" s="30">
        <v>6.3</v>
      </c>
      <c r="T118" s="79">
        <f t="shared" si="29"/>
        <v>3.1172525999999998E-3</v>
      </c>
      <c r="U118" s="22">
        <v>8</v>
      </c>
      <c r="V118" s="22">
        <v>38</v>
      </c>
      <c r="W118" s="10">
        <f t="shared" si="34"/>
        <v>0.66322511575784526</v>
      </c>
      <c r="X118" s="22">
        <v>7</v>
      </c>
      <c r="Y118" s="22">
        <v>15</v>
      </c>
      <c r="Z118" s="10">
        <f t="shared" si="35"/>
        <v>0.26179938779914941</v>
      </c>
      <c r="AA118" s="10">
        <f t="shared" si="36"/>
        <v>6.7370251183229115</v>
      </c>
      <c r="AB118" s="10">
        <f t="shared" si="37"/>
        <v>5.8276257208424642</v>
      </c>
      <c r="AC118" s="10">
        <f t="shared" si="22"/>
        <v>0.72845321510530803</v>
      </c>
      <c r="AD118" s="10">
        <f t="shared" si="23"/>
        <v>2.9138128604212321</v>
      </c>
      <c r="AE118" s="65"/>
      <c r="AF118" s="10">
        <f t="shared" si="24"/>
        <v>6.9383776146001477</v>
      </c>
      <c r="AG118" s="8">
        <f t="shared" si="25"/>
        <v>1.3529836348470288</v>
      </c>
      <c r="AH118" s="10">
        <f t="shared" si="26"/>
        <v>3.4691888073000738</v>
      </c>
      <c r="AI118" s="63"/>
      <c r="AJ118" s="10">
        <f t="shared" si="27"/>
        <v>6.8637000000000015</v>
      </c>
      <c r="AK118" s="8"/>
      <c r="AL118" s="8">
        <f t="shared" si="28"/>
        <v>3.4318500000000007</v>
      </c>
    </row>
    <row r="119" spans="1:38">
      <c r="A119" s="18">
        <v>41479</v>
      </c>
      <c r="B119" s="19" t="s">
        <v>141</v>
      </c>
      <c r="C119" s="12">
        <v>50.3</v>
      </c>
      <c r="D119" s="9" t="s">
        <v>80</v>
      </c>
      <c r="E119" s="8">
        <v>8.4089700000000001</v>
      </c>
      <c r="F119" s="8">
        <v>83.314689999999999</v>
      </c>
      <c r="G119" s="22">
        <v>50</v>
      </c>
      <c r="H119" s="22">
        <v>33</v>
      </c>
      <c r="I119" s="10">
        <f t="shared" si="19"/>
        <v>2.9194960564791734</v>
      </c>
      <c r="J119" s="10">
        <f t="shared" si="20"/>
        <v>5.0954818684551907E-2</v>
      </c>
      <c r="K119" s="10">
        <f t="shared" si="21"/>
        <v>21.02729165642895</v>
      </c>
      <c r="L119" s="8">
        <v>792</v>
      </c>
      <c r="M119" s="8" t="s">
        <v>39</v>
      </c>
      <c r="N119" s="8" t="s">
        <v>69</v>
      </c>
      <c r="O119" s="10" t="s">
        <v>65</v>
      </c>
      <c r="P119" s="10" t="s">
        <v>70</v>
      </c>
      <c r="Q119" s="8">
        <v>0.37</v>
      </c>
      <c r="R119" s="8" t="s">
        <v>71</v>
      </c>
      <c r="S119" s="12">
        <v>6.4</v>
      </c>
      <c r="T119" s="79">
        <f t="shared" si="29"/>
        <v>3.2169984000000006E-3</v>
      </c>
      <c r="U119" s="8">
        <v>6</v>
      </c>
      <c r="V119" s="8">
        <v>70</v>
      </c>
      <c r="W119" s="10">
        <f t="shared" ref="W119:W154" si="38">RADIANS(V119)</f>
        <v>1.2217304763960306</v>
      </c>
      <c r="X119" s="22">
        <v>5</v>
      </c>
      <c r="Y119" s="22">
        <v>30</v>
      </c>
      <c r="Z119" s="10">
        <f t="shared" ref="Z119:Z154" si="39">RADIANS(Y119)</f>
        <v>0.52359877559829882</v>
      </c>
      <c r="AA119" s="10">
        <f t="shared" ref="AA119:AA154" si="40">(SIN(W119)*U119)+(SIN(Z119)*X119)</f>
        <v>8.1381557247154497</v>
      </c>
      <c r="AB119" s="10">
        <f t="shared" ref="AB119:AB154" si="41">0.0776*(Q119*S119^2*AA119)^0.94</f>
        <v>7.1694217509464648</v>
      </c>
      <c r="AC119" s="10">
        <f t="shared" si="22"/>
        <v>0.8961777188683081</v>
      </c>
      <c r="AD119" s="10">
        <f t="shared" si="23"/>
        <v>3.5847108754732324</v>
      </c>
      <c r="AE119" s="65"/>
      <c r="AF119" s="10">
        <f t="shared" si="24"/>
        <v>7.2121359656006385</v>
      </c>
      <c r="AG119" s="8">
        <f t="shared" si="25"/>
        <v>1.4063665132921246</v>
      </c>
      <c r="AH119" s="10">
        <f t="shared" si="26"/>
        <v>3.6060679828003193</v>
      </c>
      <c r="AI119" s="63"/>
      <c r="AJ119" s="10">
        <f t="shared" si="27"/>
        <v>7.1082000000000036</v>
      </c>
      <c r="AK119" s="8"/>
      <c r="AL119" s="8">
        <f t="shared" si="28"/>
        <v>3.5541000000000018</v>
      </c>
    </row>
    <row r="120" spans="1:38">
      <c r="A120" s="18">
        <v>41479</v>
      </c>
      <c r="B120" s="19" t="s">
        <v>141</v>
      </c>
      <c r="C120" s="12">
        <v>50.3</v>
      </c>
      <c r="D120" s="19" t="s">
        <v>80</v>
      </c>
      <c r="E120" s="8">
        <v>8.4089700000000001</v>
      </c>
      <c r="F120" s="8">
        <v>83.314689999999999</v>
      </c>
      <c r="G120" s="22">
        <v>50</v>
      </c>
      <c r="H120" s="22">
        <v>33</v>
      </c>
      <c r="I120" s="10">
        <f t="shared" si="19"/>
        <v>2.9194960564791734</v>
      </c>
      <c r="J120" s="10">
        <f t="shared" si="20"/>
        <v>5.0954818684551907E-2</v>
      </c>
      <c r="K120" s="10">
        <f t="shared" si="21"/>
        <v>21.02729165642895</v>
      </c>
      <c r="L120" s="8">
        <v>825</v>
      </c>
      <c r="M120" s="8" t="s">
        <v>39</v>
      </c>
      <c r="N120" s="8" t="s">
        <v>69</v>
      </c>
      <c r="O120" s="10" t="s">
        <v>65</v>
      </c>
      <c r="P120" s="10" t="s">
        <v>70</v>
      </c>
      <c r="Q120" s="8">
        <v>0.37</v>
      </c>
      <c r="R120" s="8" t="s">
        <v>71</v>
      </c>
      <c r="S120" s="12">
        <v>17.7</v>
      </c>
      <c r="T120" s="79">
        <f t="shared" si="29"/>
        <v>2.4605796599999997E-2</v>
      </c>
      <c r="U120" s="8">
        <v>14</v>
      </c>
      <c r="V120" s="8">
        <v>63</v>
      </c>
      <c r="W120" s="10">
        <f t="shared" si="38"/>
        <v>1.0995574287564276</v>
      </c>
      <c r="X120" s="22">
        <v>5</v>
      </c>
      <c r="Y120" s="22">
        <v>32</v>
      </c>
      <c r="Z120" s="10">
        <f t="shared" si="39"/>
        <v>0.55850536063818546</v>
      </c>
      <c r="AA120" s="10">
        <f t="shared" si="40"/>
        <v>15.123687659803172</v>
      </c>
      <c r="AB120" s="10">
        <f t="shared" si="41"/>
        <v>86.90391069482942</v>
      </c>
      <c r="AC120" s="10">
        <f t="shared" si="22"/>
        <v>10.862988836853678</v>
      </c>
      <c r="AD120" s="10">
        <f t="shared" si="23"/>
        <v>43.45195534741471</v>
      </c>
      <c r="AE120" s="65"/>
      <c r="AF120" s="10">
        <f t="shared" si="24"/>
        <v>89.920194191916792</v>
      </c>
      <c r="AG120" s="8">
        <f t="shared" si="25"/>
        <v>17.534437867423776</v>
      </c>
      <c r="AH120" s="10">
        <f t="shared" si="26"/>
        <v>44.960097095958396</v>
      </c>
      <c r="AI120" s="63"/>
      <c r="AJ120" s="10">
        <f t="shared" si="27"/>
        <v>130.06349999999998</v>
      </c>
      <c r="AK120" s="8"/>
      <c r="AL120" s="8">
        <f t="shared" si="28"/>
        <v>65.031749999999988</v>
      </c>
    </row>
    <row r="121" spans="1:38">
      <c r="A121" s="18">
        <v>41479</v>
      </c>
      <c r="B121" s="19" t="s">
        <v>141</v>
      </c>
      <c r="C121" s="12">
        <v>50.3</v>
      </c>
      <c r="D121" s="19" t="s">
        <v>80</v>
      </c>
      <c r="E121" s="8">
        <v>8.4089700000000001</v>
      </c>
      <c r="F121" s="8">
        <v>83.314689999999999</v>
      </c>
      <c r="G121" s="22">
        <v>50</v>
      </c>
      <c r="H121" s="22">
        <v>33</v>
      </c>
      <c r="I121" s="10">
        <f t="shared" si="19"/>
        <v>2.9194960564791734</v>
      </c>
      <c r="J121" s="10">
        <f t="shared" si="20"/>
        <v>5.0954818684551907E-2</v>
      </c>
      <c r="K121" s="10">
        <f t="shared" si="21"/>
        <v>21.02729165642895</v>
      </c>
      <c r="L121" s="8">
        <v>756</v>
      </c>
      <c r="M121" s="8" t="s">
        <v>39</v>
      </c>
      <c r="N121" s="8" t="s">
        <v>69</v>
      </c>
      <c r="O121" s="10" t="s">
        <v>65</v>
      </c>
      <c r="P121" s="10" t="s">
        <v>70</v>
      </c>
      <c r="Q121" s="8">
        <v>0.37</v>
      </c>
      <c r="R121" s="8" t="s">
        <v>71</v>
      </c>
      <c r="S121" s="12">
        <v>36.4</v>
      </c>
      <c r="T121" s="79">
        <f t="shared" si="29"/>
        <v>0.10406235839999999</v>
      </c>
      <c r="U121" s="8">
        <v>16</v>
      </c>
      <c r="V121" s="8">
        <v>73</v>
      </c>
      <c r="W121" s="10">
        <f t="shared" si="38"/>
        <v>1.2740903539558606</v>
      </c>
      <c r="X121" s="22">
        <v>5</v>
      </c>
      <c r="Y121" s="22">
        <v>32</v>
      </c>
      <c r="Z121" s="10">
        <f t="shared" si="39"/>
        <v>0.55850536063818546</v>
      </c>
      <c r="AA121" s="10">
        <f t="shared" si="40"/>
        <v>17.950472416574591</v>
      </c>
      <c r="AB121" s="10">
        <f t="shared" si="41"/>
        <v>395.98001969604354</v>
      </c>
      <c r="AC121" s="10">
        <f t="shared" si="22"/>
        <v>49.497502462005443</v>
      </c>
      <c r="AD121" s="10">
        <f t="shared" si="23"/>
        <v>197.99000984802177</v>
      </c>
      <c r="AE121" s="65"/>
      <c r="AF121" s="10">
        <f t="shared" si="24"/>
        <v>519.83763709722143</v>
      </c>
      <c r="AG121" s="8">
        <f t="shared" si="25"/>
        <v>101.36833923395818</v>
      </c>
      <c r="AH121" s="10">
        <f t="shared" si="26"/>
        <v>259.91881854861072</v>
      </c>
      <c r="AI121" s="63"/>
      <c r="AJ121" s="10">
        <f t="shared" si="27"/>
        <v>748.67819999999983</v>
      </c>
      <c r="AK121" s="8"/>
      <c r="AL121" s="8">
        <f t="shared" si="28"/>
        <v>374.33909999999992</v>
      </c>
    </row>
    <row r="122" spans="1:38">
      <c r="A122" s="18">
        <v>41479</v>
      </c>
      <c r="B122" s="19" t="s">
        <v>141</v>
      </c>
      <c r="C122" s="12">
        <v>50.3</v>
      </c>
      <c r="D122" s="19" t="s">
        <v>80</v>
      </c>
      <c r="E122" s="8">
        <v>8.4089700000000001</v>
      </c>
      <c r="F122" s="8">
        <v>83.314689999999999</v>
      </c>
      <c r="G122" s="22">
        <v>50</v>
      </c>
      <c r="H122" s="22">
        <v>33</v>
      </c>
      <c r="I122" s="10">
        <f t="shared" si="19"/>
        <v>2.9194960564791734</v>
      </c>
      <c r="J122" s="10">
        <f t="shared" si="20"/>
        <v>5.0954818684551907E-2</v>
      </c>
      <c r="K122" s="10">
        <f t="shared" si="21"/>
        <v>21.02729165642895</v>
      </c>
      <c r="L122" s="22">
        <v>668</v>
      </c>
      <c r="M122" s="22" t="s">
        <v>129</v>
      </c>
      <c r="N122" s="22" t="s">
        <v>171</v>
      </c>
      <c r="O122" s="58" t="s">
        <v>175</v>
      </c>
      <c r="P122" s="10" t="s">
        <v>176</v>
      </c>
      <c r="Q122" s="22">
        <v>0.23</v>
      </c>
      <c r="R122" s="22" t="s">
        <v>190</v>
      </c>
      <c r="S122" s="31">
        <v>24.4</v>
      </c>
      <c r="T122" s="79">
        <f t="shared" si="29"/>
        <v>4.6759574399999997E-2</v>
      </c>
      <c r="U122" s="22">
        <v>18</v>
      </c>
      <c r="V122" s="22">
        <v>55</v>
      </c>
      <c r="W122" s="10">
        <f t="shared" si="38"/>
        <v>0.95993108859688125</v>
      </c>
      <c r="X122" s="22">
        <v>8</v>
      </c>
      <c r="Y122" s="22">
        <v>22</v>
      </c>
      <c r="Z122" s="10">
        <f t="shared" si="39"/>
        <v>0.38397243543875248</v>
      </c>
      <c r="AA122" s="10">
        <f t="shared" si="40"/>
        <v>17.741589544529148</v>
      </c>
      <c r="AB122" s="10">
        <f t="shared" si="41"/>
        <v>118.09506145811731</v>
      </c>
      <c r="AC122" s="10">
        <f t="shared" si="22"/>
        <v>14.761882682264664</v>
      </c>
      <c r="AD122" s="10">
        <f t="shared" si="23"/>
        <v>59.047530729058657</v>
      </c>
      <c r="AE122" s="65"/>
      <c r="AF122" s="10">
        <f t="shared" si="24"/>
        <v>123.09984105902674</v>
      </c>
      <c r="AG122" s="8">
        <f t="shared" si="25"/>
        <v>24.004469006510217</v>
      </c>
      <c r="AH122" s="10">
        <f t="shared" si="26"/>
        <v>61.549920529513372</v>
      </c>
      <c r="AI122" s="63"/>
      <c r="AJ122" s="10">
        <f t="shared" si="27"/>
        <v>292.21019999999993</v>
      </c>
      <c r="AK122" s="8"/>
      <c r="AL122" s="8">
        <f t="shared" si="28"/>
        <v>146.10509999999996</v>
      </c>
    </row>
    <row r="123" spans="1:38">
      <c r="A123" s="18">
        <v>41479</v>
      </c>
      <c r="B123" s="19" t="s">
        <v>141</v>
      </c>
      <c r="C123" s="12">
        <v>50.3</v>
      </c>
      <c r="D123" s="19" t="s">
        <v>80</v>
      </c>
      <c r="E123" s="8">
        <v>8.4089700000000001</v>
      </c>
      <c r="F123" s="8">
        <v>83.314689999999999</v>
      </c>
      <c r="G123" s="22">
        <v>50</v>
      </c>
      <c r="H123" s="22">
        <v>33</v>
      </c>
      <c r="I123" s="10">
        <f t="shared" si="19"/>
        <v>2.9194960564791734</v>
      </c>
      <c r="J123" s="10">
        <f t="shared" si="20"/>
        <v>5.0954818684551907E-2</v>
      </c>
      <c r="K123" s="10">
        <f t="shared" si="21"/>
        <v>21.02729165642895</v>
      </c>
      <c r="L123" s="22">
        <v>701</v>
      </c>
      <c r="M123" s="22" t="s">
        <v>39</v>
      </c>
      <c r="N123" s="8" t="s">
        <v>69</v>
      </c>
      <c r="O123" s="10" t="s">
        <v>65</v>
      </c>
      <c r="P123" s="10" t="s">
        <v>70</v>
      </c>
      <c r="Q123" s="8">
        <v>0.37</v>
      </c>
      <c r="R123" s="8" t="s">
        <v>71</v>
      </c>
      <c r="S123" s="31">
        <v>6.7</v>
      </c>
      <c r="T123" s="79">
        <f t="shared" si="29"/>
        <v>3.5256606000000001E-3</v>
      </c>
      <c r="U123" s="22">
        <v>11</v>
      </c>
      <c r="V123" s="22">
        <v>20</v>
      </c>
      <c r="W123" s="10">
        <f t="shared" si="38"/>
        <v>0.3490658503988659</v>
      </c>
      <c r="X123" s="22">
        <v>8</v>
      </c>
      <c r="Y123" s="22">
        <v>20</v>
      </c>
      <c r="Z123" s="10">
        <f t="shared" si="39"/>
        <v>0.3490658503988659</v>
      </c>
      <c r="AA123" s="10">
        <f t="shared" si="40"/>
        <v>6.4983827231877056</v>
      </c>
      <c r="AB123" s="10">
        <f t="shared" si="41"/>
        <v>6.3245399384742411</v>
      </c>
      <c r="AC123" s="10">
        <f t="shared" si="22"/>
        <v>0.79056749230928014</v>
      </c>
      <c r="AD123" s="10">
        <f t="shared" si="23"/>
        <v>3.1622699692371206</v>
      </c>
      <c r="AE123" s="65"/>
      <c r="AF123" s="10">
        <f t="shared" si="24"/>
        <v>8.0725494403400475</v>
      </c>
      <c r="AG123" s="8">
        <f t="shared" si="25"/>
        <v>1.5741471408663092</v>
      </c>
      <c r="AH123" s="10">
        <f t="shared" si="26"/>
        <v>4.0362747201700238</v>
      </c>
      <c r="AI123" s="63"/>
      <c r="AJ123" s="10">
        <f t="shared" si="27"/>
        <v>7.9304999999999986</v>
      </c>
      <c r="AK123" s="8"/>
      <c r="AL123" s="8">
        <f t="shared" si="28"/>
        <v>3.9652499999999993</v>
      </c>
    </row>
    <row r="124" spans="1:38">
      <c r="A124" s="18">
        <v>41479</v>
      </c>
      <c r="B124" s="19" t="s">
        <v>141</v>
      </c>
      <c r="C124" s="12">
        <v>50.3</v>
      </c>
      <c r="D124" s="19" t="s">
        <v>80</v>
      </c>
      <c r="E124" s="8">
        <v>8.4089700000000001</v>
      </c>
      <c r="F124" s="8">
        <v>83.314689999999999</v>
      </c>
      <c r="G124" s="22">
        <v>50</v>
      </c>
      <c r="H124" s="22">
        <v>33</v>
      </c>
      <c r="I124" s="10">
        <f t="shared" si="19"/>
        <v>2.9194960564791734</v>
      </c>
      <c r="J124" s="10">
        <f t="shared" si="20"/>
        <v>5.0954818684551907E-2</v>
      </c>
      <c r="K124" s="10">
        <f t="shared" si="21"/>
        <v>21.02729165642895</v>
      </c>
      <c r="L124" s="22">
        <v>615</v>
      </c>
      <c r="M124" s="22" t="s">
        <v>245</v>
      </c>
      <c r="N124" s="8" t="s">
        <v>123</v>
      </c>
      <c r="O124" s="57" t="s">
        <v>235</v>
      </c>
      <c r="P124" s="33" t="s">
        <v>236</v>
      </c>
      <c r="Q124" s="7">
        <v>0.62</v>
      </c>
      <c r="R124" s="7" t="s">
        <v>190</v>
      </c>
      <c r="S124" s="31">
        <v>21.6</v>
      </c>
      <c r="T124" s="79">
        <f t="shared" si="29"/>
        <v>3.6643622400000006E-2</v>
      </c>
      <c r="U124" s="22">
        <v>13</v>
      </c>
      <c r="V124" s="22">
        <v>60</v>
      </c>
      <c r="W124" s="10">
        <f t="shared" si="38"/>
        <v>1.0471975511965976</v>
      </c>
      <c r="X124" s="22">
        <v>7</v>
      </c>
      <c r="Y124" s="22">
        <v>25</v>
      </c>
      <c r="Z124" s="10">
        <f t="shared" si="39"/>
        <v>0.43633231299858238</v>
      </c>
      <c r="AA124" s="10">
        <f t="shared" si="40"/>
        <v>14.216658081382597</v>
      </c>
      <c r="AB124" s="10">
        <f t="shared" si="41"/>
        <v>193.69242164020037</v>
      </c>
      <c r="AC124" s="10">
        <f t="shared" si="22"/>
        <v>24.211552705025046</v>
      </c>
      <c r="AD124" s="10">
        <f t="shared" si="23"/>
        <v>96.846210820100183</v>
      </c>
      <c r="AE124" s="65"/>
      <c r="AF124" s="10">
        <f t="shared" si="24"/>
        <v>246.18327940353862</v>
      </c>
      <c r="AG124" s="8">
        <f t="shared" si="25"/>
        <v>48.005739483690036</v>
      </c>
      <c r="AH124" s="10">
        <f t="shared" si="26"/>
        <v>123.09163970176931</v>
      </c>
      <c r="AI124" s="63"/>
      <c r="AJ124" s="10">
        <f t="shared" si="27"/>
        <v>216.36660000000001</v>
      </c>
      <c r="AK124" s="8"/>
      <c r="AL124" s="8">
        <f t="shared" si="28"/>
        <v>108.1833</v>
      </c>
    </row>
    <row r="125" spans="1:38">
      <c r="A125" s="18">
        <v>41479</v>
      </c>
      <c r="B125" s="19" t="s">
        <v>141</v>
      </c>
      <c r="C125" s="12">
        <v>50.3</v>
      </c>
      <c r="D125" s="19" t="s">
        <v>80</v>
      </c>
      <c r="E125" s="8">
        <v>8.4089700000000001</v>
      </c>
      <c r="F125" s="8">
        <v>83.314689999999999</v>
      </c>
      <c r="G125" s="22">
        <v>50</v>
      </c>
      <c r="H125" s="22">
        <v>33</v>
      </c>
      <c r="I125" s="10">
        <f t="shared" si="19"/>
        <v>2.9194960564791734</v>
      </c>
      <c r="J125" s="10">
        <f t="shared" si="20"/>
        <v>5.0954818684551907E-2</v>
      </c>
      <c r="K125" s="10">
        <f t="shared" si="21"/>
        <v>21.02729165642895</v>
      </c>
      <c r="L125" s="22">
        <v>740</v>
      </c>
      <c r="M125" s="22" t="s">
        <v>39</v>
      </c>
      <c r="N125" s="8" t="s">
        <v>69</v>
      </c>
      <c r="O125" s="10" t="s">
        <v>65</v>
      </c>
      <c r="P125" s="10" t="s">
        <v>70</v>
      </c>
      <c r="Q125" s="8">
        <v>0.37</v>
      </c>
      <c r="R125" s="8" t="s">
        <v>71</v>
      </c>
      <c r="S125" s="31">
        <v>7.2</v>
      </c>
      <c r="T125" s="79">
        <f t="shared" si="29"/>
        <v>4.0715136000000008E-3</v>
      </c>
      <c r="U125" s="22">
        <v>8</v>
      </c>
      <c r="V125" s="22">
        <v>58</v>
      </c>
      <c r="W125" s="10">
        <f t="shared" si="38"/>
        <v>1.0122909661567112</v>
      </c>
      <c r="X125" s="22">
        <v>6</v>
      </c>
      <c r="Y125" s="22">
        <v>27</v>
      </c>
      <c r="Z125" s="10">
        <f t="shared" si="39"/>
        <v>0.47123889803846897</v>
      </c>
      <c r="AA125" s="10">
        <f t="shared" si="40"/>
        <v>9.5083277676886873</v>
      </c>
      <c r="AB125" s="10">
        <f t="shared" si="41"/>
        <v>10.355577677755704</v>
      </c>
      <c r="AC125" s="10">
        <f t="shared" si="22"/>
        <v>1.294447209719463</v>
      </c>
      <c r="AD125" s="10">
        <f t="shared" si="23"/>
        <v>5.1777888388778521</v>
      </c>
      <c r="AE125" s="65"/>
      <c r="AF125" s="10">
        <f t="shared" si="24"/>
        <v>9.6401186042597811</v>
      </c>
      <c r="AG125" s="8">
        <f t="shared" si="25"/>
        <v>1.8798231278306574</v>
      </c>
      <c r="AH125" s="10">
        <f t="shared" si="26"/>
        <v>4.8200593021298905</v>
      </c>
      <c r="AI125" s="63"/>
      <c r="AJ125" s="10">
        <f t="shared" si="27"/>
        <v>9.5969999999999978</v>
      </c>
      <c r="AK125" s="8"/>
      <c r="AL125" s="8">
        <f t="shared" si="28"/>
        <v>4.7984999999999989</v>
      </c>
    </row>
    <row r="126" spans="1:38">
      <c r="A126" s="18">
        <v>41479</v>
      </c>
      <c r="B126" s="19" t="s">
        <v>141</v>
      </c>
      <c r="C126" s="12">
        <v>50.3</v>
      </c>
      <c r="D126" s="19" t="s">
        <v>80</v>
      </c>
      <c r="E126" s="8">
        <v>8.4089700000000001</v>
      </c>
      <c r="F126" s="8">
        <v>83.314689999999999</v>
      </c>
      <c r="G126" s="22">
        <v>50</v>
      </c>
      <c r="H126" s="22">
        <v>33</v>
      </c>
      <c r="I126" s="10">
        <f t="shared" si="19"/>
        <v>2.9194960564791734</v>
      </c>
      <c r="J126" s="10">
        <f t="shared" si="20"/>
        <v>5.0954818684551907E-2</v>
      </c>
      <c r="K126" s="10">
        <f t="shared" si="21"/>
        <v>21.02729165642895</v>
      </c>
      <c r="L126" s="22">
        <v>728</v>
      </c>
      <c r="M126" s="22" t="s">
        <v>39</v>
      </c>
      <c r="N126" s="8" t="s">
        <v>69</v>
      </c>
      <c r="O126" s="10" t="s">
        <v>65</v>
      </c>
      <c r="P126" s="10" t="s">
        <v>70</v>
      </c>
      <c r="Q126" s="8">
        <v>0.37</v>
      </c>
      <c r="R126" s="8" t="s">
        <v>71</v>
      </c>
      <c r="S126" s="31">
        <v>10.8</v>
      </c>
      <c r="T126" s="79">
        <f t="shared" si="29"/>
        <v>9.1609056000000015E-3</v>
      </c>
      <c r="U126" s="22">
        <v>14</v>
      </c>
      <c r="V126" s="22">
        <v>79</v>
      </c>
      <c r="W126" s="10">
        <f t="shared" si="38"/>
        <v>1.3788101090755203</v>
      </c>
      <c r="X126" s="22">
        <v>5</v>
      </c>
      <c r="Y126" s="22">
        <v>9</v>
      </c>
      <c r="Z126" s="10">
        <f t="shared" si="39"/>
        <v>0.15707963267948966</v>
      </c>
      <c r="AA126" s="10">
        <f t="shared" si="40"/>
        <v>14.52495289346845</v>
      </c>
      <c r="AB126" s="10">
        <f t="shared" si="41"/>
        <v>33.05185591381273</v>
      </c>
      <c r="AC126" s="10">
        <f t="shared" si="22"/>
        <v>4.1314819892265913</v>
      </c>
      <c r="AD126" s="10">
        <f t="shared" si="23"/>
        <v>16.525927956906365</v>
      </c>
      <c r="AE126" s="65"/>
      <c r="AF126" s="10">
        <f t="shared" si="24"/>
        <v>26.356782763179012</v>
      </c>
      <c r="AG126" s="8">
        <f t="shared" si="25"/>
        <v>5.1395726388199074</v>
      </c>
      <c r="AH126" s="10">
        <f t="shared" si="26"/>
        <v>13.178391381589506</v>
      </c>
      <c r="AI126" s="63"/>
      <c r="AJ126" s="10">
        <f t="shared" si="27"/>
        <v>32.518199999999993</v>
      </c>
      <c r="AK126" s="8"/>
      <c r="AL126" s="8">
        <f t="shared" si="28"/>
        <v>16.259099999999997</v>
      </c>
    </row>
    <row r="127" spans="1:38">
      <c r="A127" s="18">
        <v>41479</v>
      </c>
      <c r="B127" s="19" t="s">
        <v>141</v>
      </c>
      <c r="C127" s="12">
        <v>50.3</v>
      </c>
      <c r="D127" s="19" t="s">
        <v>80</v>
      </c>
      <c r="E127" s="8">
        <v>8.4089700000000001</v>
      </c>
      <c r="F127" s="8">
        <v>83.314689999999999</v>
      </c>
      <c r="G127" s="22">
        <v>50</v>
      </c>
      <c r="H127" s="22">
        <v>33</v>
      </c>
      <c r="I127" s="10">
        <f t="shared" si="19"/>
        <v>2.9194960564791734</v>
      </c>
      <c r="J127" s="10">
        <f t="shared" si="20"/>
        <v>5.0954818684551907E-2</v>
      </c>
      <c r="K127" s="10">
        <f t="shared" si="21"/>
        <v>21.02729165642895</v>
      </c>
      <c r="L127" s="22">
        <v>773</v>
      </c>
      <c r="M127" s="22" t="s">
        <v>39</v>
      </c>
      <c r="N127" s="8" t="s">
        <v>69</v>
      </c>
      <c r="O127" s="10" t="s">
        <v>65</v>
      </c>
      <c r="P127" s="10" t="s">
        <v>70</v>
      </c>
      <c r="Q127" s="8">
        <v>0.37</v>
      </c>
      <c r="R127" s="8" t="s">
        <v>71</v>
      </c>
      <c r="S127" s="31">
        <v>12.3</v>
      </c>
      <c r="T127" s="79">
        <f t="shared" si="29"/>
        <v>1.1882316600000001E-2</v>
      </c>
      <c r="U127" s="22">
        <v>15</v>
      </c>
      <c r="V127" s="22">
        <v>59</v>
      </c>
      <c r="W127" s="10">
        <f t="shared" si="38"/>
        <v>1.0297442586766545</v>
      </c>
      <c r="X127" s="22">
        <v>6</v>
      </c>
      <c r="Y127" s="22">
        <v>7</v>
      </c>
      <c r="Z127" s="10">
        <f t="shared" si="39"/>
        <v>0.12217304763960307</v>
      </c>
      <c r="AA127" s="10">
        <f t="shared" si="40"/>
        <v>13.58872557096257</v>
      </c>
      <c r="AB127" s="10">
        <f t="shared" si="41"/>
        <v>39.644318420998978</v>
      </c>
      <c r="AC127" s="10">
        <f t="shared" si="22"/>
        <v>4.9555398026248723</v>
      </c>
      <c r="AD127" s="10">
        <f t="shared" si="23"/>
        <v>19.822159210499489</v>
      </c>
      <c r="AE127" s="65"/>
      <c r="AF127" s="10">
        <f t="shared" si="24"/>
        <v>36.427319212704134</v>
      </c>
      <c r="AG127" s="8">
        <f t="shared" si="25"/>
        <v>7.1033272464773063</v>
      </c>
      <c r="AH127" s="10">
        <f t="shared" si="26"/>
        <v>18.213659606352067</v>
      </c>
      <c r="AI127" s="63"/>
      <c r="AJ127" s="10">
        <f t="shared" si="27"/>
        <v>47.729700000000008</v>
      </c>
      <c r="AK127" s="8"/>
      <c r="AL127" s="8">
        <f t="shared" si="28"/>
        <v>23.864850000000004</v>
      </c>
    </row>
    <row r="128" spans="1:38">
      <c r="A128" s="18">
        <v>41479</v>
      </c>
      <c r="B128" s="19" t="s">
        <v>141</v>
      </c>
      <c r="C128" s="12">
        <v>50.3</v>
      </c>
      <c r="D128" s="19" t="s">
        <v>80</v>
      </c>
      <c r="E128" s="8">
        <v>8.4089700000000001</v>
      </c>
      <c r="F128" s="8">
        <v>83.314689999999999</v>
      </c>
      <c r="G128" s="22">
        <v>50</v>
      </c>
      <c r="H128" s="22">
        <v>33</v>
      </c>
      <c r="I128" s="10">
        <f t="shared" si="19"/>
        <v>2.9194960564791734</v>
      </c>
      <c r="J128" s="10">
        <f t="shared" si="20"/>
        <v>5.0954818684551907E-2</v>
      </c>
      <c r="K128" s="10">
        <f t="shared" si="21"/>
        <v>21.02729165642895</v>
      </c>
      <c r="L128" s="22">
        <v>633</v>
      </c>
      <c r="M128" s="22" t="s">
        <v>39</v>
      </c>
      <c r="N128" s="8" t="s">
        <v>69</v>
      </c>
      <c r="O128" s="10" t="s">
        <v>65</v>
      </c>
      <c r="P128" s="10" t="s">
        <v>70</v>
      </c>
      <c r="Q128" s="8">
        <v>0.37</v>
      </c>
      <c r="R128" s="8" t="s">
        <v>71</v>
      </c>
      <c r="S128" s="31">
        <v>12.4</v>
      </c>
      <c r="T128" s="79">
        <f t="shared" si="29"/>
        <v>1.2076310400000002E-2</v>
      </c>
      <c r="U128" s="22">
        <v>16</v>
      </c>
      <c r="V128" s="22">
        <v>55</v>
      </c>
      <c r="W128" s="10">
        <f t="shared" si="38"/>
        <v>0.95993108859688125</v>
      </c>
      <c r="X128" s="22">
        <v>7</v>
      </c>
      <c r="Y128" s="22">
        <v>9</v>
      </c>
      <c r="Z128" s="10">
        <f t="shared" si="39"/>
        <v>0.15707963267948966</v>
      </c>
      <c r="AA128" s="10">
        <f t="shared" si="40"/>
        <v>14.201473963905485</v>
      </c>
      <c r="AB128" s="10">
        <f t="shared" si="41"/>
        <v>41.956333282953217</v>
      </c>
      <c r="AC128" s="10">
        <f t="shared" si="22"/>
        <v>5.2445416603691521</v>
      </c>
      <c r="AD128" s="10">
        <f t="shared" si="23"/>
        <v>20.978166641476609</v>
      </c>
      <c r="AE128" s="65"/>
      <c r="AF128" s="10">
        <f t="shared" si="24"/>
        <v>37.168622808807022</v>
      </c>
      <c r="AG128" s="8">
        <f t="shared" si="25"/>
        <v>7.2478814477173694</v>
      </c>
      <c r="AH128" s="10">
        <f t="shared" si="26"/>
        <v>18.584311404403511</v>
      </c>
      <c r="AI128" s="63"/>
      <c r="AJ128" s="10">
        <f t="shared" si="27"/>
        <v>48.862200000000001</v>
      </c>
      <c r="AK128" s="8"/>
      <c r="AL128" s="8">
        <f t="shared" si="28"/>
        <v>24.431100000000001</v>
      </c>
    </row>
    <row r="129" spans="1:38">
      <c r="A129" s="18">
        <v>41479</v>
      </c>
      <c r="B129" s="19" t="s">
        <v>141</v>
      </c>
      <c r="C129" s="12">
        <v>50.3</v>
      </c>
      <c r="D129" s="19" t="s">
        <v>80</v>
      </c>
      <c r="E129" s="8">
        <v>8.4089700000000001</v>
      </c>
      <c r="F129" s="8">
        <v>83.314689999999999</v>
      </c>
      <c r="G129" s="22">
        <v>50</v>
      </c>
      <c r="H129" s="22">
        <v>33</v>
      </c>
      <c r="I129" s="10">
        <f t="shared" si="19"/>
        <v>2.9194960564791734</v>
      </c>
      <c r="J129" s="10">
        <f t="shared" si="20"/>
        <v>5.0954818684551907E-2</v>
      </c>
      <c r="K129" s="10">
        <f t="shared" si="21"/>
        <v>21.02729165642895</v>
      </c>
      <c r="L129" s="22">
        <v>637</v>
      </c>
      <c r="M129" s="22" t="s">
        <v>39</v>
      </c>
      <c r="N129" s="8" t="s">
        <v>69</v>
      </c>
      <c r="O129" s="10" t="s">
        <v>65</v>
      </c>
      <c r="P129" s="10" t="s">
        <v>70</v>
      </c>
      <c r="Q129" s="8">
        <v>0.37</v>
      </c>
      <c r="R129" s="8" t="s">
        <v>71</v>
      </c>
      <c r="S129" s="31">
        <v>6.5</v>
      </c>
      <c r="T129" s="79">
        <f t="shared" si="29"/>
        <v>3.3183150000000001E-3</v>
      </c>
      <c r="U129" s="22">
        <v>12</v>
      </c>
      <c r="V129" s="22">
        <v>44</v>
      </c>
      <c r="W129" s="10">
        <f t="shared" si="38"/>
        <v>0.76794487087750496</v>
      </c>
      <c r="X129" s="22">
        <v>6</v>
      </c>
      <c r="Y129" s="22">
        <v>9</v>
      </c>
      <c r="Z129" s="10">
        <f t="shared" si="39"/>
        <v>0.15707963267948966</v>
      </c>
      <c r="AA129" s="10">
        <f t="shared" si="40"/>
        <v>9.2745072357493523</v>
      </c>
      <c r="AB129" s="10">
        <f t="shared" si="41"/>
        <v>8.3464509615759717</v>
      </c>
      <c r="AC129" s="10">
        <f t="shared" si="22"/>
        <v>1.0433063701969965</v>
      </c>
      <c r="AD129" s="10">
        <f t="shared" si="23"/>
        <v>4.1732254807879858</v>
      </c>
      <c r="AE129" s="65"/>
      <c r="AF129" s="10">
        <f t="shared" si="24"/>
        <v>7.4923825225676159</v>
      </c>
      <c r="AG129" s="8">
        <f t="shared" si="25"/>
        <v>1.4610145919006852</v>
      </c>
      <c r="AH129" s="10">
        <f t="shared" si="26"/>
        <v>3.746191261283808</v>
      </c>
      <c r="AI129" s="63"/>
      <c r="AJ129" s="10">
        <f t="shared" si="27"/>
        <v>7.3674999999999962</v>
      </c>
      <c r="AK129" s="8"/>
      <c r="AL129" s="8">
        <f t="shared" si="28"/>
        <v>3.6837499999999981</v>
      </c>
    </row>
    <row r="130" spans="1:38">
      <c r="A130" s="18">
        <v>41479</v>
      </c>
      <c r="B130" s="19" t="s">
        <v>141</v>
      </c>
      <c r="C130" s="12">
        <v>50.3</v>
      </c>
      <c r="D130" s="19" t="s">
        <v>80</v>
      </c>
      <c r="E130" s="8">
        <v>8.4089700000000001</v>
      </c>
      <c r="F130" s="8">
        <v>83.314689999999999</v>
      </c>
      <c r="G130" s="22">
        <v>50</v>
      </c>
      <c r="H130" s="22">
        <v>33</v>
      </c>
      <c r="I130" s="10">
        <f t="shared" si="19"/>
        <v>2.9194960564791734</v>
      </c>
      <c r="J130" s="10">
        <f t="shared" si="20"/>
        <v>5.0954818684551907E-2</v>
      </c>
      <c r="K130" s="10">
        <f t="shared" si="21"/>
        <v>21.02729165642895</v>
      </c>
      <c r="L130" s="22">
        <v>798</v>
      </c>
      <c r="M130" s="22" t="s">
        <v>39</v>
      </c>
      <c r="N130" s="8" t="s">
        <v>69</v>
      </c>
      <c r="O130" s="10" t="s">
        <v>65</v>
      </c>
      <c r="P130" s="10" t="s">
        <v>70</v>
      </c>
      <c r="Q130" s="8">
        <v>0.37</v>
      </c>
      <c r="R130" s="8" t="s">
        <v>71</v>
      </c>
      <c r="S130" s="31">
        <v>8.6</v>
      </c>
      <c r="T130" s="79">
        <f t="shared" si="29"/>
        <v>5.8088183999999996E-3</v>
      </c>
      <c r="U130" s="22">
        <v>10</v>
      </c>
      <c r="V130" s="22">
        <v>34</v>
      </c>
      <c r="W130" s="10">
        <f t="shared" si="38"/>
        <v>0.59341194567807209</v>
      </c>
      <c r="X130" s="22">
        <v>6</v>
      </c>
      <c r="Y130" s="22">
        <v>14</v>
      </c>
      <c r="Z130" s="10">
        <f t="shared" si="39"/>
        <v>0.24434609527920614</v>
      </c>
      <c r="AA130" s="10">
        <f t="shared" si="40"/>
        <v>7.0434604083054762</v>
      </c>
      <c r="AB130" s="10">
        <f t="shared" si="41"/>
        <v>10.908055609173408</v>
      </c>
      <c r="AC130" s="10">
        <f t="shared" si="22"/>
        <v>1.363506951146676</v>
      </c>
      <c r="AD130" s="10">
        <f t="shared" si="23"/>
        <v>5.4540278045867039</v>
      </c>
      <c r="AE130" s="65"/>
      <c r="AF130" s="10">
        <f t="shared" si="24"/>
        <v>14.964907780151471</v>
      </c>
      <c r="AG130" s="8">
        <f t="shared" si="25"/>
        <v>2.9181570171295368</v>
      </c>
      <c r="AH130" s="10">
        <f t="shared" si="26"/>
        <v>7.4824538900757354</v>
      </c>
      <c r="AI130" s="63"/>
      <c r="AJ130" s="10">
        <f t="shared" si="27"/>
        <v>16.231599999999993</v>
      </c>
      <c r="AK130" s="8"/>
      <c r="AL130" s="8">
        <f t="shared" si="28"/>
        <v>8.1157999999999966</v>
      </c>
    </row>
    <row r="131" spans="1:38">
      <c r="A131" s="18">
        <v>41479</v>
      </c>
      <c r="B131" s="19" t="s">
        <v>141</v>
      </c>
      <c r="C131" s="12">
        <v>50.3</v>
      </c>
      <c r="D131" s="19" t="s">
        <v>80</v>
      </c>
      <c r="E131" s="8">
        <v>8.4089700000000001</v>
      </c>
      <c r="F131" s="8">
        <v>83.314689999999999</v>
      </c>
      <c r="G131" s="22">
        <v>50</v>
      </c>
      <c r="H131" s="22">
        <v>33</v>
      </c>
      <c r="I131" s="10">
        <f t="shared" si="19"/>
        <v>2.9194960564791734</v>
      </c>
      <c r="J131" s="10">
        <f t="shared" si="20"/>
        <v>5.0954818684551907E-2</v>
      </c>
      <c r="K131" s="10">
        <f t="shared" si="21"/>
        <v>21.02729165642895</v>
      </c>
      <c r="L131" s="22">
        <v>671</v>
      </c>
      <c r="M131" s="22" t="s">
        <v>39</v>
      </c>
      <c r="N131" s="8" t="s">
        <v>69</v>
      </c>
      <c r="O131" s="10" t="s">
        <v>65</v>
      </c>
      <c r="P131" s="10" t="s">
        <v>70</v>
      </c>
      <c r="Q131" s="8">
        <v>0.37</v>
      </c>
      <c r="R131" s="8" t="s">
        <v>71</v>
      </c>
      <c r="S131" s="30">
        <v>12</v>
      </c>
      <c r="T131" s="79">
        <f t="shared" si="29"/>
        <v>1.130976E-2</v>
      </c>
      <c r="U131" s="22">
        <v>10</v>
      </c>
      <c r="V131" s="22">
        <v>52</v>
      </c>
      <c r="W131" s="10">
        <f t="shared" si="38"/>
        <v>0.90757121103705141</v>
      </c>
      <c r="X131" s="22">
        <v>5</v>
      </c>
      <c r="Y131" s="22">
        <v>22</v>
      </c>
      <c r="Z131" s="10">
        <f t="shared" si="39"/>
        <v>0.38397243543875248</v>
      </c>
      <c r="AA131" s="10">
        <f t="shared" si="40"/>
        <v>9.7531405031467795</v>
      </c>
      <c r="AB131" s="10">
        <f t="shared" si="41"/>
        <v>27.709449403918669</v>
      </c>
      <c r="AC131" s="10">
        <f t="shared" si="22"/>
        <v>3.4636811754898336</v>
      </c>
      <c r="AD131" s="10">
        <f t="shared" si="23"/>
        <v>13.854724701959334</v>
      </c>
      <c r="AE131" s="65"/>
      <c r="AF131" s="10">
        <f t="shared" si="24"/>
        <v>34.256637001283615</v>
      </c>
      <c r="AG131" s="8">
        <f t="shared" si="25"/>
        <v>6.6800442152503052</v>
      </c>
      <c r="AH131" s="10">
        <f t="shared" si="26"/>
        <v>17.128318500641807</v>
      </c>
      <c r="AI131" s="63"/>
      <c r="AJ131" s="10">
        <f t="shared" si="27"/>
        <v>44.420999999999992</v>
      </c>
      <c r="AK131" s="8"/>
      <c r="AL131" s="8">
        <f t="shared" si="28"/>
        <v>22.210499999999996</v>
      </c>
    </row>
    <row r="132" spans="1:38">
      <c r="A132" s="18">
        <v>41479</v>
      </c>
      <c r="B132" s="19" t="s">
        <v>141</v>
      </c>
      <c r="C132" s="12">
        <v>50.3</v>
      </c>
      <c r="D132" s="19" t="s">
        <v>80</v>
      </c>
      <c r="E132" s="8">
        <v>8.4089700000000001</v>
      </c>
      <c r="F132" s="8">
        <v>83.314689999999999</v>
      </c>
      <c r="G132" s="22">
        <v>50</v>
      </c>
      <c r="H132" s="22">
        <v>33</v>
      </c>
      <c r="I132" s="10">
        <f t="shared" si="19"/>
        <v>2.9194960564791734</v>
      </c>
      <c r="J132" s="10">
        <f t="shared" si="20"/>
        <v>5.0954818684551907E-2</v>
      </c>
      <c r="K132" s="10">
        <f t="shared" si="21"/>
        <v>21.02729165642895</v>
      </c>
      <c r="L132" s="22">
        <v>713</v>
      </c>
      <c r="M132" s="22" t="s">
        <v>230</v>
      </c>
      <c r="N132" s="22" t="s">
        <v>225</v>
      </c>
      <c r="O132" s="10" t="s">
        <v>223</v>
      </c>
      <c r="P132" s="10" t="s">
        <v>224</v>
      </c>
      <c r="Q132" s="22">
        <v>0.55000000000000004</v>
      </c>
      <c r="R132" s="22" t="s">
        <v>190</v>
      </c>
      <c r="S132" s="31">
        <v>15.5</v>
      </c>
      <c r="T132" s="79">
        <f t="shared" si="29"/>
        <v>1.8869235000000002E-2</v>
      </c>
      <c r="U132" s="22">
        <v>14</v>
      </c>
      <c r="V132" s="22">
        <v>47</v>
      </c>
      <c r="W132" s="10">
        <f t="shared" si="38"/>
        <v>0.82030474843733492</v>
      </c>
      <c r="X132" s="22">
        <v>6</v>
      </c>
      <c r="Y132" s="22">
        <v>25</v>
      </c>
      <c r="Z132" s="10">
        <f t="shared" si="39"/>
        <v>0.43633231299858238</v>
      </c>
      <c r="AA132" s="10">
        <f t="shared" si="40"/>
        <v>12.774661393112584</v>
      </c>
      <c r="AB132" s="10">
        <f t="shared" si="41"/>
        <v>83.867688907470693</v>
      </c>
      <c r="AC132" s="10">
        <f t="shared" si="22"/>
        <v>10.483461113433837</v>
      </c>
      <c r="AD132" s="10">
        <f t="shared" si="23"/>
        <v>41.933844453735347</v>
      </c>
      <c r="AE132" s="65"/>
      <c r="AF132" s="10">
        <f t="shared" si="24"/>
        <v>96.204922086539426</v>
      </c>
      <c r="AG132" s="8">
        <f t="shared" si="25"/>
        <v>18.759959806875187</v>
      </c>
      <c r="AH132" s="10">
        <f t="shared" si="26"/>
        <v>48.102461043269713</v>
      </c>
      <c r="AI132" s="63"/>
      <c r="AJ132" s="10">
        <f t="shared" si="27"/>
        <v>91.31049999999999</v>
      </c>
      <c r="AK132" s="8"/>
      <c r="AL132" s="8">
        <f t="shared" si="28"/>
        <v>45.655249999999995</v>
      </c>
    </row>
    <row r="133" spans="1:38">
      <c r="A133" s="18">
        <v>41479</v>
      </c>
      <c r="B133" s="19" t="s">
        <v>141</v>
      </c>
      <c r="C133" s="12">
        <v>50.3</v>
      </c>
      <c r="D133" s="19" t="s">
        <v>80</v>
      </c>
      <c r="E133" s="8">
        <v>8.4089700000000001</v>
      </c>
      <c r="F133" s="8">
        <v>83.314689999999999</v>
      </c>
      <c r="G133" s="22">
        <v>50</v>
      </c>
      <c r="H133" s="22">
        <v>33</v>
      </c>
      <c r="I133" s="10">
        <f t="shared" ref="I133:I195" si="42">1/TAN(H133/100)</f>
        <v>2.9194960564791734</v>
      </c>
      <c r="J133" s="10">
        <f t="shared" ref="J133:J195" si="43">RADIANS(I133)</f>
        <v>5.0954818684551907E-2</v>
      </c>
      <c r="K133" s="10">
        <f t="shared" ref="K133:K195" si="44">21/COS(J133)</f>
        <v>21.02729165642895</v>
      </c>
      <c r="L133" s="22">
        <v>816</v>
      </c>
      <c r="M133" s="22" t="s">
        <v>230</v>
      </c>
      <c r="N133" s="22" t="s">
        <v>225</v>
      </c>
      <c r="O133" s="10" t="s">
        <v>223</v>
      </c>
      <c r="P133" s="10" t="s">
        <v>224</v>
      </c>
      <c r="Q133" s="22">
        <v>0.55000000000000004</v>
      </c>
      <c r="R133" s="22" t="s">
        <v>190</v>
      </c>
      <c r="S133" s="31">
        <v>6.2</v>
      </c>
      <c r="T133" s="79">
        <f t="shared" si="29"/>
        <v>3.0190776000000004E-3</v>
      </c>
      <c r="U133" s="22">
        <v>9</v>
      </c>
      <c r="V133" s="22">
        <v>47</v>
      </c>
      <c r="W133" s="10">
        <f t="shared" si="38"/>
        <v>0.82030474843733492</v>
      </c>
      <c r="X133" s="22">
        <v>7</v>
      </c>
      <c r="Y133" s="22">
        <v>25</v>
      </c>
      <c r="Z133" s="10">
        <f t="shared" si="39"/>
        <v>0.43633231299858238</v>
      </c>
      <c r="AA133" s="10">
        <f t="shared" si="40"/>
        <v>9.5405111467574297</v>
      </c>
      <c r="AB133" s="10">
        <f t="shared" si="41"/>
        <v>11.384038879998096</v>
      </c>
      <c r="AC133" s="10">
        <f t="shared" si="22"/>
        <v>1.423004859999762</v>
      </c>
      <c r="AD133" s="10">
        <f t="shared" si="23"/>
        <v>5.692019439999048</v>
      </c>
      <c r="AE133" s="65"/>
      <c r="AF133" s="10">
        <f t="shared" si="24"/>
        <v>9.9164324086102891</v>
      </c>
      <c r="AG133" s="8">
        <f t="shared" si="25"/>
        <v>1.9337043196790065</v>
      </c>
      <c r="AH133" s="10">
        <f t="shared" si="26"/>
        <v>4.9582162043051445</v>
      </c>
      <c r="AI133" s="63"/>
      <c r="AJ133" s="10">
        <f t="shared" si="27"/>
        <v>6.6340000000000003</v>
      </c>
      <c r="AK133" s="8"/>
      <c r="AL133" s="8">
        <f t="shared" si="28"/>
        <v>3.3170000000000002</v>
      </c>
    </row>
    <row r="134" spans="1:38">
      <c r="A134" s="18">
        <v>41479</v>
      </c>
      <c r="B134" s="19" t="s">
        <v>141</v>
      </c>
      <c r="C134" s="12">
        <v>50.3</v>
      </c>
      <c r="D134" s="19" t="s">
        <v>80</v>
      </c>
      <c r="E134" s="8">
        <v>8.4089700000000001</v>
      </c>
      <c r="F134" s="8">
        <v>83.314689999999999</v>
      </c>
      <c r="G134" s="22">
        <v>50</v>
      </c>
      <c r="H134" s="22">
        <v>33</v>
      </c>
      <c r="I134" s="10">
        <f t="shared" si="42"/>
        <v>2.9194960564791734</v>
      </c>
      <c r="J134" s="10">
        <f t="shared" si="43"/>
        <v>5.0954818684551907E-2</v>
      </c>
      <c r="K134" s="10">
        <f t="shared" si="44"/>
        <v>21.02729165642895</v>
      </c>
      <c r="L134" s="22">
        <v>819</v>
      </c>
      <c r="M134" s="22" t="s">
        <v>230</v>
      </c>
      <c r="N134" s="22" t="s">
        <v>225</v>
      </c>
      <c r="O134" s="10" t="s">
        <v>223</v>
      </c>
      <c r="P134" s="10" t="s">
        <v>224</v>
      </c>
      <c r="Q134" s="22">
        <v>0.55000000000000004</v>
      </c>
      <c r="R134" s="22" t="s">
        <v>190</v>
      </c>
      <c r="S134" s="31">
        <v>5.5</v>
      </c>
      <c r="T134" s="79">
        <f t="shared" si="29"/>
        <v>2.3758350000000002E-3</v>
      </c>
      <c r="U134" s="22">
        <v>9</v>
      </c>
      <c r="V134" s="22">
        <v>27</v>
      </c>
      <c r="W134" s="10">
        <f t="shared" si="38"/>
        <v>0.47123889803846897</v>
      </c>
      <c r="X134" s="22">
        <v>7</v>
      </c>
      <c r="Y134" s="22">
        <v>25</v>
      </c>
      <c r="Z134" s="10">
        <f t="shared" si="39"/>
        <v>0.43633231299858238</v>
      </c>
      <c r="AA134" s="10">
        <f t="shared" si="40"/>
        <v>7.0442423298408166</v>
      </c>
      <c r="AB134" s="10">
        <f t="shared" si="41"/>
        <v>6.833587129656995</v>
      </c>
      <c r="AC134" s="10">
        <f t="shared" ref="AC134:AC196" si="45">AB134*0.125</f>
        <v>0.85419839120712437</v>
      </c>
      <c r="AD134" s="10">
        <f t="shared" si="23"/>
        <v>3.4167935648284975</v>
      </c>
      <c r="AE134" s="65"/>
      <c r="AF134" s="10">
        <f t="shared" si="24"/>
        <v>7.3958963461182083</v>
      </c>
      <c r="AG134" s="8">
        <f t="shared" ref="AG134:AG196" si="46">AF134*0.195</f>
        <v>1.4421997874930508</v>
      </c>
      <c r="AH134" s="10">
        <f t="shared" ref="AH134:AH196" si="47">AF134/2</f>
        <v>3.6979481730591042</v>
      </c>
      <c r="AI134" s="63"/>
      <c r="AJ134" s="10">
        <f t="shared" si="27"/>
        <v>5.4404999999999966</v>
      </c>
      <c r="AK134" s="8"/>
      <c r="AL134" s="8">
        <f t="shared" ref="AL134:AL196" si="48">AJ134/2</f>
        <v>2.7202499999999983</v>
      </c>
    </row>
    <row r="135" spans="1:38">
      <c r="A135" s="18">
        <v>41479</v>
      </c>
      <c r="B135" s="19" t="s">
        <v>141</v>
      </c>
      <c r="C135" s="12">
        <v>50.3</v>
      </c>
      <c r="D135" s="19" t="s">
        <v>80</v>
      </c>
      <c r="E135" s="8">
        <v>8.4089700000000001</v>
      </c>
      <c r="F135" s="8">
        <v>83.314689999999999</v>
      </c>
      <c r="G135" s="22">
        <v>50</v>
      </c>
      <c r="H135" s="22">
        <v>33</v>
      </c>
      <c r="I135" s="10">
        <f t="shared" si="42"/>
        <v>2.9194960564791734</v>
      </c>
      <c r="J135" s="10">
        <f t="shared" si="43"/>
        <v>5.0954818684551907E-2</v>
      </c>
      <c r="K135" s="10">
        <f t="shared" si="44"/>
        <v>21.02729165642895</v>
      </c>
      <c r="L135" s="22">
        <v>718</v>
      </c>
      <c r="M135" s="22" t="s">
        <v>120</v>
      </c>
      <c r="N135" s="8" t="s">
        <v>55</v>
      </c>
      <c r="O135" s="10" t="s">
        <v>177</v>
      </c>
      <c r="P135" s="10" t="s">
        <v>178</v>
      </c>
      <c r="Q135" s="8">
        <v>0.54300000000000004</v>
      </c>
      <c r="R135" s="22" t="s">
        <v>179</v>
      </c>
      <c r="S135" s="31">
        <v>6.2</v>
      </c>
      <c r="T135" s="79">
        <f t="shared" si="29"/>
        <v>3.0190776000000004E-3</v>
      </c>
      <c r="U135" s="22">
        <v>9</v>
      </c>
      <c r="V135" s="22">
        <v>27</v>
      </c>
      <c r="W135" s="10">
        <f t="shared" si="38"/>
        <v>0.47123889803846897</v>
      </c>
      <c r="X135" s="22">
        <v>8</v>
      </c>
      <c r="Y135" s="22">
        <v>27</v>
      </c>
      <c r="Z135" s="10">
        <f t="shared" si="39"/>
        <v>0.47123889803846897</v>
      </c>
      <c r="AA135" s="10">
        <f t="shared" si="40"/>
        <v>7.7178384955722947</v>
      </c>
      <c r="AB135" s="10">
        <f t="shared" si="41"/>
        <v>9.215435894698869</v>
      </c>
      <c r="AC135" s="10">
        <f t="shared" si="45"/>
        <v>1.1519294868373586</v>
      </c>
      <c r="AD135" s="10">
        <f t="shared" ref="AD135:AD198" si="49">AB135/2</f>
        <v>4.6077179473494345</v>
      </c>
      <c r="AE135" s="65"/>
      <c r="AF135" s="10">
        <f t="shared" ref="AF135:AF198" si="50">Q135*EXP(-1.239+1.98*LN(S135)+0.207*(LN(S135))^2-0.0281*(LN(S135))^3)</f>
        <v>9.7902232688643398</v>
      </c>
      <c r="AG135" s="8">
        <f t="shared" si="46"/>
        <v>1.9090935374285463</v>
      </c>
      <c r="AH135" s="10">
        <f t="shared" si="47"/>
        <v>4.8951116344321699</v>
      </c>
      <c r="AI135" s="63"/>
      <c r="AJ135" s="10">
        <f t="shared" ref="AJ135:AJ198" si="51">21.297-6.953*S135+0.74*(S135^2)</f>
        <v>6.6340000000000003</v>
      </c>
      <c r="AK135" s="8"/>
      <c r="AL135" s="8">
        <f t="shared" si="48"/>
        <v>3.3170000000000002</v>
      </c>
    </row>
    <row r="136" spans="1:38">
      <c r="A136" s="18">
        <v>41479</v>
      </c>
      <c r="B136" s="19" t="s">
        <v>141</v>
      </c>
      <c r="C136" s="12">
        <v>50.3</v>
      </c>
      <c r="D136" s="19" t="s">
        <v>80</v>
      </c>
      <c r="E136" s="8">
        <v>8.4089700000000001</v>
      </c>
      <c r="F136" s="8">
        <v>83.314689999999999</v>
      </c>
      <c r="G136" s="22">
        <v>50</v>
      </c>
      <c r="H136" s="22">
        <v>33</v>
      </c>
      <c r="I136" s="10">
        <f t="shared" si="42"/>
        <v>2.9194960564791734</v>
      </c>
      <c r="J136" s="10">
        <f t="shared" si="43"/>
        <v>5.0954818684551907E-2</v>
      </c>
      <c r="K136" s="10">
        <f t="shared" si="44"/>
        <v>21.02729165642895</v>
      </c>
      <c r="L136" s="22">
        <v>608</v>
      </c>
      <c r="M136" s="22" t="s">
        <v>39</v>
      </c>
      <c r="N136" s="8" t="s">
        <v>69</v>
      </c>
      <c r="O136" s="10" t="s">
        <v>65</v>
      </c>
      <c r="P136" s="10" t="s">
        <v>70</v>
      </c>
      <c r="Q136" s="8">
        <v>0.37</v>
      </c>
      <c r="R136" s="8" t="s">
        <v>71</v>
      </c>
      <c r="S136" s="30">
        <v>31</v>
      </c>
      <c r="T136" s="79">
        <f t="shared" ref="T136:T199" si="52">0.00007854*S136^2</f>
        <v>7.5476940000000006E-2</v>
      </c>
      <c r="U136" s="22">
        <v>20</v>
      </c>
      <c r="V136" s="22">
        <v>67</v>
      </c>
      <c r="W136" s="10">
        <f t="shared" si="38"/>
        <v>1.1693705988362009</v>
      </c>
      <c r="X136" s="22">
        <v>9</v>
      </c>
      <c r="Y136" s="22">
        <v>27</v>
      </c>
      <c r="Z136" s="10">
        <f t="shared" si="39"/>
        <v>0.47123889803846897</v>
      </c>
      <c r="AA136" s="10">
        <f t="shared" si="40"/>
        <v>22.496011566704727</v>
      </c>
      <c r="AB136" s="10">
        <f t="shared" si="41"/>
        <v>362.00162606337307</v>
      </c>
      <c r="AC136" s="10">
        <f t="shared" si="45"/>
        <v>45.250203257921633</v>
      </c>
      <c r="AD136" s="10">
        <f t="shared" si="49"/>
        <v>181.00081303168653</v>
      </c>
      <c r="AE136" s="65"/>
      <c r="AF136" s="10">
        <f t="shared" si="50"/>
        <v>353.94675890509484</v>
      </c>
      <c r="AG136" s="8">
        <f t="shared" si="46"/>
        <v>69.0196179864935</v>
      </c>
      <c r="AH136" s="10">
        <f t="shared" si="47"/>
        <v>176.97337945254742</v>
      </c>
      <c r="AI136" s="63"/>
      <c r="AJ136" s="10">
        <f t="shared" si="51"/>
        <v>516.89400000000001</v>
      </c>
      <c r="AK136" s="8"/>
      <c r="AL136" s="8">
        <f t="shared" si="48"/>
        <v>258.447</v>
      </c>
    </row>
    <row r="137" spans="1:38">
      <c r="A137" s="18">
        <v>41479</v>
      </c>
      <c r="B137" s="19" t="s">
        <v>141</v>
      </c>
      <c r="C137" s="12">
        <v>50.3</v>
      </c>
      <c r="D137" s="19" t="s">
        <v>80</v>
      </c>
      <c r="E137" s="8">
        <v>8.4089700000000001</v>
      </c>
      <c r="F137" s="8">
        <v>83.314689999999999</v>
      </c>
      <c r="G137" s="22">
        <v>50</v>
      </c>
      <c r="H137" s="22">
        <v>33</v>
      </c>
      <c r="I137" s="10">
        <f t="shared" si="42"/>
        <v>2.9194960564791734</v>
      </c>
      <c r="J137" s="10">
        <f t="shared" si="43"/>
        <v>5.0954818684551907E-2</v>
      </c>
      <c r="K137" s="10">
        <f t="shared" si="44"/>
        <v>21.02729165642895</v>
      </c>
      <c r="L137" s="22">
        <v>804</v>
      </c>
      <c r="M137" s="22" t="s">
        <v>220</v>
      </c>
      <c r="N137" s="8" t="s">
        <v>46</v>
      </c>
      <c r="O137" s="52" t="s">
        <v>214</v>
      </c>
      <c r="P137" s="52" t="s">
        <v>215</v>
      </c>
      <c r="Q137" s="60">
        <v>0.35</v>
      </c>
      <c r="R137" s="60" t="s">
        <v>190</v>
      </c>
      <c r="S137" s="31">
        <v>9.9</v>
      </c>
      <c r="T137" s="79">
        <f t="shared" si="52"/>
        <v>7.697705400000001E-3</v>
      </c>
      <c r="U137" s="22">
        <v>9</v>
      </c>
      <c r="V137" s="22">
        <v>15</v>
      </c>
      <c r="W137" s="10">
        <f t="shared" si="38"/>
        <v>0.26179938779914941</v>
      </c>
      <c r="X137" s="22">
        <v>6</v>
      </c>
      <c r="Y137" s="22">
        <v>27</v>
      </c>
      <c r="Z137" s="10">
        <f t="shared" si="39"/>
        <v>0.47123889803846897</v>
      </c>
      <c r="AA137" s="10">
        <f t="shared" si="40"/>
        <v>5.0533144043599671</v>
      </c>
      <c r="AB137" s="10">
        <f t="shared" si="41"/>
        <v>9.8728284179450121</v>
      </c>
      <c r="AC137" s="10">
        <f t="shared" si="45"/>
        <v>1.2341035522431265</v>
      </c>
      <c r="AD137" s="10">
        <f t="shared" si="49"/>
        <v>4.936414208972506</v>
      </c>
      <c r="AE137" s="65"/>
      <c r="AF137" s="10">
        <f t="shared" si="50"/>
        <v>20.080625311613279</v>
      </c>
      <c r="AG137" s="8">
        <f t="shared" si="46"/>
        <v>3.9157219357645894</v>
      </c>
      <c r="AH137" s="10">
        <f t="shared" si="47"/>
        <v>10.040312655806639</v>
      </c>
      <c r="AI137" s="63"/>
      <c r="AJ137" s="10">
        <f t="shared" si="51"/>
        <v>24.989699999999985</v>
      </c>
      <c r="AK137" s="8"/>
      <c r="AL137" s="8">
        <f t="shared" si="48"/>
        <v>12.494849999999992</v>
      </c>
    </row>
    <row r="138" spans="1:38">
      <c r="A138" s="18">
        <v>41479</v>
      </c>
      <c r="B138" s="19" t="s">
        <v>141</v>
      </c>
      <c r="C138" s="12">
        <v>50.3</v>
      </c>
      <c r="D138" s="19" t="s">
        <v>80</v>
      </c>
      <c r="E138" s="8">
        <v>8.4089700000000001</v>
      </c>
      <c r="F138" s="8">
        <v>83.314689999999999</v>
      </c>
      <c r="G138" s="22">
        <v>50</v>
      </c>
      <c r="H138" s="22">
        <v>33</v>
      </c>
      <c r="I138" s="10">
        <f t="shared" si="42"/>
        <v>2.9194960564791734</v>
      </c>
      <c r="J138" s="10">
        <f t="shared" si="43"/>
        <v>5.0954818684551907E-2</v>
      </c>
      <c r="K138" s="10">
        <f t="shared" si="44"/>
        <v>21.02729165642895</v>
      </c>
      <c r="L138" s="22">
        <v>662</v>
      </c>
      <c r="M138" s="22" t="s">
        <v>54</v>
      </c>
      <c r="N138" s="8" t="s">
        <v>55</v>
      </c>
      <c r="O138" s="10" t="s">
        <v>56</v>
      </c>
      <c r="P138" s="10" t="s">
        <v>57</v>
      </c>
      <c r="Q138" s="11">
        <v>0.315</v>
      </c>
      <c r="R138" s="12" t="s">
        <v>66</v>
      </c>
      <c r="S138" s="31">
        <v>16.100000000000001</v>
      </c>
      <c r="T138" s="79">
        <f t="shared" si="52"/>
        <v>2.0358353400000005E-2</v>
      </c>
      <c r="U138" s="22">
        <v>14</v>
      </c>
      <c r="V138" s="22">
        <v>65</v>
      </c>
      <c r="W138" s="10">
        <f t="shared" si="38"/>
        <v>1.1344640137963142</v>
      </c>
      <c r="X138" s="22">
        <v>7</v>
      </c>
      <c r="Y138" s="22">
        <v>29</v>
      </c>
      <c r="Z138" s="10">
        <f t="shared" si="39"/>
        <v>0.50614548307835561</v>
      </c>
      <c r="AA138" s="10">
        <f t="shared" si="40"/>
        <v>16.081976360237459</v>
      </c>
      <c r="AB138" s="10">
        <f t="shared" si="41"/>
        <v>66.231614682434767</v>
      </c>
      <c r="AC138" s="10">
        <f t="shared" si="45"/>
        <v>8.2789518353043459</v>
      </c>
      <c r="AD138" s="10">
        <f t="shared" si="49"/>
        <v>33.115807341217383</v>
      </c>
      <c r="AE138" s="65"/>
      <c r="AF138" s="10">
        <f t="shared" si="50"/>
        <v>60.542249174491353</v>
      </c>
      <c r="AG138" s="8">
        <f t="shared" si="46"/>
        <v>11.805738589025815</v>
      </c>
      <c r="AH138" s="10">
        <f t="shared" si="47"/>
        <v>30.271124587245676</v>
      </c>
      <c r="AI138" s="63"/>
      <c r="AJ138" s="10">
        <f t="shared" si="51"/>
        <v>101.1691</v>
      </c>
      <c r="AK138" s="8"/>
      <c r="AL138" s="8">
        <f t="shared" si="48"/>
        <v>50.58455</v>
      </c>
    </row>
    <row r="139" spans="1:38">
      <c r="A139" s="18">
        <v>41479</v>
      </c>
      <c r="B139" s="19" t="s">
        <v>141</v>
      </c>
      <c r="C139" s="12">
        <v>50.3</v>
      </c>
      <c r="D139" s="19" t="s">
        <v>80</v>
      </c>
      <c r="E139" s="8">
        <v>8.4089700000000001</v>
      </c>
      <c r="F139" s="8">
        <v>83.314689999999999</v>
      </c>
      <c r="G139" s="22">
        <v>50</v>
      </c>
      <c r="H139" s="22">
        <v>33</v>
      </c>
      <c r="I139" s="10">
        <f t="shared" si="42"/>
        <v>2.9194960564791734</v>
      </c>
      <c r="J139" s="10">
        <f t="shared" si="43"/>
        <v>5.0954818684551907E-2</v>
      </c>
      <c r="K139" s="10">
        <f t="shared" si="44"/>
        <v>21.02729165642895</v>
      </c>
      <c r="L139" s="22">
        <v>677</v>
      </c>
      <c r="M139" s="22" t="s">
        <v>39</v>
      </c>
      <c r="N139" s="8" t="s">
        <v>69</v>
      </c>
      <c r="O139" s="10" t="s">
        <v>65</v>
      </c>
      <c r="P139" s="10" t="s">
        <v>70</v>
      </c>
      <c r="Q139" s="8">
        <v>0.37</v>
      </c>
      <c r="R139" s="8" t="s">
        <v>71</v>
      </c>
      <c r="S139" s="31">
        <v>45.7</v>
      </c>
      <c r="T139" s="79">
        <f t="shared" si="52"/>
        <v>0.16403000460000003</v>
      </c>
      <c r="U139" s="22">
        <v>16</v>
      </c>
      <c r="V139" s="22">
        <v>69</v>
      </c>
      <c r="W139" s="10">
        <f t="shared" si="38"/>
        <v>1.2042771838760873</v>
      </c>
      <c r="X139" s="22">
        <v>8</v>
      </c>
      <c r="Y139" s="22">
        <v>30</v>
      </c>
      <c r="Z139" s="10">
        <f t="shared" si="39"/>
        <v>0.52359877559829882</v>
      </c>
      <c r="AA139" s="10">
        <f t="shared" si="40"/>
        <v>18.937286823955226</v>
      </c>
      <c r="AB139" s="10">
        <f t="shared" si="41"/>
        <v>638.69349011588224</v>
      </c>
      <c r="AC139" s="10">
        <f t="shared" si="45"/>
        <v>79.83668626448528</v>
      </c>
      <c r="AD139" s="10">
        <f t="shared" si="49"/>
        <v>319.34674505794112</v>
      </c>
      <c r="AE139" s="65"/>
      <c r="AF139" s="10">
        <f t="shared" si="50"/>
        <v>888.45896896237286</v>
      </c>
      <c r="AG139" s="8">
        <f t="shared" si="46"/>
        <v>173.24949894766272</v>
      </c>
      <c r="AH139" s="10">
        <f t="shared" si="47"/>
        <v>444.22948448118643</v>
      </c>
      <c r="AI139" s="63"/>
      <c r="AJ139" s="10">
        <f t="shared" si="51"/>
        <v>1249.0275000000001</v>
      </c>
      <c r="AK139" s="8"/>
      <c r="AL139" s="8">
        <f t="shared" si="48"/>
        <v>624.51375000000007</v>
      </c>
    </row>
    <row r="140" spans="1:38">
      <c r="A140" s="18">
        <v>41479</v>
      </c>
      <c r="B140" s="19" t="s">
        <v>141</v>
      </c>
      <c r="C140" s="12">
        <v>50.3</v>
      </c>
      <c r="D140" s="19" t="s">
        <v>80</v>
      </c>
      <c r="E140" s="8">
        <v>8.4089700000000001</v>
      </c>
      <c r="F140" s="8">
        <v>83.314689999999999</v>
      </c>
      <c r="G140" s="22">
        <v>50</v>
      </c>
      <c r="H140" s="22">
        <v>33</v>
      </c>
      <c r="I140" s="10">
        <f t="shared" si="42"/>
        <v>2.9194960564791734</v>
      </c>
      <c r="J140" s="10">
        <f t="shared" si="43"/>
        <v>5.0954818684551907E-2</v>
      </c>
      <c r="K140" s="10">
        <f t="shared" si="44"/>
        <v>21.02729165642895</v>
      </c>
      <c r="L140" s="22">
        <v>742</v>
      </c>
      <c r="M140" s="22" t="s">
        <v>130</v>
      </c>
      <c r="N140" s="22" t="s">
        <v>99</v>
      </c>
      <c r="O140" s="10" t="s">
        <v>99</v>
      </c>
      <c r="P140" s="10" t="s">
        <v>99</v>
      </c>
      <c r="Q140" s="22">
        <v>0.57999999999999996</v>
      </c>
      <c r="R140" s="22" t="s">
        <v>103</v>
      </c>
      <c r="S140" s="30">
        <v>9</v>
      </c>
      <c r="T140" s="79">
        <f t="shared" si="52"/>
        <v>6.3617400000000003E-3</v>
      </c>
      <c r="U140" s="22">
        <v>6</v>
      </c>
      <c r="V140" s="22">
        <v>23</v>
      </c>
      <c r="W140" s="10">
        <f t="shared" si="38"/>
        <v>0.4014257279586958</v>
      </c>
      <c r="X140" s="22">
        <v>5</v>
      </c>
      <c r="Y140" s="22">
        <v>32</v>
      </c>
      <c r="Z140" s="10">
        <f t="shared" si="39"/>
        <v>0.55850536063818546</v>
      </c>
      <c r="AA140" s="10">
        <f t="shared" si="40"/>
        <v>4.9939830921016668</v>
      </c>
      <c r="AB140" s="10">
        <f t="shared" si="41"/>
        <v>13.12200492859944</v>
      </c>
      <c r="AC140" s="10">
        <f t="shared" si="45"/>
        <v>1.6402506160749299</v>
      </c>
      <c r="AD140" s="10">
        <f t="shared" si="49"/>
        <v>6.5610024642997198</v>
      </c>
      <c r="AE140" s="65"/>
      <c r="AF140" s="10">
        <f t="shared" si="50"/>
        <v>26.260171639120962</v>
      </c>
      <c r="AG140" s="8">
        <f t="shared" si="46"/>
        <v>5.120733469628588</v>
      </c>
      <c r="AH140" s="10">
        <f t="shared" si="47"/>
        <v>13.130085819560481</v>
      </c>
      <c r="AI140" s="63"/>
      <c r="AJ140" s="10">
        <f t="shared" si="51"/>
        <v>18.659999999999997</v>
      </c>
      <c r="AK140" s="8"/>
      <c r="AL140" s="8">
        <f t="shared" si="48"/>
        <v>9.3299999999999983</v>
      </c>
    </row>
    <row r="141" spans="1:38">
      <c r="A141" s="18">
        <v>41479</v>
      </c>
      <c r="B141" s="19" t="s">
        <v>141</v>
      </c>
      <c r="C141" s="12">
        <v>50.3</v>
      </c>
      <c r="D141" s="19" t="s">
        <v>80</v>
      </c>
      <c r="E141" s="8">
        <v>8.4089700000000001</v>
      </c>
      <c r="F141" s="8">
        <v>83.314689999999999</v>
      </c>
      <c r="G141" s="22">
        <v>50</v>
      </c>
      <c r="H141" s="22">
        <v>33</v>
      </c>
      <c r="I141" s="10">
        <f t="shared" si="42"/>
        <v>2.9194960564791734</v>
      </c>
      <c r="J141" s="10">
        <f t="shared" si="43"/>
        <v>5.0954818684551907E-2</v>
      </c>
      <c r="K141" s="10">
        <f t="shared" si="44"/>
        <v>21.02729165642895</v>
      </c>
      <c r="L141" s="22">
        <v>764</v>
      </c>
      <c r="M141" s="22" t="s">
        <v>96</v>
      </c>
      <c r="N141" s="8" t="s">
        <v>69</v>
      </c>
      <c r="O141" s="58" t="s">
        <v>65</v>
      </c>
      <c r="P141" s="10" t="s">
        <v>102</v>
      </c>
      <c r="Q141" s="22">
        <v>0.48</v>
      </c>
      <c r="R141" s="22" t="s">
        <v>190</v>
      </c>
      <c r="S141" s="31">
        <v>25.1</v>
      </c>
      <c r="T141" s="79">
        <f t="shared" si="52"/>
        <v>4.948098540000001E-2</v>
      </c>
      <c r="U141" s="22">
        <v>18</v>
      </c>
      <c r="V141" s="22">
        <v>70</v>
      </c>
      <c r="W141" s="10">
        <f t="shared" si="38"/>
        <v>1.2217304763960306</v>
      </c>
      <c r="X141" s="22">
        <v>6</v>
      </c>
      <c r="Y141" s="22">
        <v>33</v>
      </c>
      <c r="Z141" s="10">
        <f t="shared" si="39"/>
        <v>0.57595865315812877</v>
      </c>
      <c r="AA141" s="10">
        <f t="shared" si="40"/>
        <v>20.18230138423651</v>
      </c>
      <c r="AB141" s="10">
        <f t="shared" si="41"/>
        <v>280.72916039960779</v>
      </c>
      <c r="AC141" s="10">
        <f t="shared" si="45"/>
        <v>35.091145049950974</v>
      </c>
      <c r="AD141" s="10">
        <f t="shared" si="49"/>
        <v>140.3645801998039</v>
      </c>
      <c r="AE141" s="65"/>
      <c r="AF141" s="10">
        <f t="shared" si="50"/>
        <v>275.2638991077942</v>
      </c>
      <c r="AG141" s="8">
        <f t="shared" si="46"/>
        <v>53.676460326019871</v>
      </c>
      <c r="AH141" s="10">
        <f t="shared" si="47"/>
        <v>137.6319495538971</v>
      </c>
      <c r="AI141" s="63"/>
      <c r="AJ141" s="10">
        <f t="shared" si="51"/>
        <v>312.98410000000001</v>
      </c>
      <c r="AK141" s="8"/>
      <c r="AL141" s="8">
        <f t="shared" si="48"/>
        <v>156.49205000000001</v>
      </c>
    </row>
    <row r="142" spans="1:38">
      <c r="A142" s="18">
        <v>41479</v>
      </c>
      <c r="B142" s="19" t="s">
        <v>141</v>
      </c>
      <c r="C142" s="12">
        <v>50.3</v>
      </c>
      <c r="D142" s="19" t="s">
        <v>80</v>
      </c>
      <c r="E142" s="8">
        <v>8.4089700000000001</v>
      </c>
      <c r="F142" s="8">
        <v>83.314689999999999</v>
      </c>
      <c r="G142" s="22">
        <v>50</v>
      </c>
      <c r="H142" s="22">
        <v>33</v>
      </c>
      <c r="I142" s="10">
        <f t="shared" si="42"/>
        <v>2.9194960564791734</v>
      </c>
      <c r="J142" s="10">
        <f t="shared" si="43"/>
        <v>5.0954818684551907E-2</v>
      </c>
      <c r="K142" s="10">
        <f t="shared" si="44"/>
        <v>21.02729165642895</v>
      </c>
      <c r="L142" s="22">
        <v>594</v>
      </c>
      <c r="M142" s="22" t="s">
        <v>54</v>
      </c>
      <c r="N142" s="8" t="s">
        <v>55</v>
      </c>
      <c r="O142" s="10" t="s">
        <v>56</v>
      </c>
      <c r="P142" s="10" t="s">
        <v>57</v>
      </c>
      <c r="Q142" s="11">
        <v>0.315</v>
      </c>
      <c r="R142" s="12" t="s">
        <v>66</v>
      </c>
      <c r="S142" s="31">
        <v>12.9</v>
      </c>
      <c r="T142" s="79">
        <f t="shared" si="52"/>
        <v>1.3069841400000001E-2</v>
      </c>
      <c r="U142" s="22">
        <v>17</v>
      </c>
      <c r="V142" s="22">
        <v>60</v>
      </c>
      <c r="W142" s="10">
        <f t="shared" si="38"/>
        <v>1.0471975511965976</v>
      </c>
      <c r="X142" s="22">
        <v>10</v>
      </c>
      <c r="Y142" s="22">
        <v>14</v>
      </c>
      <c r="Z142" s="10">
        <f t="shared" si="39"/>
        <v>0.24434609527920614</v>
      </c>
      <c r="AA142" s="10">
        <f t="shared" si="40"/>
        <v>17.141650820332135</v>
      </c>
      <c r="AB142" s="10">
        <f t="shared" si="41"/>
        <v>46.365162123361884</v>
      </c>
      <c r="AC142" s="10">
        <f t="shared" si="45"/>
        <v>5.7956452654202355</v>
      </c>
      <c r="AD142" s="10">
        <f t="shared" si="49"/>
        <v>23.182581061680942</v>
      </c>
      <c r="AE142" s="65"/>
      <c r="AF142" s="10">
        <f t="shared" si="50"/>
        <v>34.913585276085691</v>
      </c>
      <c r="AG142" s="8">
        <f t="shared" si="46"/>
        <v>6.8081491288367095</v>
      </c>
      <c r="AH142" s="10">
        <f t="shared" si="47"/>
        <v>17.456792638042845</v>
      </c>
      <c r="AI142" s="63"/>
      <c r="AJ142" s="10">
        <f t="shared" si="51"/>
        <v>54.74669999999999</v>
      </c>
      <c r="AK142" s="8"/>
      <c r="AL142" s="8">
        <f t="shared" si="48"/>
        <v>27.373349999999995</v>
      </c>
    </row>
    <row r="143" spans="1:38">
      <c r="A143" s="18">
        <v>41479</v>
      </c>
      <c r="B143" s="19" t="s">
        <v>141</v>
      </c>
      <c r="C143" s="12">
        <v>50.3</v>
      </c>
      <c r="D143" s="19" t="s">
        <v>80</v>
      </c>
      <c r="E143" s="8">
        <v>8.4089700000000001</v>
      </c>
      <c r="F143" s="8">
        <v>83.314689999999999</v>
      </c>
      <c r="G143" s="22">
        <v>50</v>
      </c>
      <c r="H143" s="22">
        <v>33</v>
      </c>
      <c r="I143" s="10">
        <f t="shared" si="42"/>
        <v>2.9194960564791734</v>
      </c>
      <c r="J143" s="10">
        <f t="shared" si="43"/>
        <v>5.0954818684551907E-2</v>
      </c>
      <c r="K143" s="10">
        <f t="shared" si="44"/>
        <v>21.02729165642895</v>
      </c>
      <c r="L143" s="22">
        <v>599</v>
      </c>
      <c r="M143" s="22" t="s">
        <v>39</v>
      </c>
      <c r="N143" s="8" t="s">
        <v>69</v>
      </c>
      <c r="O143" s="10" t="s">
        <v>65</v>
      </c>
      <c r="P143" s="10" t="s">
        <v>70</v>
      </c>
      <c r="Q143" s="8">
        <v>0.37</v>
      </c>
      <c r="R143" s="8" t="s">
        <v>71</v>
      </c>
      <c r="S143" s="30">
        <v>36</v>
      </c>
      <c r="T143" s="79">
        <f t="shared" si="52"/>
        <v>0.10178784</v>
      </c>
      <c r="U143" s="22">
        <v>18</v>
      </c>
      <c r="V143" s="22">
        <v>63</v>
      </c>
      <c r="W143" s="10">
        <f t="shared" si="38"/>
        <v>1.0995574287564276</v>
      </c>
      <c r="X143" s="22">
        <v>10</v>
      </c>
      <c r="Y143" s="22">
        <v>14</v>
      </c>
      <c r="Z143" s="10">
        <f t="shared" si="39"/>
        <v>0.24434609527920614</v>
      </c>
      <c r="AA143" s="10">
        <f t="shared" si="40"/>
        <v>18.457336391387297</v>
      </c>
      <c r="AB143" s="10">
        <f t="shared" si="41"/>
        <v>398.12452280932217</v>
      </c>
      <c r="AC143" s="10">
        <f t="shared" si="45"/>
        <v>49.765565351165272</v>
      </c>
      <c r="AD143" s="10">
        <f t="shared" si="49"/>
        <v>199.06226140466109</v>
      </c>
      <c r="AE143" s="65"/>
      <c r="AF143" s="10">
        <f t="shared" si="50"/>
        <v>506.34496765505941</v>
      </c>
      <c r="AG143" s="8">
        <f t="shared" si="46"/>
        <v>98.737268692736592</v>
      </c>
      <c r="AH143" s="10">
        <f t="shared" si="47"/>
        <v>253.1724838275297</v>
      </c>
      <c r="AI143" s="63"/>
      <c r="AJ143" s="10">
        <f t="shared" si="51"/>
        <v>730.029</v>
      </c>
      <c r="AK143" s="8"/>
      <c r="AL143" s="8">
        <f t="shared" si="48"/>
        <v>365.0145</v>
      </c>
    </row>
    <row r="144" spans="1:38">
      <c r="A144" s="18">
        <v>41479</v>
      </c>
      <c r="B144" s="19" t="s">
        <v>141</v>
      </c>
      <c r="C144" s="12">
        <v>50.3</v>
      </c>
      <c r="D144" s="19" t="s">
        <v>80</v>
      </c>
      <c r="E144" s="8">
        <v>8.4089700000000001</v>
      </c>
      <c r="F144" s="8">
        <v>83.314689999999999</v>
      </c>
      <c r="G144" s="22">
        <v>50</v>
      </c>
      <c r="H144" s="22">
        <v>33</v>
      </c>
      <c r="I144" s="10">
        <f t="shared" si="42"/>
        <v>2.9194960564791734</v>
      </c>
      <c r="J144" s="10">
        <f t="shared" si="43"/>
        <v>5.0954818684551907E-2</v>
      </c>
      <c r="K144" s="10">
        <f t="shared" si="44"/>
        <v>21.02729165642895</v>
      </c>
      <c r="L144" s="22">
        <v>801</v>
      </c>
      <c r="M144" s="22" t="s">
        <v>39</v>
      </c>
      <c r="N144" s="8" t="s">
        <v>69</v>
      </c>
      <c r="O144" s="10" t="s">
        <v>65</v>
      </c>
      <c r="P144" s="10" t="s">
        <v>70</v>
      </c>
      <c r="Q144" s="8">
        <v>0.37</v>
      </c>
      <c r="R144" s="8" t="s">
        <v>71</v>
      </c>
      <c r="S144" s="30">
        <v>25</v>
      </c>
      <c r="T144" s="79">
        <f t="shared" si="52"/>
        <v>4.9087499999999999E-2</v>
      </c>
      <c r="U144" s="22">
        <v>21</v>
      </c>
      <c r="V144" s="22">
        <v>72</v>
      </c>
      <c r="W144" s="10">
        <f t="shared" si="38"/>
        <v>1.2566370614359172</v>
      </c>
      <c r="X144" s="22">
        <v>7</v>
      </c>
      <c r="Y144" s="22">
        <v>10</v>
      </c>
      <c r="Z144" s="10">
        <f t="shared" si="39"/>
        <v>0.17453292519943295</v>
      </c>
      <c r="AA144" s="10">
        <f t="shared" si="40"/>
        <v>21.187724085866734</v>
      </c>
      <c r="AB144" s="10">
        <f t="shared" si="41"/>
        <v>228.35882957676336</v>
      </c>
      <c r="AC144" s="10">
        <f t="shared" si="45"/>
        <v>28.544853697095419</v>
      </c>
      <c r="AD144" s="10">
        <f t="shared" si="49"/>
        <v>114.17941478838168</v>
      </c>
      <c r="AE144" s="65"/>
      <c r="AF144" s="10">
        <f t="shared" si="50"/>
        <v>210.12676395017323</v>
      </c>
      <c r="AG144" s="8">
        <f t="shared" si="46"/>
        <v>40.974718970283782</v>
      </c>
      <c r="AH144" s="10">
        <f t="shared" si="47"/>
        <v>105.06338197508661</v>
      </c>
      <c r="AI144" s="63"/>
      <c r="AJ144" s="10">
        <f t="shared" si="51"/>
        <v>309.97199999999998</v>
      </c>
      <c r="AK144" s="8"/>
      <c r="AL144" s="8">
        <f t="shared" si="48"/>
        <v>154.98599999999999</v>
      </c>
    </row>
    <row r="145" spans="1:38">
      <c r="A145" s="18">
        <v>41479</v>
      </c>
      <c r="B145" s="19" t="s">
        <v>141</v>
      </c>
      <c r="C145" s="12">
        <v>50.3</v>
      </c>
      <c r="D145" s="19" t="s">
        <v>80</v>
      </c>
      <c r="E145" s="8">
        <v>8.4089700000000001</v>
      </c>
      <c r="F145" s="8">
        <v>83.314689999999999</v>
      </c>
      <c r="G145" s="22">
        <v>50</v>
      </c>
      <c r="H145" s="22">
        <v>33</v>
      </c>
      <c r="I145" s="10">
        <f t="shared" si="42"/>
        <v>2.9194960564791734</v>
      </c>
      <c r="J145" s="10">
        <f t="shared" si="43"/>
        <v>5.0954818684551907E-2</v>
      </c>
      <c r="K145" s="10">
        <f t="shared" si="44"/>
        <v>21.02729165642895</v>
      </c>
      <c r="L145" s="22">
        <v>810</v>
      </c>
      <c r="M145" s="22" t="s">
        <v>39</v>
      </c>
      <c r="N145" s="8" t="s">
        <v>69</v>
      </c>
      <c r="O145" s="10" t="s">
        <v>65</v>
      </c>
      <c r="P145" s="10" t="s">
        <v>70</v>
      </c>
      <c r="Q145" s="8">
        <v>0.37</v>
      </c>
      <c r="R145" s="8" t="s">
        <v>71</v>
      </c>
      <c r="S145" s="30">
        <v>7.5</v>
      </c>
      <c r="T145" s="79">
        <f t="shared" si="52"/>
        <v>4.4178749999999999E-3</v>
      </c>
      <c r="U145" s="22">
        <v>9</v>
      </c>
      <c r="V145" s="22">
        <v>30</v>
      </c>
      <c r="W145" s="10">
        <f t="shared" si="38"/>
        <v>0.52359877559829882</v>
      </c>
      <c r="X145" s="22">
        <v>7</v>
      </c>
      <c r="Y145" s="22">
        <v>12</v>
      </c>
      <c r="Z145" s="10">
        <f t="shared" si="39"/>
        <v>0.20943951023931956</v>
      </c>
      <c r="AA145" s="10">
        <f t="shared" si="40"/>
        <v>5.9553818357243147</v>
      </c>
      <c r="AB145" s="10">
        <f t="shared" si="41"/>
        <v>7.2028032574963632</v>
      </c>
      <c r="AC145" s="10">
        <f t="shared" si="45"/>
        <v>0.9003504071870454</v>
      </c>
      <c r="AD145" s="10">
        <f t="shared" si="49"/>
        <v>3.6014016287481816</v>
      </c>
      <c r="AE145" s="65"/>
      <c r="AF145" s="10">
        <f t="shared" si="50"/>
        <v>10.662986568966447</v>
      </c>
      <c r="AG145" s="8">
        <f t="shared" si="46"/>
        <v>2.0792823809484573</v>
      </c>
      <c r="AH145" s="10">
        <f t="shared" si="47"/>
        <v>5.3314932844832237</v>
      </c>
      <c r="AI145" s="63"/>
      <c r="AJ145" s="10">
        <f t="shared" si="51"/>
        <v>10.7745</v>
      </c>
      <c r="AK145" s="8"/>
      <c r="AL145" s="8">
        <f t="shared" si="48"/>
        <v>5.3872499999999999</v>
      </c>
    </row>
    <row r="146" spans="1:38">
      <c r="A146" s="18">
        <v>41479</v>
      </c>
      <c r="B146" s="19" t="s">
        <v>141</v>
      </c>
      <c r="C146" s="12">
        <v>50.3</v>
      </c>
      <c r="D146" s="19" t="s">
        <v>80</v>
      </c>
      <c r="E146" s="8">
        <v>8.4089700000000001</v>
      </c>
      <c r="F146" s="8">
        <v>83.314689999999999</v>
      </c>
      <c r="G146" s="22">
        <v>50</v>
      </c>
      <c r="H146" s="22">
        <v>33</v>
      </c>
      <c r="I146" s="10">
        <f t="shared" si="42"/>
        <v>2.9194960564791734</v>
      </c>
      <c r="J146" s="10">
        <f t="shared" si="43"/>
        <v>5.0954818684551907E-2</v>
      </c>
      <c r="K146" s="10">
        <f t="shared" si="44"/>
        <v>21.02729165642895</v>
      </c>
      <c r="L146" s="22">
        <v>771</v>
      </c>
      <c r="M146" s="22" t="s">
        <v>39</v>
      </c>
      <c r="N146" s="8" t="s">
        <v>69</v>
      </c>
      <c r="O146" s="10" t="s">
        <v>65</v>
      </c>
      <c r="P146" s="10" t="s">
        <v>70</v>
      </c>
      <c r="Q146" s="8">
        <v>0.37</v>
      </c>
      <c r="R146" s="8" t="s">
        <v>71</v>
      </c>
      <c r="S146" s="30">
        <v>10.3</v>
      </c>
      <c r="T146" s="79">
        <f t="shared" si="52"/>
        <v>8.3323086000000011E-3</v>
      </c>
      <c r="U146" s="22">
        <v>15</v>
      </c>
      <c r="V146" s="22">
        <v>55</v>
      </c>
      <c r="W146" s="10">
        <f t="shared" si="38"/>
        <v>0.95993108859688125</v>
      </c>
      <c r="X146" s="22">
        <v>7</v>
      </c>
      <c r="Y146" s="22">
        <v>10</v>
      </c>
      <c r="Z146" s="10">
        <f t="shared" si="39"/>
        <v>0.17453292519943295</v>
      </c>
      <c r="AA146" s="10">
        <f t="shared" si="40"/>
        <v>13.50281790800339</v>
      </c>
      <c r="AB146" s="10">
        <f t="shared" si="41"/>
        <v>28.229570505685825</v>
      </c>
      <c r="AC146" s="10">
        <f t="shared" si="45"/>
        <v>3.5286963132107281</v>
      </c>
      <c r="AD146" s="10">
        <f t="shared" si="49"/>
        <v>14.114785252842912</v>
      </c>
      <c r="AE146" s="65"/>
      <c r="AF146" s="10">
        <f t="shared" si="50"/>
        <v>23.425273298255775</v>
      </c>
      <c r="AG146" s="8">
        <f t="shared" si="46"/>
        <v>4.5679282931598761</v>
      </c>
      <c r="AH146" s="10">
        <f t="shared" si="47"/>
        <v>11.712636649127887</v>
      </c>
      <c r="AI146" s="63"/>
      <c r="AJ146" s="10">
        <f t="shared" si="51"/>
        <v>28.187699999999992</v>
      </c>
      <c r="AK146" s="8"/>
      <c r="AL146" s="8">
        <f t="shared" si="48"/>
        <v>14.093849999999996</v>
      </c>
    </row>
    <row r="147" spans="1:38">
      <c r="A147" s="18">
        <v>41479</v>
      </c>
      <c r="B147" s="19" t="s">
        <v>141</v>
      </c>
      <c r="C147" s="12">
        <v>50.3</v>
      </c>
      <c r="D147" s="19" t="s">
        <v>80</v>
      </c>
      <c r="E147" s="8">
        <v>8.4089700000000001</v>
      </c>
      <c r="F147" s="8">
        <v>83.314689999999999</v>
      </c>
      <c r="G147" s="22">
        <v>50</v>
      </c>
      <c r="H147" s="22">
        <v>33</v>
      </c>
      <c r="I147" s="10">
        <f t="shared" si="42"/>
        <v>2.9194960564791734</v>
      </c>
      <c r="J147" s="10">
        <f t="shared" si="43"/>
        <v>5.0954818684551907E-2</v>
      </c>
      <c r="K147" s="10">
        <f t="shared" si="44"/>
        <v>21.02729165642895</v>
      </c>
      <c r="L147" s="22">
        <v>689</v>
      </c>
      <c r="M147" s="22" t="s">
        <v>39</v>
      </c>
      <c r="N147" s="8" t="s">
        <v>69</v>
      </c>
      <c r="O147" s="10" t="s">
        <v>65</v>
      </c>
      <c r="P147" s="10" t="s">
        <v>70</v>
      </c>
      <c r="Q147" s="8">
        <v>0.37</v>
      </c>
      <c r="R147" s="8" t="s">
        <v>71</v>
      </c>
      <c r="S147" s="30">
        <v>23.2</v>
      </c>
      <c r="T147" s="79">
        <f t="shared" si="52"/>
        <v>4.2273369599999999E-2</v>
      </c>
      <c r="U147" s="22">
        <v>22</v>
      </c>
      <c r="V147" s="22">
        <v>73</v>
      </c>
      <c r="W147" s="10">
        <f t="shared" si="38"/>
        <v>1.2740903539558606</v>
      </c>
      <c r="X147" s="22">
        <v>8</v>
      </c>
      <c r="Y147" s="22">
        <v>5</v>
      </c>
      <c r="Z147" s="10">
        <f t="shared" si="39"/>
        <v>8.7266462599716474E-2</v>
      </c>
      <c r="AA147" s="10">
        <f t="shared" si="40"/>
        <v>21.735950573168044</v>
      </c>
      <c r="AB147" s="10">
        <f t="shared" si="41"/>
        <v>203.25286361143364</v>
      </c>
      <c r="AC147" s="10">
        <f t="shared" si="45"/>
        <v>25.406607951429205</v>
      </c>
      <c r="AD147" s="10">
        <f t="shared" si="49"/>
        <v>101.62643180571682</v>
      </c>
      <c r="AE147" s="65"/>
      <c r="AF147" s="10">
        <f t="shared" si="50"/>
        <v>175.05497468015309</v>
      </c>
      <c r="AG147" s="8">
        <f t="shared" si="46"/>
        <v>34.135720062629858</v>
      </c>
      <c r="AH147" s="10">
        <f t="shared" si="47"/>
        <v>87.527487340076547</v>
      </c>
      <c r="AI147" s="63"/>
      <c r="AJ147" s="10">
        <f t="shared" si="51"/>
        <v>258.28499999999997</v>
      </c>
      <c r="AK147" s="8"/>
      <c r="AL147" s="8">
        <f t="shared" si="48"/>
        <v>129.14249999999998</v>
      </c>
    </row>
    <row r="148" spans="1:38">
      <c r="A148" s="18">
        <v>41479</v>
      </c>
      <c r="B148" s="19" t="s">
        <v>141</v>
      </c>
      <c r="C148" s="12">
        <v>50.3</v>
      </c>
      <c r="D148" s="19" t="s">
        <v>80</v>
      </c>
      <c r="E148" s="8">
        <v>8.4089700000000001</v>
      </c>
      <c r="F148" s="8">
        <v>83.314689999999999</v>
      </c>
      <c r="G148" s="22">
        <v>50</v>
      </c>
      <c r="H148" s="22">
        <v>33</v>
      </c>
      <c r="I148" s="10">
        <f t="shared" si="42"/>
        <v>2.9194960564791734</v>
      </c>
      <c r="J148" s="10">
        <f t="shared" si="43"/>
        <v>5.0954818684551907E-2</v>
      </c>
      <c r="K148" s="10">
        <f t="shared" si="44"/>
        <v>21.02729165642895</v>
      </c>
      <c r="L148" s="22">
        <v>751</v>
      </c>
      <c r="M148" s="22" t="s">
        <v>151</v>
      </c>
      <c r="N148" s="22" t="s">
        <v>84</v>
      </c>
      <c r="O148" s="58" t="s">
        <v>85</v>
      </c>
      <c r="P148" s="50" t="s">
        <v>86</v>
      </c>
      <c r="Q148" s="22">
        <v>0.53</v>
      </c>
      <c r="R148" s="22" t="s">
        <v>190</v>
      </c>
      <c r="S148" s="30">
        <v>11.7</v>
      </c>
      <c r="T148" s="79">
        <f t="shared" si="52"/>
        <v>1.0751340599999999E-2</v>
      </c>
      <c r="U148" s="22">
        <v>8</v>
      </c>
      <c r="V148" s="22">
        <v>38</v>
      </c>
      <c r="W148" s="10">
        <f t="shared" si="38"/>
        <v>0.66322511575784526</v>
      </c>
      <c r="X148" s="22">
        <v>7</v>
      </c>
      <c r="Y148" s="22">
        <v>5</v>
      </c>
      <c r="Z148" s="10">
        <f t="shared" si="39"/>
        <v>8.7266462599716474E-2</v>
      </c>
      <c r="AA148" s="10">
        <f t="shared" si="40"/>
        <v>5.5353820018388733</v>
      </c>
      <c r="AB148" s="10">
        <f t="shared" si="41"/>
        <v>21.748494557853132</v>
      </c>
      <c r="AC148" s="10">
        <f t="shared" si="45"/>
        <v>2.7185618197316415</v>
      </c>
      <c r="AD148" s="10">
        <f t="shared" si="49"/>
        <v>10.874247278926566</v>
      </c>
      <c r="AE148" s="65"/>
      <c r="AF148" s="10">
        <f t="shared" si="50"/>
        <v>46.074375294901301</v>
      </c>
      <c r="AG148" s="8">
        <f t="shared" si="46"/>
        <v>8.9845031825057546</v>
      </c>
      <c r="AH148" s="10">
        <f t="shared" si="47"/>
        <v>23.037187647450651</v>
      </c>
      <c r="AI148" s="63"/>
      <c r="AJ148" s="10">
        <f t="shared" si="51"/>
        <v>41.245499999999993</v>
      </c>
      <c r="AK148" s="8"/>
      <c r="AL148" s="8">
        <f t="shared" si="48"/>
        <v>20.622749999999996</v>
      </c>
    </row>
    <row r="149" spans="1:38">
      <c r="A149" s="18">
        <v>41479</v>
      </c>
      <c r="B149" s="19" t="s">
        <v>141</v>
      </c>
      <c r="C149" s="12">
        <v>50.3</v>
      </c>
      <c r="D149" s="19" t="s">
        <v>80</v>
      </c>
      <c r="E149" s="8">
        <v>8.4089700000000001</v>
      </c>
      <c r="F149" s="8">
        <v>83.314689999999999</v>
      </c>
      <c r="G149" s="22">
        <v>50</v>
      </c>
      <c r="H149" s="22">
        <v>33</v>
      </c>
      <c r="I149" s="10">
        <f t="shared" si="42"/>
        <v>2.9194960564791734</v>
      </c>
      <c r="J149" s="10">
        <f t="shared" si="43"/>
        <v>5.0954818684551907E-2</v>
      </c>
      <c r="K149" s="10">
        <f t="shared" si="44"/>
        <v>21.02729165642895</v>
      </c>
      <c r="L149" s="22">
        <v>646</v>
      </c>
      <c r="M149" s="22" t="s">
        <v>39</v>
      </c>
      <c r="N149" s="8" t="s">
        <v>69</v>
      </c>
      <c r="O149" s="10" t="s">
        <v>65</v>
      </c>
      <c r="P149" s="10" t="s">
        <v>70</v>
      </c>
      <c r="Q149" s="8">
        <v>0.37</v>
      </c>
      <c r="R149" s="8" t="s">
        <v>71</v>
      </c>
      <c r="S149" s="30">
        <v>39.700000000000003</v>
      </c>
      <c r="T149" s="79">
        <f t="shared" si="52"/>
        <v>0.12378610860000001</v>
      </c>
      <c r="U149" s="22">
        <v>24</v>
      </c>
      <c r="V149" s="22">
        <v>80</v>
      </c>
      <c r="W149" s="10">
        <f t="shared" si="38"/>
        <v>1.3962634015954636</v>
      </c>
      <c r="X149" s="22">
        <v>7</v>
      </c>
      <c r="Y149" s="22">
        <v>5</v>
      </c>
      <c r="Z149" s="10">
        <f t="shared" si="39"/>
        <v>8.7266462599716474E-2</v>
      </c>
      <c r="AA149" s="10">
        <f t="shared" si="40"/>
        <v>24.245476271526599</v>
      </c>
      <c r="AB149" s="10">
        <f t="shared" si="41"/>
        <v>618.37278980062786</v>
      </c>
      <c r="AC149" s="10">
        <f t="shared" si="45"/>
        <v>77.296598725078482</v>
      </c>
      <c r="AD149" s="10">
        <f t="shared" si="49"/>
        <v>309.18639490031393</v>
      </c>
      <c r="AE149" s="65"/>
      <c r="AF149" s="10">
        <f t="shared" si="50"/>
        <v>638.56482881204067</v>
      </c>
      <c r="AG149" s="8">
        <f t="shared" si="46"/>
        <v>124.52014161834794</v>
      </c>
      <c r="AH149" s="10">
        <f t="shared" si="47"/>
        <v>319.28241440602034</v>
      </c>
      <c r="AI149" s="63"/>
      <c r="AJ149" s="10">
        <f t="shared" si="51"/>
        <v>911.56950000000006</v>
      </c>
      <c r="AK149" s="8"/>
      <c r="AL149" s="8">
        <f t="shared" si="48"/>
        <v>455.78475000000003</v>
      </c>
    </row>
    <row r="150" spans="1:38">
      <c r="A150" s="18">
        <v>41479</v>
      </c>
      <c r="B150" s="19" t="s">
        <v>141</v>
      </c>
      <c r="C150" s="12">
        <v>50.3</v>
      </c>
      <c r="D150" s="19" t="s">
        <v>80</v>
      </c>
      <c r="E150" s="8">
        <v>8.4089700000000001</v>
      </c>
      <c r="F150" s="8">
        <v>83.314689999999999</v>
      </c>
      <c r="G150" s="22">
        <v>50</v>
      </c>
      <c r="H150" s="22">
        <v>33</v>
      </c>
      <c r="I150" s="10">
        <f t="shared" si="42"/>
        <v>2.9194960564791734</v>
      </c>
      <c r="J150" s="10">
        <f t="shared" si="43"/>
        <v>5.0954818684551907E-2</v>
      </c>
      <c r="K150" s="10">
        <f t="shared" si="44"/>
        <v>21.02729165642895</v>
      </c>
      <c r="L150" s="22">
        <v>596</v>
      </c>
      <c r="M150" s="22" t="s">
        <v>39</v>
      </c>
      <c r="N150" s="8" t="s">
        <v>69</v>
      </c>
      <c r="O150" s="10" t="s">
        <v>65</v>
      </c>
      <c r="P150" s="10" t="s">
        <v>70</v>
      </c>
      <c r="Q150" s="8">
        <v>0.37</v>
      </c>
      <c r="R150" s="8" t="s">
        <v>71</v>
      </c>
      <c r="S150" s="30">
        <v>39.700000000000003</v>
      </c>
      <c r="T150" s="79">
        <f t="shared" si="52"/>
        <v>0.12378610860000001</v>
      </c>
      <c r="U150" s="22">
        <v>20</v>
      </c>
      <c r="V150" s="22">
        <v>78</v>
      </c>
      <c r="W150" s="10">
        <f t="shared" si="38"/>
        <v>1.3613568165555769</v>
      </c>
      <c r="X150" s="22">
        <v>7</v>
      </c>
      <c r="Y150" s="22">
        <v>5</v>
      </c>
      <c r="Z150" s="10">
        <f t="shared" si="39"/>
        <v>8.7266462599716474E-2</v>
      </c>
      <c r="AA150" s="10">
        <f t="shared" si="40"/>
        <v>20.173042213909717</v>
      </c>
      <c r="AB150" s="10">
        <f t="shared" si="41"/>
        <v>520.21468555849992</v>
      </c>
      <c r="AC150" s="10">
        <f t="shared" si="45"/>
        <v>65.02683569481249</v>
      </c>
      <c r="AD150" s="10">
        <f t="shared" si="49"/>
        <v>260.10734277924996</v>
      </c>
      <c r="AE150" s="65"/>
      <c r="AF150" s="10">
        <f t="shared" si="50"/>
        <v>638.56482881204067</v>
      </c>
      <c r="AG150" s="8">
        <f t="shared" si="46"/>
        <v>124.52014161834794</v>
      </c>
      <c r="AH150" s="10">
        <f t="shared" si="47"/>
        <v>319.28241440602034</v>
      </c>
      <c r="AI150" s="63"/>
      <c r="AJ150" s="10">
        <f t="shared" si="51"/>
        <v>911.56950000000006</v>
      </c>
      <c r="AK150" s="8"/>
      <c r="AL150" s="8">
        <f t="shared" si="48"/>
        <v>455.78475000000003</v>
      </c>
    </row>
    <row r="151" spans="1:38">
      <c r="A151" s="18">
        <v>41479</v>
      </c>
      <c r="B151" s="19" t="s">
        <v>141</v>
      </c>
      <c r="C151" s="12">
        <v>50.3</v>
      </c>
      <c r="D151" s="19" t="s">
        <v>80</v>
      </c>
      <c r="E151" s="8">
        <v>8.4089700000000001</v>
      </c>
      <c r="F151" s="8">
        <v>83.314689999999999</v>
      </c>
      <c r="G151" s="22">
        <v>50</v>
      </c>
      <c r="H151" s="22">
        <v>33</v>
      </c>
      <c r="I151" s="10">
        <f t="shared" si="42"/>
        <v>2.9194960564791734</v>
      </c>
      <c r="J151" s="10">
        <f t="shared" si="43"/>
        <v>5.0954818684551907E-2</v>
      </c>
      <c r="K151" s="10">
        <f t="shared" si="44"/>
        <v>21.02729165642895</v>
      </c>
      <c r="L151" s="22">
        <v>807</v>
      </c>
      <c r="M151" s="22" t="s">
        <v>39</v>
      </c>
      <c r="N151" s="8" t="s">
        <v>69</v>
      </c>
      <c r="O151" s="10" t="s">
        <v>65</v>
      </c>
      <c r="P151" s="10" t="s">
        <v>70</v>
      </c>
      <c r="Q151" s="8">
        <v>0.37</v>
      </c>
      <c r="R151" s="8" t="s">
        <v>71</v>
      </c>
      <c r="S151" s="30">
        <v>17</v>
      </c>
      <c r="T151" s="79">
        <f t="shared" si="52"/>
        <v>2.2698060000000003E-2</v>
      </c>
      <c r="U151" s="22">
        <v>17</v>
      </c>
      <c r="V151" s="22">
        <v>73</v>
      </c>
      <c r="W151" s="10">
        <f t="shared" si="38"/>
        <v>1.2740903539558606</v>
      </c>
      <c r="X151" s="22">
        <v>5</v>
      </c>
      <c r="Y151" s="22">
        <v>6</v>
      </c>
      <c r="Z151" s="10">
        <f t="shared" si="39"/>
        <v>0.10471975511965978</v>
      </c>
      <c r="AA151" s="10">
        <f t="shared" si="40"/>
        <v>16.779823167709868</v>
      </c>
      <c r="AB151" s="10">
        <f t="shared" si="41"/>
        <v>88.820957588641804</v>
      </c>
      <c r="AC151" s="10">
        <f t="shared" si="45"/>
        <v>11.102619698580225</v>
      </c>
      <c r="AD151" s="10">
        <f t="shared" si="49"/>
        <v>44.410478794320902</v>
      </c>
      <c r="AE151" s="65"/>
      <c r="AF151" s="10">
        <f t="shared" si="50"/>
        <v>81.373990452885536</v>
      </c>
      <c r="AG151" s="8">
        <f t="shared" si="46"/>
        <v>15.86792813831268</v>
      </c>
      <c r="AH151" s="10">
        <f t="shared" si="47"/>
        <v>40.686995226442768</v>
      </c>
      <c r="AI151" s="63"/>
      <c r="AJ151" s="10">
        <f t="shared" si="51"/>
        <v>116.95599999999997</v>
      </c>
      <c r="AK151" s="8"/>
      <c r="AL151" s="8">
        <f t="shared" si="48"/>
        <v>58.477999999999987</v>
      </c>
    </row>
    <row r="152" spans="1:38">
      <c r="A152" s="18">
        <v>41479</v>
      </c>
      <c r="B152" s="19" t="s">
        <v>141</v>
      </c>
      <c r="C152" s="12">
        <v>50.3</v>
      </c>
      <c r="D152" s="19" t="s">
        <v>80</v>
      </c>
      <c r="E152" s="8">
        <v>8.4089700000000001</v>
      </c>
      <c r="F152" s="8">
        <v>83.314689999999999</v>
      </c>
      <c r="G152" s="22">
        <v>50</v>
      </c>
      <c r="H152" s="22">
        <v>33</v>
      </c>
      <c r="I152" s="10">
        <f t="shared" si="42"/>
        <v>2.9194960564791734</v>
      </c>
      <c r="J152" s="10">
        <f t="shared" si="43"/>
        <v>5.0954818684551907E-2</v>
      </c>
      <c r="K152" s="10">
        <f t="shared" si="44"/>
        <v>21.02729165642895</v>
      </c>
      <c r="L152" s="22">
        <v>592</v>
      </c>
      <c r="M152" s="22" t="s">
        <v>39</v>
      </c>
      <c r="N152" s="8" t="s">
        <v>69</v>
      </c>
      <c r="O152" s="10" t="s">
        <v>65</v>
      </c>
      <c r="P152" s="10" t="s">
        <v>70</v>
      </c>
      <c r="Q152" s="8">
        <v>0.37</v>
      </c>
      <c r="R152" s="8" t="s">
        <v>71</v>
      </c>
      <c r="S152" s="30">
        <v>13.7</v>
      </c>
      <c r="T152" s="79">
        <f t="shared" si="52"/>
        <v>1.4741172599999998E-2</v>
      </c>
      <c r="U152" s="22">
        <v>15</v>
      </c>
      <c r="V152" s="22">
        <v>72</v>
      </c>
      <c r="W152" s="10">
        <f t="shared" si="38"/>
        <v>1.2566370614359172</v>
      </c>
      <c r="X152" s="22">
        <v>5</v>
      </c>
      <c r="Y152" s="22">
        <v>0</v>
      </c>
      <c r="Z152" s="10">
        <f t="shared" si="39"/>
        <v>0</v>
      </c>
      <c r="AA152" s="10">
        <f t="shared" si="40"/>
        <v>14.265847744427303</v>
      </c>
      <c r="AB152" s="10">
        <f t="shared" si="41"/>
        <v>50.821296211610516</v>
      </c>
      <c r="AC152" s="10">
        <f t="shared" si="45"/>
        <v>6.3526620264513145</v>
      </c>
      <c r="AD152" s="10">
        <f t="shared" si="49"/>
        <v>25.410648105805258</v>
      </c>
      <c r="AE152" s="65"/>
      <c r="AF152" s="10">
        <f t="shared" si="50"/>
        <v>47.628607941958037</v>
      </c>
      <c r="AG152" s="8">
        <f t="shared" si="46"/>
        <v>9.2875785486818181</v>
      </c>
      <c r="AH152" s="10">
        <f t="shared" si="47"/>
        <v>23.814303970979019</v>
      </c>
      <c r="AI152" s="63"/>
      <c r="AJ152" s="10">
        <f t="shared" si="51"/>
        <v>64.931499999999971</v>
      </c>
      <c r="AK152" s="8"/>
      <c r="AL152" s="8">
        <f t="shared" si="48"/>
        <v>32.465749999999986</v>
      </c>
    </row>
    <row r="153" spans="1:38">
      <c r="A153" s="18">
        <v>41479</v>
      </c>
      <c r="B153" s="19" t="s">
        <v>141</v>
      </c>
      <c r="C153" s="12">
        <v>50.3</v>
      </c>
      <c r="D153" s="19" t="s">
        <v>80</v>
      </c>
      <c r="E153" s="8">
        <v>8.4089700000000001</v>
      </c>
      <c r="F153" s="8">
        <v>83.314689999999999</v>
      </c>
      <c r="G153" s="22">
        <v>50</v>
      </c>
      <c r="H153" s="22">
        <v>33</v>
      </c>
      <c r="I153" s="10">
        <f t="shared" si="42"/>
        <v>2.9194960564791734</v>
      </c>
      <c r="J153" s="10">
        <f t="shared" si="43"/>
        <v>5.0954818684551907E-2</v>
      </c>
      <c r="K153" s="10">
        <f t="shared" si="44"/>
        <v>21.02729165642895</v>
      </c>
      <c r="L153" s="22">
        <v>705</v>
      </c>
      <c r="M153" s="22" t="s">
        <v>39</v>
      </c>
      <c r="N153" s="8" t="s">
        <v>69</v>
      </c>
      <c r="O153" s="10" t="s">
        <v>65</v>
      </c>
      <c r="P153" s="10" t="s">
        <v>70</v>
      </c>
      <c r="Q153" s="8">
        <v>0.37</v>
      </c>
      <c r="R153" s="8" t="s">
        <v>71</v>
      </c>
      <c r="S153" s="30">
        <v>9.4</v>
      </c>
      <c r="T153" s="79">
        <f t="shared" si="52"/>
        <v>6.939794400000001E-3</v>
      </c>
      <c r="U153" s="22">
        <v>12</v>
      </c>
      <c r="V153" s="22">
        <v>55</v>
      </c>
      <c r="W153" s="10">
        <f t="shared" si="38"/>
        <v>0.95993108859688125</v>
      </c>
      <c r="X153" s="22">
        <v>8</v>
      </c>
      <c r="Y153" s="22">
        <v>2</v>
      </c>
      <c r="Z153" s="10">
        <f t="shared" si="39"/>
        <v>3.4906585039886591E-2</v>
      </c>
      <c r="AA153" s="10">
        <f t="shared" si="40"/>
        <v>10.109020505087909</v>
      </c>
      <c r="AB153" s="10">
        <f t="shared" si="41"/>
        <v>18.10832329268495</v>
      </c>
      <c r="AC153" s="10">
        <f t="shared" si="45"/>
        <v>2.2635404115856188</v>
      </c>
      <c r="AD153" s="10">
        <f t="shared" si="49"/>
        <v>9.0541616463424752</v>
      </c>
      <c r="AE153" s="65"/>
      <c r="AF153" s="10">
        <f t="shared" si="50"/>
        <v>18.662688375802759</v>
      </c>
      <c r="AG153" s="8">
        <f t="shared" si="46"/>
        <v>3.6392242332815381</v>
      </c>
      <c r="AH153" s="10">
        <f t="shared" si="47"/>
        <v>9.3313441879013794</v>
      </c>
      <c r="AI153" s="63"/>
      <c r="AJ153" s="10">
        <f t="shared" si="51"/>
        <v>21.325199999999995</v>
      </c>
      <c r="AK153" s="8"/>
      <c r="AL153" s="8">
        <f t="shared" si="48"/>
        <v>10.662599999999998</v>
      </c>
    </row>
    <row r="154" spans="1:38">
      <c r="A154" s="18">
        <v>41479</v>
      </c>
      <c r="B154" s="19" t="s">
        <v>141</v>
      </c>
      <c r="C154" s="12">
        <v>50.3</v>
      </c>
      <c r="D154" s="19" t="s">
        <v>80</v>
      </c>
      <c r="E154" s="8">
        <v>8.4089700000000001</v>
      </c>
      <c r="F154" s="8">
        <v>83.314689999999999</v>
      </c>
      <c r="G154" s="22">
        <v>50</v>
      </c>
      <c r="H154" s="22">
        <v>33</v>
      </c>
      <c r="I154" s="10">
        <f t="shared" si="42"/>
        <v>2.9194960564791734</v>
      </c>
      <c r="J154" s="10">
        <f t="shared" si="43"/>
        <v>5.0954818684551907E-2</v>
      </c>
      <c r="K154" s="10">
        <f t="shared" si="44"/>
        <v>21.02729165642895</v>
      </c>
      <c r="L154" s="22">
        <v>607</v>
      </c>
      <c r="M154" s="22" t="s">
        <v>220</v>
      </c>
      <c r="N154" s="8" t="s">
        <v>46</v>
      </c>
      <c r="O154" s="52" t="s">
        <v>214</v>
      </c>
      <c r="P154" s="52" t="s">
        <v>215</v>
      </c>
      <c r="Q154" s="60">
        <v>0.35</v>
      </c>
      <c r="R154" s="60" t="s">
        <v>190</v>
      </c>
      <c r="S154" s="30">
        <v>13</v>
      </c>
      <c r="T154" s="79">
        <f t="shared" si="52"/>
        <v>1.327326E-2</v>
      </c>
      <c r="U154" s="22">
        <v>14</v>
      </c>
      <c r="V154" s="22">
        <v>55</v>
      </c>
      <c r="W154" s="10">
        <f t="shared" si="38"/>
        <v>0.95993108859688125</v>
      </c>
      <c r="X154" s="22">
        <v>6</v>
      </c>
      <c r="Y154" s="22">
        <v>5</v>
      </c>
      <c r="Z154" s="10">
        <f t="shared" si="39"/>
        <v>8.7266462599716474E-2</v>
      </c>
      <c r="AA154" s="10">
        <f t="shared" si="40"/>
        <v>11.991063076531834</v>
      </c>
      <c r="AB154" s="10">
        <f t="shared" si="41"/>
        <v>37.121491001958276</v>
      </c>
      <c r="AC154" s="10">
        <f t="shared" si="45"/>
        <v>4.6401863752447845</v>
      </c>
      <c r="AD154" s="10">
        <f t="shared" si="49"/>
        <v>18.560745500979138</v>
      </c>
      <c r="AE154" s="65"/>
      <c r="AF154" s="10">
        <f t="shared" si="50"/>
        <v>39.545186397901546</v>
      </c>
      <c r="AG154" s="8">
        <f t="shared" si="46"/>
        <v>7.7113113475908017</v>
      </c>
      <c r="AH154" s="10">
        <f t="shared" si="47"/>
        <v>19.772593198950773</v>
      </c>
      <c r="AI154" s="63"/>
      <c r="AJ154" s="10">
        <f t="shared" si="51"/>
        <v>55.967999999999989</v>
      </c>
      <c r="AK154" s="8"/>
      <c r="AL154" s="8">
        <f t="shared" si="48"/>
        <v>27.983999999999995</v>
      </c>
    </row>
    <row r="155" spans="1:38">
      <c r="A155" s="18">
        <v>41481</v>
      </c>
      <c r="B155" s="19" t="s">
        <v>141</v>
      </c>
      <c r="C155" s="12">
        <v>50.4</v>
      </c>
      <c r="D155" s="9" t="s">
        <v>80</v>
      </c>
      <c r="E155" s="8">
        <v>8.4083100000000002</v>
      </c>
      <c r="F155" s="8">
        <v>83.31147</v>
      </c>
      <c r="G155" s="22">
        <v>50</v>
      </c>
      <c r="H155" s="22">
        <v>-10</v>
      </c>
      <c r="I155" s="10">
        <f t="shared" si="42"/>
        <v>-9.9666444232592379</v>
      </c>
      <c r="J155" s="10">
        <f t="shared" si="43"/>
        <v>-0.17395076056140502</v>
      </c>
      <c r="K155" s="10">
        <f t="shared" si="44"/>
        <v>21.321773754370099</v>
      </c>
      <c r="L155" s="22">
        <v>905</v>
      </c>
      <c r="M155" s="22" t="s">
        <v>39</v>
      </c>
      <c r="N155" s="8" t="s">
        <v>69</v>
      </c>
      <c r="O155" s="10" t="s">
        <v>65</v>
      </c>
      <c r="P155" s="10" t="s">
        <v>70</v>
      </c>
      <c r="Q155" s="8">
        <v>0.37</v>
      </c>
      <c r="R155" s="8" t="s">
        <v>71</v>
      </c>
      <c r="S155" s="30">
        <v>9.1999999999999993</v>
      </c>
      <c r="T155" s="79">
        <f t="shared" si="52"/>
        <v>6.6476255999999992E-3</v>
      </c>
      <c r="U155" s="22">
        <v>7</v>
      </c>
      <c r="V155" s="22">
        <v>70</v>
      </c>
      <c r="W155" s="10">
        <f t="shared" ref="W155:W200" si="53">RADIANS(V155)</f>
        <v>1.2217304763960306</v>
      </c>
      <c r="X155" s="22">
        <v>5</v>
      </c>
      <c r="Y155" s="22">
        <v>10</v>
      </c>
      <c r="Z155" s="10">
        <f t="shared" ref="Z155:Z200" si="54">RADIANS(Y155)</f>
        <v>0.17453292519943295</v>
      </c>
      <c r="AA155" s="10">
        <f t="shared" ref="AA155:AA200" si="55">(SIN(W155)*U155)+(SIN(Z155)*X155)</f>
        <v>7.4460892338360098</v>
      </c>
      <c r="AB155" s="10">
        <f t="shared" ref="AB155:AB200" si="56">0.0776*(Q155*S155^2*AA155)^0.94</f>
        <v>13.046829880523045</v>
      </c>
      <c r="AC155" s="10">
        <f t="shared" si="45"/>
        <v>1.6308537350653807</v>
      </c>
      <c r="AD155" s="10">
        <f t="shared" si="49"/>
        <v>6.5234149402615227</v>
      </c>
      <c r="AE155" s="65"/>
      <c r="AF155" s="10">
        <f t="shared" si="50"/>
        <v>17.691863609548438</v>
      </c>
      <c r="AG155" s="8">
        <f t="shared" si="46"/>
        <v>3.4499134038619457</v>
      </c>
      <c r="AH155" s="10">
        <f t="shared" si="47"/>
        <v>8.845931804774219</v>
      </c>
      <c r="AI155" s="63"/>
      <c r="AJ155" s="10">
        <f t="shared" si="51"/>
        <v>19.962999999999994</v>
      </c>
      <c r="AK155" s="8"/>
      <c r="AL155" s="8">
        <f t="shared" si="48"/>
        <v>9.9814999999999969</v>
      </c>
    </row>
    <row r="156" spans="1:38">
      <c r="A156" s="18">
        <v>41481</v>
      </c>
      <c r="B156" s="19" t="s">
        <v>141</v>
      </c>
      <c r="C156" s="12">
        <v>50.4</v>
      </c>
      <c r="D156" s="19" t="s">
        <v>80</v>
      </c>
      <c r="E156" s="8">
        <v>8.4083100000000002</v>
      </c>
      <c r="F156" s="8">
        <v>83.31147</v>
      </c>
      <c r="G156" s="22">
        <v>50</v>
      </c>
      <c r="H156" s="22">
        <v>-10</v>
      </c>
      <c r="I156" s="10">
        <f t="shared" si="42"/>
        <v>-9.9666444232592379</v>
      </c>
      <c r="J156" s="10">
        <f t="shared" si="43"/>
        <v>-0.17395076056140502</v>
      </c>
      <c r="K156" s="10">
        <f t="shared" si="44"/>
        <v>21.321773754370099</v>
      </c>
      <c r="L156" s="22">
        <v>935</v>
      </c>
      <c r="M156" s="22" t="s">
        <v>36</v>
      </c>
      <c r="N156" s="8" t="s">
        <v>46</v>
      </c>
      <c r="O156" s="10" t="s">
        <v>37</v>
      </c>
      <c r="P156" s="10" t="s">
        <v>38</v>
      </c>
      <c r="Q156" s="11">
        <v>0.48</v>
      </c>
      <c r="R156" s="8" t="s">
        <v>60</v>
      </c>
      <c r="S156" s="30">
        <v>23.3</v>
      </c>
      <c r="T156" s="79">
        <f t="shared" si="52"/>
        <v>4.2638580600000003E-2</v>
      </c>
      <c r="U156" s="22">
        <v>9</v>
      </c>
      <c r="V156" s="22">
        <v>75</v>
      </c>
      <c r="W156" s="10">
        <f t="shared" si="53"/>
        <v>1.3089969389957472</v>
      </c>
      <c r="X156" s="22">
        <v>5</v>
      </c>
      <c r="Y156" s="22">
        <v>7</v>
      </c>
      <c r="Z156" s="10">
        <f t="shared" si="54"/>
        <v>0.12217304763960307</v>
      </c>
      <c r="AA156" s="10">
        <f t="shared" si="55"/>
        <v>9.3026791536273521</v>
      </c>
      <c r="AB156" s="10">
        <f t="shared" si="56"/>
        <v>117.85531579702962</v>
      </c>
      <c r="AC156" s="10">
        <f t="shared" si="45"/>
        <v>14.731914474628702</v>
      </c>
      <c r="AD156" s="10">
        <f t="shared" si="49"/>
        <v>58.927657898514809</v>
      </c>
      <c r="AE156" s="65"/>
      <c r="AF156" s="10">
        <f t="shared" si="50"/>
        <v>229.50217151344677</v>
      </c>
      <c r="AG156" s="8">
        <f t="shared" si="46"/>
        <v>44.752923445122121</v>
      </c>
      <c r="AH156" s="10">
        <f t="shared" si="47"/>
        <v>114.75108575672338</v>
      </c>
      <c r="AI156" s="63"/>
      <c r="AJ156" s="10">
        <f t="shared" si="51"/>
        <v>261.03069999999991</v>
      </c>
      <c r="AK156" s="8"/>
      <c r="AL156" s="8">
        <f t="shared" si="48"/>
        <v>130.51534999999996</v>
      </c>
    </row>
    <row r="157" spans="1:38">
      <c r="A157" s="18">
        <v>41481</v>
      </c>
      <c r="B157" s="19" t="s">
        <v>141</v>
      </c>
      <c r="C157" s="12">
        <v>50.4</v>
      </c>
      <c r="D157" s="19" t="s">
        <v>80</v>
      </c>
      <c r="E157" s="8">
        <v>8.4083100000000002</v>
      </c>
      <c r="F157" s="8">
        <v>83.31147</v>
      </c>
      <c r="G157" s="22">
        <v>50</v>
      </c>
      <c r="H157" s="22">
        <v>-10</v>
      </c>
      <c r="I157" s="10">
        <f t="shared" si="42"/>
        <v>-9.9666444232592379</v>
      </c>
      <c r="J157" s="10">
        <f t="shared" si="43"/>
        <v>-0.17395076056140502</v>
      </c>
      <c r="K157" s="10">
        <f t="shared" si="44"/>
        <v>21.321773754370099</v>
      </c>
      <c r="L157" s="22">
        <v>861</v>
      </c>
      <c r="M157" s="22" t="s">
        <v>161</v>
      </c>
      <c r="N157" s="7" t="s">
        <v>84</v>
      </c>
      <c r="O157" s="52" t="s">
        <v>85</v>
      </c>
      <c r="P157" s="53" t="s">
        <v>92</v>
      </c>
      <c r="Q157" s="7">
        <v>0.53</v>
      </c>
      <c r="R157" s="7" t="s">
        <v>190</v>
      </c>
      <c r="S157" s="30">
        <v>12</v>
      </c>
      <c r="T157" s="79">
        <f t="shared" si="52"/>
        <v>1.130976E-2</v>
      </c>
      <c r="U157" s="22">
        <v>8</v>
      </c>
      <c r="V157" s="22">
        <v>60</v>
      </c>
      <c r="W157" s="10">
        <f t="shared" si="53"/>
        <v>1.0471975511965976</v>
      </c>
      <c r="X157" s="22">
        <v>5</v>
      </c>
      <c r="Y157" s="22">
        <v>13</v>
      </c>
      <c r="Z157" s="10">
        <f t="shared" si="54"/>
        <v>0.22689280275926285</v>
      </c>
      <c r="AA157" s="10">
        <f t="shared" si="55"/>
        <v>8.0529585019948335</v>
      </c>
      <c r="AB157" s="10">
        <f t="shared" si="56"/>
        <v>32.44441252218045</v>
      </c>
      <c r="AC157" s="10">
        <f t="shared" si="45"/>
        <v>4.0555515652725562</v>
      </c>
      <c r="AD157" s="10">
        <f t="shared" si="49"/>
        <v>16.222206261090225</v>
      </c>
      <c r="AE157" s="65"/>
      <c r="AF157" s="10">
        <f t="shared" si="50"/>
        <v>49.070317866703562</v>
      </c>
      <c r="AG157" s="8">
        <f t="shared" si="46"/>
        <v>9.5687119840071944</v>
      </c>
      <c r="AH157" s="10">
        <f t="shared" si="47"/>
        <v>24.535158933351781</v>
      </c>
      <c r="AI157" s="63"/>
      <c r="AJ157" s="10">
        <f t="shared" si="51"/>
        <v>44.420999999999992</v>
      </c>
      <c r="AK157" s="8"/>
      <c r="AL157" s="8">
        <f t="shared" si="48"/>
        <v>22.210499999999996</v>
      </c>
    </row>
    <row r="158" spans="1:38">
      <c r="A158" s="18">
        <v>41481</v>
      </c>
      <c r="B158" s="19" t="s">
        <v>141</v>
      </c>
      <c r="C158" s="12">
        <v>50.4</v>
      </c>
      <c r="D158" s="19" t="s">
        <v>80</v>
      </c>
      <c r="E158" s="8">
        <v>8.4083100000000002</v>
      </c>
      <c r="F158" s="8">
        <v>83.31147</v>
      </c>
      <c r="G158" s="22">
        <v>50</v>
      </c>
      <c r="H158" s="22">
        <v>-10</v>
      </c>
      <c r="I158" s="10">
        <f t="shared" si="42"/>
        <v>-9.9666444232592379</v>
      </c>
      <c r="J158" s="10">
        <f t="shared" si="43"/>
        <v>-0.17395076056140502</v>
      </c>
      <c r="K158" s="10">
        <f t="shared" si="44"/>
        <v>21.321773754370099</v>
      </c>
      <c r="L158" s="22">
        <v>858</v>
      </c>
      <c r="M158" s="22" t="s">
        <v>161</v>
      </c>
      <c r="N158" s="7" t="s">
        <v>84</v>
      </c>
      <c r="O158" s="52" t="s">
        <v>85</v>
      </c>
      <c r="P158" s="53" t="s">
        <v>92</v>
      </c>
      <c r="Q158" s="7">
        <v>0.53</v>
      </c>
      <c r="R158" s="7" t="s">
        <v>190</v>
      </c>
      <c r="S158" s="30">
        <v>11</v>
      </c>
      <c r="T158" s="79">
        <f t="shared" si="52"/>
        <v>9.5033400000000007E-3</v>
      </c>
      <c r="U158" s="22">
        <v>8</v>
      </c>
      <c r="V158" s="22">
        <v>45</v>
      </c>
      <c r="W158" s="10">
        <f t="shared" si="53"/>
        <v>0.78539816339744828</v>
      </c>
      <c r="X158" s="22">
        <v>6</v>
      </c>
      <c r="Y158" s="22">
        <v>10</v>
      </c>
      <c r="Z158" s="10">
        <f t="shared" si="54"/>
        <v>0.17453292519943295</v>
      </c>
      <c r="AA158" s="10">
        <f t="shared" si="55"/>
        <v>6.698743315493962</v>
      </c>
      <c r="AB158" s="10">
        <f t="shared" si="56"/>
        <v>23.170372897493472</v>
      </c>
      <c r="AC158" s="10">
        <f t="shared" si="45"/>
        <v>2.896296612186684</v>
      </c>
      <c r="AD158" s="10">
        <f t="shared" si="49"/>
        <v>11.585186448746736</v>
      </c>
      <c r="AE158" s="65"/>
      <c r="AF158" s="10">
        <f t="shared" si="50"/>
        <v>39.517780897691807</v>
      </c>
      <c r="AG158" s="8">
        <f t="shared" si="46"/>
        <v>7.7059672750499031</v>
      </c>
      <c r="AH158" s="10">
        <f t="shared" si="47"/>
        <v>19.758890448845904</v>
      </c>
      <c r="AI158" s="63"/>
      <c r="AJ158" s="10">
        <f t="shared" si="51"/>
        <v>34.353999999999985</v>
      </c>
      <c r="AK158" s="8"/>
      <c r="AL158" s="8">
        <f t="shared" si="48"/>
        <v>17.176999999999992</v>
      </c>
    </row>
    <row r="159" spans="1:38">
      <c r="A159" s="18">
        <v>41481</v>
      </c>
      <c r="B159" s="19" t="s">
        <v>141</v>
      </c>
      <c r="C159" s="12">
        <v>50.4</v>
      </c>
      <c r="D159" s="19" t="s">
        <v>80</v>
      </c>
      <c r="E159" s="8">
        <v>8.4083100000000002</v>
      </c>
      <c r="F159" s="8">
        <v>83.31147</v>
      </c>
      <c r="G159" s="22">
        <v>50</v>
      </c>
      <c r="H159" s="22">
        <v>-10</v>
      </c>
      <c r="I159" s="10">
        <f t="shared" si="42"/>
        <v>-9.9666444232592379</v>
      </c>
      <c r="J159" s="10">
        <f t="shared" si="43"/>
        <v>-0.17395076056140502</v>
      </c>
      <c r="K159" s="10">
        <f t="shared" si="44"/>
        <v>21.321773754370099</v>
      </c>
      <c r="L159" s="22">
        <v>973</v>
      </c>
      <c r="M159" s="22" t="s">
        <v>161</v>
      </c>
      <c r="N159" s="7" t="s">
        <v>84</v>
      </c>
      <c r="O159" s="52" t="s">
        <v>85</v>
      </c>
      <c r="P159" s="53" t="s">
        <v>92</v>
      </c>
      <c r="Q159" s="7">
        <v>0.53</v>
      </c>
      <c r="R159" s="7" t="s">
        <v>190</v>
      </c>
      <c r="S159" s="30">
        <v>7.7</v>
      </c>
      <c r="T159" s="79">
        <f t="shared" si="52"/>
        <v>4.6566366000000007E-3</v>
      </c>
      <c r="U159" s="22">
        <v>10</v>
      </c>
      <c r="V159" s="22">
        <v>42</v>
      </c>
      <c r="W159" s="10">
        <f t="shared" si="53"/>
        <v>0.73303828583761843</v>
      </c>
      <c r="X159" s="22">
        <v>7</v>
      </c>
      <c r="Y159" s="22">
        <v>10</v>
      </c>
      <c r="Z159" s="10">
        <f t="shared" si="54"/>
        <v>0.17453292519943295</v>
      </c>
      <c r="AA159" s="10">
        <f t="shared" si="55"/>
        <v>7.9068433072570947</v>
      </c>
      <c r="AB159" s="10">
        <f t="shared" si="56"/>
        <v>13.848621524250772</v>
      </c>
      <c r="AC159" s="10">
        <f t="shared" si="45"/>
        <v>1.7310776905313465</v>
      </c>
      <c r="AD159" s="10">
        <f t="shared" si="49"/>
        <v>6.9243107621253861</v>
      </c>
      <c r="AE159" s="65"/>
      <c r="AF159" s="10">
        <f t="shared" si="50"/>
        <v>16.301093542762896</v>
      </c>
      <c r="AG159" s="8">
        <f t="shared" si="46"/>
        <v>3.1787132408387646</v>
      </c>
      <c r="AH159" s="10">
        <f t="shared" si="47"/>
        <v>8.1505467713814479</v>
      </c>
      <c r="AI159" s="63"/>
      <c r="AJ159" s="10">
        <f t="shared" si="51"/>
        <v>11.633499999999998</v>
      </c>
      <c r="AK159" s="8"/>
      <c r="AL159" s="8">
        <f t="shared" si="48"/>
        <v>5.816749999999999</v>
      </c>
    </row>
    <row r="160" spans="1:38">
      <c r="A160" s="18">
        <v>41481</v>
      </c>
      <c r="B160" s="19" t="s">
        <v>141</v>
      </c>
      <c r="C160" s="12">
        <v>50.4</v>
      </c>
      <c r="D160" s="19" t="s">
        <v>80</v>
      </c>
      <c r="E160" s="8">
        <v>8.4083100000000002</v>
      </c>
      <c r="F160" s="8">
        <v>83.31147</v>
      </c>
      <c r="G160" s="22">
        <v>50</v>
      </c>
      <c r="H160" s="22">
        <v>-10</v>
      </c>
      <c r="I160" s="10">
        <f t="shared" si="42"/>
        <v>-9.9666444232592379</v>
      </c>
      <c r="J160" s="10">
        <f t="shared" si="43"/>
        <v>-0.17395076056140502</v>
      </c>
      <c r="K160" s="10">
        <f t="shared" si="44"/>
        <v>21.321773754370099</v>
      </c>
      <c r="L160" s="22">
        <v>912</v>
      </c>
      <c r="M160" s="22" t="s">
        <v>161</v>
      </c>
      <c r="N160" s="7" t="s">
        <v>84</v>
      </c>
      <c r="O160" s="52" t="s">
        <v>85</v>
      </c>
      <c r="P160" s="53" t="s">
        <v>92</v>
      </c>
      <c r="Q160" s="7">
        <v>0.53</v>
      </c>
      <c r="R160" s="7" t="s">
        <v>190</v>
      </c>
      <c r="S160" s="30">
        <v>6.1</v>
      </c>
      <c r="T160" s="79">
        <f t="shared" si="52"/>
        <v>2.9224733999999998E-3</v>
      </c>
      <c r="U160" s="22">
        <v>6</v>
      </c>
      <c r="V160" s="22">
        <v>40</v>
      </c>
      <c r="W160" s="10">
        <f t="shared" si="53"/>
        <v>0.69813170079773179</v>
      </c>
      <c r="X160" s="22">
        <v>5</v>
      </c>
      <c r="Y160" s="22">
        <v>20</v>
      </c>
      <c r="Z160" s="10">
        <f t="shared" si="54"/>
        <v>0.3490658503988659</v>
      </c>
      <c r="AA160" s="10">
        <f t="shared" si="55"/>
        <v>5.5668263747475795</v>
      </c>
      <c r="AB160" s="10">
        <f t="shared" si="56"/>
        <v>6.4264679225819581</v>
      </c>
      <c r="AC160" s="10">
        <f t="shared" si="45"/>
        <v>0.80330849032274476</v>
      </c>
      <c r="AD160" s="10">
        <f t="shared" si="49"/>
        <v>3.213233961290979</v>
      </c>
      <c r="AE160" s="65"/>
      <c r="AF160" s="10">
        <f t="shared" si="50"/>
        <v>9.1820541085000098</v>
      </c>
      <c r="AG160" s="8">
        <f t="shared" si="46"/>
        <v>1.7905005511575021</v>
      </c>
      <c r="AH160" s="10">
        <f t="shared" si="47"/>
        <v>4.5910270542500049</v>
      </c>
      <c r="AI160" s="63"/>
      <c r="AJ160" s="10">
        <f t="shared" si="51"/>
        <v>6.4190999999999967</v>
      </c>
      <c r="AK160" s="8"/>
      <c r="AL160" s="8">
        <f t="shared" si="48"/>
        <v>3.2095499999999983</v>
      </c>
    </row>
    <row r="161" spans="1:38">
      <c r="A161" s="18">
        <v>41481</v>
      </c>
      <c r="B161" s="19" t="s">
        <v>141</v>
      </c>
      <c r="C161" s="12">
        <v>50.4</v>
      </c>
      <c r="D161" s="19" t="s">
        <v>80</v>
      </c>
      <c r="E161" s="8">
        <v>8.4083100000000002</v>
      </c>
      <c r="F161" s="8">
        <v>83.31147</v>
      </c>
      <c r="G161" s="22">
        <v>50</v>
      </c>
      <c r="H161" s="22">
        <v>-10</v>
      </c>
      <c r="I161" s="10">
        <f t="shared" si="42"/>
        <v>-9.9666444232592379</v>
      </c>
      <c r="J161" s="10">
        <f t="shared" si="43"/>
        <v>-0.17395076056140502</v>
      </c>
      <c r="K161" s="10">
        <f t="shared" si="44"/>
        <v>21.321773754370099</v>
      </c>
      <c r="L161" s="22">
        <v>884</v>
      </c>
      <c r="M161" s="22" t="s">
        <v>161</v>
      </c>
      <c r="N161" s="7" t="s">
        <v>84</v>
      </c>
      <c r="O161" s="52" t="s">
        <v>85</v>
      </c>
      <c r="P161" s="53" t="s">
        <v>92</v>
      </c>
      <c r="Q161" s="7">
        <v>0.53</v>
      </c>
      <c r="R161" s="7" t="s">
        <v>190</v>
      </c>
      <c r="S161" s="30">
        <v>26.1</v>
      </c>
      <c r="T161" s="79">
        <f t="shared" si="52"/>
        <v>5.3502233400000009E-2</v>
      </c>
      <c r="U161" s="22">
        <v>8</v>
      </c>
      <c r="V161" s="22">
        <v>45</v>
      </c>
      <c r="W161" s="10">
        <f t="shared" si="53"/>
        <v>0.78539816339744828</v>
      </c>
      <c r="X161" s="22">
        <v>7</v>
      </c>
      <c r="Y161" s="22">
        <v>10</v>
      </c>
      <c r="Z161" s="10">
        <f t="shared" si="54"/>
        <v>0.17453292519943295</v>
      </c>
      <c r="AA161" s="10">
        <f t="shared" si="55"/>
        <v>6.872391493160892</v>
      </c>
      <c r="AB161" s="10">
        <f t="shared" si="56"/>
        <v>120.46104061930635</v>
      </c>
      <c r="AC161" s="10">
        <f t="shared" si="45"/>
        <v>15.057630077413293</v>
      </c>
      <c r="AD161" s="10">
        <f t="shared" si="49"/>
        <v>60.230520309653173</v>
      </c>
      <c r="AE161" s="65"/>
      <c r="AF161" s="10">
        <f t="shared" si="50"/>
        <v>334.28462031138304</v>
      </c>
      <c r="AG161" s="8">
        <f t="shared" si="46"/>
        <v>65.185500960719693</v>
      </c>
      <c r="AH161" s="10">
        <f t="shared" si="47"/>
        <v>167.14231015569152</v>
      </c>
      <c r="AI161" s="63"/>
      <c r="AJ161" s="10">
        <f t="shared" si="51"/>
        <v>343.91910000000001</v>
      </c>
      <c r="AK161" s="8"/>
      <c r="AL161" s="8">
        <f t="shared" si="48"/>
        <v>171.95955000000001</v>
      </c>
    </row>
    <row r="162" spans="1:38">
      <c r="A162" s="18">
        <v>41481</v>
      </c>
      <c r="B162" s="19" t="s">
        <v>141</v>
      </c>
      <c r="C162" s="12">
        <v>50.4</v>
      </c>
      <c r="D162" s="19" t="s">
        <v>80</v>
      </c>
      <c r="E162" s="8">
        <v>8.4083100000000002</v>
      </c>
      <c r="F162" s="8">
        <v>83.31147</v>
      </c>
      <c r="G162" s="22">
        <v>50</v>
      </c>
      <c r="H162" s="22">
        <v>-10</v>
      </c>
      <c r="I162" s="10">
        <f t="shared" si="42"/>
        <v>-9.9666444232592379</v>
      </c>
      <c r="J162" s="10">
        <f t="shared" si="43"/>
        <v>-0.17395076056140502</v>
      </c>
      <c r="K162" s="10">
        <f t="shared" si="44"/>
        <v>21.321773754370099</v>
      </c>
      <c r="L162" s="22">
        <v>992</v>
      </c>
      <c r="M162" s="22" t="s">
        <v>161</v>
      </c>
      <c r="N162" s="7" t="s">
        <v>84</v>
      </c>
      <c r="O162" s="52" t="s">
        <v>85</v>
      </c>
      <c r="P162" s="53" t="s">
        <v>92</v>
      </c>
      <c r="Q162" s="7">
        <v>0.53</v>
      </c>
      <c r="R162" s="7" t="s">
        <v>190</v>
      </c>
      <c r="S162" s="30">
        <v>15</v>
      </c>
      <c r="T162" s="79">
        <f t="shared" si="52"/>
        <v>1.76715E-2</v>
      </c>
      <c r="U162" s="22">
        <v>9</v>
      </c>
      <c r="V162" s="22">
        <v>40</v>
      </c>
      <c r="W162" s="10">
        <f t="shared" si="53"/>
        <v>0.69813170079773179</v>
      </c>
      <c r="X162" s="22">
        <v>7</v>
      </c>
      <c r="Y162" s="22">
        <v>12</v>
      </c>
      <c r="Z162" s="10">
        <f t="shared" si="54"/>
        <v>0.20943951023931956</v>
      </c>
      <c r="AA162" s="10">
        <f t="shared" si="55"/>
        <v>7.2404703229031693</v>
      </c>
      <c r="AB162" s="10">
        <f t="shared" si="56"/>
        <v>44.659450677837491</v>
      </c>
      <c r="AC162" s="10">
        <f t="shared" si="45"/>
        <v>5.5824313347296863</v>
      </c>
      <c r="AD162" s="10">
        <f t="shared" si="49"/>
        <v>22.329725338918745</v>
      </c>
      <c r="AE162" s="65"/>
      <c r="AF162" s="10">
        <f t="shared" si="50"/>
        <v>85.460028465005678</v>
      </c>
      <c r="AG162" s="8">
        <f t="shared" si="46"/>
        <v>16.664705550676107</v>
      </c>
      <c r="AH162" s="10">
        <f t="shared" si="47"/>
        <v>42.730014232502839</v>
      </c>
      <c r="AI162" s="63"/>
      <c r="AJ162" s="10">
        <f t="shared" si="51"/>
        <v>83.501999999999995</v>
      </c>
      <c r="AK162" s="8"/>
      <c r="AL162" s="8">
        <f t="shared" si="48"/>
        <v>41.750999999999998</v>
      </c>
    </row>
    <row r="163" spans="1:38">
      <c r="A163" s="18">
        <v>41481</v>
      </c>
      <c r="B163" s="19" t="s">
        <v>141</v>
      </c>
      <c r="C163" s="12">
        <v>50.4</v>
      </c>
      <c r="D163" s="19" t="s">
        <v>80</v>
      </c>
      <c r="E163" s="8">
        <v>8.4083100000000002</v>
      </c>
      <c r="F163" s="8">
        <v>83.31147</v>
      </c>
      <c r="G163" s="22">
        <v>50</v>
      </c>
      <c r="H163" s="22">
        <v>-10</v>
      </c>
      <c r="I163" s="10">
        <f t="shared" si="42"/>
        <v>-9.9666444232592379</v>
      </c>
      <c r="J163" s="10">
        <f t="shared" si="43"/>
        <v>-0.17395076056140502</v>
      </c>
      <c r="K163" s="10">
        <f t="shared" si="44"/>
        <v>21.321773754370099</v>
      </c>
      <c r="L163" s="22">
        <v>936</v>
      </c>
      <c r="M163" s="22" t="s">
        <v>36</v>
      </c>
      <c r="N163" s="8" t="s">
        <v>46</v>
      </c>
      <c r="O163" s="10" t="s">
        <v>37</v>
      </c>
      <c r="P163" s="10" t="s">
        <v>38</v>
      </c>
      <c r="Q163" s="11">
        <v>0.48</v>
      </c>
      <c r="R163" s="8" t="s">
        <v>60</v>
      </c>
      <c r="S163" s="30">
        <v>17.3</v>
      </c>
      <c r="T163" s="79">
        <f t="shared" si="52"/>
        <v>2.3506236600000004E-2</v>
      </c>
      <c r="U163" s="22">
        <v>7</v>
      </c>
      <c r="V163" s="22">
        <v>72</v>
      </c>
      <c r="W163" s="10">
        <f t="shared" si="53"/>
        <v>1.2566370614359172</v>
      </c>
      <c r="X163" s="22">
        <v>6</v>
      </c>
      <c r="Y163" s="22">
        <v>15</v>
      </c>
      <c r="Z163" s="10">
        <f t="shared" si="54"/>
        <v>0.26179938779914941</v>
      </c>
      <c r="AA163" s="10">
        <f t="shared" si="55"/>
        <v>8.2103098846811982</v>
      </c>
      <c r="AB163" s="10">
        <f t="shared" si="56"/>
        <v>59.87604891212905</v>
      </c>
      <c r="AC163" s="10">
        <f t="shared" si="45"/>
        <v>7.4845061140161313</v>
      </c>
      <c r="AD163" s="10">
        <f t="shared" si="49"/>
        <v>29.938024456064525</v>
      </c>
      <c r="AE163" s="65"/>
      <c r="AF163" s="10">
        <f t="shared" si="50"/>
        <v>110.23854508066978</v>
      </c>
      <c r="AG163" s="8">
        <f t="shared" si="46"/>
        <v>21.496516290730607</v>
      </c>
      <c r="AH163" s="10">
        <f t="shared" si="47"/>
        <v>55.11927254033489</v>
      </c>
      <c r="AI163" s="63"/>
      <c r="AJ163" s="10">
        <f t="shared" si="51"/>
        <v>122.48469999999999</v>
      </c>
      <c r="AK163" s="8"/>
      <c r="AL163" s="8">
        <f t="shared" si="48"/>
        <v>61.242349999999995</v>
      </c>
    </row>
    <row r="164" spans="1:38">
      <c r="A164" s="18">
        <v>41481</v>
      </c>
      <c r="B164" s="19" t="s">
        <v>141</v>
      </c>
      <c r="C164" s="12">
        <v>50.4</v>
      </c>
      <c r="D164" s="19" t="s">
        <v>80</v>
      </c>
      <c r="E164" s="8">
        <v>8.4083100000000002</v>
      </c>
      <c r="F164" s="8">
        <v>83.31147</v>
      </c>
      <c r="G164" s="22">
        <v>50</v>
      </c>
      <c r="H164" s="22">
        <v>-10</v>
      </c>
      <c r="I164" s="10">
        <f t="shared" si="42"/>
        <v>-9.9666444232592379</v>
      </c>
      <c r="J164" s="10">
        <f t="shared" si="43"/>
        <v>-0.17395076056140502</v>
      </c>
      <c r="K164" s="10">
        <f t="shared" si="44"/>
        <v>21.321773754370099</v>
      </c>
      <c r="L164" s="22">
        <v>993</v>
      </c>
      <c r="M164" s="22" t="s">
        <v>54</v>
      </c>
      <c r="N164" s="8" t="s">
        <v>55</v>
      </c>
      <c r="O164" s="10" t="s">
        <v>56</v>
      </c>
      <c r="P164" s="10" t="s">
        <v>57</v>
      </c>
      <c r="Q164" s="11">
        <v>0.315</v>
      </c>
      <c r="R164" s="12" t="s">
        <v>66</v>
      </c>
      <c r="S164" s="30">
        <v>8.6999999999999993</v>
      </c>
      <c r="T164" s="79">
        <f t="shared" si="52"/>
        <v>5.944692599999999E-3</v>
      </c>
      <c r="U164" s="22">
        <v>10</v>
      </c>
      <c r="V164" s="22">
        <v>58</v>
      </c>
      <c r="W164" s="10">
        <f t="shared" si="53"/>
        <v>1.0122909661567112</v>
      </c>
      <c r="X164" s="22">
        <v>6</v>
      </c>
      <c r="Y164" s="22">
        <v>15</v>
      </c>
      <c r="Z164" s="10">
        <f t="shared" si="54"/>
        <v>0.26179938779914941</v>
      </c>
      <c r="AA164" s="10">
        <f t="shared" si="55"/>
        <v>10.033395232179384</v>
      </c>
      <c r="AB164" s="10">
        <f t="shared" si="56"/>
        <v>13.363828132739595</v>
      </c>
      <c r="AC164" s="10">
        <f t="shared" si="45"/>
        <v>1.6704785165924494</v>
      </c>
      <c r="AD164" s="10">
        <f t="shared" si="49"/>
        <v>6.6819140663697976</v>
      </c>
      <c r="AE164" s="65"/>
      <c r="AF164" s="10">
        <f t="shared" si="50"/>
        <v>13.111081256618558</v>
      </c>
      <c r="AG164" s="8">
        <f t="shared" si="46"/>
        <v>2.5566608450406187</v>
      </c>
      <c r="AH164" s="10">
        <f t="shared" si="47"/>
        <v>6.555540628309279</v>
      </c>
      <c r="AI164" s="63"/>
      <c r="AJ164" s="10">
        <f t="shared" si="51"/>
        <v>16.816499999999998</v>
      </c>
      <c r="AK164" s="8"/>
      <c r="AL164" s="8">
        <f t="shared" si="48"/>
        <v>8.4082499999999989</v>
      </c>
    </row>
    <row r="165" spans="1:38">
      <c r="A165" s="18">
        <v>41481</v>
      </c>
      <c r="B165" s="19" t="s">
        <v>141</v>
      </c>
      <c r="C165" s="12">
        <v>50.4</v>
      </c>
      <c r="D165" s="19" t="s">
        <v>80</v>
      </c>
      <c r="E165" s="8">
        <v>8.4083100000000002</v>
      </c>
      <c r="F165" s="8">
        <v>83.31147</v>
      </c>
      <c r="G165" s="22">
        <v>50</v>
      </c>
      <c r="H165" s="22">
        <v>-10</v>
      </c>
      <c r="I165" s="10">
        <f t="shared" si="42"/>
        <v>-9.9666444232592379</v>
      </c>
      <c r="J165" s="10">
        <f t="shared" si="43"/>
        <v>-0.17395076056140502</v>
      </c>
      <c r="K165" s="10">
        <f t="shared" si="44"/>
        <v>21.321773754370099</v>
      </c>
      <c r="L165" s="22">
        <v>989</v>
      </c>
      <c r="M165" s="22" t="s">
        <v>39</v>
      </c>
      <c r="N165" s="8" t="s">
        <v>69</v>
      </c>
      <c r="O165" s="10" t="s">
        <v>65</v>
      </c>
      <c r="P165" s="10" t="s">
        <v>70</v>
      </c>
      <c r="Q165" s="8">
        <v>0.37</v>
      </c>
      <c r="R165" s="8" t="s">
        <v>71</v>
      </c>
      <c r="S165" s="30">
        <v>9.9</v>
      </c>
      <c r="T165" s="79">
        <f t="shared" si="52"/>
        <v>7.697705400000001E-3</v>
      </c>
      <c r="U165" s="22">
        <v>8</v>
      </c>
      <c r="V165" s="22">
        <v>60</v>
      </c>
      <c r="W165" s="10">
        <f t="shared" si="53"/>
        <v>1.0471975511965976</v>
      </c>
      <c r="X165" s="22">
        <v>6</v>
      </c>
      <c r="Y165" s="22">
        <v>12</v>
      </c>
      <c r="Z165" s="10">
        <f t="shared" si="54"/>
        <v>0.20943951023931956</v>
      </c>
      <c r="AA165" s="10">
        <f t="shared" si="55"/>
        <v>8.1756733751820647</v>
      </c>
      <c r="AB165" s="10">
        <f t="shared" si="56"/>
        <v>16.350748124152179</v>
      </c>
      <c r="AC165" s="10">
        <f t="shared" si="45"/>
        <v>2.0438435155190224</v>
      </c>
      <c r="AD165" s="10">
        <f t="shared" si="49"/>
        <v>8.1753740620760897</v>
      </c>
      <c r="AE165" s="65"/>
      <c r="AF165" s="10">
        <f t="shared" si="50"/>
        <v>21.228089615134039</v>
      </c>
      <c r="AG165" s="8">
        <f t="shared" si="46"/>
        <v>4.1394774749511374</v>
      </c>
      <c r="AH165" s="10">
        <f t="shared" si="47"/>
        <v>10.614044807567019</v>
      </c>
      <c r="AI165" s="63"/>
      <c r="AJ165" s="10">
        <f t="shared" si="51"/>
        <v>24.989699999999985</v>
      </c>
      <c r="AK165" s="8"/>
      <c r="AL165" s="8">
        <f t="shared" si="48"/>
        <v>12.494849999999992</v>
      </c>
    </row>
    <row r="166" spans="1:38">
      <c r="A166" s="18">
        <v>41481</v>
      </c>
      <c r="B166" s="19" t="s">
        <v>141</v>
      </c>
      <c r="C166" s="12">
        <v>50.4</v>
      </c>
      <c r="D166" s="19" t="s">
        <v>80</v>
      </c>
      <c r="E166" s="8">
        <v>8.4083100000000002</v>
      </c>
      <c r="F166" s="8">
        <v>83.31147</v>
      </c>
      <c r="G166" s="22">
        <v>50</v>
      </c>
      <c r="H166" s="22">
        <v>-10</v>
      </c>
      <c r="I166" s="10">
        <f t="shared" si="42"/>
        <v>-9.9666444232592379</v>
      </c>
      <c r="J166" s="10">
        <f t="shared" si="43"/>
        <v>-0.17395076056140502</v>
      </c>
      <c r="K166" s="10">
        <f t="shared" si="44"/>
        <v>21.321773754370099</v>
      </c>
      <c r="L166" s="22">
        <v>1019</v>
      </c>
      <c r="M166" s="22" t="s">
        <v>107</v>
      </c>
      <c r="N166" s="22" t="s">
        <v>63</v>
      </c>
      <c r="O166" s="10" t="s">
        <v>108</v>
      </c>
      <c r="P166" s="15" t="s">
        <v>92</v>
      </c>
      <c r="Q166" s="8">
        <v>0.57999999999999996</v>
      </c>
      <c r="R166" s="22" t="s">
        <v>190</v>
      </c>
      <c r="S166" s="30">
        <v>10.6</v>
      </c>
      <c r="T166" s="79">
        <f t="shared" si="52"/>
        <v>8.8247544000000008E-3</v>
      </c>
      <c r="U166" s="22">
        <v>10</v>
      </c>
      <c r="V166" s="22">
        <v>67</v>
      </c>
      <c r="W166" s="10">
        <f t="shared" si="53"/>
        <v>1.1693705988362009</v>
      </c>
      <c r="X166" s="22">
        <v>7</v>
      </c>
      <c r="Y166" s="22">
        <v>10</v>
      </c>
      <c r="Z166" s="10">
        <f t="shared" si="54"/>
        <v>0.17453292519943295</v>
      </c>
      <c r="AA166" s="10">
        <f t="shared" si="55"/>
        <v>10.420585778192915</v>
      </c>
      <c r="AB166" s="10">
        <f t="shared" si="56"/>
        <v>35.635074149900539</v>
      </c>
      <c r="AC166" s="10">
        <f t="shared" si="45"/>
        <v>4.4543842687375674</v>
      </c>
      <c r="AD166" s="10">
        <f t="shared" si="49"/>
        <v>17.81753707495027</v>
      </c>
      <c r="AE166" s="65"/>
      <c r="AF166" s="10">
        <f t="shared" si="50"/>
        <v>39.43882684557483</v>
      </c>
      <c r="AG166" s="8">
        <f t="shared" si="46"/>
        <v>7.6905712348870923</v>
      </c>
      <c r="AH166" s="10">
        <f t="shared" si="47"/>
        <v>19.719413422787415</v>
      </c>
      <c r="AI166" s="63"/>
      <c r="AJ166" s="10">
        <f t="shared" si="51"/>
        <v>30.741599999999991</v>
      </c>
      <c r="AK166" s="8"/>
      <c r="AL166" s="8">
        <f t="shared" si="48"/>
        <v>15.370799999999996</v>
      </c>
    </row>
    <row r="167" spans="1:38">
      <c r="A167" s="18">
        <v>41481</v>
      </c>
      <c r="B167" s="19" t="s">
        <v>141</v>
      </c>
      <c r="C167" s="12">
        <v>50.4</v>
      </c>
      <c r="D167" s="19" t="s">
        <v>80</v>
      </c>
      <c r="E167" s="8">
        <v>8.4083100000000002</v>
      </c>
      <c r="F167" s="8">
        <v>83.31147</v>
      </c>
      <c r="G167" s="22">
        <v>50</v>
      </c>
      <c r="H167" s="22">
        <v>-10</v>
      </c>
      <c r="I167" s="10">
        <f t="shared" si="42"/>
        <v>-9.9666444232592379</v>
      </c>
      <c r="J167" s="10">
        <f t="shared" si="43"/>
        <v>-0.17395076056140502</v>
      </c>
      <c r="K167" s="10">
        <f t="shared" si="44"/>
        <v>21.321773754370099</v>
      </c>
      <c r="L167" s="22">
        <v>974</v>
      </c>
      <c r="M167" s="22" t="s">
        <v>126</v>
      </c>
      <c r="N167" s="22" t="s">
        <v>180</v>
      </c>
      <c r="O167" s="50" t="s">
        <v>216</v>
      </c>
      <c r="P167" s="51" t="s">
        <v>92</v>
      </c>
      <c r="Q167" s="8">
        <v>0.68</v>
      </c>
      <c r="R167" s="22" t="s">
        <v>190</v>
      </c>
      <c r="S167" s="30">
        <v>5.6</v>
      </c>
      <c r="T167" s="79">
        <f t="shared" si="52"/>
        <v>2.4630143999999996E-3</v>
      </c>
      <c r="U167" s="22">
        <v>5</v>
      </c>
      <c r="V167" s="22">
        <v>52</v>
      </c>
      <c r="W167" s="10">
        <f t="shared" si="53"/>
        <v>0.90757121103705141</v>
      </c>
      <c r="X167" s="22">
        <v>6</v>
      </c>
      <c r="Y167" s="22">
        <v>10</v>
      </c>
      <c r="Z167" s="10">
        <f t="shared" si="54"/>
        <v>0.17453292519943295</v>
      </c>
      <c r="AA167" s="10">
        <f t="shared" si="55"/>
        <v>4.9819428340351921</v>
      </c>
      <c r="AB167" s="10">
        <f t="shared" si="56"/>
        <v>6.2311528618360645</v>
      </c>
      <c r="AC167" s="10">
        <f t="shared" si="45"/>
        <v>0.77889410772950807</v>
      </c>
      <c r="AD167" s="10">
        <f t="shared" si="49"/>
        <v>3.1155764309180323</v>
      </c>
      <c r="AE167" s="65"/>
      <c r="AF167" s="10">
        <f t="shared" si="50"/>
        <v>9.5553321250330381</v>
      </c>
      <c r="AG167" s="8">
        <f t="shared" si="46"/>
        <v>1.8632897643814426</v>
      </c>
      <c r="AH167" s="10">
        <f t="shared" si="47"/>
        <v>4.777666062516519</v>
      </c>
      <c r="AI167" s="63"/>
      <c r="AJ167" s="10">
        <f t="shared" si="51"/>
        <v>5.5665999999999976</v>
      </c>
      <c r="AK167" s="8"/>
      <c r="AL167" s="8">
        <f t="shared" si="48"/>
        <v>2.7832999999999988</v>
      </c>
    </row>
    <row r="168" spans="1:38">
      <c r="A168" s="18">
        <v>41481</v>
      </c>
      <c r="B168" s="19" t="s">
        <v>141</v>
      </c>
      <c r="C168" s="12">
        <v>50.4</v>
      </c>
      <c r="D168" s="19" t="s">
        <v>80</v>
      </c>
      <c r="E168" s="8">
        <v>8.4083100000000002</v>
      </c>
      <c r="F168" s="8">
        <v>83.31147</v>
      </c>
      <c r="G168" s="22">
        <v>50</v>
      </c>
      <c r="H168" s="22">
        <v>-10</v>
      </c>
      <c r="I168" s="10">
        <f t="shared" si="42"/>
        <v>-9.9666444232592379</v>
      </c>
      <c r="J168" s="10">
        <f t="shared" si="43"/>
        <v>-0.17395076056140502</v>
      </c>
      <c r="K168" s="10">
        <f t="shared" si="44"/>
        <v>21.321773754370099</v>
      </c>
      <c r="L168" s="22">
        <v>930</v>
      </c>
      <c r="M168" s="22" t="s">
        <v>107</v>
      </c>
      <c r="N168" s="22" t="s">
        <v>63</v>
      </c>
      <c r="O168" s="10" t="s">
        <v>108</v>
      </c>
      <c r="P168" s="15" t="s">
        <v>92</v>
      </c>
      <c r="Q168" s="8">
        <v>0.57999999999999996</v>
      </c>
      <c r="R168" s="22" t="s">
        <v>190</v>
      </c>
      <c r="S168" s="30">
        <v>10.1</v>
      </c>
      <c r="T168" s="79">
        <f t="shared" si="52"/>
        <v>8.0118654000000001E-3</v>
      </c>
      <c r="U168" s="22">
        <v>8</v>
      </c>
      <c r="V168" s="22">
        <v>72</v>
      </c>
      <c r="W168" s="10">
        <f t="shared" si="53"/>
        <v>1.2566370614359172</v>
      </c>
      <c r="X168" s="22">
        <v>5</v>
      </c>
      <c r="Y168" s="22">
        <v>7</v>
      </c>
      <c r="Z168" s="10">
        <f t="shared" si="54"/>
        <v>0.12217304763960307</v>
      </c>
      <c r="AA168" s="10">
        <f t="shared" si="55"/>
        <v>8.2177988473869661</v>
      </c>
      <c r="AB168" s="10">
        <f t="shared" si="56"/>
        <v>26.030253289228753</v>
      </c>
      <c r="AC168" s="10">
        <f t="shared" si="45"/>
        <v>3.2537816611535941</v>
      </c>
      <c r="AD168" s="10">
        <f t="shared" si="49"/>
        <v>13.015126644614377</v>
      </c>
      <c r="AE168" s="65"/>
      <c r="AF168" s="10">
        <f t="shared" si="50"/>
        <v>34.973070967432839</v>
      </c>
      <c r="AG168" s="8">
        <f t="shared" si="46"/>
        <v>6.8197488386494038</v>
      </c>
      <c r="AH168" s="10">
        <f t="shared" si="47"/>
        <v>17.48653548371642</v>
      </c>
      <c r="AI168" s="63"/>
      <c r="AJ168" s="10">
        <f t="shared" si="51"/>
        <v>26.559099999999987</v>
      </c>
      <c r="AK168" s="8"/>
      <c r="AL168" s="8">
        <f t="shared" si="48"/>
        <v>13.279549999999993</v>
      </c>
    </row>
    <row r="169" spans="1:38">
      <c r="A169" s="18">
        <v>41481</v>
      </c>
      <c r="B169" s="19" t="s">
        <v>141</v>
      </c>
      <c r="C169" s="12">
        <v>50.4</v>
      </c>
      <c r="D169" s="19" t="s">
        <v>80</v>
      </c>
      <c r="E169" s="8">
        <v>8.4083100000000002</v>
      </c>
      <c r="F169" s="8">
        <v>83.31147</v>
      </c>
      <c r="G169" s="22">
        <v>50</v>
      </c>
      <c r="H169" s="22">
        <v>-10</v>
      </c>
      <c r="I169" s="10">
        <f t="shared" si="42"/>
        <v>-9.9666444232592379</v>
      </c>
      <c r="J169" s="10">
        <f t="shared" si="43"/>
        <v>-0.17395076056140502</v>
      </c>
      <c r="K169" s="10">
        <f t="shared" si="44"/>
        <v>21.321773754370099</v>
      </c>
      <c r="L169" s="22">
        <v>975</v>
      </c>
      <c r="M169" s="22" t="s">
        <v>54</v>
      </c>
      <c r="N169" s="8" t="s">
        <v>55</v>
      </c>
      <c r="O169" s="10" t="s">
        <v>56</v>
      </c>
      <c r="P169" s="10" t="s">
        <v>57</v>
      </c>
      <c r="Q169" s="11">
        <v>0.315</v>
      </c>
      <c r="R169" s="12" t="s">
        <v>66</v>
      </c>
      <c r="S169" s="30">
        <v>19.100000000000001</v>
      </c>
      <c r="T169" s="79">
        <f t="shared" si="52"/>
        <v>2.8652177400000006E-2</v>
      </c>
      <c r="U169" s="22">
        <v>17</v>
      </c>
      <c r="V169" s="22">
        <v>64</v>
      </c>
      <c r="W169" s="10">
        <f t="shared" si="53"/>
        <v>1.1170107212763709</v>
      </c>
      <c r="X169" s="22">
        <v>7</v>
      </c>
      <c r="Y169" s="22">
        <v>2</v>
      </c>
      <c r="Z169" s="10">
        <f t="shared" si="54"/>
        <v>3.4906585039886591E-2</v>
      </c>
      <c r="AA169" s="10">
        <f t="shared" si="55"/>
        <v>15.523795264003347</v>
      </c>
      <c r="AB169" s="10">
        <f t="shared" si="56"/>
        <v>88.339391671017609</v>
      </c>
      <c r="AC169" s="10">
        <f t="shared" si="45"/>
        <v>11.042423958877201</v>
      </c>
      <c r="AD169" s="10">
        <f t="shared" si="49"/>
        <v>44.169695835508804</v>
      </c>
      <c r="AE169" s="65"/>
      <c r="AF169" s="10">
        <f t="shared" si="50"/>
        <v>92.394922807908287</v>
      </c>
      <c r="AG169" s="8">
        <f t="shared" si="46"/>
        <v>18.017009947542117</v>
      </c>
      <c r="AH169" s="10">
        <f t="shared" si="47"/>
        <v>46.197461403954144</v>
      </c>
      <c r="AI169" s="63"/>
      <c r="AJ169" s="10">
        <f t="shared" si="51"/>
        <v>158.45410000000001</v>
      </c>
      <c r="AK169" s="8"/>
      <c r="AL169" s="8">
        <f t="shared" si="48"/>
        <v>79.227050000000006</v>
      </c>
    </row>
    <row r="170" spans="1:38">
      <c r="A170" s="18">
        <v>41481</v>
      </c>
      <c r="B170" s="19" t="s">
        <v>141</v>
      </c>
      <c r="C170" s="12">
        <v>50.4</v>
      </c>
      <c r="D170" s="19" t="s">
        <v>80</v>
      </c>
      <c r="E170" s="8">
        <v>8.4083100000000002</v>
      </c>
      <c r="F170" s="8">
        <v>83.31147</v>
      </c>
      <c r="G170" s="22">
        <v>50</v>
      </c>
      <c r="H170" s="22">
        <v>-10</v>
      </c>
      <c r="I170" s="10">
        <f t="shared" si="42"/>
        <v>-9.9666444232592379</v>
      </c>
      <c r="J170" s="10">
        <f t="shared" si="43"/>
        <v>-0.17395076056140502</v>
      </c>
      <c r="K170" s="10">
        <f t="shared" si="44"/>
        <v>21.321773754370099</v>
      </c>
      <c r="L170" s="22">
        <v>976</v>
      </c>
      <c r="M170" s="22" t="s">
        <v>54</v>
      </c>
      <c r="N170" s="8" t="s">
        <v>55</v>
      </c>
      <c r="O170" s="10" t="s">
        <v>56</v>
      </c>
      <c r="P170" s="10" t="s">
        <v>57</v>
      </c>
      <c r="Q170" s="11">
        <v>0.315</v>
      </c>
      <c r="R170" s="12" t="s">
        <v>66</v>
      </c>
      <c r="S170" s="30">
        <v>36.6</v>
      </c>
      <c r="T170" s="79">
        <f t="shared" si="52"/>
        <v>0.10520904240000002</v>
      </c>
      <c r="U170" s="22">
        <v>22</v>
      </c>
      <c r="V170" s="22">
        <v>75</v>
      </c>
      <c r="W170" s="10">
        <f t="shared" si="53"/>
        <v>1.3089969389957472</v>
      </c>
      <c r="X170" s="22">
        <v>7</v>
      </c>
      <c r="Y170" s="22">
        <v>15</v>
      </c>
      <c r="Z170" s="10">
        <f t="shared" si="54"/>
        <v>0.26179938779914941</v>
      </c>
      <c r="AA170" s="10">
        <f t="shared" si="55"/>
        <v>23.062101494077147</v>
      </c>
      <c r="AB170" s="10">
        <f t="shared" si="56"/>
        <v>435.25425829073822</v>
      </c>
      <c r="AC170" s="10">
        <f t="shared" si="45"/>
        <v>54.406782286342278</v>
      </c>
      <c r="AD170" s="10">
        <f t="shared" si="49"/>
        <v>217.62712914536911</v>
      </c>
      <c r="AE170" s="65"/>
      <c r="AF170" s="10">
        <f t="shared" si="50"/>
        <v>448.3698586390588</v>
      </c>
      <c r="AG170" s="8">
        <f t="shared" si="46"/>
        <v>87.432122434616474</v>
      </c>
      <c r="AH170" s="10">
        <f t="shared" si="47"/>
        <v>224.1849293195294</v>
      </c>
      <c r="AI170" s="63"/>
      <c r="AJ170" s="10">
        <f t="shared" si="51"/>
        <v>758.09160000000008</v>
      </c>
      <c r="AK170" s="8"/>
      <c r="AL170" s="8">
        <f t="shared" si="48"/>
        <v>379.04580000000004</v>
      </c>
    </row>
    <row r="171" spans="1:38">
      <c r="A171" s="18">
        <v>41481</v>
      </c>
      <c r="B171" s="19" t="s">
        <v>141</v>
      </c>
      <c r="C171" s="12">
        <v>50.4</v>
      </c>
      <c r="D171" s="19" t="s">
        <v>80</v>
      </c>
      <c r="E171" s="8">
        <v>8.4083100000000002</v>
      </c>
      <c r="F171" s="8">
        <v>83.31147</v>
      </c>
      <c r="G171" s="22">
        <v>50</v>
      </c>
      <c r="H171" s="22">
        <v>-10</v>
      </c>
      <c r="I171" s="10">
        <f t="shared" si="42"/>
        <v>-9.9666444232592379</v>
      </c>
      <c r="J171" s="10">
        <f t="shared" si="43"/>
        <v>-0.17395076056140502</v>
      </c>
      <c r="K171" s="10">
        <f t="shared" si="44"/>
        <v>21.321773754370099</v>
      </c>
      <c r="L171" s="22">
        <v>917</v>
      </c>
      <c r="M171" s="31" t="s">
        <v>222</v>
      </c>
      <c r="N171" s="22" t="s">
        <v>171</v>
      </c>
      <c r="O171" s="50" t="s">
        <v>172</v>
      </c>
      <c r="P171" s="50" t="s">
        <v>173</v>
      </c>
      <c r="Q171" s="23">
        <v>0.24</v>
      </c>
      <c r="R171" s="22" t="s">
        <v>174</v>
      </c>
      <c r="S171" s="30">
        <v>13.1</v>
      </c>
      <c r="T171" s="79">
        <f t="shared" si="52"/>
        <v>1.34782494E-2</v>
      </c>
      <c r="U171" s="22">
        <v>8</v>
      </c>
      <c r="V171" s="22">
        <v>43</v>
      </c>
      <c r="W171" s="10">
        <f t="shared" si="53"/>
        <v>0.75049157835756175</v>
      </c>
      <c r="X171" s="22">
        <v>8</v>
      </c>
      <c r="Y171" s="22">
        <v>14</v>
      </c>
      <c r="Z171" s="10">
        <f t="shared" si="54"/>
        <v>0.24434609527920614</v>
      </c>
      <c r="AA171" s="10">
        <f t="shared" si="55"/>
        <v>7.3913620452973294</v>
      </c>
      <c r="AB171" s="10">
        <f t="shared" si="56"/>
        <v>16.762212084288333</v>
      </c>
      <c r="AC171" s="10">
        <f t="shared" si="45"/>
        <v>2.0952765105360416</v>
      </c>
      <c r="AD171" s="10">
        <f t="shared" si="49"/>
        <v>8.3811060421441663</v>
      </c>
      <c r="AE171" s="65"/>
      <c r="AF171" s="10">
        <f t="shared" si="50"/>
        <v>27.638477648215581</v>
      </c>
      <c r="AG171" s="8">
        <f t="shared" si="46"/>
        <v>5.389503141402038</v>
      </c>
      <c r="AH171" s="10">
        <f t="shared" si="47"/>
        <v>13.81923882410779</v>
      </c>
      <c r="AI171" s="63"/>
      <c r="AJ171" s="10">
        <f t="shared" si="51"/>
        <v>57.204099999999983</v>
      </c>
      <c r="AK171" s="8"/>
      <c r="AL171" s="8">
        <f t="shared" si="48"/>
        <v>28.602049999999991</v>
      </c>
    </row>
    <row r="172" spans="1:38">
      <c r="A172" s="18">
        <v>41481</v>
      </c>
      <c r="B172" s="19" t="s">
        <v>141</v>
      </c>
      <c r="C172" s="12">
        <v>50.4</v>
      </c>
      <c r="D172" s="19" t="s">
        <v>80</v>
      </c>
      <c r="E172" s="8">
        <v>8.4083100000000002</v>
      </c>
      <c r="F172" s="8">
        <v>83.31147</v>
      </c>
      <c r="G172" s="22">
        <v>50</v>
      </c>
      <c r="H172" s="22">
        <v>-10</v>
      </c>
      <c r="I172" s="10">
        <f t="shared" si="42"/>
        <v>-9.9666444232592379</v>
      </c>
      <c r="J172" s="10">
        <f t="shared" si="43"/>
        <v>-0.17395076056140502</v>
      </c>
      <c r="K172" s="10">
        <f t="shared" si="44"/>
        <v>21.321773754370099</v>
      </c>
      <c r="L172" s="22">
        <v>907</v>
      </c>
      <c r="M172" s="22" t="s">
        <v>36</v>
      </c>
      <c r="N172" s="8" t="s">
        <v>46</v>
      </c>
      <c r="O172" s="10" t="s">
        <v>37</v>
      </c>
      <c r="P172" s="10" t="s">
        <v>38</v>
      </c>
      <c r="Q172" s="11">
        <v>0.48</v>
      </c>
      <c r="R172" s="8" t="s">
        <v>60</v>
      </c>
      <c r="S172" s="30">
        <v>18.5</v>
      </c>
      <c r="T172" s="79">
        <f t="shared" si="52"/>
        <v>2.6880315000000002E-2</v>
      </c>
      <c r="U172" s="22">
        <v>8</v>
      </c>
      <c r="V172" s="22">
        <v>42</v>
      </c>
      <c r="W172" s="10">
        <f t="shared" si="53"/>
        <v>0.73303828583761843</v>
      </c>
      <c r="X172" s="22">
        <v>7</v>
      </c>
      <c r="Y172" s="22">
        <v>18</v>
      </c>
      <c r="Z172" s="10">
        <f t="shared" si="54"/>
        <v>0.31415926535897931</v>
      </c>
      <c r="AA172" s="10">
        <f t="shared" si="55"/>
        <v>7.5161638114954972</v>
      </c>
      <c r="AB172" s="10">
        <f t="shared" si="56"/>
        <v>62.509754947260234</v>
      </c>
      <c r="AC172" s="10">
        <f t="shared" si="45"/>
        <v>7.8137193684075292</v>
      </c>
      <c r="AD172" s="10">
        <f t="shared" si="49"/>
        <v>31.254877473630117</v>
      </c>
      <c r="AE172" s="65"/>
      <c r="AF172" s="10">
        <f t="shared" si="50"/>
        <v>130.12307497611366</v>
      </c>
      <c r="AG172" s="8">
        <f t="shared" si="46"/>
        <v>25.373999620342165</v>
      </c>
      <c r="AH172" s="10">
        <f t="shared" si="47"/>
        <v>65.061537488056828</v>
      </c>
      <c r="AI172" s="63"/>
      <c r="AJ172" s="10">
        <f t="shared" si="51"/>
        <v>145.93149999999997</v>
      </c>
      <c r="AK172" s="8"/>
      <c r="AL172" s="8">
        <f t="shared" si="48"/>
        <v>72.965749999999986</v>
      </c>
    </row>
    <row r="173" spans="1:38">
      <c r="A173" s="18">
        <v>41481</v>
      </c>
      <c r="B173" s="19" t="s">
        <v>141</v>
      </c>
      <c r="C173" s="12">
        <v>50.4</v>
      </c>
      <c r="D173" s="19" t="s">
        <v>80</v>
      </c>
      <c r="E173" s="8">
        <v>8.4083100000000002</v>
      </c>
      <c r="F173" s="8">
        <v>83.31147</v>
      </c>
      <c r="G173" s="22">
        <v>50</v>
      </c>
      <c r="H173" s="22">
        <v>-10</v>
      </c>
      <c r="I173" s="10">
        <f t="shared" si="42"/>
        <v>-9.9666444232592379</v>
      </c>
      <c r="J173" s="10">
        <f t="shared" si="43"/>
        <v>-0.17395076056140502</v>
      </c>
      <c r="K173" s="10">
        <f t="shared" si="44"/>
        <v>21.321773754370099</v>
      </c>
      <c r="L173" s="22">
        <v>994</v>
      </c>
      <c r="M173" s="22" t="s">
        <v>36</v>
      </c>
      <c r="N173" s="8" t="s">
        <v>46</v>
      </c>
      <c r="O173" s="10" t="s">
        <v>37</v>
      </c>
      <c r="P173" s="10" t="s">
        <v>38</v>
      </c>
      <c r="Q173" s="11">
        <v>0.48</v>
      </c>
      <c r="R173" s="8" t="s">
        <v>60</v>
      </c>
      <c r="S173" s="30">
        <v>20.8</v>
      </c>
      <c r="T173" s="79">
        <f t="shared" si="52"/>
        <v>3.3979545600000008E-2</v>
      </c>
      <c r="U173" s="22">
        <v>11</v>
      </c>
      <c r="V173" s="22">
        <v>54</v>
      </c>
      <c r="W173" s="10">
        <f t="shared" si="53"/>
        <v>0.94247779607693793</v>
      </c>
      <c r="X173" s="22">
        <v>8</v>
      </c>
      <c r="Y173" s="22">
        <v>16</v>
      </c>
      <c r="Z173" s="10">
        <f t="shared" si="54"/>
        <v>0.27925268031909273</v>
      </c>
      <c r="AA173" s="10">
        <f t="shared" si="55"/>
        <v>11.104285784660416</v>
      </c>
      <c r="AB173" s="10">
        <f t="shared" si="56"/>
        <v>112.44722615460375</v>
      </c>
      <c r="AC173" s="10">
        <f t="shared" si="45"/>
        <v>14.055903269325469</v>
      </c>
      <c r="AD173" s="10">
        <f t="shared" si="49"/>
        <v>56.223613077301877</v>
      </c>
      <c r="AE173" s="65"/>
      <c r="AF173" s="10">
        <f t="shared" si="50"/>
        <v>173.7075678121503</v>
      </c>
      <c r="AG173" s="8">
        <f t="shared" si="46"/>
        <v>33.872975723369308</v>
      </c>
      <c r="AH173" s="10">
        <f t="shared" si="47"/>
        <v>86.853783906075151</v>
      </c>
      <c r="AI173" s="63"/>
      <c r="AJ173" s="10">
        <f t="shared" si="51"/>
        <v>196.82820000000004</v>
      </c>
      <c r="AK173" s="8"/>
      <c r="AL173" s="8">
        <f t="shared" si="48"/>
        <v>98.414100000000019</v>
      </c>
    </row>
    <row r="174" spans="1:38">
      <c r="A174" s="18">
        <v>41481</v>
      </c>
      <c r="B174" s="19" t="s">
        <v>141</v>
      </c>
      <c r="C174" s="12">
        <v>50.4</v>
      </c>
      <c r="D174" s="19" t="s">
        <v>80</v>
      </c>
      <c r="E174" s="8">
        <v>8.4083100000000002</v>
      </c>
      <c r="F174" s="8">
        <v>83.31147</v>
      </c>
      <c r="G174" s="22">
        <v>50</v>
      </c>
      <c r="H174" s="22">
        <v>-10</v>
      </c>
      <c r="I174" s="10">
        <f t="shared" si="42"/>
        <v>-9.9666444232592379</v>
      </c>
      <c r="J174" s="10">
        <f t="shared" si="43"/>
        <v>-0.17395076056140502</v>
      </c>
      <c r="K174" s="10">
        <f t="shared" si="44"/>
        <v>21.321773754370099</v>
      </c>
      <c r="L174" s="22">
        <v>873</v>
      </c>
      <c r="M174" s="22" t="s">
        <v>36</v>
      </c>
      <c r="N174" s="8" t="s">
        <v>46</v>
      </c>
      <c r="O174" s="10" t="s">
        <v>37</v>
      </c>
      <c r="P174" s="10" t="s">
        <v>38</v>
      </c>
      <c r="Q174" s="11">
        <v>0.48</v>
      </c>
      <c r="R174" s="8" t="s">
        <v>60</v>
      </c>
      <c r="S174" s="30">
        <v>28</v>
      </c>
      <c r="T174" s="79">
        <f t="shared" si="52"/>
        <v>6.1575360000000003E-2</v>
      </c>
      <c r="U174" s="22">
        <v>11</v>
      </c>
      <c r="V174" s="22">
        <v>48</v>
      </c>
      <c r="W174" s="10">
        <f t="shared" si="53"/>
        <v>0.83775804095727824</v>
      </c>
      <c r="X174" s="22">
        <v>9</v>
      </c>
      <c r="Y174" s="22">
        <v>15</v>
      </c>
      <c r="Z174" s="10">
        <f t="shared" si="54"/>
        <v>0.26179938779914941</v>
      </c>
      <c r="AA174" s="10">
        <f t="shared" si="55"/>
        <v>10.503964486174024</v>
      </c>
      <c r="AB174" s="10">
        <f t="shared" si="56"/>
        <v>186.61976291958965</v>
      </c>
      <c r="AC174" s="10">
        <f t="shared" si="45"/>
        <v>23.327470364948706</v>
      </c>
      <c r="AD174" s="10">
        <f t="shared" si="49"/>
        <v>93.309881459794823</v>
      </c>
      <c r="AE174" s="65"/>
      <c r="AF174" s="10">
        <f t="shared" si="50"/>
        <v>359.08332877700337</v>
      </c>
      <c r="AG174" s="8">
        <f t="shared" si="46"/>
        <v>70.021249111515658</v>
      </c>
      <c r="AH174" s="10">
        <f t="shared" si="47"/>
        <v>179.54166438850169</v>
      </c>
      <c r="AI174" s="63"/>
      <c r="AJ174" s="10">
        <f t="shared" si="51"/>
        <v>406.77299999999997</v>
      </c>
      <c r="AK174" s="8"/>
      <c r="AL174" s="8">
        <f t="shared" si="48"/>
        <v>203.38649999999998</v>
      </c>
    </row>
    <row r="175" spans="1:38">
      <c r="A175" s="18">
        <v>41481</v>
      </c>
      <c r="B175" s="19" t="s">
        <v>141</v>
      </c>
      <c r="C175" s="12">
        <v>50.4</v>
      </c>
      <c r="D175" s="19" t="s">
        <v>80</v>
      </c>
      <c r="E175" s="8">
        <v>8.4083100000000002</v>
      </c>
      <c r="F175" s="8">
        <v>83.31147</v>
      </c>
      <c r="G175" s="22">
        <v>50</v>
      </c>
      <c r="H175" s="22">
        <v>-10</v>
      </c>
      <c r="I175" s="10">
        <f t="shared" si="42"/>
        <v>-9.9666444232592379</v>
      </c>
      <c r="J175" s="10">
        <f t="shared" si="43"/>
        <v>-0.17395076056140502</v>
      </c>
      <c r="K175" s="10">
        <f t="shared" si="44"/>
        <v>21.321773754370099</v>
      </c>
      <c r="L175" s="22">
        <v>969</v>
      </c>
      <c r="M175" s="22" t="s">
        <v>201</v>
      </c>
      <c r="N175" s="8" t="s">
        <v>198</v>
      </c>
      <c r="O175" s="10" t="s">
        <v>99</v>
      </c>
      <c r="P175" s="10" t="s">
        <v>99</v>
      </c>
      <c r="Q175" s="24">
        <v>0.59</v>
      </c>
      <c r="R175" s="22" t="s">
        <v>190</v>
      </c>
      <c r="S175" s="30">
        <v>9</v>
      </c>
      <c r="T175" s="79">
        <f t="shared" si="52"/>
        <v>6.3617400000000003E-3</v>
      </c>
      <c r="U175" s="22">
        <v>10</v>
      </c>
      <c r="V175" s="22">
        <v>38</v>
      </c>
      <c r="W175" s="10">
        <f t="shared" si="53"/>
        <v>0.66322511575784526</v>
      </c>
      <c r="X175" s="22">
        <v>9</v>
      </c>
      <c r="Y175" s="22">
        <v>17</v>
      </c>
      <c r="Z175" s="10">
        <f t="shared" si="54"/>
        <v>0.29670597283903605</v>
      </c>
      <c r="AA175" s="10">
        <f t="shared" si="55"/>
        <v>8.7879600957612141</v>
      </c>
      <c r="AB175" s="10">
        <f t="shared" si="56"/>
        <v>22.682625455047756</v>
      </c>
      <c r="AC175" s="10">
        <f t="shared" si="45"/>
        <v>2.8353281818809695</v>
      </c>
      <c r="AD175" s="10">
        <f t="shared" si="49"/>
        <v>11.341312727523878</v>
      </c>
      <c r="AE175" s="65"/>
      <c r="AF175" s="10">
        <f t="shared" si="50"/>
        <v>26.712933219105807</v>
      </c>
      <c r="AG175" s="8">
        <f t="shared" si="46"/>
        <v>5.2090219777256328</v>
      </c>
      <c r="AH175" s="10">
        <f t="shared" si="47"/>
        <v>13.356466609552903</v>
      </c>
      <c r="AI175" s="63"/>
      <c r="AJ175" s="10">
        <f t="shared" si="51"/>
        <v>18.659999999999997</v>
      </c>
      <c r="AK175" s="8"/>
      <c r="AL175" s="8">
        <f t="shared" si="48"/>
        <v>9.3299999999999983</v>
      </c>
    </row>
    <row r="176" spans="1:38">
      <c r="A176" s="18">
        <v>41481</v>
      </c>
      <c r="B176" s="19" t="s">
        <v>141</v>
      </c>
      <c r="C176" s="12">
        <v>50.4</v>
      </c>
      <c r="D176" s="19" t="s">
        <v>80</v>
      </c>
      <c r="E176" s="8">
        <v>8.4083100000000002</v>
      </c>
      <c r="F176" s="8">
        <v>83.31147</v>
      </c>
      <c r="G176" s="22">
        <v>50</v>
      </c>
      <c r="H176" s="22">
        <v>-10</v>
      </c>
      <c r="I176" s="10">
        <f t="shared" si="42"/>
        <v>-9.9666444232592379</v>
      </c>
      <c r="J176" s="10">
        <f t="shared" si="43"/>
        <v>-0.17395076056140502</v>
      </c>
      <c r="K176" s="10">
        <f t="shared" si="44"/>
        <v>21.321773754370099</v>
      </c>
      <c r="L176" s="22">
        <v>863</v>
      </c>
      <c r="M176" s="22" t="s">
        <v>36</v>
      </c>
      <c r="N176" s="8" t="s">
        <v>46</v>
      </c>
      <c r="O176" s="10" t="s">
        <v>37</v>
      </c>
      <c r="P176" s="10" t="s">
        <v>38</v>
      </c>
      <c r="Q176" s="11">
        <v>0.48</v>
      </c>
      <c r="R176" s="8" t="s">
        <v>60</v>
      </c>
      <c r="S176" s="30">
        <v>12.2</v>
      </c>
      <c r="T176" s="79">
        <f t="shared" si="52"/>
        <v>1.1689893599999999E-2</v>
      </c>
      <c r="U176" s="22">
        <v>8</v>
      </c>
      <c r="V176" s="22">
        <v>40</v>
      </c>
      <c r="W176" s="10">
        <f t="shared" si="53"/>
        <v>0.69813170079773179</v>
      </c>
      <c r="X176" s="22">
        <v>5</v>
      </c>
      <c r="Y176" s="22">
        <v>24</v>
      </c>
      <c r="Z176" s="10">
        <f t="shared" si="54"/>
        <v>0.41887902047863912</v>
      </c>
      <c r="AA176" s="10">
        <f t="shared" si="55"/>
        <v>7.1759840928713157</v>
      </c>
      <c r="AB176" s="10">
        <f t="shared" si="56"/>
        <v>27.359839498669345</v>
      </c>
      <c r="AC176" s="10">
        <f t="shared" si="45"/>
        <v>3.4199799373336681</v>
      </c>
      <c r="AD176" s="10">
        <f t="shared" si="49"/>
        <v>13.679919749334672</v>
      </c>
      <c r="AE176" s="65"/>
      <c r="AF176" s="10">
        <f t="shared" si="50"/>
        <v>46.306907708201926</v>
      </c>
      <c r="AG176" s="8">
        <f t="shared" si="46"/>
        <v>9.0298470030993752</v>
      </c>
      <c r="AH176" s="10">
        <f t="shared" si="47"/>
        <v>23.153453854100963</v>
      </c>
      <c r="AI176" s="63"/>
      <c r="AJ176" s="10">
        <f t="shared" si="51"/>
        <v>46.611999999999981</v>
      </c>
      <c r="AK176" s="8"/>
      <c r="AL176" s="8">
        <f t="shared" si="48"/>
        <v>23.30599999999999</v>
      </c>
    </row>
    <row r="177" spans="1:38">
      <c r="A177" s="18">
        <v>41481</v>
      </c>
      <c r="B177" s="19" t="s">
        <v>141</v>
      </c>
      <c r="C177" s="12">
        <v>50.4</v>
      </c>
      <c r="D177" s="19" t="s">
        <v>80</v>
      </c>
      <c r="E177" s="8">
        <v>8.4083100000000002</v>
      </c>
      <c r="F177" s="8">
        <v>83.31147</v>
      </c>
      <c r="G177" s="22">
        <v>50</v>
      </c>
      <c r="H177" s="22">
        <v>-10</v>
      </c>
      <c r="I177" s="10">
        <f t="shared" si="42"/>
        <v>-9.9666444232592379</v>
      </c>
      <c r="J177" s="10">
        <f t="shared" si="43"/>
        <v>-0.17395076056140502</v>
      </c>
      <c r="K177" s="10">
        <f t="shared" si="44"/>
        <v>21.321773754370099</v>
      </c>
      <c r="L177" s="22">
        <v>967</v>
      </c>
      <c r="M177" s="22" t="s">
        <v>252</v>
      </c>
      <c r="N177" s="8" t="s">
        <v>198</v>
      </c>
      <c r="O177" s="10" t="s">
        <v>226</v>
      </c>
      <c r="P177" s="10" t="s">
        <v>227</v>
      </c>
      <c r="Q177" s="22">
        <v>0.54</v>
      </c>
      <c r="R177" s="22" t="s">
        <v>190</v>
      </c>
      <c r="S177" s="30">
        <v>6</v>
      </c>
      <c r="T177" s="79">
        <f t="shared" si="52"/>
        <v>2.8274400000000001E-3</v>
      </c>
      <c r="U177" s="22">
        <v>7</v>
      </c>
      <c r="V177" s="22">
        <v>40</v>
      </c>
      <c r="W177" s="10">
        <f t="shared" si="53"/>
        <v>0.69813170079773179</v>
      </c>
      <c r="X177" s="22">
        <v>5</v>
      </c>
      <c r="Y177" s="22">
        <v>22</v>
      </c>
      <c r="Z177" s="10">
        <f t="shared" si="54"/>
        <v>0.38397243543875248</v>
      </c>
      <c r="AA177" s="10">
        <f t="shared" si="55"/>
        <v>6.3725462348853341</v>
      </c>
      <c r="AB177" s="10">
        <f t="shared" si="56"/>
        <v>7.1993024915701493</v>
      </c>
      <c r="AC177" s="10">
        <f t="shared" si="45"/>
        <v>0.89991281144626867</v>
      </c>
      <c r="AD177" s="10">
        <f t="shared" si="49"/>
        <v>3.5996512457850747</v>
      </c>
      <c r="AE177" s="65"/>
      <c r="AF177" s="10">
        <f t="shared" si="50"/>
        <v>8.9837023610594713</v>
      </c>
      <c r="AG177" s="8">
        <f t="shared" si="46"/>
        <v>1.751821960406597</v>
      </c>
      <c r="AH177" s="10">
        <f t="shared" si="47"/>
        <v>4.4918511805297356</v>
      </c>
      <c r="AI177" s="63"/>
      <c r="AJ177" s="10">
        <f t="shared" si="51"/>
        <v>6.2189999999999976</v>
      </c>
      <c r="AK177" s="8"/>
      <c r="AL177" s="8">
        <f t="shared" si="48"/>
        <v>3.1094999999999988</v>
      </c>
    </row>
    <row r="178" spans="1:38">
      <c r="A178" s="18">
        <v>41481</v>
      </c>
      <c r="B178" s="19" t="s">
        <v>141</v>
      </c>
      <c r="C178" s="12">
        <v>50.4</v>
      </c>
      <c r="D178" s="19" t="s">
        <v>80</v>
      </c>
      <c r="E178" s="8">
        <v>8.4083100000000002</v>
      </c>
      <c r="F178" s="8">
        <v>83.31147</v>
      </c>
      <c r="G178" s="22">
        <v>50</v>
      </c>
      <c r="H178" s="22">
        <v>-10</v>
      </c>
      <c r="I178" s="10">
        <f t="shared" si="42"/>
        <v>-9.9666444232592379</v>
      </c>
      <c r="J178" s="10">
        <f t="shared" si="43"/>
        <v>-0.17395076056140502</v>
      </c>
      <c r="K178" s="10">
        <f t="shared" si="44"/>
        <v>21.321773754370099</v>
      </c>
      <c r="L178" s="22">
        <v>997</v>
      </c>
      <c r="M178" s="22" t="s">
        <v>252</v>
      </c>
      <c r="N178" s="8" t="s">
        <v>198</v>
      </c>
      <c r="O178" s="10" t="s">
        <v>226</v>
      </c>
      <c r="P178" s="10" t="s">
        <v>227</v>
      </c>
      <c r="Q178" s="22">
        <v>0.54</v>
      </c>
      <c r="R178" s="22" t="s">
        <v>190</v>
      </c>
      <c r="S178" s="30">
        <v>7.5</v>
      </c>
      <c r="T178" s="79">
        <f t="shared" si="52"/>
        <v>4.4178749999999999E-3</v>
      </c>
      <c r="U178" s="22">
        <v>8</v>
      </c>
      <c r="V178" s="22">
        <v>40</v>
      </c>
      <c r="W178" s="10">
        <f t="shared" si="53"/>
        <v>0.69813170079773179</v>
      </c>
      <c r="X178" s="22">
        <v>5</v>
      </c>
      <c r="Y178" s="22">
        <v>22</v>
      </c>
      <c r="Z178" s="10">
        <f t="shared" si="54"/>
        <v>0.38397243543875248</v>
      </c>
      <c r="AA178" s="10">
        <f t="shared" si="55"/>
        <v>7.0153338445718738</v>
      </c>
      <c r="AB178" s="10">
        <f t="shared" si="56"/>
        <v>11.987054312220339</v>
      </c>
      <c r="AC178" s="10">
        <f t="shared" si="45"/>
        <v>1.4983817890275424</v>
      </c>
      <c r="AD178" s="10">
        <f t="shared" si="49"/>
        <v>5.9935271561101695</v>
      </c>
      <c r="AE178" s="65"/>
      <c r="AF178" s="10">
        <f t="shared" si="50"/>
        <v>15.562196614167249</v>
      </c>
      <c r="AG178" s="8">
        <f t="shared" si="46"/>
        <v>3.0346283397626137</v>
      </c>
      <c r="AH178" s="10">
        <f t="shared" si="47"/>
        <v>7.7810983070836244</v>
      </c>
      <c r="AI178" s="63"/>
      <c r="AJ178" s="10">
        <f t="shared" si="51"/>
        <v>10.7745</v>
      </c>
      <c r="AK178" s="8"/>
      <c r="AL178" s="8">
        <f t="shared" si="48"/>
        <v>5.3872499999999999</v>
      </c>
    </row>
    <row r="179" spans="1:38">
      <c r="A179" s="18">
        <v>41481</v>
      </c>
      <c r="B179" s="19" t="s">
        <v>141</v>
      </c>
      <c r="C179" s="12">
        <v>50.4</v>
      </c>
      <c r="D179" s="19" t="s">
        <v>80</v>
      </c>
      <c r="E179" s="8">
        <v>8.4083100000000002</v>
      </c>
      <c r="F179" s="8">
        <v>83.31147</v>
      </c>
      <c r="G179" s="22">
        <v>50</v>
      </c>
      <c r="H179" s="22">
        <v>-10</v>
      </c>
      <c r="I179" s="10">
        <f t="shared" si="42"/>
        <v>-9.9666444232592379</v>
      </c>
      <c r="J179" s="10">
        <f t="shared" si="43"/>
        <v>-0.17395076056140502</v>
      </c>
      <c r="K179" s="10">
        <f t="shared" si="44"/>
        <v>21.321773754370099</v>
      </c>
      <c r="L179" s="22">
        <v>963</v>
      </c>
      <c r="M179" s="22" t="s">
        <v>161</v>
      </c>
      <c r="N179" s="7" t="s">
        <v>84</v>
      </c>
      <c r="O179" s="33" t="s">
        <v>85</v>
      </c>
      <c r="P179" s="53" t="s">
        <v>92</v>
      </c>
      <c r="Q179" s="7">
        <v>0.53</v>
      </c>
      <c r="R179" s="7" t="s">
        <v>190</v>
      </c>
      <c r="S179" s="30">
        <v>6.3</v>
      </c>
      <c r="T179" s="79">
        <f t="shared" si="52"/>
        <v>3.1172525999999998E-3</v>
      </c>
      <c r="U179" s="22">
        <v>10</v>
      </c>
      <c r="V179" s="22">
        <v>35</v>
      </c>
      <c r="W179" s="10">
        <f t="shared" si="53"/>
        <v>0.6108652381980153</v>
      </c>
      <c r="X179" s="22">
        <v>8</v>
      </c>
      <c r="Y179" s="22">
        <v>23</v>
      </c>
      <c r="Z179" s="10">
        <f t="shared" si="54"/>
        <v>0.4014257279586958</v>
      </c>
      <c r="AA179" s="10">
        <f t="shared" si="55"/>
        <v>8.8616133914246511</v>
      </c>
      <c r="AB179" s="10">
        <f t="shared" si="56"/>
        <v>10.570689172014308</v>
      </c>
      <c r="AC179" s="10">
        <f t="shared" si="45"/>
        <v>1.3213361465017885</v>
      </c>
      <c r="AD179" s="10">
        <f t="shared" si="49"/>
        <v>5.2853445860071542</v>
      </c>
      <c r="AE179" s="65"/>
      <c r="AF179" s="10">
        <f t="shared" si="50"/>
        <v>9.938757123616428</v>
      </c>
      <c r="AG179" s="8">
        <f t="shared" si="46"/>
        <v>1.9380576391052036</v>
      </c>
      <c r="AH179" s="10">
        <f t="shared" si="47"/>
        <v>4.969378561808214</v>
      </c>
      <c r="AI179" s="63"/>
      <c r="AJ179" s="10">
        <f t="shared" si="51"/>
        <v>6.8637000000000015</v>
      </c>
      <c r="AK179" s="8"/>
      <c r="AL179" s="8">
        <f t="shared" si="48"/>
        <v>3.4318500000000007</v>
      </c>
    </row>
    <row r="180" spans="1:38">
      <c r="A180" s="18">
        <v>41481</v>
      </c>
      <c r="B180" s="19" t="s">
        <v>141</v>
      </c>
      <c r="C180" s="12">
        <v>50.4</v>
      </c>
      <c r="D180" s="19" t="s">
        <v>80</v>
      </c>
      <c r="E180" s="8">
        <v>8.4083100000000002</v>
      </c>
      <c r="F180" s="8">
        <v>83.31147</v>
      </c>
      <c r="G180" s="22">
        <v>50</v>
      </c>
      <c r="H180" s="22">
        <v>-10</v>
      </c>
      <c r="I180" s="10">
        <f t="shared" si="42"/>
        <v>-9.9666444232592379</v>
      </c>
      <c r="J180" s="10">
        <f t="shared" si="43"/>
        <v>-0.17395076056140502</v>
      </c>
      <c r="K180" s="10">
        <f t="shared" si="44"/>
        <v>21.321773754370099</v>
      </c>
      <c r="L180" s="22">
        <v>834</v>
      </c>
      <c r="M180" s="22" t="s">
        <v>149</v>
      </c>
      <c r="N180" s="8" t="s">
        <v>167</v>
      </c>
      <c r="O180" s="10" t="s">
        <v>168</v>
      </c>
      <c r="P180" s="10" t="s">
        <v>169</v>
      </c>
      <c r="Q180" s="8">
        <v>0.41699999999999998</v>
      </c>
      <c r="R180" s="22" t="s">
        <v>170</v>
      </c>
      <c r="S180" s="30">
        <v>7.5</v>
      </c>
      <c r="T180" s="79">
        <f t="shared" si="52"/>
        <v>4.4178749999999999E-3</v>
      </c>
      <c r="U180" s="22">
        <v>10</v>
      </c>
      <c r="V180" s="22">
        <v>53</v>
      </c>
      <c r="W180" s="10">
        <f t="shared" si="53"/>
        <v>0.92502450355699462</v>
      </c>
      <c r="X180" s="22">
        <v>5</v>
      </c>
      <c r="Y180" s="22">
        <v>22</v>
      </c>
      <c r="Z180" s="10">
        <f t="shared" si="54"/>
        <v>0.38397243543875248</v>
      </c>
      <c r="AA180" s="10">
        <f t="shared" si="55"/>
        <v>9.859388067552489</v>
      </c>
      <c r="AB180" s="10">
        <f t="shared" si="56"/>
        <v>12.945646724671075</v>
      </c>
      <c r="AC180" s="10">
        <f t="shared" si="45"/>
        <v>1.6182058405838844</v>
      </c>
      <c r="AD180" s="10">
        <f t="shared" si="49"/>
        <v>6.4728233623355376</v>
      </c>
      <c r="AE180" s="65"/>
      <c r="AF180" s="10">
        <f t="shared" si="50"/>
        <v>12.017474052051375</v>
      </c>
      <c r="AG180" s="8">
        <f t="shared" si="46"/>
        <v>2.3434074401500182</v>
      </c>
      <c r="AH180" s="10">
        <f t="shared" si="47"/>
        <v>6.0087370260256874</v>
      </c>
      <c r="AI180" s="63"/>
      <c r="AJ180" s="10">
        <f t="shared" si="51"/>
        <v>10.7745</v>
      </c>
      <c r="AK180" s="8"/>
      <c r="AL180" s="8">
        <f t="shared" si="48"/>
        <v>5.3872499999999999</v>
      </c>
    </row>
    <row r="181" spans="1:38">
      <c r="A181" s="18">
        <v>41481</v>
      </c>
      <c r="B181" s="19" t="s">
        <v>141</v>
      </c>
      <c r="C181" s="12">
        <v>50.4</v>
      </c>
      <c r="D181" s="19" t="s">
        <v>80</v>
      </c>
      <c r="E181" s="8">
        <v>8.4083100000000002</v>
      </c>
      <c r="F181" s="8">
        <v>83.31147</v>
      </c>
      <c r="G181" s="22">
        <v>50</v>
      </c>
      <c r="H181" s="22">
        <v>-10</v>
      </c>
      <c r="I181" s="10">
        <f t="shared" si="42"/>
        <v>-9.9666444232592379</v>
      </c>
      <c r="J181" s="10">
        <f t="shared" si="43"/>
        <v>-0.17395076056140502</v>
      </c>
      <c r="K181" s="10">
        <f t="shared" si="44"/>
        <v>21.321773754370099</v>
      </c>
      <c r="L181" s="22">
        <v>957</v>
      </c>
      <c r="M181" s="22" t="s">
        <v>36</v>
      </c>
      <c r="N181" s="8" t="s">
        <v>46</v>
      </c>
      <c r="O181" s="10" t="s">
        <v>37</v>
      </c>
      <c r="P181" s="10" t="s">
        <v>38</v>
      </c>
      <c r="Q181" s="11">
        <v>0.48</v>
      </c>
      <c r="R181" s="8" t="s">
        <v>60</v>
      </c>
      <c r="S181" s="30">
        <v>9</v>
      </c>
      <c r="T181" s="79">
        <f t="shared" si="52"/>
        <v>6.3617400000000003E-3</v>
      </c>
      <c r="U181" s="22">
        <v>7</v>
      </c>
      <c r="V181" s="22">
        <v>52</v>
      </c>
      <c r="W181" s="10">
        <f t="shared" si="53"/>
        <v>0.90757121103705141</v>
      </c>
      <c r="X181" s="22">
        <v>5</v>
      </c>
      <c r="Y181" s="22">
        <v>12</v>
      </c>
      <c r="Z181" s="10">
        <f t="shared" si="54"/>
        <v>0.20943951023931956</v>
      </c>
      <c r="AA181" s="10">
        <f t="shared" si="55"/>
        <v>6.5556337293358506</v>
      </c>
      <c r="AB181" s="10">
        <f t="shared" si="56"/>
        <v>14.184766865717586</v>
      </c>
      <c r="AC181" s="10">
        <f t="shared" si="45"/>
        <v>1.7730958582146983</v>
      </c>
      <c r="AD181" s="10">
        <f t="shared" si="49"/>
        <v>7.0923834328587931</v>
      </c>
      <c r="AE181" s="65"/>
      <c r="AF181" s="10">
        <f t="shared" si="50"/>
        <v>21.732555839272521</v>
      </c>
      <c r="AG181" s="8">
        <f t="shared" si="46"/>
        <v>4.2378483886581417</v>
      </c>
      <c r="AH181" s="10">
        <f t="shared" si="47"/>
        <v>10.866277919636261</v>
      </c>
      <c r="AI181" s="63"/>
      <c r="AJ181" s="10">
        <f t="shared" si="51"/>
        <v>18.659999999999997</v>
      </c>
      <c r="AK181" s="8"/>
      <c r="AL181" s="8">
        <f t="shared" si="48"/>
        <v>9.3299999999999983</v>
      </c>
    </row>
    <row r="182" spans="1:38">
      <c r="A182" s="18">
        <v>41481</v>
      </c>
      <c r="B182" s="19" t="s">
        <v>141</v>
      </c>
      <c r="C182" s="12">
        <v>50.4</v>
      </c>
      <c r="D182" s="19" t="s">
        <v>80</v>
      </c>
      <c r="E182" s="8">
        <v>8.4083100000000002</v>
      </c>
      <c r="F182" s="8">
        <v>83.31147</v>
      </c>
      <c r="G182" s="22">
        <v>50</v>
      </c>
      <c r="H182" s="22">
        <v>-10</v>
      </c>
      <c r="I182" s="10">
        <f t="shared" si="42"/>
        <v>-9.9666444232592379</v>
      </c>
      <c r="J182" s="10">
        <f t="shared" si="43"/>
        <v>-0.17395076056140502</v>
      </c>
      <c r="K182" s="10">
        <f t="shared" si="44"/>
        <v>21.321773754370099</v>
      </c>
      <c r="L182" s="22">
        <v>991</v>
      </c>
      <c r="M182" s="22" t="s">
        <v>36</v>
      </c>
      <c r="N182" s="8" t="s">
        <v>46</v>
      </c>
      <c r="O182" s="10" t="s">
        <v>37</v>
      </c>
      <c r="P182" s="10" t="s">
        <v>38</v>
      </c>
      <c r="Q182" s="11">
        <v>0.48</v>
      </c>
      <c r="R182" s="8" t="s">
        <v>60</v>
      </c>
      <c r="S182" s="30">
        <v>14.7</v>
      </c>
      <c r="T182" s="79">
        <f t="shared" si="52"/>
        <v>1.69717086E-2</v>
      </c>
      <c r="U182" s="22">
        <v>7</v>
      </c>
      <c r="V182" s="22">
        <v>32</v>
      </c>
      <c r="W182" s="10">
        <f t="shared" si="53"/>
        <v>0.55850536063818546</v>
      </c>
      <c r="X182" s="22">
        <v>6</v>
      </c>
      <c r="Y182" s="22">
        <v>15</v>
      </c>
      <c r="Z182" s="10">
        <f t="shared" si="54"/>
        <v>0.26179938779914941</v>
      </c>
      <c r="AA182" s="10">
        <f t="shared" si="55"/>
        <v>5.262349120247559</v>
      </c>
      <c r="AB182" s="10">
        <f t="shared" si="56"/>
        <v>29.019769021448869</v>
      </c>
      <c r="AC182" s="10">
        <f t="shared" si="45"/>
        <v>3.6274711276811087</v>
      </c>
      <c r="AD182" s="10">
        <f t="shared" si="49"/>
        <v>14.509884510724435</v>
      </c>
      <c r="AE182" s="65"/>
      <c r="AF182" s="10">
        <f t="shared" si="50"/>
        <v>73.610507764208975</v>
      </c>
      <c r="AG182" s="8">
        <f t="shared" si="46"/>
        <v>14.354049014020751</v>
      </c>
      <c r="AH182" s="10">
        <f t="shared" si="47"/>
        <v>36.805253882104488</v>
      </c>
      <c r="AI182" s="63"/>
      <c r="AJ182" s="10">
        <f t="shared" si="51"/>
        <v>78.994499999999974</v>
      </c>
      <c r="AK182" s="8"/>
      <c r="AL182" s="8">
        <f t="shared" si="48"/>
        <v>39.497249999999987</v>
      </c>
    </row>
    <row r="183" spans="1:38">
      <c r="A183" s="18">
        <v>41481</v>
      </c>
      <c r="B183" s="19" t="s">
        <v>141</v>
      </c>
      <c r="C183" s="12">
        <v>50.4</v>
      </c>
      <c r="D183" s="19" t="s">
        <v>80</v>
      </c>
      <c r="E183" s="8">
        <v>8.4083100000000002</v>
      </c>
      <c r="F183" s="8">
        <v>83.31147</v>
      </c>
      <c r="G183" s="22">
        <v>50</v>
      </c>
      <c r="H183" s="22">
        <v>-10</v>
      </c>
      <c r="I183" s="10">
        <f t="shared" si="42"/>
        <v>-9.9666444232592379</v>
      </c>
      <c r="J183" s="10">
        <f t="shared" si="43"/>
        <v>-0.17395076056140502</v>
      </c>
      <c r="K183" s="10">
        <f t="shared" si="44"/>
        <v>21.321773754370099</v>
      </c>
      <c r="L183" s="22">
        <v>838</v>
      </c>
      <c r="M183" s="22" t="s">
        <v>72</v>
      </c>
      <c r="N183" s="22" t="s">
        <v>93</v>
      </c>
      <c r="O183" s="10" t="s">
        <v>91</v>
      </c>
      <c r="P183" s="15" t="s">
        <v>92</v>
      </c>
      <c r="Q183" s="8">
        <v>0.48</v>
      </c>
      <c r="R183" s="22" t="s">
        <v>190</v>
      </c>
      <c r="S183" s="30">
        <v>5.5</v>
      </c>
      <c r="T183" s="79">
        <f t="shared" si="52"/>
        <v>2.3758350000000002E-3</v>
      </c>
      <c r="U183" s="22">
        <v>8</v>
      </c>
      <c r="V183" s="22">
        <v>41</v>
      </c>
      <c r="W183" s="10">
        <f t="shared" si="53"/>
        <v>0.71558499331767511</v>
      </c>
      <c r="X183" s="22">
        <v>5</v>
      </c>
      <c r="Y183" s="22">
        <v>8</v>
      </c>
      <c r="Z183" s="10">
        <f t="shared" si="54"/>
        <v>0.13962634015954636</v>
      </c>
      <c r="AA183" s="10">
        <f t="shared" si="55"/>
        <v>5.9443377367243855</v>
      </c>
      <c r="AB183" s="10">
        <f t="shared" si="56"/>
        <v>5.125870247905576</v>
      </c>
      <c r="AC183" s="10">
        <f t="shared" si="45"/>
        <v>0.640733780988197</v>
      </c>
      <c r="AD183" s="10">
        <f t="shared" si="49"/>
        <v>2.562935123952788</v>
      </c>
      <c r="AE183" s="65"/>
      <c r="AF183" s="10">
        <f t="shared" si="50"/>
        <v>6.4546004475213445</v>
      </c>
      <c r="AG183" s="8">
        <f t="shared" si="46"/>
        <v>1.2586470872666622</v>
      </c>
      <c r="AH183" s="10">
        <f t="shared" si="47"/>
        <v>3.2273002237606723</v>
      </c>
      <c r="AI183" s="63"/>
      <c r="AJ183" s="10">
        <f t="shared" si="51"/>
        <v>5.4404999999999966</v>
      </c>
      <c r="AK183" s="8"/>
      <c r="AL183" s="8">
        <f t="shared" si="48"/>
        <v>2.7202499999999983</v>
      </c>
    </row>
    <row r="184" spans="1:38">
      <c r="A184" s="18">
        <v>41481</v>
      </c>
      <c r="B184" s="19" t="s">
        <v>141</v>
      </c>
      <c r="C184" s="12">
        <v>50.4</v>
      </c>
      <c r="D184" s="19" t="s">
        <v>80</v>
      </c>
      <c r="E184" s="8">
        <v>8.4083100000000002</v>
      </c>
      <c r="F184" s="8">
        <v>83.31147</v>
      </c>
      <c r="G184" s="22">
        <v>50</v>
      </c>
      <c r="H184" s="22">
        <v>-10</v>
      </c>
      <c r="I184" s="10">
        <f t="shared" si="42"/>
        <v>-9.9666444232592379</v>
      </c>
      <c r="J184" s="10">
        <f t="shared" si="43"/>
        <v>-0.17395076056140502</v>
      </c>
      <c r="K184" s="10">
        <f t="shared" si="44"/>
        <v>21.321773754370099</v>
      </c>
      <c r="L184" s="22">
        <v>880</v>
      </c>
      <c r="M184" s="22" t="s">
        <v>36</v>
      </c>
      <c r="N184" s="8" t="s">
        <v>46</v>
      </c>
      <c r="O184" s="10" t="s">
        <v>37</v>
      </c>
      <c r="P184" s="10" t="s">
        <v>38</v>
      </c>
      <c r="Q184" s="11">
        <v>0.48</v>
      </c>
      <c r="R184" s="8" t="s">
        <v>60</v>
      </c>
      <c r="S184" s="30">
        <v>24.5</v>
      </c>
      <c r="T184" s="79">
        <f t="shared" si="52"/>
        <v>4.7143635000000003E-2</v>
      </c>
      <c r="U184" s="22">
        <v>10</v>
      </c>
      <c r="V184" s="22">
        <v>70</v>
      </c>
      <c r="W184" s="10">
        <f t="shared" si="53"/>
        <v>1.2217304763960306</v>
      </c>
      <c r="X184" s="22">
        <v>5</v>
      </c>
      <c r="Y184" s="22">
        <v>8</v>
      </c>
      <c r="Z184" s="10">
        <f t="shared" si="54"/>
        <v>0.13962634015954636</v>
      </c>
      <c r="AA184" s="10">
        <f t="shared" si="55"/>
        <v>10.092791712659411</v>
      </c>
      <c r="AB184" s="10">
        <f t="shared" si="56"/>
        <v>139.83998060668938</v>
      </c>
      <c r="AC184" s="10">
        <f t="shared" si="45"/>
        <v>17.479997575836173</v>
      </c>
      <c r="AD184" s="10">
        <f t="shared" si="49"/>
        <v>69.91999030334469</v>
      </c>
      <c r="AE184" s="65"/>
      <c r="AF184" s="10">
        <f t="shared" si="50"/>
        <v>259.48275372437985</v>
      </c>
      <c r="AG184" s="8">
        <f t="shared" si="46"/>
        <v>50.599136976254073</v>
      </c>
      <c r="AH184" s="10">
        <f t="shared" si="47"/>
        <v>129.74137686218992</v>
      </c>
      <c r="AI184" s="63"/>
      <c r="AJ184" s="10">
        <f t="shared" si="51"/>
        <v>295.13350000000003</v>
      </c>
      <c r="AK184" s="8"/>
      <c r="AL184" s="8">
        <f t="shared" si="48"/>
        <v>147.56675000000001</v>
      </c>
    </row>
    <row r="185" spans="1:38">
      <c r="A185" s="18">
        <v>41481</v>
      </c>
      <c r="B185" s="19" t="s">
        <v>141</v>
      </c>
      <c r="C185" s="12">
        <v>50.4</v>
      </c>
      <c r="D185" s="19" t="s">
        <v>80</v>
      </c>
      <c r="E185" s="8">
        <v>8.4083100000000002</v>
      </c>
      <c r="F185" s="8">
        <v>83.31147</v>
      </c>
      <c r="G185" s="22">
        <v>50</v>
      </c>
      <c r="H185" s="22">
        <v>-10</v>
      </c>
      <c r="I185" s="10">
        <f t="shared" si="42"/>
        <v>-9.9666444232592379</v>
      </c>
      <c r="J185" s="10">
        <f t="shared" si="43"/>
        <v>-0.17395076056140502</v>
      </c>
      <c r="K185" s="10">
        <f t="shared" si="44"/>
        <v>21.321773754370099</v>
      </c>
      <c r="L185" s="22">
        <v>902</v>
      </c>
      <c r="M185" s="22" t="s">
        <v>201</v>
      </c>
      <c r="N185" s="8" t="s">
        <v>198</v>
      </c>
      <c r="O185" s="10" t="s">
        <v>99</v>
      </c>
      <c r="P185" s="10" t="s">
        <v>99</v>
      </c>
      <c r="Q185" s="24">
        <v>0.59</v>
      </c>
      <c r="R185" s="22" t="s">
        <v>190</v>
      </c>
      <c r="S185" s="30">
        <v>11.1</v>
      </c>
      <c r="T185" s="79">
        <f t="shared" si="52"/>
        <v>9.6769134000000007E-3</v>
      </c>
      <c r="U185" s="22">
        <v>10</v>
      </c>
      <c r="V185" s="22">
        <v>70</v>
      </c>
      <c r="W185" s="10">
        <f t="shared" si="53"/>
        <v>1.2217304763960306</v>
      </c>
      <c r="X185" s="22">
        <v>5</v>
      </c>
      <c r="Y185" s="22">
        <v>8</v>
      </c>
      <c r="Z185" s="10">
        <f t="shared" si="54"/>
        <v>0.13962634015954636</v>
      </c>
      <c r="AA185" s="10">
        <f t="shared" si="55"/>
        <v>10.092791712659411</v>
      </c>
      <c r="AB185" s="10">
        <f t="shared" si="56"/>
        <v>38.321318605589106</v>
      </c>
      <c r="AC185" s="10">
        <f t="shared" si="45"/>
        <v>4.7901648256986382</v>
      </c>
      <c r="AD185" s="10">
        <f t="shared" si="49"/>
        <v>19.160659302794553</v>
      </c>
      <c r="AE185" s="65"/>
      <c r="AF185" s="10">
        <f t="shared" si="50"/>
        <v>44.993261134124062</v>
      </c>
      <c r="AG185" s="8">
        <f t="shared" si="46"/>
        <v>8.7736859211541915</v>
      </c>
      <c r="AH185" s="10">
        <f t="shared" si="47"/>
        <v>22.496630567062031</v>
      </c>
      <c r="AI185" s="63"/>
      <c r="AJ185" s="10">
        <f t="shared" si="51"/>
        <v>35.294099999999986</v>
      </c>
      <c r="AK185" s="8"/>
      <c r="AL185" s="8">
        <f t="shared" si="48"/>
        <v>17.647049999999993</v>
      </c>
    </row>
    <row r="186" spans="1:38">
      <c r="A186" s="18">
        <v>41481</v>
      </c>
      <c r="B186" s="19" t="s">
        <v>141</v>
      </c>
      <c r="C186" s="12">
        <v>50.4</v>
      </c>
      <c r="D186" s="19" t="s">
        <v>80</v>
      </c>
      <c r="E186" s="8">
        <v>8.4083100000000002</v>
      </c>
      <c r="F186" s="8">
        <v>83.31147</v>
      </c>
      <c r="G186" s="22">
        <v>50</v>
      </c>
      <c r="H186" s="22">
        <v>-10</v>
      </c>
      <c r="I186" s="10">
        <f t="shared" si="42"/>
        <v>-9.9666444232592379</v>
      </c>
      <c r="J186" s="10">
        <f t="shared" si="43"/>
        <v>-0.17395076056140502</v>
      </c>
      <c r="K186" s="10">
        <f t="shared" si="44"/>
        <v>21.321773754370099</v>
      </c>
      <c r="L186" s="22">
        <v>1018</v>
      </c>
      <c r="M186" s="22" t="s">
        <v>36</v>
      </c>
      <c r="N186" s="8" t="s">
        <v>46</v>
      </c>
      <c r="O186" s="10" t="s">
        <v>37</v>
      </c>
      <c r="P186" s="10" t="s">
        <v>38</v>
      </c>
      <c r="Q186" s="11">
        <v>0.48</v>
      </c>
      <c r="R186" s="8" t="s">
        <v>60</v>
      </c>
      <c r="S186" s="30">
        <v>14.2</v>
      </c>
      <c r="T186" s="79">
        <f t="shared" si="52"/>
        <v>1.58368056E-2</v>
      </c>
      <c r="U186" s="22">
        <v>9</v>
      </c>
      <c r="V186" s="22">
        <v>38</v>
      </c>
      <c r="W186" s="10">
        <f t="shared" si="53"/>
        <v>0.66322511575784526</v>
      </c>
      <c r="X186" s="22">
        <v>8</v>
      </c>
      <c r="Y186" s="22">
        <v>8</v>
      </c>
      <c r="Z186" s="10">
        <f t="shared" si="54"/>
        <v>0.13962634015954636</v>
      </c>
      <c r="AA186" s="10">
        <f t="shared" si="55"/>
        <v>6.6543380856114478</v>
      </c>
      <c r="AB186" s="10">
        <f t="shared" si="56"/>
        <v>33.903859709309536</v>
      </c>
      <c r="AC186" s="10">
        <f t="shared" si="45"/>
        <v>4.237982463663692</v>
      </c>
      <c r="AD186" s="10">
        <f t="shared" si="49"/>
        <v>16.951929854654768</v>
      </c>
      <c r="AE186" s="65"/>
      <c r="AF186" s="10">
        <f t="shared" si="50"/>
        <v>67.546368712347231</v>
      </c>
      <c r="AG186" s="8">
        <f t="shared" si="46"/>
        <v>13.17154189890771</v>
      </c>
      <c r="AH186" s="10">
        <f t="shared" si="47"/>
        <v>33.773184356173616</v>
      </c>
      <c r="AI186" s="63"/>
      <c r="AJ186" s="10">
        <f t="shared" si="51"/>
        <v>71.777999999999977</v>
      </c>
      <c r="AK186" s="8"/>
      <c r="AL186" s="8">
        <f t="shared" si="48"/>
        <v>35.888999999999989</v>
      </c>
    </row>
    <row r="187" spans="1:38">
      <c r="A187" s="18">
        <v>41481</v>
      </c>
      <c r="B187" s="19" t="s">
        <v>141</v>
      </c>
      <c r="C187" s="12">
        <v>50.4</v>
      </c>
      <c r="D187" s="19" t="s">
        <v>80</v>
      </c>
      <c r="E187" s="8">
        <v>8.4083100000000002</v>
      </c>
      <c r="F187" s="8">
        <v>83.31147</v>
      </c>
      <c r="G187" s="22">
        <v>50</v>
      </c>
      <c r="H187" s="22">
        <v>-10</v>
      </c>
      <c r="I187" s="10">
        <f t="shared" si="42"/>
        <v>-9.9666444232592379</v>
      </c>
      <c r="J187" s="10">
        <f t="shared" si="43"/>
        <v>-0.17395076056140502</v>
      </c>
      <c r="K187" s="10">
        <f t="shared" si="44"/>
        <v>21.321773754370099</v>
      </c>
      <c r="L187" s="22">
        <v>904</v>
      </c>
      <c r="M187" s="22" t="s">
        <v>36</v>
      </c>
      <c r="N187" s="8" t="s">
        <v>46</v>
      </c>
      <c r="O187" s="10" t="s">
        <v>37</v>
      </c>
      <c r="P187" s="10" t="s">
        <v>38</v>
      </c>
      <c r="Q187" s="11">
        <v>0.48</v>
      </c>
      <c r="R187" s="8" t="s">
        <v>60</v>
      </c>
      <c r="S187" s="30">
        <v>17.3</v>
      </c>
      <c r="T187" s="79">
        <f t="shared" si="52"/>
        <v>2.3506236600000004E-2</v>
      </c>
      <c r="U187" s="22">
        <v>8</v>
      </c>
      <c r="V187" s="22">
        <v>43</v>
      </c>
      <c r="W187" s="10">
        <f t="shared" si="53"/>
        <v>0.75049157835756175</v>
      </c>
      <c r="X187" s="22">
        <v>6</v>
      </c>
      <c r="Y187" s="22">
        <v>9</v>
      </c>
      <c r="Z187" s="10">
        <f t="shared" si="54"/>
        <v>0.15707963267948966</v>
      </c>
      <c r="AA187" s="10">
        <f t="shared" si="55"/>
        <v>6.3945936707413731</v>
      </c>
      <c r="AB187" s="10">
        <f t="shared" si="56"/>
        <v>47.339027794710347</v>
      </c>
      <c r="AC187" s="10">
        <f t="shared" si="45"/>
        <v>5.9173784743387934</v>
      </c>
      <c r="AD187" s="10">
        <f t="shared" si="49"/>
        <v>23.669513897355174</v>
      </c>
      <c r="AE187" s="65"/>
      <c r="AF187" s="10">
        <f t="shared" si="50"/>
        <v>110.23854508066978</v>
      </c>
      <c r="AG187" s="8">
        <f t="shared" si="46"/>
        <v>21.496516290730607</v>
      </c>
      <c r="AH187" s="10">
        <f t="shared" si="47"/>
        <v>55.11927254033489</v>
      </c>
      <c r="AI187" s="63"/>
      <c r="AJ187" s="10">
        <f t="shared" si="51"/>
        <v>122.48469999999999</v>
      </c>
      <c r="AK187" s="8"/>
      <c r="AL187" s="8">
        <f t="shared" si="48"/>
        <v>61.242349999999995</v>
      </c>
    </row>
    <row r="188" spans="1:38">
      <c r="A188" s="18">
        <v>41481</v>
      </c>
      <c r="B188" s="19" t="s">
        <v>141</v>
      </c>
      <c r="C188" s="12">
        <v>50.4</v>
      </c>
      <c r="D188" s="19" t="s">
        <v>80</v>
      </c>
      <c r="E188" s="8">
        <v>8.4083100000000002</v>
      </c>
      <c r="F188" s="8">
        <v>83.31147</v>
      </c>
      <c r="G188" s="22">
        <v>50</v>
      </c>
      <c r="H188" s="22">
        <v>-10</v>
      </c>
      <c r="I188" s="10">
        <f t="shared" si="42"/>
        <v>-9.9666444232592379</v>
      </c>
      <c r="J188" s="10">
        <f t="shared" si="43"/>
        <v>-0.17395076056140502</v>
      </c>
      <c r="K188" s="10">
        <f t="shared" si="44"/>
        <v>21.321773754370099</v>
      </c>
      <c r="L188" s="22">
        <v>932</v>
      </c>
      <c r="M188" s="22" t="s">
        <v>78</v>
      </c>
      <c r="N188" s="7" t="s">
        <v>87</v>
      </c>
      <c r="O188" s="33" t="s">
        <v>88</v>
      </c>
      <c r="P188" s="33" t="s">
        <v>89</v>
      </c>
      <c r="Q188" s="38">
        <v>0.64</v>
      </c>
      <c r="R188" s="7" t="s">
        <v>90</v>
      </c>
      <c r="S188" s="30">
        <v>5.9</v>
      </c>
      <c r="T188" s="79">
        <f t="shared" si="52"/>
        <v>2.7339774000000004E-3</v>
      </c>
      <c r="U188" s="22">
        <v>9</v>
      </c>
      <c r="V188" s="22">
        <v>35</v>
      </c>
      <c r="W188" s="10">
        <f t="shared" si="53"/>
        <v>0.6108652381980153</v>
      </c>
      <c r="X188" s="22">
        <v>7</v>
      </c>
      <c r="Y188" s="22">
        <v>10</v>
      </c>
      <c r="Z188" s="10">
        <f t="shared" si="54"/>
        <v>0.17453292519943295</v>
      </c>
      <c r="AA188" s="10">
        <f t="shared" si="55"/>
        <v>6.3777251708279268</v>
      </c>
      <c r="AB188" s="10">
        <f t="shared" si="56"/>
        <v>8.189521573956398</v>
      </c>
      <c r="AC188" s="10">
        <f t="shared" si="45"/>
        <v>1.0236901967445498</v>
      </c>
      <c r="AD188" s="10">
        <f t="shared" si="49"/>
        <v>4.094760786978199</v>
      </c>
      <c r="AE188" s="65"/>
      <c r="AF188" s="10">
        <f t="shared" si="50"/>
        <v>10.217789496204384</v>
      </c>
      <c r="AG188" s="8">
        <f t="shared" si="46"/>
        <v>1.9924689517598551</v>
      </c>
      <c r="AH188" s="10">
        <f t="shared" si="47"/>
        <v>5.108894748102192</v>
      </c>
      <c r="AI188" s="63"/>
      <c r="AJ188" s="10">
        <f t="shared" si="51"/>
        <v>6.0336999999999961</v>
      </c>
      <c r="AK188" s="8"/>
      <c r="AL188" s="8">
        <f t="shared" si="48"/>
        <v>3.016849999999998</v>
      </c>
    </row>
    <row r="189" spans="1:38">
      <c r="A189" s="18">
        <v>41481</v>
      </c>
      <c r="B189" s="19" t="s">
        <v>141</v>
      </c>
      <c r="C189" s="12">
        <v>50.4</v>
      </c>
      <c r="D189" s="19" t="s">
        <v>80</v>
      </c>
      <c r="E189" s="8">
        <v>8.4083100000000002</v>
      </c>
      <c r="F189" s="8">
        <v>83.31147</v>
      </c>
      <c r="G189" s="22">
        <v>50</v>
      </c>
      <c r="H189" s="22">
        <v>-10</v>
      </c>
      <c r="I189" s="10">
        <f t="shared" si="42"/>
        <v>-9.9666444232592379</v>
      </c>
      <c r="J189" s="10">
        <f t="shared" si="43"/>
        <v>-0.17395076056140502</v>
      </c>
      <c r="K189" s="10">
        <f t="shared" si="44"/>
        <v>21.321773754370099</v>
      </c>
      <c r="L189" s="22">
        <v>1005</v>
      </c>
      <c r="M189" s="22" t="s">
        <v>36</v>
      </c>
      <c r="N189" s="8" t="s">
        <v>46</v>
      </c>
      <c r="O189" s="10" t="s">
        <v>37</v>
      </c>
      <c r="P189" s="10" t="s">
        <v>38</v>
      </c>
      <c r="Q189" s="11">
        <v>0.48</v>
      </c>
      <c r="R189" s="8" t="s">
        <v>60</v>
      </c>
      <c r="S189" s="30">
        <v>13.1</v>
      </c>
      <c r="T189" s="79">
        <f t="shared" si="52"/>
        <v>1.34782494E-2</v>
      </c>
      <c r="U189" s="22">
        <v>8</v>
      </c>
      <c r="V189" s="22">
        <v>42</v>
      </c>
      <c r="W189" s="10">
        <f t="shared" si="53"/>
        <v>0.73303828583761843</v>
      </c>
      <c r="X189" s="22">
        <v>6</v>
      </c>
      <c r="Y189" s="22">
        <v>7</v>
      </c>
      <c r="Z189" s="10">
        <f t="shared" si="54"/>
        <v>0.12217304763960307</v>
      </c>
      <c r="AA189" s="10">
        <f t="shared" si="55"/>
        <v>6.084260911301751</v>
      </c>
      <c r="AB189" s="10">
        <f t="shared" si="56"/>
        <v>26.782670607073992</v>
      </c>
      <c r="AC189" s="10">
        <f t="shared" si="45"/>
        <v>3.347833825884249</v>
      </c>
      <c r="AD189" s="10">
        <f t="shared" si="49"/>
        <v>13.391335303536996</v>
      </c>
      <c r="AE189" s="65"/>
      <c r="AF189" s="10">
        <f t="shared" si="50"/>
        <v>55.276955296431161</v>
      </c>
      <c r="AG189" s="8">
        <f t="shared" si="46"/>
        <v>10.779006282804076</v>
      </c>
      <c r="AH189" s="10">
        <f t="shared" si="47"/>
        <v>27.638477648215581</v>
      </c>
      <c r="AI189" s="63"/>
      <c r="AJ189" s="10">
        <f t="shared" si="51"/>
        <v>57.204099999999983</v>
      </c>
      <c r="AK189" s="8"/>
      <c r="AL189" s="8">
        <f t="shared" si="48"/>
        <v>28.602049999999991</v>
      </c>
    </row>
    <row r="190" spans="1:38">
      <c r="A190" s="18">
        <v>41481</v>
      </c>
      <c r="B190" s="19" t="s">
        <v>141</v>
      </c>
      <c r="C190" s="12">
        <v>50.4</v>
      </c>
      <c r="D190" s="19" t="s">
        <v>80</v>
      </c>
      <c r="E190" s="8">
        <v>8.4083100000000002</v>
      </c>
      <c r="F190" s="8">
        <v>83.31147</v>
      </c>
      <c r="G190" s="22">
        <v>50</v>
      </c>
      <c r="H190" s="22">
        <v>-10</v>
      </c>
      <c r="I190" s="10">
        <f t="shared" si="42"/>
        <v>-9.9666444232592379</v>
      </c>
      <c r="J190" s="10">
        <f t="shared" si="43"/>
        <v>-0.17395076056140502</v>
      </c>
      <c r="K190" s="10">
        <f t="shared" si="44"/>
        <v>21.321773754370099</v>
      </c>
      <c r="L190" s="22">
        <v>1016</v>
      </c>
      <c r="M190" s="22" t="s">
        <v>39</v>
      </c>
      <c r="N190" s="8" t="s">
        <v>69</v>
      </c>
      <c r="O190" s="10" t="s">
        <v>65</v>
      </c>
      <c r="P190" s="10" t="s">
        <v>70</v>
      </c>
      <c r="Q190" s="8">
        <v>0.37</v>
      </c>
      <c r="R190" s="8" t="s">
        <v>71</v>
      </c>
      <c r="S190" s="30">
        <v>15.3</v>
      </c>
      <c r="T190" s="79">
        <f t="shared" si="52"/>
        <v>1.8385428600000003E-2</v>
      </c>
      <c r="U190" s="22">
        <v>7</v>
      </c>
      <c r="V190" s="22">
        <v>55</v>
      </c>
      <c r="W190" s="10">
        <f t="shared" si="53"/>
        <v>0.95993108859688125</v>
      </c>
      <c r="X190" s="22">
        <v>6</v>
      </c>
      <c r="Y190" s="22">
        <v>10</v>
      </c>
      <c r="Z190" s="10">
        <f t="shared" si="54"/>
        <v>0.17453292519943295</v>
      </c>
      <c r="AA190" s="10">
        <f t="shared" si="55"/>
        <v>6.7759533760245247</v>
      </c>
      <c r="AB190" s="10">
        <f t="shared" si="56"/>
        <v>31.067293213370405</v>
      </c>
      <c r="AC190" s="10">
        <f t="shared" si="45"/>
        <v>3.8834116516713006</v>
      </c>
      <c r="AD190" s="10">
        <f t="shared" si="49"/>
        <v>15.533646606685203</v>
      </c>
      <c r="AE190" s="65"/>
      <c r="AF190" s="10">
        <f t="shared" si="50"/>
        <v>62.666965974082792</v>
      </c>
      <c r="AG190" s="8">
        <f t="shared" si="46"/>
        <v>12.220058364946144</v>
      </c>
      <c r="AH190" s="10">
        <f t="shared" si="47"/>
        <v>31.333482987041396</v>
      </c>
      <c r="AI190" s="63"/>
      <c r="AJ190" s="10">
        <f t="shared" si="51"/>
        <v>88.142700000000005</v>
      </c>
      <c r="AK190" s="8"/>
      <c r="AL190" s="8">
        <f t="shared" si="48"/>
        <v>44.071350000000002</v>
      </c>
    </row>
    <row r="191" spans="1:38">
      <c r="A191" s="18">
        <v>41481</v>
      </c>
      <c r="B191" s="19" t="s">
        <v>141</v>
      </c>
      <c r="C191" s="12">
        <v>50.4</v>
      </c>
      <c r="D191" s="19" t="s">
        <v>80</v>
      </c>
      <c r="E191" s="8">
        <v>8.4083100000000002</v>
      </c>
      <c r="F191" s="8">
        <v>83.31147</v>
      </c>
      <c r="G191" s="22">
        <v>50</v>
      </c>
      <c r="H191" s="22">
        <v>-10</v>
      </c>
      <c r="I191" s="10">
        <f t="shared" si="42"/>
        <v>-9.9666444232592379</v>
      </c>
      <c r="J191" s="10">
        <f t="shared" si="43"/>
        <v>-0.17395076056140502</v>
      </c>
      <c r="K191" s="10">
        <f t="shared" si="44"/>
        <v>21.321773754370099</v>
      </c>
      <c r="L191" s="22">
        <v>944</v>
      </c>
      <c r="M191" s="22" t="s">
        <v>36</v>
      </c>
      <c r="N191" s="8" t="s">
        <v>46</v>
      </c>
      <c r="O191" s="10" t="s">
        <v>37</v>
      </c>
      <c r="P191" s="10" t="s">
        <v>38</v>
      </c>
      <c r="Q191" s="11">
        <v>0.48</v>
      </c>
      <c r="R191" s="8" t="s">
        <v>60</v>
      </c>
      <c r="S191" s="30">
        <v>13.1</v>
      </c>
      <c r="T191" s="79">
        <f t="shared" si="52"/>
        <v>1.34782494E-2</v>
      </c>
      <c r="U191" s="22">
        <v>5</v>
      </c>
      <c r="V191" s="22">
        <v>47</v>
      </c>
      <c r="W191" s="10">
        <f t="shared" si="53"/>
        <v>0.82030474843733492</v>
      </c>
      <c r="X191" s="22">
        <v>5</v>
      </c>
      <c r="Y191" s="22">
        <v>14</v>
      </c>
      <c r="Z191" s="10">
        <f t="shared" si="54"/>
        <v>0.24434609527920614</v>
      </c>
      <c r="AA191" s="10">
        <f t="shared" si="55"/>
        <v>4.8663779860941911</v>
      </c>
      <c r="AB191" s="10">
        <f t="shared" si="56"/>
        <v>21.710609140563371</v>
      </c>
      <c r="AC191" s="10">
        <f t="shared" si="45"/>
        <v>2.7138261425704213</v>
      </c>
      <c r="AD191" s="10">
        <f t="shared" si="49"/>
        <v>10.855304570281685</v>
      </c>
      <c r="AE191" s="65"/>
      <c r="AF191" s="10">
        <f t="shared" si="50"/>
        <v>55.276955296431161</v>
      </c>
      <c r="AG191" s="8">
        <f t="shared" si="46"/>
        <v>10.779006282804076</v>
      </c>
      <c r="AH191" s="10">
        <f t="shared" si="47"/>
        <v>27.638477648215581</v>
      </c>
      <c r="AI191" s="63"/>
      <c r="AJ191" s="10">
        <f t="shared" si="51"/>
        <v>57.204099999999983</v>
      </c>
      <c r="AK191" s="8"/>
      <c r="AL191" s="8">
        <f t="shared" si="48"/>
        <v>28.602049999999991</v>
      </c>
    </row>
    <row r="192" spans="1:38">
      <c r="A192" s="18">
        <v>41481</v>
      </c>
      <c r="B192" s="19" t="s">
        <v>141</v>
      </c>
      <c r="C192" s="12">
        <v>50.4</v>
      </c>
      <c r="D192" s="19" t="s">
        <v>80</v>
      </c>
      <c r="E192" s="8">
        <v>8.4083100000000002</v>
      </c>
      <c r="F192" s="8">
        <v>83.31147</v>
      </c>
      <c r="G192" s="22">
        <v>50</v>
      </c>
      <c r="H192" s="22">
        <v>-10</v>
      </c>
      <c r="I192" s="10">
        <f t="shared" si="42"/>
        <v>-9.9666444232592379</v>
      </c>
      <c r="J192" s="10">
        <f t="shared" si="43"/>
        <v>-0.17395076056140502</v>
      </c>
      <c r="K192" s="10">
        <f t="shared" si="44"/>
        <v>21.321773754370099</v>
      </c>
      <c r="L192" s="22">
        <v>945</v>
      </c>
      <c r="M192" s="22" t="s">
        <v>201</v>
      </c>
      <c r="N192" s="8" t="s">
        <v>198</v>
      </c>
      <c r="O192" s="10" t="s">
        <v>99</v>
      </c>
      <c r="P192" s="10" t="s">
        <v>99</v>
      </c>
      <c r="Q192" s="24">
        <v>0.59</v>
      </c>
      <c r="R192" s="22" t="s">
        <v>190</v>
      </c>
      <c r="S192" s="30">
        <v>8.6</v>
      </c>
      <c r="T192" s="79">
        <f t="shared" si="52"/>
        <v>5.8088183999999996E-3</v>
      </c>
      <c r="U192" s="22">
        <v>7</v>
      </c>
      <c r="V192" s="22">
        <v>55</v>
      </c>
      <c r="W192" s="10">
        <f t="shared" si="53"/>
        <v>0.95993108859688125</v>
      </c>
      <c r="X192" s="22">
        <v>5</v>
      </c>
      <c r="Y192" s="22">
        <v>9</v>
      </c>
      <c r="Z192" s="10">
        <f t="shared" si="54"/>
        <v>0.15707963267948966</v>
      </c>
      <c r="AA192" s="10">
        <f t="shared" si="55"/>
        <v>6.5162366352240966</v>
      </c>
      <c r="AB192" s="10">
        <f t="shared" si="56"/>
        <v>15.720875809429973</v>
      </c>
      <c r="AC192" s="10">
        <f t="shared" si="45"/>
        <v>1.9651094761787467</v>
      </c>
      <c r="AD192" s="10">
        <f t="shared" si="49"/>
        <v>7.8604379047149866</v>
      </c>
      <c r="AE192" s="65"/>
      <c r="AF192" s="10">
        <f t="shared" si="50"/>
        <v>23.862961054836127</v>
      </c>
      <c r="AG192" s="8">
        <f t="shared" si="46"/>
        <v>4.6532774056930446</v>
      </c>
      <c r="AH192" s="10">
        <f t="shared" si="47"/>
        <v>11.931480527418064</v>
      </c>
      <c r="AI192" s="63"/>
      <c r="AJ192" s="10">
        <f t="shared" si="51"/>
        <v>16.231599999999993</v>
      </c>
      <c r="AK192" s="8"/>
      <c r="AL192" s="8">
        <f t="shared" si="48"/>
        <v>8.1157999999999966</v>
      </c>
    </row>
    <row r="193" spans="1:38">
      <c r="A193" s="18">
        <v>41481</v>
      </c>
      <c r="B193" s="19" t="s">
        <v>141</v>
      </c>
      <c r="C193" s="12">
        <v>50.4</v>
      </c>
      <c r="D193" s="19" t="s">
        <v>80</v>
      </c>
      <c r="E193" s="8">
        <v>8.4083100000000002</v>
      </c>
      <c r="F193" s="8">
        <v>83.31147</v>
      </c>
      <c r="G193" s="22">
        <v>50</v>
      </c>
      <c r="H193" s="22">
        <v>-10</v>
      </c>
      <c r="I193" s="10">
        <f t="shared" si="42"/>
        <v>-9.9666444232592379</v>
      </c>
      <c r="J193" s="10">
        <f t="shared" si="43"/>
        <v>-0.17395076056140502</v>
      </c>
      <c r="K193" s="10">
        <f t="shared" si="44"/>
        <v>21.321773754370099</v>
      </c>
      <c r="L193" s="22">
        <v>824</v>
      </c>
      <c r="M193" s="22" t="s">
        <v>39</v>
      </c>
      <c r="N193" s="8" t="s">
        <v>69</v>
      </c>
      <c r="O193" s="10" t="s">
        <v>65</v>
      </c>
      <c r="P193" s="10" t="s">
        <v>70</v>
      </c>
      <c r="Q193" s="8">
        <v>0.37</v>
      </c>
      <c r="R193" s="8" t="s">
        <v>71</v>
      </c>
      <c r="S193" s="30">
        <v>8</v>
      </c>
      <c r="T193" s="79">
        <f t="shared" si="52"/>
        <v>5.0265600000000002E-3</v>
      </c>
      <c r="U193" s="22">
        <v>7</v>
      </c>
      <c r="V193" s="22">
        <v>55</v>
      </c>
      <c r="W193" s="10">
        <f t="shared" si="53"/>
        <v>0.95993108859688125</v>
      </c>
      <c r="X193" s="22">
        <v>5</v>
      </c>
      <c r="Y193" s="22">
        <v>9</v>
      </c>
      <c r="Z193" s="10">
        <f t="shared" si="54"/>
        <v>0.15707963267948966</v>
      </c>
      <c r="AA193" s="10">
        <f t="shared" si="55"/>
        <v>6.5162366352240966</v>
      </c>
      <c r="AB193" s="10">
        <f t="shared" si="56"/>
        <v>8.8498835023923057</v>
      </c>
      <c r="AC193" s="10">
        <f t="shared" si="45"/>
        <v>1.1062354377990382</v>
      </c>
      <c r="AD193" s="10">
        <f t="shared" si="49"/>
        <v>4.4249417511961529</v>
      </c>
      <c r="AE193" s="65"/>
      <c r="AF193" s="10">
        <f t="shared" si="50"/>
        <v>12.509147049353199</v>
      </c>
      <c r="AG193" s="8">
        <f t="shared" si="46"/>
        <v>2.4392836746238737</v>
      </c>
      <c r="AH193" s="10">
        <f t="shared" si="47"/>
        <v>6.2545735246765997</v>
      </c>
      <c r="AI193" s="63"/>
      <c r="AJ193" s="10">
        <f t="shared" si="51"/>
        <v>13.033000000000001</v>
      </c>
      <c r="AK193" s="8"/>
      <c r="AL193" s="8">
        <f t="shared" si="48"/>
        <v>6.5165000000000006</v>
      </c>
    </row>
    <row r="194" spans="1:38">
      <c r="A194" s="18">
        <v>41481</v>
      </c>
      <c r="B194" s="19" t="s">
        <v>141</v>
      </c>
      <c r="C194" s="12">
        <v>50.4</v>
      </c>
      <c r="D194" s="19" t="s">
        <v>80</v>
      </c>
      <c r="E194" s="8">
        <v>8.4083100000000002</v>
      </c>
      <c r="F194" s="8">
        <v>83.31147</v>
      </c>
      <c r="G194" s="22">
        <v>50</v>
      </c>
      <c r="H194" s="22">
        <v>-10</v>
      </c>
      <c r="I194" s="10">
        <f t="shared" si="42"/>
        <v>-9.9666444232592379</v>
      </c>
      <c r="J194" s="10">
        <f t="shared" si="43"/>
        <v>-0.17395076056140502</v>
      </c>
      <c r="K194" s="10">
        <f t="shared" si="44"/>
        <v>21.321773754370099</v>
      </c>
      <c r="L194" s="22">
        <v>934</v>
      </c>
      <c r="M194" s="22" t="s">
        <v>36</v>
      </c>
      <c r="N194" s="8" t="s">
        <v>46</v>
      </c>
      <c r="O194" s="10" t="s">
        <v>37</v>
      </c>
      <c r="P194" s="10" t="s">
        <v>38</v>
      </c>
      <c r="Q194" s="11">
        <v>0.48</v>
      </c>
      <c r="R194" s="8" t="s">
        <v>60</v>
      </c>
      <c r="S194" s="30">
        <v>19.7</v>
      </c>
      <c r="T194" s="79">
        <f t="shared" si="52"/>
        <v>3.0480588600000001E-2</v>
      </c>
      <c r="U194" s="22">
        <v>7</v>
      </c>
      <c r="V194" s="22">
        <v>50</v>
      </c>
      <c r="W194" s="10">
        <f t="shared" si="53"/>
        <v>0.87266462599716477</v>
      </c>
      <c r="X194" s="22">
        <v>5</v>
      </c>
      <c r="Y194" s="22">
        <v>12</v>
      </c>
      <c r="Z194" s="10">
        <f t="shared" si="54"/>
        <v>0.20943951023931956</v>
      </c>
      <c r="AA194" s="10">
        <f t="shared" si="55"/>
        <v>6.4018695559216425</v>
      </c>
      <c r="AB194" s="10">
        <f t="shared" si="56"/>
        <v>60.499725068323713</v>
      </c>
      <c r="AC194" s="10">
        <f t="shared" si="45"/>
        <v>7.5624656335404641</v>
      </c>
      <c r="AD194" s="10">
        <f t="shared" si="49"/>
        <v>30.249862534161856</v>
      </c>
      <c r="AE194" s="65"/>
      <c r="AF194" s="10">
        <f t="shared" si="50"/>
        <v>151.9530624026049</v>
      </c>
      <c r="AG194" s="8">
        <f t="shared" si="46"/>
        <v>29.630847168507955</v>
      </c>
      <c r="AH194" s="10">
        <f t="shared" si="47"/>
        <v>75.97653120130245</v>
      </c>
      <c r="AI194" s="63"/>
      <c r="AJ194" s="10">
        <f t="shared" si="51"/>
        <v>171.5095</v>
      </c>
      <c r="AK194" s="8"/>
      <c r="AL194" s="8">
        <f t="shared" si="48"/>
        <v>85.754750000000001</v>
      </c>
    </row>
    <row r="195" spans="1:38">
      <c r="A195" s="18">
        <v>41481</v>
      </c>
      <c r="B195" s="19" t="s">
        <v>141</v>
      </c>
      <c r="C195" s="12">
        <v>50.4</v>
      </c>
      <c r="D195" s="19" t="s">
        <v>80</v>
      </c>
      <c r="E195" s="8">
        <v>8.4083100000000002</v>
      </c>
      <c r="F195" s="8">
        <v>83.31147</v>
      </c>
      <c r="G195" s="22">
        <v>50</v>
      </c>
      <c r="H195" s="22">
        <v>-10</v>
      </c>
      <c r="I195" s="10">
        <f t="shared" si="42"/>
        <v>-9.9666444232592379</v>
      </c>
      <c r="J195" s="10">
        <f t="shared" si="43"/>
        <v>-0.17395076056140502</v>
      </c>
      <c r="K195" s="10">
        <f t="shared" si="44"/>
        <v>21.321773754370099</v>
      </c>
      <c r="L195" s="22">
        <v>969</v>
      </c>
      <c r="M195" s="22" t="s">
        <v>39</v>
      </c>
      <c r="N195" s="8" t="s">
        <v>69</v>
      </c>
      <c r="O195" s="10" t="s">
        <v>65</v>
      </c>
      <c r="P195" s="10" t="s">
        <v>70</v>
      </c>
      <c r="Q195" s="8">
        <v>0.37</v>
      </c>
      <c r="R195" s="8" t="s">
        <v>71</v>
      </c>
      <c r="S195" s="30">
        <v>5.3</v>
      </c>
      <c r="T195" s="79">
        <f t="shared" si="52"/>
        <v>2.2061886000000002E-3</v>
      </c>
      <c r="U195" s="22">
        <v>10</v>
      </c>
      <c r="V195" s="22">
        <v>32</v>
      </c>
      <c r="W195" s="10">
        <f t="shared" si="53"/>
        <v>0.55850536063818546</v>
      </c>
      <c r="X195" s="22">
        <v>6</v>
      </c>
      <c r="Y195" s="22">
        <v>11</v>
      </c>
      <c r="Z195" s="10">
        <f t="shared" si="54"/>
        <v>0.19198621771937624</v>
      </c>
      <c r="AA195" s="10">
        <f t="shared" si="55"/>
        <v>6.4440466145913176</v>
      </c>
      <c r="AB195" s="10">
        <f t="shared" si="56"/>
        <v>4.0384910957380491</v>
      </c>
      <c r="AC195" s="10">
        <f t="shared" si="45"/>
        <v>0.50481138696725614</v>
      </c>
      <c r="AD195" s="10">
        <f t="shared" si="49"/>
        <v>2.0192455478690245</v>
      </c>
      <c r="AE195" s="65"/>
      <c r="AF195" s="10">
        <f t="shared" si="50"/>
        <v>4.5457323488085155</v>
      </c>
      <c r="AG195" s="8">
        <f t="shared" si="46"/>
        <v>0.88641780801766057</v>
      </c>
      <c r="AH195" s="10">
        <f t="shared" si="47"/>
        <v>2.2728661744042578</v>
      </c>
      <c r="AI195" s="63"/>
      <c r="AJ195" s="10">
        <f t="shared" si="51"/>
        <v>5.2326999999999977</v>
      </c>
      <c r="AK195" s="8"/>
      <c r="AL195" s="8">
        <f t="shared" si="48"/>
        <v>2.6163499999999988</v>
      </c>
    </row>
    <row r="196" spans="1:38">
      <c r="A196" s="18">
        <v>41481</v>
      </c>
      <c r="B196" s="19" t="s">
        <v>141</v>
      </c>
      <c r="C196" s="12">
        <v>50.4</v>
      </c>
      <c r="D196" s="19" t="s">
        <v>80</v>
      </c>
      <c r="E196" s="8">
        <v>8.4083100000000002</v>
      </c>
      <c r="F196" s="8">
        <v>83.31147</v>
      </c>
      <c r="G196" s="22">
        <v>50</v>
      </c>
      <c r="H196" s="22">
        <v>-10</v>
      </c>
      <c r="I196" s="10">
        <f t="shared" ref="I196:I257" si="57">1/TAN(H196/100)</f>
        <v>-9.9666444232592379</v>
      </c>
      <c r="J196" s="10">
        <f t="shared" ref="J196:J257" si="58">RADIANS(I196)</f>
        <v>-0.17395076056140502</v>
      </c>
      <c r="K196" s="10">
        <f t="shared" ref="K196:K242" si="59">21/COS(J196)</f>
        <v>21.321773754370099</v>
      </c>
      <c r="L196" s="22">
        <v>893</v>
      </c>
      <c r="M196" s="22" t="s">
        <v>36</v>
      </c>
      <c r="N196" s="8" t="s">
        <v>46</v>
      </c>
      <c r="O196" s="10" t="s">
        <v>37</v>
      </c>
      <c r="P196" s="10" t="s">
        <v>38</v>
      </c>
      <c r="Q196" s="11">
        <v>0.48</v>
      </c>
      <c r="R196" s="8" t="s">
        <v>60</v>
      </c>
      <c r="S196" s="30">
        <v>18.5</v>
      </c>
      <c r="T196" s="79">
        <f t="shared" si="52"/>
        <v>2.6880315000000002E-2</v>
      </c>
      <c r="U196" s="22">
        <v>10</v>
      </c>
      <c r="V196" s="22">
        <v>45</v>
      </c>
      <c r="W196" s="10">
        <f t="shared" si="53"/>
        <v>0.78539816339744828</v>
      </c>
      <c r="X196" s="22">
        <v>7</v>
      </c>
      <c r="Y196" s="22">
        <v>7</v>
      </c>
      <c r="Z196" s="10">
        <f t="shared" si="54"/>
        <v>0.12217304763960307</v>
      </c>
      <c r="AA196" s="10">
        <f t="shared" si="55"/>
        <v>7.9241532157015069</v>
      </c>
      <c r="AB196" s="10">
        <f t="shared" si="56"/>
        <v>65.694199662333716</v>
      </c>
      <c r="AC196" s="10">
        <f t="shared" si="45"/>
        <v>8.2117749577917145</v>
      </c>
      <c r="AD196" s="10">
        <f t="shared" si="49"/>
        <v>32.847099831166858</v>
      </c>
      <c r="AE196" s="65"/>
      <c r="AF196" s="10">
        <f t="shared" si="50"/>
        <v>130.12307497611366</v>
      </c>
      <c r="AG196" s="8">
        <f t="shared" si="46"/>
        <v>25.373999620342165</v>
      </c>
      <c r="AH196" s="10">
        <f t="shared" si="47"/>
        <v>65.061537488056828</v>
      </c>
      <c r="AI196" s="63"/>
      <c r="AJ196" s="10">
        <f t="shared" si="51"/>
        <v>145.93149999999997</v>
      </c>
      <c r="AK196" s="8"/>
      <c r="AL196" s="8">
        <f t="shared" si="48"/>
        <v>72.965749999999986</v>
      </c>
    </row>
    <row r="197" spans="1:38">
      <c r="A197" s="18">
        <v>41481</v>
      </c>
      <c r="B197" s="19" t="s">
        <v>141</v>
      </c>
      <c r="C197" s="12">
        <v>50.4</v>
      </c>
      <c r="D197" s="19" t="s">
        <v>80</v>
      </c>
      <c r="E197" s="8">
        <v>8.4083100000000002</v>
      </c>
      <c r="F197" s="8">
        <v>83.31147</v>
      </c>
      <c r="G197" s="22">
        <v>50</v>
      </c>
      <c r="H197" s="22">
        <v>-10</v>
      </c>
      <c r="I197" s="10">
        <f t="shared" si="57"/>
        <v>-9.9666444232592379</v>
      </c>
      <c r="J197" s="10">
        <f t="shared" si="58"/>
        <v>-0.17395076056140502</v>
      </c>
      <c r="K197" s="10">
        <f t="shared" si="59"/>
        <v>21.321773754370099</v>
      </c>
      <c r="L197" s="22">
        <v>986</v>
      </c>
      <c r="M197" s="22" t="s">
        <v>36</v>
      </c>
      <c r="N197" s="8" t="s">
        <v>46</v>
      </c>
      <c r="O197" s="10" t="s">
        <v>37</v>
      </c>
      <c r="P197" s="10" t="s">
        <v>38</v>
      </c>
      <c r="Q197" s="11">
        <v>0.48</v>
      </c>
      <c r="R197" s="8" t="s">
        <v>60</v>
      </c>
      <c r="S197" s="30">
        <v>16.600000000000001</v>
      </c>
      <c r="T197" s="79">
        <f t="shared" si="52"/>
        <v>2.1642482400000006E-2</v>
      </c>
      <c r="U197" s="22">
        <v>13</v>
      </c>
      <c r="V197" s="22">
        <v>57</v>
      </c>
      <c r="W197" s="10">
        <f t="shared" si="53"/>
        <v>0.99483767363676789</v>
      </c>
      <c r="X197" s="22">
        <v>7</v>
      </c>
      <c r="Y197" s="22">
        <v>7</v>
      </c>
      <c r="Z197" s="10">
        <f t="shared" si="54"/>
        <v>0.12217304763960307</v>
      </c>
      <c r="AA197" s="10">
        <f t="shared" si="55"/>
        <v>11.755802787126546</v>
      </c>
      <c r="AB197" s="10">
        <f t="shared" si="56"/>
        <v>77.637017683272447</v>
      </c>
      <c r="AC197" s="10">
        <f t="shared" ref="AC197:AC258" si="60">AB197*0.125</f>
        <v>9.7046272104090558</v>
      </c>
      <c r="AD197" s="10">
        <f t="shared" si="49"/>
        <v>38.818508841636223</v>
      </c>
      <c r="AE197" s="65"/>
      <c r="AF197" s="10">
        <f t="shared" si="50"/>
        <v>99.520098744571442</v>
      </c>
      <c r="AG197" s="8">
        <f t="shared" ref="AG197:AG258" si="61">AF197*0.195</f>
        <v>19.40641925519143</v>
      </c>
      <c r="AH197" s="10">
        <f t="shared" ref="AH197:AH258" si="62">AF197/2</f>
        <v>49.760049372285721</v>
      </c>
      <c r="AI197" s="63"/>
      <c r="AJ197" s="10">
        <f t="shared" si="51"/>
        <v>109.79160000000002</v>
      </c>
      <c r="AK197" s="8"/>
      <c r="AL197" s="8">
        <f t="shared" ref="AL197:AL258" si="63">AJ197/2</f>
        <v>54.895800000000008</v>
      </c>
    </row>
    <row r="198" spans="1:38">
      <c r="A198" s="18">
        <v>41481</v>
      </c>
      <c r="B198" s="19" t="s">
        <v>141</v>
      </c>
      <c r="C198" s="12">
        <v>50.4</v>
      </c>
      <c r="D198" s="19" t="s">
        <v>80</v>
      </c>
      <c r="E198" s="8">
        <v>8.4083100000000002</v>
      </c>
      <c r="F198" s="8">
        <v>83.31147</v>
      </c>
      <c r="G198" s="22">
        <v>50</v>
      </c>
      <c r="H198" s="22">
        <v>-10</v>
      </c>
      <c r="I198" s="10">
        <f t="shared" si="57"/>
        <v>-9.9666444232592379</v>
      </c>
      <c r="J198" s="10">
        <f t="shared" si="58"/>
        <v>-0.17395076056140502</v>
      </c>
      <c r="K198" s="10">
        <f t="shared" si="59"/>
        <v>21.321773754370099</v>
      </c>
      <c r="L198" s="22">
        <v>1015</v>
      </c>
      <c r="M198" s="22" t="s">
        <v>39</v>
      </c>
      <c r="N198" s="8" t="s">
        <v>69</v>
      </c>
      <c r="O198" s="10" t="s">
        <v>65</v>
      </c>
      <c r="P198" s="10" t="s">
        <v>70</v>
      </c>
      <c r="Q198" s="8">
        <v>0.37</v>
      </c>
      <c r="R198" s="8" t="s">
        <v>71</v>
      </c>
      <c r="S198" s="30">
        <v>6.3</v>
      </c>
      <c r="T198" s="79">
        <f t="shared" si="52"/>
        <v>3.1172525999999998E-3</v>
      </c>
      <c r="U198" s="22">
        <v>7</v>
      </c>
      <c r="V198" s="22">
        <v>40</v>
      </c>
      <c r="W198" s="10">
        <f t="shared" si="53"/>
        <v>0.69813170079773179</v>
      </c>
      <c r="X198" s="22">
        <v>6</v>
      </c>
      <c r="Y198" s="22">
        <v>16</v>
      </c>
      <c r="Z198" s="10">
        <f t="shared" si="54"/>
        <v>0.27925268031909273</v>
      </c>
      <c r="AA198" s="10">
        <f t="shared" si="55"/>
        <v>6.1533374027077699</v>
      </c>
      <c r="AB198" s="10">
        <f t="shared" si="56"/>
        <v>5.3517480597588536</v>
      </c>
      <c r="AC198" s="10">
        <f t="shared" si="60"/>
        <v>0.6689685074698567</v>
      </c>
      <c r="AD198" s="10">
        <f t="shared" si="49"/>
        <v>2.6758740298794268</v>
      </c>
      <c r="AE198" s="65"/>
      <c r="AF198" s="10">
        <f t="shared" si="50"/>
        <v>6.9383776146001477</v>
      </c>
      <c r="AG198" s="8">
        <f t="shared" si="61"/>
        <v>1.3529836348470288</v>
      </c>
      <c r="AH198" s="10">
        <f t="shared" si="62"/>
        <v>3.4691888073000738</v>
      </c>
      <c r="AI198" s="63"/>
      <c r="AJ198" s="10">
        <f t="shared" si="51"/>
        <v>6.8637000000000015</v>
      </c>
      <c r="AK198" s="8"/>
      <c r="AL198" s="8">
        <f t="shared" si="63"/>
        <v>3.4318500000000007</v>
      </c>
    </row>
    <row r="199" spans="1:38">
      <c r="A199" s="18">
        <v>41481</v>
      </c>
      <c r="B199" s="19" t="s">
        <v>141</v>
      </c>
      <c r="C199" s="12">
        <v>50.4</v>
      </c>
      <c r="D199" s="19" t="s">
        <v>80</v>
      </c>
      <c r="E199" s="8">
        <v>8.4083100000000002</v>
      </c>
      <c r="F199" s="8">
        <v>83.31147</v>
      </c>
      <c r="G199" s="22">
        <v>50</v>
      </c>
      <c r="H199" s="22">
        <v>-10</v>
      </c>
      <c r="I199" s="10">
        <f t="shared" si="57"/>
        <v>-9.9666444232592379</v>
      </c>
      <c r="J199" s="10">
        <f t="shared" si="58"/>
        <v>-0.17395076056140502</v>
      </c>
      <c r="K199" s="10">
        <f t="shared" si="59"/>
        <v>21.321773754370099</v>
      </c>
      <c r="L199" s="22">
        <v>1004</v>
      </c>
      <c r="M199" s="22" t="s">
        <v>39</v>
      </c>
      <c r="N199" s="8" t="s">
        <v>69</v>
      </c>
      <c r="O199" s="10" t="s">
        <v>65</v>
      </c>
      <c r="P199" s="10" t="s">
        <v>70</v>
      </c>
      <c r="Q199" s="8">
        <v>0.37</v>
      </c>
      <c r="R199" s="8" t="s">
        <v>71</v>
      </c>
      <c r="S199" s="30">
        <v>5.0999999999999996</v>
      </c>
      <c r="T199" s="79">
        <f t="shared" si="52"/>
        <v>2.0428254E-3</v>
      </c>
      <c r="U199" s="22">
        <v>6</v>
      </c>
      <c r="V199" s="22">
        <v>51</v>
      </c>
      <c r="W199" s="10">
        <f t="shared" si="53"/>
        <v>0.89011791851710809</v>
      </c>
      <c r="X199" s="22">
        <v>6</v>
      </c>
      <c r="Y199" s="22">
        <v>21</v>
      </c>
      <c r="Z199" s="10">
        <f t="shared" si="54"/>
        <v>0.36651914291880922</v>
      </c>
      <c r="AA199" s="10">
        <f t="shared" si="55"/>
        <v>6.8130834660136266</v>
      </c>
      <c r="AB199" s="10">
        <f t="shared" si="56"/>
        <v>3.9586432008290986</v>
      </c>
      <c r="AC199" s="10">
        <f t="shared" si="60"/>
        <v>0.49483040010363732</v>
      </c>
      <c r="AD199" s="10">
        <f t="shared" ref="AD199:AD262" si="64">AB199/2</f>
        <v>1.9793216004145493</v>
      </c>
      <c r="AE199" s="65"/>
      <c r="AF199" s="10">
        <f t="shared" ref="AF199:AF262" si="65">Q199*EXP(-1.239+1.98*LN(S199)+0.207*(LN(S199))^2-0.0281*(LN(S199))^3)</f>
        <v>4.1395452846364549</v>
      </c>
      <c r="AG199" s="8">
        <f t="shared" si="61"/>
        <v>0.80721133050410876</v>
      </c>
      <c r="AH199" s="10">
        <f t="shared" si="62"/>
        <v>2.0697726423182274</v>
      </c>
      <c r="AI199" s="63"/>
      <c r="AJ199" s="10">
        <f t="shared" ref="AJ199:AJ262" si="66">21.297-6.953*S199+0.74*(S199^2)</f>
        <v>5.084100000000003</v>
      </c>
      <c r="AK199" s="8"/>
      <c r="AL199" s="8">
        <f t="shared" si="63"/>
        <v>2.5420500000000015</v>
      </c>
    </row>
    <row r="200" spans="1:38">
      <c r="A200" s="18">
        <v>41481</v>
      </c>
      <c r="B200" s="19" t="s">
        <v>141</v>
      </c>
      <c r="C200" s="12">
        <v>50.4</v>
      </c>
      <c r="D200" s="19" t="s">
        <v>80</v>
      </c>
      <c r="E200" s="8">
        <v>8.4083100000000002</v>
      </c>
      <c r="F200" s="8">
        <v>83.31147</v>
      </c>
      <c r="G200" s="22">
        <v>50</v>
      </c>
      <c r="H200" s="22">
        <v>-10</v>
      </c>
      <c r="I200" s="10">
        <f t="shared" si="57"/>
        <v>-9.9666444232592379</v>
      </c>
      <c r="J200" s="10">
        <f t="shared" si="58"/>
        <v>-0.17395076056140502</v>
      </c>
      <c r="K200" s="10">
        <f t="shared" si="59"/>
        <v>21.321773754370099</v>
      </c>
      <c r="L200" s="22">
        <v>956</v>
      </c>
      <c r="M200" s="22" t="s">
        <v>39</v>
      </c>
      <c r="N200" s="8" t="s">
        <v>69</v>
      </c>
      <c r="O200" s="10" t="s">
        <v>65</v>
      </c>
      <c r="P200" s="10" t="s">
        <v>70</v>
      </c>
      <c r="Q200" s="8">
        <v>0.37</v>
      </c>
      <c r="R200" s="8" t="s">
        <v>71</v>
      </c>
      <c r="S200" s="30">
        <v>9.1999999999999993</v>
      </c>
      <c r="T200" s="79">
        <f t="shared" ref="T200:T263" si="67">0.00007854*S200^2</f>
        <v>6.6476255999999992E-3</v>
      </c>
      <c r="U200" s="22">
        <v>10</v>
      </c>
      <c r="V200" s="22">
        <v>54</v>
      </c>
      <c r="W200" s="10">
        <f t="shared" si="53"/>
        <v>0.94247779607693793</v>
      </c>
      <c r="X200" s="22">
        <v>6</v>
      </c>
      <c r="Y200" s="22">
        <v>19</v>
      </c>
      <c r="Z200" s="10">
        <f t="shared" si="54"/>
        <v>0.33161255787892263</v>
      </c>
      <c r="AA200" s="10">
        <f t="shared" si="55"/>
        <v>10.043578870492414</v>
      </c>
      <c r="AB200" s="10">
        <f t="shared" si="56"/>
        <v>17.284930672551148</v>
      </c>
      <c r="AC200" s="10">
        <f t="shared" si="60"/>
        <v>2.1606163340688935</v>
      </c>
      <c r="AD200" s="10">
        <f t="shared" si="64"/>
        <v>8.6424653362755741</v>
      </c>
      <c r="AE200" s="65"/>
      <c r="AF200" s="10">
        <f t="shared" si="65"/>
        <v>17.691863609548438</v>
      </c>
      <c r="AG200" s="8">
        <f t="shared" si="61"/>
        <v>3.4499134038619457</v>
      </c>
      <c r="AH200" s="10">
        <f t="shared" si="62"/>
        <v>8.845931804774219</v>
      </c>
      <c r="AI200" s="63"/>
      <c r="AJ200" s="10">
        <f t="shared" si="66"/>
        <v>19.962999999999994</v>
      </c>
      <c r="AK200" s="8"/>
      <c r="AL200" s="8">
        <f t="shared" si="63"/>
        <v>9.9814999999999969</v>
      </c>
    </row>
    <row r="201" spans="1:38">
      <c r="A201" s="18">
        <v>41479</v>
      </c>
      <c r="B201" s="19" t="s">
        <v>141</v>
      </c>
      <c r="C201" s="12">
        <v>50.5</v>
      </c>
      <c r="D201" s="19" t="s">
        <v>80</v>
      </c>
      <c r="E201" s="16">
        <v>8.4093</v>
      </c>
      <c r="F201" s="8">
        <v>83.315039999999996</v>
      </c>
      <c r="G201" s="22">
        <v>50</v>
      </c>
      <c r="H201" s="22">
        <v>-13</v>
      </c>
      <c r="I201" s="10">
        <f t="shared" si="57"/>
        <v>-7.6489254580385788</v>
      </c>
      <c r="J201" s="10">
        <f t="shared" si="58"/>
        <v>-0.13349893348238856</v>
      </c>
      <c r="K201" s="10">
        <f t="shared" si="59"/>
        <v>21.188530377780278</v>
      </c>
      <c r="L201" s="8">
        <v>717</v>
      </c>
      <c r="M201" s="8" t="s">
        <v>54</v>
      </c>
      <c r="N201" s="8" t="s">
        <v>55</v>
      </c>
      <c r="O201" s="10" t="s">
        <v>56</v>
      </c>
      <c r="P201" s="10" t="s">
        <v>57</v>
      </c>
      <c r="Q201" s="11">
        <v>0.315</v>
      </c>
      <c r="R201" s="12" t="s">
        <v>66</v>
      </c>
      <c r="S201" s="12">
        <v>32.700000000000003</v>
      </c>
      <c r="T201" s="79">
        <f t="shared" si="67"/>
        <v>8.3982036600000018E-2</v>
      </c>
      <c r="U201" s="8">
        <v>11</v>
      </c>
      <c r="V201" s="8">
        <v>65</v>
      </c>
      <c r="W201" s="10">
        <f t="shared" ref="W201:W242" si="68">RADIANS(V201)</f>
        <v>1.1344640137963142</v>
      </c>
      <c r="X201" s="22">
        <v>5</v>
      </c>
      <c r="Y201" s="22">
        <v>16</v>
      </c>
      <c r="Z201" s="10">
        <f t="shared" ref="Z201:Z242" si="69">RADIANS(Y201)</f>
        <v>0.27925268031909273</v>
      </c>
      <c r="AA201" s="10">
        <f t="shared" ref="AA201:AA242" si="70">(SIN(W201)*U201)+(SIN(Z201)*X201)</f>
        <v>11.347572436488145</v>
      </c>
      <c r="AB201" s="10">
        <f t="shared" ref="AB201:AB242" si="71">0.0776*(Q201*S201^2*AA201)^0.94</f>
        <v>180.8140619839125</v>
      </c>
      <c r="AC201" s="10">
        <f t="shared" si="60"/>
        <v>22.601757747989062</v>
      </c>
      <c r="AD201" s="10">
        <f t="shared" si="64"/>
        <v>90.407030991956248</v>
      </c>
      <c r="AE201" s="65"/>
      <c r="AF201" s="10">
        <f t="shared" si="65"/>
        <v>342.58248669567007</v>
      </c>
      <c r="AG201" s="8">
        <f t="shared" si="61"/>
        <v>66.803584905655669</v>
      </c>
      <c r="AH201" s="10">
        <f t="shared" si="62"/>
        <v>171.29124334783504</v>
      </c>
      <c r="AI201" s="63"/>
      <c r="AJ201" s="10">
        <f t="shared" si="66"/>
        <v>585.20850000000007</v>
      </c>
      <c r="AK201" s="8"/>
      <c r="AL201" s="8">
        <f t="shared" si="63"/>
        <v>292.60425000000004</v>
      </c>
    </row>
    <row r="202" spans="1:38">
      <c r="A202" s="18">
        <v>41479</v>
      </c>
      <c r="B202" s="19" t="s">
        <v>141</v>
      </c>
      <c r="C202" s="12">
        <v>50.5</v>
      </c>
      <c r="D202" s="19" t="s">
        <v>80</v>
      </c>
      <c r="E202" s="16">
        <v>8.4093</v>
      </c>
      <c r="F202" s="8">
        <v>83.315039999999996</v>
      </c>
      <c r="G202" s="22">
        <v>50</v>
      </c>
      <c r="H202" s="22">
        <v>-13</v>
      </c>
      <c r="I202" s="10">
        <f t="shared" si="57"/>
        <v>-7.6489254580385788</v>
      </c>
      <c r="J202" s="10">
        <f t="shared" si="58"/>
        <v>-0.13349893348238856</v>
      </c>
      <c r="K202" s="10">
        <f t="shared" si="59"/>
        <v>21.188530377780278</v>
      </c>
      <c r="L202" s="8">
        <v>699</v>
      </c>
      <c r="M202" s="8" t="s">
        <v>54</v>
      </c>
      <c r="N202" s="8" t="s">
        <v>55</v>
      </c>
      <c r="O202" s="10" t="s">
        <v>56</v>
      </c>
      <c r="P202" s="10" t="s">
        <v>57</v>
      </c>
      <c r="Q202" s="11">
        <v>0.315</v>
      </c>
      <c r="R202" s="12" t="s">
        <v>66</v>
      </c>
      <c r="S202" s="12">
        <v>26.8</v>
      </c>
      <c r="T202" s="79">
        <f t="shared" si="67"/>
        <v>5.6410569600000002E-2</v>
      </c>
      <c r="U202" s="8">
        <v>11</v>
      </c>
      <c r="V202" s="8">
        <v>65</v>
      </c>
      <c r="W202" s="10">
        <f t="shared" si="68"/>
        <v>1.1344640137963142</v>
      </c>
      <c r="X202" s="22">
        <v>5</v>
      </c>
      <c r="Y202" s="22">
        <v>16</v>
      </c>
      <c r="Z202" s="10">
        <f t="shared" si="69"/>
        <v>0.27925268031909273</v>
      </c>
      <c r="AA202" s="10">
        <f t="shared" si="70"/>
        <v>11.347572436488145</v>
      </c>
      <c r="AB202" s="10">
        <f t="shared" si="71"/>
        <v>124.38724258352332</v>
      </c>
      <c r="AC202" s="10">
        <f t="shared" si="60"/>
        <v>15.548405322940415</v>
      </c>
      <c r="AD202" s="10">
        <f t="shared" si="64"/>
        <v>62.193621291761659</v>
      </c>
      <c r="AE202" s="65"/>
      <c r="AF202" s="10">
        <f t="shared" si="65"/>
        <v>211.88547234099906</v>
      </c>
      <c r="AG202" s="8">
        <f t="shared" si="61"/>
        <v>41.317667106494817</v>
      </c>
      <c r="AH202" s="10">
        <f t="shared" si="62"/>
        <v>105.94273617049953</v>
      </c>
      <c r="AI202" s="63"/>
      <c r="AJ202" s="10">
        <f t="shared" si="66"/>
        <v>366.45420000000001</v>
      </c>
      <c r="AK202" s="8"/>
      <c r="AL202" s="8">
        <f t="shared" si="63"/>
        <v>183.22710000000001</v>
      </c>
    </row>
    <row r="203" spans="1:38">
      <c r="A203" s="18">
        <v>41479</v>
      </c>
      <c r="B203" s="19" t="s">
        <v>141</v>
      </c>
      <c r="C203" s="12">
        <v>50.5</v>
      </c>
      <c r="D203" s="19" t="s">
        <v>80</v>
      </c>
      <c r="E203" s="16">
        <v>8.4093</v>
      </c>
      <c r="F203" s="8">
        <v>83.315039999999996</v>
      </c>
      <c r="G203" s="22">
        <v>50</v>
      </c>
      <c r="H203" s="22">
        <v>-13</v>
      </c>
      <c r="I203" s="10">
        <f t="shared" si="57"/>
        <v>-7.6489254580385788</v>
      </c>
      <c r="J203" s="10">
        <f t="shared" si="58"/>
        <v>-0.13349893348238856</v>
      </c>
      <c r="K203" s="10">
        <f t="shared" si="59"/>
        <v>21.188530377780278</v>
      </c>
      <c r="L203" s="8">
        <v>597</v>
      </c>
      <c r="M203" s="8" t="s">
        <v>39</v>
      </c>
      <c r="N203" s="8" t="s">
        <v>69</v>
      </c>
      <c r="O203" s="10" t="s">
        <v>65</v>
      </c>
      <c r="P203" s="10" t="s">
        <v>70</v>
      </c>
      <c r="Q203" s="8">
        <v>0.37</v>
      </c>
      <c r="R203" s="8" t="s">
        <v>71</v>
      </c>
      <c r="S203" s="12">
        <v>28.8</v>
      </c>
      <c r="T203" s="79">
        <f t="shared" si="67"/>
        <v>6.5144217600000012E-2</v>
      </c>
      <c r="U203" s="8">
        <v>16</v>
      </c>
      <c r="V203" s="8">
        <v>60</v>
      </c>
      <c r="W203" s="10">
        <f t="shared" si="68"/>
        <v>1.0471975511965976</v>
      </c>
      <c r="X203" s="22">
        <v>7</v>
      </c>
      <c r="Y203" s="22">
        <v>16</v>
      </c>
      <c r="Z203" s="10">
        <f t="shared" si="69"/>
        <v>0.27925268031909273</v>
      </c>
      <c r="AA203" s="10">
        <f t="shared" si="70"/>
        <v>15.785867951270012</v>
      </c>
      <c r="AB203" s="10">
        <f t="shared" si="71"/>
        <v>225.94439722765006</v>
      </c>
      <c r="AC203" s="10">
        <f t="shared" si="60"/>
        <v>28.243049653456257</v>
      </c>
      <c r="AD203" s="10">
        <f t="shared" si="64"/>
        <v>112.97219861382503</v>
      </c>
      <c r="AE203" s="65"/>
      <c r="AF203" s="10">
        <f t="shared" si="65"/>
        <v>296.33311985697213</v>
      </c>
      <c r="AG203" s="8">
        <f t="shared" si="61"/>
        <v>57.784958372109571</v>
      </c>
      <c r="AH203" s="10">
        <f t="shared" si="62"/>
        <v>148.16655992848607</v>
      </c>
      <c r="AI203" s="63"/>
      <c r="AJ203" s="10">
        <f t="shared" si="66"/>
        <v>434.83620000000002</v>
      </c>
      <c r="AK203" s="8"/>
      <c r="AL203" s="8">
        <f t="shared" si="63"/>
        <v>217.41810000000001</v>
      </c>
    </row>
    <row r="204" spans="1:38">
      <c r="A204" s="18">
        <v>41479</v>
      </c>
      <c r="B204" s="19" t="s">
        <v>141</v>
      </c>
      <c r="C204" s="12">
        <v>50.5</v>
      </c>
      <c r="D204" s="19" t="s">
        <v>80</v>
      </c>
      <c r="E204" s="16">
        <v>8.4093</v>
      </c>
      <c r="F204" s="8">
        <v>83.315039999999996</v>
      </c>
      <c r="G204" s="22">
        <v>50</v>
      </c>
      <c r="H204" s="22">
        <v>-13</v>
      </c>
      <c r="I204" s="10">
        <f t="shared" si="57"/>
        <v>-7.6489254580385788</v>
      </c>
      <c r="J204" s="10">
        <f t="shared" si="58"/>
        <v>-0.13349893348238856</v>
      </c>
      <c r="K204" s="10">
        <f t="shared" si="59"/>
        <v>21.188530377780278</v>
      </c>
      <c r="L204" s="22">
        <v>707</v>
      </c>
      <c r="M204" s="22" t="s">
        <v>39</v>
      </c>
      <c r="N204" s="8" t="s">
        <v>69</v>
      </c>
      <c r="O204" s="10" t="s">
        <v>65</v>
      </c>
      <c r="P204" s="10" t="s">
        <v>70</v>
      </c>
      <c r="Q204" s="8">
        <v>0.37</v>
      </c>
      <c r="R204" s="8" t="s">
        <v>71</v>
      </c>
      <c r="S204" s="31">
        <v>6.8</v>
      </c>
      <c r="T204" s="79">
        <f t="shared" si="67"/>
        <v>3.6316895999999998E-3</v>
      </c>
      <c r="U204" s="22">
        <v>10</v>
      </c>
      <c r="V204" s="22">
        <v>40</v>
      </c>
      <c r="W204" s="10">
        <f t="shared" si="68"/>
        <v>0.69813170079773179</v>
      </c>
      <c r="X204" s="22">
        <v>7</v>
      </c>
      <c r="Y204" s="22">
        <v>14</v>
      </c>
      <c r="Z204" s="10">
        <f t="shared" si="69"/>
        <v>0.24434609527920614</v>
      </c>
      <c r="AA204" s="10">
        <f t="shared" si="70"/>
        <v>8.1213293660630672</v>
      </c>
      <c r="AB204" s="10">
        <f t="shared" si="71"/>
        <v>8.0193209332087854</v>
      </c>
      <c r="AC204" s="10">
        <f t="shared" si="60"/>
        <v>1.0024151166510982</v>
      </c>
      <c r="AD204" s="10">
        <f t="shared" si="64"/>
        <v>4.0096604666043927</v>
      </c>
      <c r="AE204" s="65"/>
      <c r="AF204" s="10">
        <f t="shared" si="65"/>
        <v>8.3725731297469217</v>
      </c>
      <c r="AG204" s="8">
        <f t="shared" si="61"/>
        <v>1.6326517603006498</v>
      </c>
      <c r="AH204" s="10">
        <f t="shared" si="62"/>
        <v>4.1862865648734608</v>
      </c>
      <c r="AI204" s="63"/>
      <c r="AJ204" s="10">
        <f t="shared" si="66"/>
        <v>8.2341999999999977</v>
      </c>
      <c r="AK204" s="8"/>
      <c r="AL204" s="8">
        <f t="shared" si="63"/>
        <v>4.1170999999999989</v>
      </c>
    </row>
    <row r="205" spans="1:38">
      <c r="A205" s="18">
        <v>41479</v>
      </c>
      <c r="B205" s="19" t="s">
        <v>141</v>
      </c>
      <c r="C205" s="12">
        <v>50.5</v>
      </c>
      <c r="D205" s="19" t="s">
        <v>80</v>
      </c>
      <c r="E205" s="16">
        <v>8.4093</v>
      </c>
      <c r="F205" s="8">
        <v>83.315039999999996</v>
      </c>
      <c r="G205" s="22">
        <v>50</v>
      </c>
      <c r="H205" s="22">
        <v>-13</v>
      </c>
      <c r="I205" s="10">
        <f t="shared" si="57"/>
        <v>-7.6489254580385788</v>
      </c>
      <c r="J205" s="10">
        <f t="shared" si="58"/>
        <v>-0.13349893348238856</v>
      </c>
      <c r="K205" s="10">
        <f t="shared" si="59"/>
        <v>21.188530377780278</v>
      </c>
      <c r="L205" s="22">
        <v>685</v>
      </c>
      <c r="M205" s="22" t="s">
        <v>39</v>
      </c>
      <c r="N205" s="8" t="s">
        <v>69</v>
      </c>
      <c r="O205" s="10" t="s">
        <v>65</v>
      </c>
      <c r="P205" s="10" t="s">
        <v>70</v>
      </c>
      <c r="Q205" s="8">
        <v>0.37</v>
      </c>
      <c r="R205" s="8" t="s">
        <v>71</v>
      </c>
      <c r="S205" s="31">
        <v>8.8000000000000007</v>
      </c>
      <c r="T205" s="79">
        <f t="shared" si="67"/>
        <v>6.0821376000000016E-3</v>
      </c>
      <c r="U205" s="22">
        <v>8</v>
      </c>
      <c r="V205" s="22">
        <v>33</v>
      </c>
      <c r="W205" s="10">
        <f t="shared" si="68"/>
        <v>0.57595865315812877</v>
      </c>
      <c r="X205" s="22">
        <v>6</v>
      </c>
      <c r="Y205" s="22">
        <v>17</v>
      </c>
      <c r="Z205" s="10">
        <f t="shared" si="69"/>
        <v>0.29670597283903605</v>
      </c>
      <c r="AA205" s="10">
        <f t="shared" si="70"/>
        <v>6.1113425084566373</v>
      </c>
      <c r="AB205" s="10">
        <f t="shared" si="71"/>
        <v>9.9670627478077805</v>
      </c>
      <c r="AC205" s="10">
        <f t="shared" si="60"/>
        <v>1.2458828434759726</v>
      </c>
      <c r="AD205" s="10">
        <f t="shared" si="64"/>
        <v>4.9835313739038902</v>
      </c>
      <c r="AE205" s="65"/>
      <c r="AF205" s="10">
        <f t="shared" si="65"/>
        <v>15.843304582086819</v>
      </c>
      <c r="AG205" s="8">
        <f t="shared" si="61"/>
        <v>3.08944439350693</v>
      </c>
      <c r="AH205" s="10">
        <f t="shared" si="62"/>
        <v>7.9216522910434097</v>
      </c>
      <c r="AI205" s="63"/>
      <c r="AJ205" s="10">
        <f t="shared" si="66"/>
        <v>17.416199999999996</v>
      </c>
      <c r="AK205" s="8"/>
      <c r="AL205" s="8">
        <f t="shared" si="63"/>
        <v>8.7080999999999982</v>
      </c>
    </row>
    <row r="206" spans="1:38">
      <c r="A206" s="18">
        <v>41479</v>
      </c>
      <c r="B206" s="19" t="s">
        <v>141</v>
      </c>
      <c r="C206" s="12">
        <v>50.5</v>
      </c>
      <c r="D206" s="19" t="s">
        <v>80</v>
      </c>
      <c r="E206" s="16">
        <v>8.4093</v>
      </c>
      <c r="F206" s="8">
        <v>83.315039999999996</v>
      </c>
      <c r="G206" s="22">
        <v>50</v>
      </c>
      <c r="H206" s="22">
        <v>-13</v>
      </c>
      <c r="I206" s="10">
        <f t="shared" si="57"/>
        <v>-7.6489254580385788</v>
      </c>
      <c r="J206" s="10">
        <f t="shared" si="58"/>
        <v>-0.13349893348238856</v>
      </c>
      <c r="K206" s="10">
        <f t="shared" si="59"/>
        <v>21.188530377780278</v>
      </c>
      <c r="L206" s="22">
        <v>799</v>
      </c>
      <c r="M206" s="22" t="s">
        <v>39</v>
      </c>
      <c r="N206" s="8" t="s">
        <v>69</v>
      </c>
      <c r="O206" s="10" t="s">
        <v>65</v>
      </c>
      <c r="P206" s="10" t="s">
        <v>70</v>
      </c>
      <c r="Q206" s="8">
        <v>0.37</v>
      </c>
      <c r="R206" s="8" t="s">
        <v>71</v>
      </c>
      <c r="S206" s="31">
        <v>17.5</v>
      </c>
      <c r="T206" s="79">
        <f t="shared" si="67"/>
        <v>2.4052875000000001E-2</v>
      </c>
      <c r="U206" s="22">
        <v>14</v>
      </c>
      <c r="V206" s="22">
        <v>66</v>
      </c>
      <c r="W206" s="10">
        <f t="shared" si="68"/>
        <v>1.1519173063162575</v>
      </c>
      <c r="X206" s="22">
        <v>6</v>
      </c>
      <c r="Y206" s="22">
        <v>13</v>
      </c>
      <c r="Z206" s="10">
        <f t="shared" si="69"/>
        <v>0.22689280275926285</v>
      </c>
      <c r="AA206" s="10">
        <f t="shared" si="70"/>
        <v>14.139342733059602</v>
      </c>
      <c r="AB206" s="10">
        <f t="shared" si="71"/>
        <v>79.852099981451133</v>
      </c>
      <c r="AC206" s="10">
        <f t="shared" si="60"/>
        <v>9.9815124976813916</v>
      </c>
      <c r="AD206" s="10">
        <f t="shared" si="64"/>
        <v>39.926049990725566</v>
      </c>
      <c r="AE206" s="65"/>
      <c r="AF206" s="10">
        <f t="shared" si="65"/>
        <v>87.427432536929174</v>
      </c>
      <c r="AG206" s="8">
        <f t="shared" si="61"/>
        <v>17.04834934470119</v>
      </c>
      <c r="AH206" s="10">
        <f t="shared" si="62"/>
        <v>43.713716268464587</v>
      </c>
      <c r="AI206" s="63"/>
      <c r="AJ206" s="10">
        <f t="shared" si="66"/>
        <v>126.24449999999999</v>
      </c>
      <c r="AK206" s="8"/>
      <c r="AL206" s="8">
        <f t="shared" si="63"/>
        <v>63.122249999999994</v>
      </c>
    </row>
    <row r="207" spans="1:38">
      <c r="A207" s="18">
        <v>41479</v>
      </c>
      <c r="B207" s="19" t="s">
        <v>141</v>
      </c>
      <c r="C207" s="12">
        <v>50.5</v>
      </c>
      <c r="D207" s="19" t="s">
        <v>80</v>
      </c>
      <c r="E207" s="16">
        <v>8.4093</v>
      </c>
      <c r="F207" s="8">
        <v>83.315039999999996</v>
      </c>
      <c r="G207" s="22">
        <v>50</v>
      </c>
      <c r="H207" s="22">
        <v>-13</v>
      </c>
      <c r="I207" s="10">
        <f t="shared" si="57"/>
        <v>-7.6489254580385788</v>
      </c>
      <c r="J207" s="10">
        <f t="shared" si="58"/>
        <v>-0.13349893348238856</v>
      </c>
      <c r="K207" s="10">
        <f t="shared" si="59"/>
        <v>21.188530377780278</v>
      </c>
      <c r="L207" s="22">
        <v>658</v>
      </c>
      <c r="M207" s="22" t="s">
        <v>39</v>
      </c>
      <c r="N207" s="8" t="s">
        <v>69</v>
      </c>
      <c r="O207" s="10" t="s">
        <v>65</v>
      </c>
      <c r="P207" s="10" t="s">
        <v>70</v>
      </c>
      <c r="Q207" s="8">
        <v>0.37</v>
      </c>
      <c r="R207" s="8" t="s">
        <v>71</v>
      </c>
      <c r="S207" s="30">
        <v>13</v>
      </c>
      <c r="T207" s="79">
        <f t="shared" si="67"/>
        <v>1.327326E-2</v>
      </c>
      <c r="U207" s="22">
        <v>10</v>
      </c>
      <c r="V207" s="22">
        <v>55</v>
      </c>
      <c r="W207" s="10">
        <f t="shared" si="68"/>
        <v>0.95993108859688125</v>
      </c>
      <c r="X207" s="22">
        <v>5</v>
      </c>
      <c r="Y207" s="22">
        <v>24</v>
      </c>
      <c r="Z207" s="10">
        <f t="shared" si="69"/>
        <v>0.41887902047863912</v>
      </c>
      <c r="AA207" s="10">
        <f t="shared" si="70"/>
        <v>10.225203658268919</v>
      </c>
      <c r="AB207" s="10">
        <f t="shared" si="71"/>
        <v>33.672587718515651</v>
      </c>
      <c r="AC207" s="10">
        <f t="shared" si="60"/>
        <v>4.2090734648144563</v>
      </c>
      <c r="AD207" s="10">
        <f t="shared" si="64"/>
        <v>16.836293859257825</v>
      </c>
      <c r="AE207" s="65"/>
      <c r="AF207" s="10">
        <f t="shared" si="65"/>
        <v>41.804911334924498</v>
      </c>
      <c r="AG207" s="8">
        <f t="shared" si="61"/>
        <v>8.1519577103102776</v>
      </c>
      <c r="AH207" s="10">
        <f t="shared" si="62"/>
        <v>20.902455667462249</v>
      </c>
      <c r="AI207" s="63"/>
      <c r="AJ207" s="10">
        <f t="shared" si="66"/>
        <v>55.967999999999989</v>
      </c>
      <c r="AK207" s="8"/>
      <c r="AL207" s="8">
        <f t="shared" si="63"/>
        <v>27.983999999999995</v>
      </c>
    </row>
    <row r="208" spans="1:38">
      <c r="A208" s="18">
        <v>41479</v>
      </c>
      <c r="B208" s="19" t="s">
        <v>141</v>
      </c>
      <c r="C208" s="12">
        <v>50.5</v>
      </c>
      <c r="D208" s="19" t="s">
        <v>80</v>
      </c>
      <c r="E208" s="16">
        <v>8.4093</v>
      </c>
      <c r="F208" s="8">
        <v>83.315039999999996</v>
      </c>
      <c r="G208" s="22">
        <v>50</v>
      </c>
      <c r="H208" s="22">
        <v>-13</v>
      </c>
      <c r="I208" s="10">
        <f t="shared" si="57"/>
        <v>-7.6489254580385788</v>
      </c>
      <c r="J208" s="10">
        <f t="shared" si="58"/>
        <v>-0.13349893348238856</v>
      </c>
      <c r="K208" s="10">
        <f t="shared" si="59"/>
        <v>21.188530377780278</v>
      </c>
      <c r="L208" s="22">
        <v>826</v>
      </c>
      <c r="M208" s="22" t="s">
        <v>39</v>
      </c>
      <c r="N208" s="8" t="s">
        <v>69</v>
      </c>
      <c r="O208" s="10" t="s">
        <v>65</v>
      </c>
      <c r="P208" s="10" t="s">
        <v>70</v>
      </c>
      <c r="Q208" s="8">
        <v>0.37</v>
      </c>
      <c r="R208" s="8" t="s">
        <v>71</v>
      </c>
      <c r="S208" s="31">
        <v>16.5</v>
      </c>
      <c r="T208" s="79">
        <f t="shared" si="67"/>
        <v>2.1382515000000001E-2</v>
      </c>
      <c r="U208" s="22">
        <v>11</v>
      </c>
      <c r="V208" s="22">
        <v>50</v>
      </c>
      <c r="W208" s="10">
        <f t="shared" si="68"/>
        <v>0.87266462599716477</v>
      </c>
      <c r="X208" s="22">
        <v>6</v>
      </c>
      <c r="Y208" s="22">
        <v>23</v>
      </c>
      <c r="Z208" s="10">
        <f t="shared" si="69"/>
        <v>0.4014257279586958</v>
      </c>
      <c r="AA208" s="10">
        <f t="shared" si="70"/>
        <v>10.7708756452444</v>
      </c>
      <c r="AB208" s="10">
        <f t="shared" si="71"/>
        <v>55.355032244838462</v>
      </c>
      <c r="AC208" s="10">
        <f t="shared" si="60"/>
        <v>6.9193790306048077</v>
      </c>
      <c r="AD208" s="10">
        <f t="shared" si="64"/>
        <v>27.677516122419231</v>
      </c>
      <c r="AE208" s="65"/>
      <c r="AF208" s="10">
        <f t="shared" si="65"/>
        <v>75.573386390922963</v>
      </c>
      <c r="AG208" s="8">
        <f t="shared" si="61"/>
        <v>14.736810346229978</v>
      </c>
      <c r="AH208" s="10">
        <f t="shared" si="62"/>
        <v>37.786693195461481</v>
      </c>
      <c r="AI208" s="63"/>
      <c r="AJ208" s="10">
        <f t="shared" si="66"/>
        <v>108.03749999999999</v>
      </c>
      <c r="AK208" s="8"/>
      <c r="AL208" s="8">
        <f t="shared" si="63"/>
        <v>54.018749999999997</v>
      </c>
    </row>
    <row r="209" spans="1:38">
      <c r="A209" s="18">
        <v>41479</v>
      </c>
      <c r="B209" s="19" t="s">
        <v>141</v>
      </c>
      <c r="C209" s="12">
        <v>50.5</v>
      </c>
      <c r="D209" s="19" t="s">
        <v>80</v>
      </c>
      <c r="E209" s="16">
        <v>8.4093</v>
      </c>
      <c r="F209" s="8">
        <v>83.315039999999996</v>
      </c>
      <c r="G209" s="22">
        <v>50</v>
      </c>
      <c r="H209" s="22">
        <v>-13</v>
      </c>
      <c r="I209" s="10">
        <f t="shared" si="57"/>
        <v>-7.6489254580385788</v>
      </c>
      <c r="J209" s="10">
        <f t="shared" si="58"/>
        <v>-0.13349893348238856</v>
      </c>
      <c r="K209" s="10">
        <f t="shared" si="59"/>
        <v>21.188530377780278</v>
      </c>
      <c r="L209" s="22">
        <v>696</v>
      </c>
      <c r="M209" s="22" t="s">
        <v>54</v>
      </c>
      <c r="N209" s="8" t="s">
        <v>55</v>
      </c>
      <c r="O209" s="10" t="s">
        <v>56</v>
      </c>
      <c r="P209" s="10" t="s">
        <v>57</v>
      </c>
      <c r="Q209" s="11">
        <v>0.315</v>
      </c>
      <c r="R209" s="12" t="s">
        <v>66</v>
      </c>
      <c r="S209" s="31">
        <v>32.799999999999997</v>
      </c>
      <c r="T209" s="79">
        <f t="shared" si="67"/>
        <v>8.4496473599999997E-2</v>
      </c>
      <c r="U209" s="22">
        <v>19</v>
      </c>
      <c r="V209" s="22">
        <v>75</v>
      </c>
      <c r="W209" s="10">
        <f t="shared" si="68"/>
        <v>1.3089969389957472</v>
      </c>
      <c r="X209" s="22">
        <v>6</v>
      </c>
      <c r="Y209" s="22">
        <v>20</v>
      </c>
      <c r="Z209" s="10">
        <f t="shared" si="69"/>
        <v>0.3490658503988659</v>
      </c>
      <c r="AA209" s="10">
        <f t="shared" si="70"/>
        <v>20.404711559446309</v>
      </c>
      <c r="AB209" s="10">
        <f t="shared" si="71"/>
        <v>315.69165389583736</v>
      </c>
      <c r="AC209" s="10">
        <f t="shared" si="60"/>
        <v>39.46145673697967</v>
      </c>
      <c r="AD209" s="10">
        <f t="shared" si="64"/>
        <v>157.84582694791868</v>
      </c>
      <c r="AE209" s="65"/>
      <c r="AF209" s="10">
        <f t="shared" si="65"/>
        <v>345.10041410965243</v>
      </c>
      <c r="AG209" s="8">
        <f t="shared" si="61"/>
        <v>67.294580751382227</v>
      </c>
      <c r="AH209" s="10">
        <f t="shared" si="62"/>
        <v>172.55020705482622</v>
      </c>
      <c r="AI209" s="63"/>
      <c r="AJ209" s="10">
        <f t="shared" si="66"/>
        <v>589.36019999999996</v>
      </c>
      <c r="AK209" s="8"/>
      <c r="AL209" s="8">
        <f t="shared" si="63"/>
        <v>294.68009999999998</v>
      </c>
    </row>
    <row r="210" spans="1:38">
      <c r="A210" s="18">
        <v>41479</v>
      </c>
      <c r="B210" s="19" t="s">
        <v>141</v>
      </c>
      <c r="C210" s="12">
        <v>50.5</v>
      </c>
      <c r="D210" s="19" t="s">
        <v>80</v>
      </c>
      <c r="E210" s="16">
        <v>8.4093</v>
      </c>
      <c r="F210" s="8">
        <v>83.315039999999996</v>
      </c>
      <c r="G210" s="22">
        <v>50</v>
      </c>
      <c r="H210" s="22">
        <v>-13</v>
      </c>
      <c r="I210" s="10">
        <f t="shared" si="57"/>
        <v>-7.6489254580385788</v>
      </c>
      <c r="J210" s="10">
        <f t="shared" si="58"/>
        <v>-0.13349893348238856</v>
      </c>
      <c r="K210" s="10">
        <f t="shared" si="59"/>
        <v>21.188530377780278</v>
      </c>
      <c r="L210" s="22">
        <v>759</v>
      </c>
      <c r="M210" s="22" t="s">
        <v>39</v>
      </c>
      <c r="N210" s="8" t="s">
        <v>69</v>
      </c>
      <c r="O210" s="10" t="s">
        <v>65</v>
      </c>
      <c r="P210" s="10" t="s">
        <v>70</v>
      </c>
      <c r="Q210" s="8">
        <v>0.37</v>
      </c>
      <c r="R210" s="8" t="s">
        <v>71</v>
      </c>
      <c r="S210" s="31">
        <v>13.5</v>
      </c>
      <c r="T210" s="79">
        <f t="shared" si="67"/>
        <v>1.4313915E-2</v>
      </c>
      <c r="U210" s="22">
        <v>12</v>
      </c>
      <c r="V210" s="22">
        <v>50</v>
      </c>
      <c r="W210" s="10">
        <f t="shared" si="68"/>
        <v>0.87266462599716477</v>
      </c>
      <c r="X210" s="22">
        <v>6</v>
      </c>
      <c r="Y210" s="22">
        <v>20</v>
      </c>
      <c r="Z210" s="10">
        <f t="shared" si="69"/>
        <v>0.3490658503988659</v>
      </c>
      <c r="AA210" s="10">
        <f t="shared" si="70"/>
        <v>11.244654177381749</v>
      </c>
      <c r="AB210" s="10">
        <f t="shared" si="71"/>
        <v>39.526482151917904</v>
      </c>
      <c r="AC210" s="10">
        <f t="shared" si="60"/>
        <v>4.940810268989738</v>
      </c>
      <c r="AD210" s="10">
        <f t="shared" si="64"/>
        <v>19.763241075958952</v>
      </c>
      <c r="AE210" s="65"/>
      <c r="AF210" s="10">
        <f t="shared" si="65"/>
        <v>45.918589125558043</v>
      </c>
      <c r="AG210" s="8">
        <f t="shared" si="61"/>
        <v>8.9541248794838193</v>
      </c>
      <c r="AH210" s="10">
        <f t="shared" si="62"/>
        <v>22.959294562779021</v>
      </c>
      <c r="AI210" s="63"/>
      <c r="AJ210" s="10">
        <f t="shared" si="66"/>
        <v>62.296500000000009</v>
      </c>
      <c r="AK210" s="8"/>
      <c r="AL210" s="8">
        <f t="shared" si="63"/>
        <v>31.148250000000004</v>
      </c>
    </row>
    <row r="211" spans="1:38">
      <c r="A211" s="18">
        <v>41479</v>
      </c>
      <c r="B211" s="19" t="s">
        <v>141</v>
      </c>
      <c r="C211" s="12">
        <v>50.5</v>
      </c>
      <c r="D211" s="19" t="s">
        <v>80</v>
      </c>
      <c r="E211" s="16">
        <v>8.4093</v>
      </c>
      <c r="F211" s="8">
        <v>83.315039999999996</v>
      </c>
      <c r="G211" s="22">
        <v>50</v>
      </c>
      <c r="H211" s="22">
        <v>-13</v>
      </c>
      <c r="I211" s="10">
        <f t="shared" si="57"/>
        <v>-7.6489254580385788</v>
      </c>
      <c r="J211" s="10">
        <f t="shared" si="58"/>
        <v>-0.13349893348238856</v>
      </c>
      <c r="K211" s="10">
        <f t="shared" si="59"/>
        <v>21.188530377780278</v>
      </c>
      <c r="L211" s="22">
        <v>691</v>
      </c>
      <c r="M211" s="22" t="s">
        <v>39</v>
      </c>
      <c r="N211" s="8" t="s">
        <v>69</v>
      </c>
      <c r="O211" s="10" t="s">
        <v>65</v>
      </c>
      <c r="P211" s="10" t="s">
        <v>70</v>
      </c>
      <c r="Q211" s="8">
        <v>0.37</v>
      </c>
      <c r="R211" s="8" t="s">
        <v>71</v>
      </c>
      <c r="S211" s="31">
        <v>28.4</v>
      </c>
      <c r="T211" s="79">
        <f t="shared" si="67"/>
        <v>6.33472224E-2</v>
      </c>
      <c r="U211" s="22">
        <v>11</v>
      </c>
      <c r="V211" s="22">
        <v>45</v>
      </c>
      <c r="W211" s="10">
        <f t="shared" si="68"/>
        <v>0.78539816339744828</v>
      </c>
      <c r="X211" s="22">
        <v>6</v>
      </c>
      <c r="Y211" s="22">
        <v>20</v>
      </c>
      <c r="Z211" s="10">
        <f t="shared" si="69"/>
        <v>0.3490658503988659</v>
      </c>
      <c r="AA211" s="10">
        <f t="shared" si="70"/>
        <v>9.830295453006034</v>
      </c>
      <c r="AB211" s="10">
        <f t="shared" si="71"/>
        <v>141.00106657969624</v>
      </c>
      <c r="AC211" s="10">
        <f t="shared" si="60"/>
        <v>17.62513332246203</v>
      </c>
      <c r="AD211" s="10">
        <f t="shared" si="64"/>
        <v>70.500533289848121</v>
      </c>
      <c r="AE211" s="65"/>
      <c r="AF211" s="10">
        <f t="shared" si="65"/>
        <v>286.46973505808052</v>
      </c>
      <c r="AG211" s="8">
        <f t="shared" si="61"/>
        <v>55.861598336325706</v>
      </c>
      <c r="AH211" s="10">
        <f t="shared" si="62"/>
        <v>143.23486752904026</v>
      </c>
      <c r="AI211" s="63"/>
      <c r="AJ211" s="10">
        <f t="shared" si="66"/>
        <v>420.68619999999993</v>
      </c>
      <c r="AK211" s="8"/>
      <c r="AL211" s="8">
        <f t="shared" si="63"/>
        <v>210.34309999999996</v>
      </c>
    </row>
    <row r="212" spans="1:38">
      <c r="A212" s="18">
        <v>41479</v>
      </c>
      <c r="B212" s="19" t="s">
        <v>141</v>
      </c>
      <c r="C212" s="12">
        <v>50.5</v>
      </c>
      <c r="D212" s="19" t="s">
        <v>80</v>
      </c>
      <c r="E212" s="16">
        <v>8.4093</v>
      </c>
      <c r="F212" s="8">
        <v>83.315039999999996</v>
      </c>
      <c r="G212" s="22">
        <v>50</v>
      </c>
      <c r="H212" s="22">
        <v>-13</v>
      </c>
      <c r="I212" s="10">
        <f t="shared" si="57"/>
        <v>-7.6489254580385788</v>
      </c>
      <c r="J212" s="10">
        <f t="shared" si="58"/>
        <v>-0.13349893348238856</v>
      </c>
      <c r="K212" s="10">
        <f t="shared" si="59"/>
        <v>21.188530377780278</v>
      </c>
      <c r="L212" s="22">
        <v>620</v>
      </c>
      <c r="M212" s="22" t="s">
        <v>39</v>
      </c>
      <c r="N212" s="8" t="s">
        <v>69</v>
      </c>
      <c r="O212" s="10" t="s">
        <v>65</v>
      </c>
      <c r="P212" s="10" t="s">
        <v>70</v>
      </c>
      <c r="Q212" s="8">
        <v>0.37</v>
      </c>
      <c r="R212" s="8" t="s">
        <v>71</v>
      </c>
      <c r="S212" s="30">
        <v>18</v>
      </c>
      <c r="T212" s="79">
        <f t="shared" si="67"/>
        <v>2.5446960000000001E-2</v>
      </c>
      <c r="U212" s="22">
        <v>13</v>
      </c>
      <c r="V212" s="22">
        <v>54</v>
      </c>
      <c r="W212" s="10">
        <f t="shared" si="68"/>
        <v>0.94247779607693793</v>
      </c>
      <c r="X212" s="22">
        <v>5</v>
      </c>
      <c r="Y212" s="22">
        <v>24</v>
      </c>
      <c r="Z212" s="10">
        <f t="shared" si="69"/>
        <v>0.41887902047863912</v>
      </c>
      <c r="AA212" s="10">
        <f t="shared" si="70"/>
        <v>12.550904142253318</v>
      </c>
      <c r="AB212" s="10">
        <f t="shared" si="71"/>
        <v>75.272815969684714</v>
      </c>
      <c r="AC212" s="10">
        <f t="shared" si="60"/>
        <v>9.4091019962105893</v>
      </c>
      <c r="AD212" s="10">
        <f t="shared" si="64"/>
        <v>37.636407984842357</v>
      </c>
      <c r="AE212" s="65"/>
      <c r="AF212" s="10">
        <f t="shared" si="65"/>
        <v>93.73633167225195</v>
      </c>
      <c r="AG212" s="8">
        <f t="shared" si="61"/>
        <v>18.278584676089132</v>
      </c>
      <c r="AH212" s="10">
        <f t="shared" si="62"/>
        <v>46.868165836125975</v>
      </c>
      <c r="AI212" s="63"/>
      <c r="AJ212" s="10">
        <f t="shared" si="66"/>
        <v>135.90299999999996</v>
      </c>
      <c r="AK212" s="8"/>
      <c r="AL212" s="8">
        <f t="shared" si="63"/>
        <v>67.951499999999982</v>
      </c>
    </row>
    <row r="213" spans="1:38">
      <c r="A213" s="18">
        <v>41479</v>
      </c>
      <c r="B213" s="19" t="s">
        <v>141</v>
      </c>
      <c r="C213" s="12">
        <v>50.5</v>
      </c>
      <c r="D213" s="19" t="s">
        <v>80</v>
      </c>
      <c r="E213" s="16">
        <v>8.4093</v>
      </c>
      <c r="F213" s="8">
        <v>83.315039999999996</v>
      </c>
      <c r="G213" s="22">
        <v>50</v>
      </c>
      <c r="H213" s="22">
        <v>-13</v>
      </c>
      <c r="I213" s="10">
        <f t="shared" si="57"/>
        <v>-7.6489254580385788</v>
      </c>
      <c r="J213" s="10">
        <f t="shared" si="58"/>
        <v>-0.13349893348238856</v>
      </c>
      <c r="K213" s="10">
        <f t="shared" si="59"/>
        <v>21.188530377780278</v>
      </c>
      <c r="L213" s="22">
        <v>645</v>
      </c>
      <c r="M213" s="22" t="s">
        <v>36</v>
      </c>
      <c r="N213" s="8" t="s">
        <v>46</v>
      </c>
      <c r="O213" s="10" t="s">
        <v>37</v>
      </c>
      <c r="P213" s="10" t="s">
        <v>38</v>
      </c>
      <c r="Q213" s="11">
        <v>0.48</v>
      </c>
      <c r="R213" s="8" t="s">
        <v>60</v>
      </c>
      <c r="S213" s="31">
        <v>7.9</v>
      </c>
      <c r="T213" s="79">
        <f t="shared" si="67"/>
        <v>4.9016814000000008E-3</v>
      </c>
      <c r="U213" s="22">
        <v>7</v>
      </c>
      <c r="V213" s="22">
        <v>18</v>
      </c>
      <c r="W213" s="10">
        <f t="shared" si="68"/>
        <v>0.31415926535897931</v>
      </c>
      <c r="X213" s="22">
        <v>5</v>
      </c>
      <c r="Y213" s="22">
        <v>24</v>
      </c>
      <c r="Z213" s="10">
        <f t="shared" si="69"/>
        <v>0.41887902047863912</v>
      </c>
      <c r="AA213" s="10">
        <f t="shared" si="70"/>
        <v>4.1968021760036329</v>
      </c>
      <c r="AB213" s="10">
        <f t="shared" si="71"/>
        <v>7.2997973620445613</v>
      </c>
      <c r="AC213" s="10">
        <f t="shared" si="60"/>
        <v>0.91247467025557016</v>
      </c>
      <c r="AD213" s="10">
        <f t="shared" si="64"/>
        <v>3.6498986810222807</v>
      </c>
      <c r="AE213" s="65"/>
      <c r="AF213" s="10">
        <f t="shared" si="65"/>
        <v>15.730454390927397</v>
      </c>
      <c r="AG213" s="8">
        <f t="shared" si="61"/>
        <v>3.0674386062308425</v>
      </c>
      <c r="AH213" s="10">
        <f t="shared" si="62"/>
        <v>7.8652271954636985</v>
      </c>
      <c r="AI213" s="63"/>
      <c r="AJ213" s="10">
        <f t="shared" si="66"/>
        <v>12.55169999999999</v>
      </c>
      <c r="AK213" s="8"/>
      <c r="AL213" s="8">
        <f t="shared" si="63"/>
        <v>6.2758499999999948</v>
      </c>
    </row>
    <row r="214" spans="1:38">
      <c r="A214" s="18">
        <v>41479</v>
      </c>
      <c r="B214" s="19" t="s">
        <v>141</v>
      </c>
      <c r="C214" s="12">
        <v>50.5</v>
      </c>
      <c r="D214" s="19" t="s">
        <v>80</v>
      </c>
      <c r="E214" s="16">
        <v>8.4093</v>
      </c>
      <c r="F214" s="8">
        <v>83.315039999999996</v>
      </c>
      <c r="G214" s="22">
        <v>50</v>
      </c>
      <c r="H214" s="22">
        <v>-13</v>
      </c>
      <c r="I214" s="10">
        <f t="shared" si="57"/>
        <v>-7.6489254580385788</v>
      </c>
      <c r="J214" s="10">
        <f t="shared" si="58"/>
        <v>-0.13349893348238856</v>
      </c>
      <c r="K214" s="10">
        <f t="shared" si="59"/>
        <v>21.188530377780278</v>
      </c>
      <c r="L214" s="22">
        <v>656</v>
      </c>
      <c r="M214" s="22" t="s">
        <v>39</v>
      </c>
      <c r="N214" s="8" t="s">
        <v>69</v>
      </c>
      <c r="O214" s="10" t="s">
        <v>65</v>
      </c>
      <c r="P214" s="10" t="s">
        <v>70</v>
      </c>
      <c r="Q214" s="8">
        <v>0.37</v>
      </c>
      <c r="R214" s="8" t="s">
        <v>71</v>
      </c>
      <c r="S214" s="31">
        <v>17.5</v>
      </c>
      <c r="T214" s="79">
        <f t="shared" si="67"/>
        <v>2.4052875000000001E-2</v>
      </c>
      <c r="U214" s="22">
        <v>16</v>
      </c>
      <c r="V214" s="22">
        <v>62</v>
      </c>
      <c r="W214" s="10">
        <f t="shared" si="68"/>
        <v>1.0821041362364843</v>
      </c>
      <c r="X214" s="22">
        <v>6</v>
      </c>
      <c r="Y214" s="22">
        <v>24</v>
      </c>
      <c r="Z214" s="10">
        <f t="shared" si="69"/>
        <v>0.41887902047863912</v>
      </c>
      <c r="AA214" s="10">
        <f t="shared" si="70"/>
        <v>16.567581344197631</v>
      </c>
      <c r="AB214" s="10">
        <f t="shared" si="71"/>
        <v>92.680088174936728</v>
      </c>
      <c r="AC214" s="10">
        <f t="shared" si="60"/>
        <v>11.585011021867091</v>
      </c>
      <c r="AD214" s="10">
        <f t="shared" si="64"/>
        <v>46.340044087468364</v>
      </c>
      <c r="AE214" s="65"/>
      <c r="AF214" s="10">
        <f t="shared" si="65"/>
        <v>87.427432536929174</v>
      </c>
      <c r="AG214" s="8">
        <f t="shared" si="61"/>
        <v>17.04834934470119</v>
      </c>
      <c r="AH214" s="10">
        <f t="shared" si="62"/>
        <v>43.713716268464587</v>
      </c>
      <c r="AI214" s="63"/>
      <c r="AJ214" s="10">
        <f t="shared" si="66"/>
        <v>126.24449999999999</v>
      </c>
      <c r="AK214" s="8"/>
      <c r="AL214" s="8">
        <f t="shared" si="63"/>
        <v>63.122249999999994</v>
      </c>
    </row>
    <row r="215" spans="1:38">
      <c r="A215" s="18">
        <v>41479</v>
      </c>
      <c r="B215" s="19" t="s">
        <v>141</v>
      </c>
      <c r="C215" s="12">
        <v>50.5</v>
      </c>
      <c r="D215" s="19" t="s">
        <v>80</v>
      </c>
      <c r="E215" s="16">
        <v>8.4093</v>
      </c>
      <c r="F215" s="8">
        <v>83.315039999999996</v>
      </c>
      <c r="G215" s="22">
        <v>50</v>
      </c>
      <c r="H215" s="22">
        <v>-13</v>
      </c>
      <c r="I215" s="10">
        <f t="shared" si="57"/>
        <v>-7.6489254580385788</v>
      </c>
      <c r="J215" s="10">
        <f t="shared" si="58"/>
        <v>-0.13349893348238856</v>
      </c>
      <c r="K215" s="10">
        <f t="shared" si="59"/>
        <v>21.188530377780278</v>
      </c>
      <c r="L215" s="22">
        <v>601</v>
      </c>
      <c r="M215" s="22" t="s">
        <v>54</v>
      </c>
      <c r="N215" s="8" t="s">
        <v>55</v>
      </c>
      <c r="O215" s="10" t="s">
        <v>56</v>
      </c>
      <c r="P215" s="10" t="s">
        <v>57</v>
      </c>
      <c r="Q215" s="11">
        <v>0.315</v>
      </c>
      <c r="R215" s="12" t="s">
        <v>66</v>
      </c>
      <c r="S215" s="30">
        <v>22</v>
      </c>
      <c r="T215" s="79">
        <f t="shared" si="67"/>
        <v>3.8013360000000003E-2</v>
      </c>
      <c r="U215" s="22">
        <v>15</v>
      </c>
      <c r="V215" s="22">
        <v>63</v>
      </c>
      <c r="W215" s="10">
        <f t="shared" si="68"/>
        <v>1.0995574287564276</v>
      </c>
      <c r="X215" s="22">
        <v>6</v>
      </c>
      <c r="Y215" s="22">
        <v>24</v>
      </c>
      <c r="Z215" s="10">
        <f t="shared" si="69"/>
        <v>0.41887902047863912</v>
      </c>
      <c r="AA215" s="10">
        <f t="shared" si="70"/>
        <v>15.805517721280317</v>
      </c>
      <c r="AB215" s="10">
        <f t="shared" si="71"/>
        <v>117.19483832671555</v>
      </c>
      <c r="AC215" s="10">
        <f t="shared" si="60"/>
        <v>14.649354790839444</v>
      </c>
      <c r="AD215" s="10">
        <f t="shared" si="64"/>
        <v>58.597419163357777</v>
      </c>
      <c r="AE215" s="65"/>
      <c r="AF215" s="10">
        <f t="shared" si="65"/>
        <v>130.84070325460962</v>
      </c>
      <c r="AG215" s="8">
        <f t="shared" si="61"/>
        <v>25.513937134648877</v>
      </c>
      <c r="AH215" s="10">
        <f t="shared" si="62"/>
        <v>65.420351627304811</v>
      </c>
      <c r="AI215" s="63"/>
      <c r="AJ215" s="10">
        <f t="shared" si="66"/>
        <v>226.49099999999996</v>
      </c>
      <c r="AK215" s="8"/>
      <c r="AL215" s="8">
        <f t="shared" si="63"/>
        <v>113.24549999999998</v>
      </c>
    </row>
    <row r="216" spans="1:38">
      <c r="A216" s="18">
        <v>41479</v>
      </c>
      <c r="B216" s="19" t="s">
        <v>141</v>
      </c>
      <c r="C216" s="12">
        <v>50.5</v>
      </c>
      <c r="D216" s="19" t="s">
        <v>80</v>
      </c>
      <c r="E216" s="16">
        <v>8.4093</v>
      </c>
      <c r="F216" s="8">
        <v>83.315039999999996</v>
      </c>
      <c r="G216" s="22">
        <v>50</v>
      </c>
      <c r="H216" s="22">
        <v>-13</v>
      </c>
      <c r="I216" s="10">
        <f t="shared" si="57"/>
        <v>-7.6489254580385788</v>
      </c>
      <c r="J216" s="10">
        <f t="shared" si="58"/>
        <v>-0.13349893348238856</v>
      </c>
      <c r="K216" s="10">
        <f t="shared" si="59"/>
        <v>21.188530377780278</v>
      </c>
      <c r="L216" s="22">
        <v>657</v>
      </c>
      <c r="M216" s="22" t="s">
        <v>36</v>
      </c>
      <c r="N216" s="8" t="s">
        <v>46</v>
      </c>
      <c r="O216" s="10" t="s">
        <v>37</v>
      </c>
      <c r="P216" s="10" t="s">
        <v>38</v>
      </c>
      <c r="Q216" s="11">
        <v>0.48</v>
      </c>
      <c r="R216" s="8" t="s">
        <v>60</v>
      </c>
      <c r="S216" s="31">
        <v>17.7</v>
      </c>
      <c r="T216" s="79">
        <f t="shared" si="67"/>
        <v>2.4605796599999997E-2</v>
      </c>
      <c r="U216" s="22">
        <v>7</v>
      </c>
      <c r="V216" s="22">
        <v>15</v>
      </c>
      <c r="W216" s="10">
        <f t="shared" si="68"/>
        <v>0.26179938779914941</v>
      </c>
      <c r="X216" s="22">
        <v>8</v>
      </c>
      <c r="Y216" s="22">
        <v>18</v>
      </c>
      <c r="Z216" s="10">
        <f t="shared" si="69"/>
        <v>0.31415926535897931</v>
      </c>
      <c r="AA216" s="10">
        <f t="shared" si="70"/>
        <v>4.2838692707172239</v>
      </c>
      <c r="AB216" s="10">
        <f t="shared" si="71"/>
        <v>33.911286167398707</v>
      </c>
      <c r="AC216" s="10">
        <f t="shared" si="60"/>
        <v>4.2389107709248384</v>
      </c>
      <c r="AD216" s="10">
        <f t="shared" si="64"/>
        <v>16.955643083699353</v>
      </c>
      <c r="AE216" s="65"/>
      <c r="AF216" s="10">
        <f t="shared" si="65"/>
        <v>116.65322489762178</v>
      </c>
      <c r="AG216" s="8">
        <f t="shared" si="61"/>
        <v>22.747378855036249</v>
      </c>
      <c r="AH216" s="10">
        <f t="shared" si="62"/>
        <v>58.326612448810891</v>
      </c>
      <c r="AI216" s="63"/>
      <c r="AJ216" s="10">
        <f t="shared" si="66"/>
        <v>130.06349999999998</v>
      </c>
      <c r="AK216" s="8"/>
      <c r="AL216" s="8">
        <f t="shared" si="63"/>
        <v>65.031749999999988</v>
      </c>
    </row>
    <row r="217" spans="1:38">
      <c r="A217" s="18">
        <v>41479</v>
      </c>
      <c r="B217" s="19" t="s">
        <v>141</v>
      </c>
      <c r="C217" s="12">
        <v>50.5</v>
      </c>
      <c r="D217" s="19" t="s">
        <v>80</v>
      </c>
      <c r="E217" s="16">
        <v>8.4093</v>
      </c>
      <c r="F217" s="8">
        <v>83.315039999999996</v>
      </c>
      <c r="G217" s="22">
        <v>50</v>
      </c>
      <c r="H217" s="22">
        <v>-13</v>
      </c>
      <c r="I217" s="10">
        <f t="shared" si="57"/>
        <v>-7.6489254580385788</v>
      </c>
      <c r="J217" s="10">
        <f t="shared" si="58"/>
        <v>-0.13349893348238856</v>
      </c>
      <c r="K217" s="10">
        <f t="shared" si="59"/>
        <v>21.188530377780278</v>
      </c>
      <c r="L217" s="22">
        <v>613</v>
      </c>
      <c r="M217" s="22" t="s">
        <v>39</v>
      </c>
      <c r="N217" s="8" t="s">
        <v>69</v>
      </c>
      <c r="O217" s="10" t="s">
        <v>65</v>
      </c>
      <c r="P217" s="10" t="s">
        <v>70</v>
      </c>
      <c r="Q217" s="8">
        <v>0.37</v>
      </c>
      <c r="R217" s="8" t="s">
        <v>71</v>
      </c>
      <c r="S217" s="31">
        <v>10.1</v>
      </c>
      <c r="T217" s="79">
        <f t="shared" si="67"/>
        <v>8.0118654000000001E-3</v>
      </c>
      <c r="U217" s="22">
        <v>12</v>
      </c>
      <c r="V217" s="22">
        <v>25</v>
      </c>
      <c r="W217" s="10">
        <f t="shared" si="68"/>
        <v>0.43633231299858238</v>
      </c>
      <c r="X217" s="22">
        <v>8</v>
      </c>
      <c r="Y217" s="22">
        <v>20</v>
      </c>
      <c r="Z217" s="10">
        <f t="shared" si="69"/>
        <v>0.3490658503988659</v>
      </c>
      <c r="AA217" s="10">
        <f t="shared" si="70"/>
        <v>7.8075802874937423</v>
      </c>
      <c r="AB217" s="10">
        <f t="shared" si="71"/>
        <v>16.257770774624301</v>
      </c>
      <c r="AC217" s="10">
        <f t="shared" si="60"/>
        <v>2.0322213468280377</v>
      </c>
      <c r="AD217" s="10">
        <f t="shared" si="64"/>
        <v>8.1288853873121507</v>
      </c>
      <c r="AE217" s="65"/>
      <c r="AF217" s="10">
        <f t="shared" si="65"/>
        <v>22.310407341293363</v>
      </c>
      <c r="AG217" s="8">
        <f t="shared" si="61"/>
        <v>4.3505294315522063</v>
      </c>
      <c r="AH217" s="10">
        <f t="shared" si="62"/>
        <v>11.155203670646682</v>
      </c>
      <c r="AI217" s="63"/>
      <c r="AJ217" s="10">
        <f t="shared" si="66"/>
        <v>26.559099999999987</v>
      </c>
      <c r="AK217" s="8"/>
      <c r="AL217" s="8">
        <f t="shared" si="63"/>
        <v>13.279549999999993</v>
      </c>
    </row>
    <row r="218" spans="1:38">
      <c r="A218" s="18">
        <v>41479</v>
      </c>
      <c r="B218" s="19" t="s">
        <v>141</v>
      </c>
      <c r="C218" s="12">
        <v>50.5</v>
      </c>
      <c r="D218" s="19" t="s">
        <v>80</v>
      </c>
      <c r="E218" s="16">
        <v>8.4093</v>
      </c>
      <c r="F218" s="8">
        <v>83.315039999999996</v>
      </c>
      <c r="G218" s="22">
        <v>50</v>
      </c>
      <c r="H218" s="22">
        <v>-13</v>
      </c>
      <c r="I218" s="10">
        <f t="shared" si="57"/>
        <v>-7.6489254580385788</v>
      </c>
      <c r="J218" s="10">
        <f t="shared" si="58"/>
        <v>-0.13349893348238856</v>
      </c>
      <c r="K218" s="10">
        <f t="shared" si="59"/>
        <v>21.188530377780278</v>
      </c>
      <c r="L218" s="22">
        <v>758</v>
      </c>
      <c r="M218" s="22" t="s">
        <v>39</v>
      </c>
      <c r="N218" s="8" t="s">
        <v>69</v>
      </c>
      <c r="O218" s="10" t="s">
        <v>65</v>
      </c>
      <c r="P218" s="10" t="s">
        <v>70</v>
      </c>
      <c r="Q218" s="8">
        <v>0.37</v>
      </c>
      <c r="R218" s="8" t="s">
        <v>71</v>
      </c>
      <c r="S218" s="31">
        <v>6.8</v>
      </c>
      <c r="T218" s="79">
        <f t="shared" si="67"/>
        <v>3.6316895999999998E-3</v>
      </c>
      <c r="U218" s="22">
        <v>10</v>
      </c>
      <c r="V218" s="22">
        <v>40</v>
      </c>
      <c r="W218" s="10">
        <f t="shared" si="68"/>
        <v>0.69813170079773179</v>
      </c>
      <c r="X218" s="22">
        <v>8</v>
      </c>
      <c r="Y218" s="22">
        <v>20</v>
      </c>
      <c r="Z218" s="10">
        <f t="shared" si="69"/>
        <v>0.3490658503988659</v>
      </c>
      <c r="AA218" s="10">
        <f t="shared" si="70"/>
        <v>9.1640372434707427</v>
      </c>
      <c r="AB218" s="10">
        <f t="shared" si="71"/>
        <v>8.9835860600386805</v>
      </c>
      <c r="AC218" s="10">
        <f t="shared" si="60"/>
        <v>1.1229482575048351</v>
      </c>
      <c r="AD218" s="10">
        <f t="shared" si="64"/>
        <v>4.4917930300193403</v>
      </c>
      <c r="AE218" s="65"/>
      <c r="AF218" s="10">
        <f t="shared" si="65"/>
        <v>8.3725731297469217</v>
      </c>
      <c r="AG218" s="8">
        <f t="shared" si="61"/>
        <v>1.6326517603006498</v>
      </c>
      <c r="AH218" s="10">
        <f t="shared" si="62"/>
        <v>4.1862865648734608</v>
      </c>
      <c r="AI218" s="63"/>
      <c r="AJ218" s="10">
        <f t="shared" si="66"/>
        <v>8.2341999999999977</v>
      </c>
      <c r="AK218" s="8"/>
      <c r="AL218" s="8">
        <f t="shared" si="63"/>
        <v>4.1170999999999989</v>
      </c>
    </row>
    <row r="219" spans="1:38">
      <c r="A219" s="18">
        <v>41479</v>
      </c>
      <c r="B219" s="19" t="s">
        <v>141</v>
      </c>
      <c r="C219" s="12">
        <v>50.5</v>
      </c>
      <c r="D219" s="19" t="s">
        <v>80</v>
      </c>
      <c r="E219" s="16">
        <v>8.4093</v>
      </c>
      <c r="F219" s="8">
        <v>83.315039999999996</v>
      </c>
      <c r="G219" s="22">
        <v>50</v>
      </c>
      <c r="H219" s="22">
        <v>-13</v>
      </c>
      <c r="I219" s="10">
        <f t="shared" si="57"/>
        <v>-7.6489254580385788</v>
      </c>
      <c r="J219" s="10">
        <f t="shared" si="58"/>
        <v>-0.13349893348238856</v>
      </c>
      <c r="K219" s="10">
        <f t="shared" si="59"/>
        <v>21.188530377780278</v>
      </c>
      <c r="L219" s="22">
        <v>776</v>
      </c>
      <c r="M219" s="22" t="s">
        <v>39</v>
      </c>
      <c r="N219" s="8" t="s">
        <v>69</v>
      </c>
      <c r="O219" s="10" t="s">
        <v>65</v>
      </c>
      <c r="P219" s="10" t="s">
        <v>70</v>
      </c>
      <c r="Q219" s="8">
        <v>0.37</v>
      </c>
      <c r="R219" s="8" t="s">
        <v>71</v>
      </c>
      <c r="S219" s="31">
        <v>17.8</v>
      </c>
      <c r="T219" s="79">
        <f t="shared" si="67"/>
        <v>2.4884613600000004E-2</v>
      </c>
      <c r="U219" s="22">
        <v>18</v>
      </c>
      <c r="V219" s="22">
        <v>56</v>
      </c>
      <c r="W219" s="10">
        <f t="shared" si="68"/>
        <v>0.97738438111682457</v>
      </c>
      <c r="X219" s="22">
        <v>9</v>
      </c>
      <c r="Y219" s="22">
        <v>18</v>
      </c>
      <c r="Z219" s="10">
        <f t="shared" si="69"/>
        <v>0.31415926535897931</v>
      </c>
      <c r="AA219" s="10">
        <f t="shared" si="70"/>
        <v>17.703829255365278</v>
      </c>
      <c r="AB219" s="10">
        <f t="shared" si="71"/>
        <v>101.84603496562802</v>
      </c>
      <c r="AC219" s="10">
        <f t="shared" si="60"/>
        <v>12.730754370703503</v>
      </c>
      <c r="AD219" s="10">
        <f t="shared" si="64"/>
        <v>50.923017482814011</v>
      </c>
      <c r="AE219" s="65"/>
      <c r="AF219" s="10">
        <f t="shared" si="65"/>
        <v>91.181953896339209</v>
      </c>
      <c r="AG219" s="8">
        <f t="shared" si="61"/>
        <v>17.780481009786147</v>
      </c>
      <c r="AH219" s="10">
        <f t="shared" si="62"/>
        <v>45.590976948169605</v>
      </c>
      <c r="AI219" s="63"/>
      <c r="AJ219" s="10">
        <f t="shared" si="66"/>
        <v>131.99520000000001</v>
      </c>
      <c r="AK219" s="8"/>
      <c r="AL219" s="8">
        <f t="shared" si="63"/>
        <v>65.997600000000006</v>
      </c>
    </row>
    <row r="220" spans="1:38">
      <c r="A220" s="18">
        <v>41479</v>
      </c>
      <c r="B220" s="19" t="s">
        <v>141</v>
      </c>
      <c r="C220" s="12">
        <v>50.5</v>
      </c>
      <c r="D220" s="19" t="s">
        <v>80</v>
      </c>
      <c r="E220" s="16">
        <v>8.4093</v>
      </c>
      <c r="F220" s="8">
        <v>83.315039999999996</v>
      </c>
      <c r="G220" s="22">
        <v>50</v>
      </c>
      <c r="H220" s="22">
        <v>-13</v>
      </c>
      <c r="I220" s="10">
        <f t="shared" si="57"/>
        <v>-7.6489254580385788</v>
      </c>
      <c r="J220" s="10">
        <f t="shared" si="58"/>
        <v>-0.13349893348238856</v>
      </c>
      <c r="K220" s="10">
        <f t="shared" si="59"/>
        <v>21.188530377780278</v>
      </c>
      <c r="L220" s="22">
        <v>593</v>
      </c>
      <c r="M220" s="22" t="s">
        <v>36</v>
      </c>
      <c r="N220" s="8" t="s">
        <v>46</v>
      </c>
      <c r="O220" s="10" t="s">
        <v>37</v>
      </c>
      <c r="P220" s="10" t="s">
        <v>38</v>
      </c>
      <c r="Q220" s="11">
        <v>0.48</v>
      </c>
      <c r="R220" s="8" t="s">
        <v>60</v>
      </c>
      <c r="S220" s="31">
        <v>19.7</v>
      </c>
      <c r="T220" s="79">
        <f t="shared" si="67"/>
        <v>3.0480588600000001E-2</v>
      </c>
      <c r="U220" s="22">
        <v>7</v>
      </c>
      <c r="V220" s="22">
        <v>17</v>
      </c>
      <c r="W220" s="10">
        <f t="shared" si="68"/>
        <v>0.29670597283903605</v>
      </c>
      <c r="X220" s="22">
        <v>9</v>
      </c>
      <c r="Y220" s="22">
        <v>17</v>
      </c>
      <c r="Z220" s="10">
        <f t="shared" si="69"/>
        <v>0.29670597283903605</v>
      </c>
      <c r="AA220" s="10">
        <f t="shared" si="70"/>
        <v>4.6779472755637883</v>
      </c>
      <c r="AB220" s="10">
        <f t="shared" si="71"/>
        <v>45.048153362216823</v>
      </c>
      <c r="AC220" s="10">
        <f t="shared" si="60"/>
        <v>5.6310191702771029</v>
      </c>
      <c r="AD220" s="10">
        <f t="shared" si="64"/>
        <v>22.524076681108411</v>
      </c>
      <c r="AE220" s="65"/>
      <c r="AF220" s="10">
        <f t="shared" si="65"/>
        <v>151.9530624026049</v>
      </c>
      <c r="AG220" s="8">
        <f t="shared" si="61"/>
        <v>29.630847168507955</v>
      </c>
      <c r="AH220" s="10">
        <f t="shared" si="62"/>
        <v>75.97653120130245</v>
      </c>
      <c r="AI220" s="63"/>
      <c r="AJ220" s="10">
        <f t="shared" si="66"/>
        <v>171.5095</v>
      </c>
      <c r="AK220" s="8"/>
      <c r="AL220" s="8">
        <f t="shared" si="63"/>
        <v>85.754750000000001</v>
      </c>
    </row>
    <row r="221" spans="1:38">
      <c r="A221" s="18">
        <v>41479</v>
      </c>
      <c r="B221" s="19" t="s">
        <v>141</v>
      </c>
      <c r="C221" s="12">
        <v>50.5</v>
      </c>
      <c r="D221" s="19" t="s">
        <v>80</v>
      </c>
      <c r="E221" s="16">
        <v>8.4093</v>
      </c>
      <c r="F221" s="8">
        <v>83.315039999999996</v>
      </c>
      <c r="G221" s="22">
        <v>50</v>
      </c>
      <c r="H221" s="22">
        <v>-13</v>
      </c>
      <c r="I221" s="10">
        <f t="shared" si="57"/>
        <v>-7.6489254580385788</v>
      </c>
      <c r="J221" s="10">
        <f t="shared" si="58"/>
        <v>-0.13349893348238856</v>
      </c>
      <c r="K221" s="10">
        <f t="shared" si="59"/>
        <v>21.188530377780278</v>
      </c>
      <c r="L221" s="22">
        <v>652</v>
      </c>
      <c r="M221" s="22" t="s">
        <v>129</v>
      </c>
      <c r="N221" s="22" t="s">
        <v>171</v>
      </c>
      <c r="O221" s="58" t="s">
        <v>175</v>
      </c>
      <c r="P221" s="10" t="s">
        <v>176</v>
      </c>
      <c r="Q221" s="22">
        <v>0.23</v>
      </c>
      <c r="R221" s="22" t="s">
        <v>190</v>
      </c>
      <c r="S221" s="30">
        <v>15</v>
      </c>
      <c r="T221" s="79">
        <f t="shared" si="67"/>
        <v>1.76715E-2</v>
      </c>
      <c r="U221" s="22">
        <v>17</v>
      </c>
      <c r="V221" s="22">
        <v>37</v>
      </c>
      <c r="W221" s="10">
        <f t="shared" si="68"/>
        <v>0.64577182323790194</v>
      </c>
      <c r="X221" s="22">
        <v>10</v>
      </c>
      <c r="Y221" s="22">
        <v>17</v>
      </c>
      <c r="Z221" s="10">
        <f t="shared" si="69"/>
        <v>0.29670597283903605</v>
      </c>
      <c r="AA221" s="10">
        <f t="shared" si="70"/>
        <v>13.154572440812188</v>
      </c>
      <c r="AB221" s="10">
        <f t="shared" si="71"/>
        <v>35.716556971980239</v>
      </c>
      <c r="AC221" s="10">
        <f t="shared" si="60"/>
        <v>4.4645696214975299</v>
      </c>
      <c r="AD221" s="10">
        <f t="shared" si="64"/>
        <v>17.85827848599012</v>
      </c>
      <c r="AE221" s="65"/>
      <c r="AF221" s="10">
        <f t="shared" si="65"/>
        <v>37.086427447077931</v>
      </c>
      <c r="AG221" s="8">
        <f t="shared" si="61"/>
        <v>7.2318533521801971</v>
      </c>
      <c r="AH221" s="10">
        <f t="shared" si="62"/>
        <v>18.543213723538965</v>
      </c>
      <c r="AI221" s="63"/>
      <c r="AJ221" s="10">
        <f t="shared" si="66"/>
        <v>83.501999999999995</v>
      </c>
      <c r="AK221" s="8"/>
      <c r="AL221" s="8">
        <f t="shared" si="63"/>
        <v>41.750999999999998</v>
      </c>
    </row>
    <row r="222" spans="1:38">
      <c r="A222" s="18">
        <v>41479</v>
      </c>
      <c r="B222" s="19" t="s">
        <v>141</v>
      </c>
      <c r="C222" s="12">
        <v>50.5</v>
      </c>
      <c r="D222" s="19" t="s">
        <v>80</v>
      </c>
      <c r="E222" s="16">
        <v>8.4093</v>
      </c>
      <c r="F222" s="8">
        <v>83.315039999999996</v>
      </c>
      <c r="G222" s="22">
        <v>50</v>
      </c>
      <c r="H222" s="22">
        <v>-13</v>
      </c>
      <c r="I222" s="10">
        <f t="shared" si="57"/>
        <v>-7.6489254580385788</v>
      </c>
      <c r="J222" s="10">
        <f t="shared" si="58"/>
        <v>-0.13349893348238856</v>
      </c>
      <c r="K222" s="10">
        <f t="shared" si="59"/>
        <v>21.188530377780278</v>
      </c>
      <c r="L222" s="22">
        <v>786</v>
      </c>
      <c r="M222" s="22" t="s">
        <v>39</v>
      </c>
      <c r="N222" s="8" t="s">
        <v>69</v>
      </c>
      <c r="O222" s="10" t="s">
        <v>65</v>
      </c>
      <c r="P222" s="10" t="s">
        <v>70</v>
      </c>
      <c r="Q222" s="8">
        <v>0.37</v>
      </c>
      <c r="R222" s="8" t="s">
        <v>71</v>
      </c>
      <c r="S222" s="31">
        <v>7.5</v>
      </c>
      <c r="T222" s="79">
        <f t="shared" si="67"/>
        <v>4.4178749999999999E-3</v>
      </c>
      <c r="U222" s="22">
        <v>11</v>
      </c>
      <c r="V222" s="22">
        <v>45</v>
      </c>
      <c r="W222" s="10">
        <f t="shared" si="68"/>
        <v>0.78539816339744828</v>
      </c>
      <c r="X222" s="22">
        <v>6</v>
      </c>
      <c r="Y222" s="22">
        <v>21</v>
      </c>
      <c r="Z222" s="10">
        <f t="shared" si="69"/>
        <v>0.36651914291880922</v>
      </c>
      <c r="AA222" s="10">
        <f t="shared" si="70"/>
        <v>9.9283822903238228</v>
      </c>
      <c r="AB222" s="10">
        <f t="shared" si="71"/>
        <v>11.645343378606105</v>
      </c>
      <c r="AC222" s="10">
        <f t="shared" si="60"/>
        <v>1.4556679223257631</v>
      </c>
      <c r="AD222" s="10">
        <f t="shared" si="64"/>
        <v>5.8226716893030526</v>
      </c>
      <c r="AE222" s="65"/>
      <c r="AF222" s="10">
        <f t="shared" si="65"/>
        <v>10.662986568966447</v>
      </c>
      <c r="AG222" s="8">
        <f t="shared" si="61"/>
        <v>2.0792823809484573</v>
      </c>
      <c r="AH222" s="10">
        <f t="shared" si="62"/>
        <v>5.3314932844832237</v>
      </c>
      <c r="AI222" s="63"/>
      <c r="AJ222" s="10">
        <f t="shared" si="66"/>
        <v>10.7745</v>
      </c>
      <c r="AK222" s="8"/>
      <c r="AL222" s="8">
        <f t="shared" si="63"/>
        <v>5.3872499999999999</v>
      </c>
    </row>
    <row r="223" spans="1:38">
      <c r="A223" s="18">
        <v>41479</v>
      </c>
      <c r="B223" s="19" t="s">
        <v>141</v>
      </c>
      <c r="C223" s="12">
        <v>50.5</v>
      </c>
      <c r="D223" s="19" t="s">
        <v>80</v>
      </c>
      <c r="E223" s="16">
        <v>8.4093</v>
      </c>
      <c r="F223" s="8">
        <v>83.315039999999996</v>
      </c>
      <c r="G223" s="22">
        <v>50</v>
      </c>
      <c r="H223" s="22">
        <v>-13</v>
      </c>
      <c r="I223" s="10">
        <f t="shared" si="57"/>
        <v>-7.6489254580385788</v>
      </c>
      <c r="J223" s="10">
        <f t="shared" si="58"/>
        <v>-0.13349893348238856</v>
      </c>
      <c r="K223" s="10">
        <f t="shared" si="59"/>
        <v>21.188530377780278</v>
      </c>
      <c r="L223" s="22">
        <v>774</v>
      </c>
      <c r="M223" s="22" t="s">
        <v>39</v>
      </c>
      <c r="N223" s="8" t="s">
        <v>69</v>
      </c>
      <c r="O223" s="10" t="s">
        <v>65</v>
      </c>
      <c r="P223" s="10" t="s">
        <v>70</v>
      </c>
      <c r="Q223" s="8">
        <v>0.37</v>
      </c>
      <c r="R223" s="8" t="s">
        <v>71</v>
      </c>
      <c r="S223" s="31">
        <v>7.2</v>
      </c>
      <c r="T223" s="79">
        <f t="shared" si="67"/>
        <v>4.0715136000000008E-3</v>
      </c>
      <c r="U223" s="22">
        <v>17</v>
      </c>
      <c r="V223" s="22">
        <v>45</v>
      </c>
      <c r="W223" s="10">
        <f t="shared" si="68"/>
        <v>0.78539816339744828</v>
      </c>
      <c r="X223" s="22">
        <v>7</v>
      </c>
      <c r="Y223" s="22">
        <v>21</v>
      </c>
      <c r="Z223" s="10">
        <f t="shared" si="69"/>
        <v>0.36651914291880922</v>
      </c>
      <c r="AA223" s="10">
        <f t="shared" si="70"/>
        <v>14.529390926988409</v>
      </c>
      <c r="AB223" s="10">
        <f t="shared" si="71"/>
        <v>15.426556696829744</v>
      </c>
      <c r="AC223" s="10">
        <f t="shared" si="60"/>
        <v>1.928319587103718</v>
      </c>
      <c r="AD223" s="10">
        <f t="shared" si="64"/>
        <v>7.7132783484148719</v>
      </c>
      <c r="AE223" s="65"/>
      <c r="AF223" s="10">
        <f t="shared" si="65"/>
        <v>9.6401186042597811</v>
      </c>
      <c r="AG223" s="8">
        <f t="shared" si="61"/>
        <v>1.8798231278306574</v>
      </c>
      <c r="AH223" s="10">
        <f t="shared" si="62"/>
        <v>4.8200593021298905</v>
      </c>
      <c r="AI223" s="63"/>
      <c r="AJ223" s="10">
        <f t="shared" si="66"/>
        <v>9.5969999999999978</v>
      </c>
      <c r="AK223" s="8"/>
      <c r="AL223" s="8">
        <f t="shared" si="63"/>
        <v>4.7984999999999989</v>
      </c>
    </row>
    <row r="224" spans="1:38">
      <c r="A224" s="18">
        <v>41479</v>
      </c>
      <c r="B224" s="19" t="s">
        <v>141</v>
      </c>
      <c r="C224" s="12">
        <v>50.5</v>
      </c>
      <c r="D224" s="19" t="s">
        <v>80</v>
      </c>
      <c r="E224" s="16">
        <v>8.4093</v>
      </c>
      <c r="F224" s="8">
        <v>83.315039999999996</v>
      </c>
      <c r="G224" s="22">
        <v>50</v>
      </c>
      <c r="H224" s="22">
        <v>-13</v>
      </c>
      <c r="I224" s="10">
        <f t="shared" si="57"/>
        <v>-7.6489254580385788</v>
      </c>
      <c r="J224" s="10">
        <f t="shared" si="58"/>
        <v>-0.13349893348238856</v>
      </c>
      <c r="K224" s="10">
        <f t="shared" si="59"/>
        <v>21.188530377780278</v>
      </c>
      <c r="L224" s="22">
        <v>694</v>
      </c>
      <c r="M224" s="22" t="s">
        <v>39</v>
      </c>
      <c r="N224" s="8" t="s">
        <v>69</v>
      </c>
      <c r="O224" s="10" t="s">
        <v>65</v>
      </c>
      <c r="P224" s="10" t="s">
        <v>70</v>
      </c>
      <c r="Q224" s="8">
        <v>0.37</v>
      </c>
      <c r="R224" s="8" t="s">
        <v>71</v>
      </c>
      <c r="S224" s="31">
        <v>17.7</v>
      </c>
      <c r="T224" s="79">
        <f t="shared" si="67"/>
        <v>2.4605796599999997E-2</v>
      </c>
      <c r="U224" s="22">
        <v>13</v>
      </c>
      <c r="V224" s="22">
        <v>38</v>
      </c>
      <c r="W224" s="10">
        <f t="shared" si="68"/>
        <v>0.66322511575784526</v>
      </c>
      <c r="X224" s="22">
        <v>6</v>
      </c>
      <c r="Y224" s="22">
        <v>16</v>
      </c>
      <c r="Z224" s="10">
        <f t="shared" si="69"/>
        <v>0.27925268031909273</v>
      </c>
      <c r="AA224" s="10">
        <f t="shared" si="70"/>
        <v>9.6574233141355528</v>
      </c>
      <c r="AB224" s="10">
        <f t="shared" si="71"/>
        <v>57.007326584903467</v>
      </c>
      <c r="AC224" s="10">
        <f t="shared" si="60"/>
        <v>7.1259158231129334</v>
      </c>
      <c r="AD224" s="10">
        <f t="shared" si="64"/>
        <v>28.503663292451733</v>
      </c>
      <c r="AE224" s="65"/>
      <c r="AF224" s="10">
        <f t="shared" si="65"/>
        <v>89.920194191916792</v>
      </c>
      <c r="AG224" s="8">
        <f t="shared" si="61"/>
        <v>17.534437867423776</v>
      </c>
      <c r="AH224" s="10">
        <f t="shared" si="62"/>
        <v>44.960097095958396</v>
      </c>
      <c r="AI224" s="63"/>
      <c r="AJ224" s="10">
        <f t="shared" si="66"/>
        <v>130.06349999999998</v>
      </c>
      <c r="AK224" s="8"/>
      <c r="AL224" s="8">
        <f t="shared" si="63"/>
        <v>65.031749999999988</v>
      </c>
    </row>
    <row r="225" spans="1:38">
      <c r="A225" s="18">
        <v>41479</v>
      </c>
      <c r="B225" s="19" t="s">
        <v>141</v>
      </c>
      <c r="C225" s="12">
        <v>50.5</v>
      </c>
      <c r="D225" s="19" t="s">
        <v>80</v>
      </c>
      <c r="E225" s="16">
        <v>8.4093</v>
      </c>
      <c r="F225" s="8">
        <v>83.315039999999996</v>
      </c>
      <c r="G225" s="22">
        <v>50</v>
      </c>
      <c r="H225" s="22">
        <v>-13</v>
      </c>
      <c r="I225" s="10">
        <f t="shared" si="57"/>
        <v>-7.6489254580385788</v>
      </c>
      <c r="J225" s="10">
        <f t="shared" si="58"/>
        <v>-0.13349893348238856</v>
      </c>
      <c r="K225" s="10">
        <f t="shared" si="59"/>
        <v>21.188530377780278</v>
      </c>
      <c r="L225" s="22">
        <v>640</v>
      </c>
      <c r="M225" s="22" t="s">
        <v>39</v>
      </c>
      <c r="N225" s="8" t="s">
        <v>69</v>
      </c>
      <c r="O225" s="10" t="s">
        <v>65</v>
      </c>
      <c r="P225" s="10" t="s">
        <v>70</v>
      </c>
      <c r="Q225" s="8">
        <v>0.37</v>
      </c>
      <c r="R225" s="8" t="s">
        <v>71</v>
      </c>
      <c r="S225" s="31">
        <v>11.5</v>
      </c>
      <c r="T225" s="79">
        <f t="shared" si="67"/>
        <v>1.0386915E-2</v>
      </c>
      <c r="U225" s="22">
        <v>14</v>
      </c>
      <c r="V225" s="22">
        <v>56</v>
      </c>
      <c r="W225" s="10">
        <f t="shared" si="68"/>
        <v>0.97738438111682457</v>
      </c>
      <c r="X225" s="22">
        <v>6</v>
      </c>
      <c r="Y225" s="22">
        <v>12</v>
      </c>
      <c r="Z225" s="10">
        <f t="shared" si="69"/>
        <v>0.20943951023931956</v>
      </c>
      <c r="AA225" s="10">
        <f t="shared" si="70"/>
        <v>12.85399616067714</v>
      </c>
      <c r="AB225" s="10">
        <f t="shared" si="71"/>
        <v>33.157299919556401</v>
      </c>
      <c r="AC225" s="10">
        <f t="shared" si="60"/>
        <v>4.1446624899445501</v>
      </c>
      <c r="AD225" s="10">
        <f t="shared" si="64"/>
        <v>16.5786499597782</v>
      </c>
      <c r="AE225" s="65"/>
      <c r="AF225" s="10">
        <f t="shared" si="65"/>
        <v>30.814346111080596</v>
      </c>
      <c r="AG225" s="8">
        <f t="shared" si="61"/>
        <v>6.0087974916607161</v>
      </c>
      <c r="AH225" s="10">
        <f t="shared" si="62"/>
        <v>15.407173055540298</v>
      </c>
      <c r="AI225" s="63"/>
      <c r="AJ225" s="10">
        <f t="shared" si="66"/>
        <v>39.202499999999986</v>
      </c>
      <c r="AK225" s="8"/>
      <c r="AL225" s="8">
        <f t="shared" si="63"/>
        <v>19.601249999999993</v>
      </c>
    </row>
    <row r="226" spans="1:38">
      <c r="A226" s="18">
        <v>41479</v>
      </c>
      <c r="B226" s="19" t="s">
        <v>141</v>
      </c>
      <c r="C226" s="12">
        <v>50.5</v>
      </c>
      <c r="D226" s="19" t="s">
        <v>80</v>
      </c>
      <c r="E226" s="16">
        <v>8.4093</v>
      </c>
      <c r="F226" s="8">
        <v>83.315039999999996</v>
      </c>
      <c r="G226" s="22">
        <v>50</v>
      </c>
      <c r="H226" s="22">
        <v>-13</v>
      </c>
      <c r="I226" s="10">
        <f t="shared" si="57"/>
        <v>-7.6489254580385788</v>
      </c>
      <c r="J226" s="10">
        <f t="shared" si="58"/>
        <v>-0.13349893348238856</v>
      </c>
      <c r="K226" s="10">
        <f t="shared" si="59"/>
        <v>21.188530377780278</v>
      </c>
      <c r="L226" s="22">
        <v>682</v>
      </c>
      <c r="M226" s="22" t="s">
        <v>130</v>
      </c>
      <c r="N226" s="8" t="s">
        <v>99</v>
      </c>
      <c r="O226" s="10" t="s">
        <v>99</v>
      </c>
      <c r="P226" s="10" t="s">
        <v>99</v>
      </c>
      <c r="Q226" s="8">
        <v>0.57999999999999996</v>
      </c>
      <c r="R226" s="8" t="s">
        <v>103</v>
      </c>
      <c r="S226" s="31">
        <v>6.5</v>
      </c>
      <c r="T226" s="79">
        <f t="shared" si="67"/>
        <v>3.3183150000000001E-3</v>
      </c>
      <c r="U226" s="22">
        <v>7</v>
      </c>
      <c r="V226" s="22">
        <v>35</v>
      </c>
      <c r="W226" s="10">
        <f t="shared" si="68"/>
        <v>0.6108652381980153</v>
      </c>
      <c r="X226" s="22">
        <v>5</v>
      </c>
      <c r="Y226" s="22">
        <v>12</v>
      </c>
      <c r="Z226" s="10">
        <f t="shared" si="69"/>
        <v>0.20943951023931956</v>
      </c>
      <c r="AA226" s="10">
        <f t="shared" si="70"/>
        <v>5.0545935085461196</v>
      </c>
      <c r="AB226" s="10">
        <f t="shared" si="71"/>
        <v>7.1982380819584764</v>
      </c>
      <c r="AC226" s="10">
        <f t="shared" si="60"/>
        <v>0.89977976024480955</v>
      </c>
      <c r="AD226" s="10">
        <f t="shared" si="64"/>
        <v>3.5991190409792382</v>
      </c>
      <c r="AE226" s="65"/>
      <c r="AF226" s="10">
        <f t="shared" si="65"/>
        <v>11.744815846187073</v>
      </c>
      <c r="AG226" s="8">
        <f t="shared" si="61"/>
        <v>2.2902390900064793</v>
      </c>
      <c r="AH226" s="10">
        <f t="shared" si="62"/>
        <v>5.8724079230935367</v>
      </c>
      <c r="AI226" s="63"/>
      <c r="AJ226" s="10">
        <f t="shared" si="66"/>
        <v>7.3674999999999962</v>
      </c>
      <c r="AK226" s="8"/>
      <c r="AL226" s="8">
        <f t="shared" si="63"/>
        <v>3.6837499999999981</v>
      </c>
    </row>
    <row r="227" spans="1:38">
      <c r="A227" s="18">
        <v>41479</v>
      </c>
      <c r="B227" s="19" t="s">
        <v>141</v>
      </c>
      <c r="C227" s="12">
        <v>50.5</v>
      </c>
      <c r="D227" s="19" t="s">
        <v>80</v>
      </c>
      <c r="E227" s="16">
        <v>8.4093</v>
      </c>
      <c r="F227" s="8">
        <v>83.315039999999996</v>
      </c>
      <c r="G227" s="22">
        <v>50</v>
      </c>
      <c r="H227" s="22">
        <v>-13</v>
      </c>
      <c r="I227" s="10">
        <f t="shared" si="57"/>
        <v>-7.6489254580385788</v>
      </c>
      <c r="J227" s="10">
        <f t="shared" si="58"/>
        <v>-0.13349893348238856</v>
      </c>
      <c r="K227" s="10">
        <f t="shared" si="59"/>
        <v>21.188530377780278</v>
      </c>
      <c r="L227" s="22">
        <v>661</v>
      </c>
      <c r="M227" s="22" t="s">
        <v>54</v>
      </c>
      <c r="N227" s="8" t="s">
        <v>55</v>
      </c>
      <c r="O227" s="10" t="s">
        <v>56</v>
      </c>
      <c r="P227" s="10" t="s">
        <v>57</v>
      </c>
      <c r="Q227" s="11">
        <v>0.315</v>
      </c>
      <c r="R227" s="12" t="s">
        <v>66</v>
      </c>
      <c r="S227" s="31">
        <v>28.4</v>
      </c>
      <c r="T227" s="79">
        <f t="shared" si="67"/>
        <v>6.33472224E-2</v>
      </c>
      <c r="U227" s="22">
        <v>19</v>
      </c>
      <c r="V227" s="22">
        <v>78</v>
      </c>
      <c r="W227" s="10">
        <f t="shared" si="68"/>
        <v>1.3613568165555769</v>
      </c>
      <c r="X227" s="22">
        <v>8</v>
      </c>
      <c r="Y227" s="22">
        <v>2</v>
      </c>
      <c r="Z227" s="10">
        <f t="shared" si="69"/>
        <v>3.4906585039886591E-2</v>
      </c>
      <c r="AA227" s="10">
        <f t="shared" si="70"/>
        <v>18.864000387562314</v>
      </c>
      <c r="AB227" s="10">
        <f t="shared" si="71"/>
        <v>223.67007840343695</v>
      </c>
      <c r="AC227" s="10">
        <f t="shared" si="60"/>
        <v>27.958759800429618</v>
      </c>
      <c r="AD227" s="10">
        <f t="shared" si="64"/>
        <v>111.83503920171847</v>
      </c>
      <c r="AE227" s="65"/>
      <c r="AF227" s="10">
        <f t="shared" si="65"/>
        <v>243.88639606296042</v>
      </c>
      <c r="AG227" s="8">
        <f t="shared" si="61"/>
        <v>47.557847232277283</v>
      </c>
      <c r="AH227" s="10">
        <f t="shared" si="62"/>
        <v>121.94319803148021</v>
      </c>
      <c r="AI227" s="63"/>
      <c r="AJ227" s="10">
        <f t="shared" si="66"/>
        <v>420.68619999999993</v>
      </c>
      <c r="AK227" s="8"/>
      <c r="AL227" s="8">
        <f t="shared" si="63"/>
        <v>210.34309999999996</v>
      </c>
    </row>
    <row r="228" spans="1:38">
      <c r="A228" s="18">
        <v>41479</v>
      </c>
      <c r="B228" s="19" t="s">
        <v>141</v>
      </c>
      <c r="C228" s="12">
        <v>50.5</v>
      </c>
      <c r="D228" s="19" t="s">
        <v>80</v>
      </c>
      <c r="E228" s="16">
        <v>8.4093</v>
      </c>
      <c r="F228" s="8">
        <v>83.315039999999996</v>
      </c>
      <c r="G228" s="22">
        <v>50</v>
      </c>
      <c r="H228" s="22">
        <v>-13</v>
      </c>
      <c r="I228" s="10">
        <f t="shared" si="57"/>
        <v>-7.6489254580385788</v>
      </c>
      <c r="J228" s="10">
        <f t="shared" si="58"/>
        <v>-0.13349893348238856</v>
      </c>
      <c r="K228" s="10">
        <f t="shared" si="59"/>
        <v>21.188530377780278</v>
      </c>
      <c r="L228" s="22">
        <v>711</v>
      </c>
      <c r="M228" s="22" t="s">
        <v>54</v>
      </c>
      <c r="N228" s="8" t="s">
        <v>55</v>
      </c>
      <c r="O228" s="10" t="s">
        <v>56</v>
      </c>
      <c r="P228" s="10" t="s">
        <v>57</v>
      </c>
      <c r="Q228" s="11">
        <v>0.315</v>
      </c>
      <c r="R228" s="12" t="s">
        <v>66</v>
      </c>
      <c r="S228" s="31">
        <v>29.8</v>
      </c>
      <c r="T228" s="79">
        <f t="shared" si="67"/>
        <v>6.9746661600000009E-2</v>
      </c>
      <c r="U228" s="22">
        <v>21</v>
      </c>
      <c r="V228" s="22">
        <v>75</v>
      </c>
      <c r="W228" s="10">
        <f t="shared" si="68"/>
        <v>1.3089969389957472</v>
      </c>
      <c r="X228" s="22">
        <v>8</v>
      </c>
      <c r="Y228" s="22">
        <v>2</v>
      </c>
      <c r="Z228" s="10">
        <f t="shared" si="69"/>
        <v>3.4906585039886591E-2</v>
      </c>
      <c r="AA228" s="10">
        <f t="shared" si="70"/>
        <v>20.563638325690444</v>
      </c>
      <c r="AB228" s="10">
        <f t="shared" si="71"/>
        <v>265.53035600479382</v>
      </c>
      <c r="AC228" s="10">
        <f t="shared" si="60"/>
        <v>33.191294500599227</v>
      </c>
      <c r="AD228" s="10">
        <f t="shared" si="64"/>
        <v>132.76517800239691</v>
      </c>
      <c r="AE228" s="65"/>
      <c r="AF228" s="10">
        <f t="shared" si="65"/>
        <v>273.97608228654275</v>
      </c>
      <c r="AG228" s="8">
        <f t="shared" si="61"/>
        <v>53.425336045875838</v>
      </c>
      <c r="AH228" s="10">
        <f t="shared" si="62"/>
        <v>136.98804114327137</v>
      </c>
      <c r="AI228" s="63"/>
      <c r="AJ228" s="10">
        <f t="shared" si="66"/>
        <v>471.24720000000002</v>
      </c>
      <c r="AK228" s="8"/>
      <c r="AL228" s="8">
        <f t="shared" si="63"/>
        <v>235.62360000000001</v>
      </c>
    </row>
    <row r="229" spans="1:38">
      <c r="A229" s="18">
        <v>41479</v>
      </c>
      <c r="B229" s="19" t="s">
        <v>141</v>
      </c>
      <c r="C229" s="12">
        <v>50.5</v>
      </c>
      <c r="D229" s="19" t="s">
        <v>80</v>
      </c>
      <c r="E229" s="16">
        <v>8.4093</v>
      </c>
      <c r="F229" s="8">
        <v>83.315039999999996</v>
      </c>
      <c r="G229" s="22">
        <v>50</v>
      </c>
      <c r="H229" s="22">
        <v>-13</v>
      </c>
      <c r="I229" s="10">
        <f t="shared" si="57"/>
        <v>-7.6489254580385788</v>
      </c>
      <c r="J229" s="10">
        <f t="shared" si="58"/>
        <v>-0.13349893348238856</v>
      </c>
      <c r="K229" s="10">
        <f t="shared" si="59"/>
        <v>21.188530377780278</v>
      </c>
      <c r="L229" s="22">
        <v>763</v>
      </c>
      <c r="M229" s="22" t="s">
        <v>54</v>
      </c>
      <c r="N229" s="8" t="s">
        <v>55</v>
      </c>
      <c r="O229" s="10" t="s">
        <v>56</v>
      </c>
      <c r="P229" s="10" t="s">
        <v>57</v>
      </c>
      <c r="Q229" s="11">
        <v>0.315</v>
      </c>
      <c r="R229" s="12" t="s">
        <v>66</v>
      </c>
      <c r="S229" s="31">
        <v>36.5</v>
      </c>
      <c r="T229" s="79">
        <f t="shared" si="67"/>
        <v>0.10463491500000001</v>
      </c>
      <c r="U229" s="22">
        <v>26</v>
      </c>
      <c r="V229" s="22">
        <v>71</v>
      </c>
      <c r="W229" s="10">
        <f t="shared" si="68"/>
        <v>1.2391837689159739</v>
      </c>
      <c r="X229" s="22">
        <v>8</v>
      </c>
      <c r="Y229" s="22">
        <v>2</v>
      </c>
      <c r="Z229" s="10">
        <f t="shared" si="69"/>
        <v>3.4906585039886591E-2</v>
      </c>
      <c r="AA229" s="10">
        <f t="shared" si="70"/>
        <v>24.862678939202244</v>
      </c>
      <c r="AB229" s="10">
        <f t="shared" si="71"/>
        <v>464.72846425951627</v>
      </c>
      <c r="AC229" s="10">
        <f t="shared" si="60"/>
        <v>58.091058032439534</v>
      </c>
      <c r="AD229" s="10">
        <f t="shared" si="64"/>
        <v>232.36423212975814</v>
      </c>
      <c r="AE229" s="65"/>
      <c r="AF229" s="10">
        <f t="shared" si="65"/>
        <v>445.46200769705786</v>
      </c>
      <c r="AG229" s="8">
        <f t="shared" si="61"/>
        <v>86.865091500926283</v>
      </c>
      <c r="AH229" s="10">
        <f t="shared" si="62"/>
        <v>222.73100384852893</v>
      </c>
      <c r="AI229" s="63"/>
      <c r="AJ229" s="10">
        <f t="shared" si="66"/>
        <v>753.37750000000005</v>
      </c>
      <c r="AK229" s="8"/>
      <c r="AL229" s="8">
        <f t="shared" si="63"/>
        <v>376.68875000000003</v>
      </c>
    </row>
    <row r="230" spans="1:38">
      <c r="A230" s="18">
        <v>41479</v>
      </c>
      <c r="B230" s="19" t="s">
        <v>141</v>
      </c>
      <c r="C230" s="12">
        <v>50.5</v>
      </c>
      <c r="D230" s="19" t="s">
        <v>80</v>
      </c>
      <c r="E230" s="16">
        <v>8.4093</v>
      </c>
      <c r="F230" s="8">
        <v>83.315039999999996</v>
      </c>
      <c r="G230" s="22">
        <v>50</v>
      </c>
      <c r="H230" s="22">
        <v>-13</v>
      </c>
      <c r="I230" s="10">
        <f t="shared" si="57"/>
        <v>-7.6489254580385788</v>
      </c>
      <c r="J230" s="10">
        <f t="shared" si="58"/>
        <v>-0.13349893348238856</v>
      </c>
      <c r="K230" s="10">
        <f t="shared" si="59"/>
        <v>21.188530377780278</v>
      </c>
      <c r="L230" s="22">
        <v>731</v>
      </c>
      <c r="M230" s="22" t="s">
        <v>135</v>
      </c>
      <c r="N230" s="22" t="s">
        <v>180</v>
      </c>
      <c r="O230" s="10" t="s">
        <v>217</v>
      </c>
      <c r="P230" s="10" t="s">
        <v>221</v>
      </c>
      <c r="Q230" s="24">
        <v>0.38</v>
      </c>
      <c r="R230" s="31" t="s">
        <v>190</v>
      </c>
      <c r="S230" s="31">
        <v>62.4</v>
      </c>
      <c r="T230" s="79">
        <f t="shared" si="67"/>
        <v>0.3058159104</v>
      </c>
      <c r="U230" s="22">
        <v>16</v>
      </c>
      <c r="V230" s="22">
        <v>63</v>
      </c>
      <c r="W230" s="10">
        <f t="shared" si="68"/>
        <v>1.0995574287564276</v>
      </c>
      <c r="X230" s="22">
        <v>9</v>
      </c>
      <c r="Y230" s="22">
        <v>3</v>
      </c>
      <c r="Z230" s="10">
        <f t="shared" si="69"/>
        <v>5.235987755982989E-2</v>
      </c>
      <c r="AA230" s="10">
        <f t="shared" si="70"/>
        <v>14.72712799320038</v>
      </c>
      <c r="AB230" s="10">
        <f t="shared" si="71"/>
        <v>928.61631222676499</v>
      </c>
      <c r="AC230" s="10">
        <f t="shared" si="60"/>
        <v>116.07703902834562</v>
      </c>
      <c r="AD230" s="10">
        <f t="shared" si="64"/>
        <v>464.30815611338249</v>
      </c>
      <c r="AE230" s="65"/>
      <c r="AF230" s="10">
        <f t="shared" si="65"/>
        <v>1863.3231069796916</v>
      </c>
      <c r="AG230" s="8">
        <f t="shared" si="61"/>
        <v>363.34800586103989</v>
      </c>
      <c r="AH230" s="10">
        <f t="shared" si="62"/>
        <v>931.6615534898458</v>
      </c>
      <c r="AI230" s="63"/>
      <c r="AJ230" s="10">
        <f t="shared" si="66"/>
        <v>2468.8121999999998</v>
      </c>
      <c r="AK230" s="8"/>
      <c r="AL230" s="8">
        <f t="shared" si="63"/>
        <v>1234.4060999999999</v>
      </c>
    </row>
    <row r="231" spans="1:38">
      <c r="A231" s="18">
        <v>41479</v>
      </c>
      <c r="B231" s="19" t="s">
        <v>141</v>
      </c>
      <c r="C231" s="12">
        <v>50.5</v>
      </c>
      <c r="D231" s="19" t="s">
        <v>80</v>
      </c>
      <c r="E231" s="16">
        <v>8.4093</v>
      </c>
      <c r="F231" s="8">
        <v>83.315039999999996</v>
      </c>
      <c r="G231" s="22">
        <v>50</v>
      </c>
      <c r="H231" s="22">
        <v>-13</v>
      </c>
      <c r="I231" s="10">
        <f t="shared" si="57"/>
        <v>-7.6489254580385788</v>
      </c>
      <c r="J231" s="10">
        <f t="shared" si="58"/>
        <v>-0.13349893348238856</v>
      </c>
      <c r="K231" s="10">
        <f t="shared" si="59"/>
        <v>21.188530377780278</v>
      </c>
      <c r="L231" s="22">
        <v>693</v>
      </c>
      <c r="M231" s="22" t="s">
        <v>129</v>
      </c>
      <c r="N231" s="22" t="s">
        <v>171</v>
      </c>
      <c r="O231" s="58" t="s">
        <v>175</v>
      </c>
      <c r="P231" s="10" t="s">
        <v>176</v>
      </c>
      <c r="Q231" s="22">
        <v>0.23</v>
      </c>
      <c r="R231" s="22" t="s">
        <v>190</v>
      </c>
      <c r="S231" s="31">
        <v>16.8</v>
      </c>
      <c r="T231" s="79">
        <f t="shared" si="67"/>
        <v>2.2167129600000002E-2</v>
      </c>
      <c r="U231" s="22">
        <v>13</v>
      </c>
      <c r="V231" s="22">
        <v>54</v>
      </c>
      <c r="W231" s="10">
        <f t="shared" si="68"/>
        <v>0.94247779607693793</v>
      </c>
      <c r="X231" s="22">
        <v>9</v>
      </c>
      <c r="Y231" s="22">
        <v>11</v>
      </c>
      <c r="Z231" s="10">
        <f t="shared" si="69"/>
        <v>0.19198621771937624</v>
      </c>
      <c r="AA231" s="10">
        <f t="shared" si="70"/>
        <v>12.234501885263219</v>
      </c>
      <c r="AB231" s="10">
        <f t="shared" si="71"/>
        <v>41.28558582554794</v>
      </c>
      <c r="AC231" s="10">
        <f t="shared" si="60"/>
        <v>5.1606982281934926</v>
      </c>
      <c r="AD231" s="10">
        <f t="shared" si="64"/>
        <v>20.64279291277397</v>
      </c>
      <c r="AE231" s="65"/>
      <c r="AF231" s="10">
        <f t="shared" si="65"/>
        <v>49.122752577186851</v>
      </c>
      <c r="AG231" s="8">
        <f t="shared" si="61"/>
        <v>9.5789367525514368</v>
      </c>
      <c r="AH231" s="10">
        <f t="shared" si="62"/>
        <v>24.561376288593426</v>
      </c>
      <c r="AI231" s="63"/>
      <c r="AJ231" s="10">
        <f t="shared" si="66"/>
        <v>113.34419999999997</v>
      </c>
      <c r="AK231" s="8"/>
      <c r="AL231" s="8">
        <f t="shared" si="63"/>
        <v>56.672099999999986</v>
      </c>
    </row>
    <row r="232" spans="1:38">
      <c r="A232" s="18">
        <v>41479</v>
      </c>
      <c r="B232" s="19" t="s">
        <v>141</v>
      </c>
      <c r="C232" s="12">
        <v>50.5</v>
      </c>
      <c r="D232" s="19" t="s">
        <v>80</v>
      </c>
      <c r="E232" s="16">
        <v>8.4093</v>
      </c>
      <c r="F232" s="8">
        <v>83.315039999999996</v>
      </c>
      <c r="G232" s="22">
        <v>50</v>
      </c>
      <c r="H232" s="22">
        <v>-13</v>
      </c>
      <c r="I232" s="10">
        <f t="shared" si="57"/>
        <v>-7.6489254580385788</v>
      </c>
      <c r="J232" s="10">
        <f t="shared" si="58"/>
        <v>-0.13349893348238856</v>
      </c>
      <c r="K232" s="10">
        <f t="shared" si="59"/>
        <v>21.188530377780278</v>
      </c>
      <c r="L232" s="22">
        <v>676</v>
      </c>
      <c r="M232" s="22" t="s">
        <v>129</v>
      </c>
      <c r="N232" s="22" t="s">
        <v>171</v>
      </c>
      <c r="O232" s="58" t="s">
        <v>175</v>
      </c>
      <c r="P232" s="10" t="s">
        <v>176</v>
      </c>
      <c r="Q232" s="22">
        <v>0.23</v>
      </c>
      <c r="R232" s="22" t="s">
        <v>190</v>
      </c>
      <c r="S232" s="31">
        <v>19.899999999999999</v>
      </c>
      <c r="T232" s="79">
        <f t="shared" si="67"/>
        <v>3.1102625399999997E-2</v>
      </c>
      <c r="U232" s="22">
        <v>12</v>
      </c>
      <c r="V232" s="22">
        <v>65</v>
      </c>
      <c r="W232" s="10">
        <f t="shared" si="68"/>
        <v>1.1344640137963142</v>
      </c>
      <c r="X232" s="22">
        <v>7</v>
      </c>
      <c r="Y232" s="22">
        <v>13</v>
      </c>
      <c r="Z232" s="10">
        <f t="shared" si="69"/>
        <v>0.22689280275926285</v>
      </c>
      <c r="AA232" s="10">
        <f t="shared" si="70"/>
        <v>12.450350824846854</v>
      </c>
      <c r="AB232" s="10">
        <f t="shared" si="71"/>
        <v>57.703261967489077</v>
      </c>
      <c r="AC232" s="10">
        <f t="shared" si="60"/>
        <v>7.2129077459361346</v>
      </c>
      <c r="AD232" s="10">
        <f t="shared" si="64"/>
        <v>28.851630983744538</v>
      </c>
      <c r="AE232" s="65"/>
      <c r="AF232" s="10">
        <f t="shared" si="65"/>
        <v>74.646229562781812</v>
      </c>
      <c r="AG232" s="8">
        <f t="shared" si="61"/>
        <v>14.556014764742454</v>
      </c>
      <c r="AH232" s="10">
        <f t="shared" si="62"/>
        <v>37.323114781390906</v>
      </c>
      <c r="AI232" s="63"/>
      <c r="AJ232" s="10">
        <f t="shared" si="66"/>
        <v>175.97969999999992</v>
      </c>
      <c r="AK232" s="8"/>
      <c r="AL232" s="8">
        <f t="shared" si="63"/>
        <v>87.989849999999961</v>
      </c>
    </row>
    <row r="233" spans="1:38">
      <c r="A233" s="18">
        <v>41479</v>
      </c>
      <c r="B233" s="19" t="s">
        <v>141</v>
      </c>
      <c r="C233" s="12">
        <v>50.5</v>
      </c>
      <c r="D233" s="19" t="s">
        <v>80</v>
      </c>
      <c r="E233" s="16">
        <v>8.4093</v>
      </c>
      <c r="F233" s="8">
        <v>83.315039999999996</v>
      </c>
      <c r="G233" s="22">
        <v>50</v>
      </c>
      <c r="H233" s="22">
        <v>-13</v>
      </c>
      <c r="I233" s="10">
        <f t="shared" si="57"/>
        <v>-7.6489254580385788</v>
      </c>
      <c r="J233" s="10">
        <f t="shared" si="58"/>
        <v>-0.13349893348238856</v>
      </c>
      <c r="K233" s="10">
        <f t="shared" si="59"/>
        <v>21.188530377780278</v>
      </c>
      <c r="L233" s="22">
        <v>716</v>
      </c>
      <c r="M233" s="22" t="s">
        <v>39</v>
      </c>
      <c r="N233" s="8" t="s">
        <v>69</v>
      </c>
      <c r="O233" s="10" t="s">
        <v>65</v>
      </c>
      <c r="P233" s="10" t="s">
        <v>70</v>
      </c>
      <c r="Q233" s="8">
        <v>0.37</v>
      </c>
      <c r="R233" s="8" t="s">
        <v>71</v>
      </c>
      <c r="S233" s="31">
        <v>10.5</v>
      </c>
      <c r="T233" s="79">
        <f t="shared" si="67"/>
        <v>8.6590350000000007E-3</v>
      </c>
      <c r="U233" s="22">
        <v>14</v>
      </c>
      <c r="V233" s="22">
        <v>50</v>
      </c>
      <c r="W233" s="10">
        <f t="shared" si="68"/>
        <v>0.87266462599716477</v>
      </c>
      <c r="X233" s="22">
        <v>8</v>
      </c>
      <c r="Y233" s="22">
        <v>11</v>
      </c>
      <c r="Z233" s="10">
        <f t="shared" si="69"/>
        <v>0.19198621771937624</v>
      </c>
      <c r="AA233" s="10">
        <f t="shared" si="70"/>
        <v>12.251094166678051</v>
      </c>
      <c r="AB233" s="10">
        <f t="shared" si="71"/>
        <v>26.711089928493756</v>
      </c>
      <c r="AC233" s="10">
        <f t="shared" si="60"/>
        <v>3.3388862410617195</v>
      </c>
      <c r="AD233" s="10">
        <f t="shared" si="64"/>
        <v>13.355544964246878</v>
      </c>
      <c r="AE233" s="65"/>
      <c r="AF233" s="10">
        <f t="shared" si="65"/>
        <v>24.572985921641621</v>
      </c>
      <c r="AG233" s="8">
        <f t="shared" si="61"/>
        <v>4.7917322547201167</v>
      </c>
      <c r="AH233" s="10">
        <f t="shared" si="62"/>
        <v>12.28649296082081</v>
      </c>
      <c r="AI233" s="63"/>
      <c r="AJ233" s="10">
        <f t="shared" si="66"/>
        <v>29.875499999999988</v>
      </c>
      <c r="AK233" s="8"/>
      <c r="AL233" s="8">
        <f t="shared" si="63"/>
        <v>14.937749999999994</v>
      </c>
    </row>
    <row r="234" spans="1:38">
      <c r="A234" s="18">
        <v>41479</v>
      </c>
      <c r="B234" s="19" t="s">
        <v>141</v>
      </c>
      <c r="C234" s="12">
        <v>50.5</v>
      </c>
      <c r="D234" s="19" t="s">
        <v>80</v>
      </c>
      <c r="E234" s="16">
        <v>8.4093</v>
      </c>
      <c r="F234" s="8">
        <v>83.315039999999996</v>
      </c>
      <c r="G234" s="22">
        <v>50</v>
      </c>
      <c r="H234" s="22">
        <v>-13</v>
      </c>
      <c r="I234" s="10">
        <f t="shared" si="57"/>
        <v>-7.6489254580385788</v>
      </c>
      <c r="J234" s="10">
        <f t="shared" si="58"/>
        <v>-0.13349893348238856</v>
      </c>
      <c r="K234" s="10">
        <f t="shared" si="59"/>
        <v>21.188530377780278</v>
      </c>
      <c r="L234" s="22">
        <v>744</v>
      </c>
      <c r="M234" s="22" t="s">
        <v>39</v>
      </c>
      <c r="N234" s="8" t="s">
        <v>69</v>
      </c>
      <c r="O234" s="10" t="s">
        <v>65</v>
      </c>
      <c r="P234" s="10" t="s">
        <v>70</v>
      </c>
      <c r="Q234" s="8">
        <v>0.37</v>
      </c>
      <c r="R234" s="8" t="s">
        <v>71</v>
      </c>
      <c r="S234" s="31">
        <v>14.2</v>
      </c>
      <c r="T234" s="79">
        <f t="shared" si="67"/>
        <v>1.58368056E-2</v>
      </c>
      <c r="U234" s="22">
        <v>13</v>
      </c>
      <c r="V234" s="22">
        <v>50</v>
      </c>
      <c r="W234" s="10">
        <f t="shared" si="68"/>
        <v>0.87266462599716477</v>
      </c>
      <c r="X234" s="22">
        <v>8</v>
      </c>
      <c r="Y234" s="22">
        <v>12</v>
      </c>
      <c r="Z234" s="10">
        <f t="shared" si="69"/>
        <v>0.20943951023931956</v>
      </c>
      <c r="AA234" s="10">
        <f t="shared" si="70"/>
        <v>11.621871287088789</v>
      </c>
      <c r="AB234" s="10">
        <f t="shared" si="71"/>
        <v>44.836626296146036</v>
      </c>
      <c r="AC234" s="10">
        <f t="shared" si="60"/>
        <v>5.6045782870182546</v>
      </c>
      <c r="AD234" s="10">
        <f t="shared" si="64"/>
        <v>22.418313148073018</v>
      </c>
      <c r="AE234" s="65"/>
      <c r="AF234" s="10">
        <f t="shared" si="65"/>
        <v>52.066992549100995</v>
      </c>
      <c r="AG234" s="8">
        <f t="shared" si="61"/>
        <v>10.153063547074694</v>
      </c>
      <c r="AH234" s="10">
        <f t="shared" si="62"/>
        <v>26.033496274550497</v>
      </c>
      <c r="AI234" s="63"/>
      <c r="AJ234" s="10">
        <f t="shared" si="66"/>
        <v>71.777999999999977</v>
      </c>
      <c r="AK234" s="8"/>
      <c r="AL234" s="8">
        <f t="shared" si="63"/>
        <v>35.888999999999989</v>
      </c>
    </row>
    <row r="235" spans="1:38">
      <c r="A235" s="18">
        <v>41479</v>
      </c>
      <c r="B235" s="19" t="s">
        <v>141</v>
      </c>
      <c r="C235" s="12">
        <v>50.5</v>
      </c>
      <c r="D235" s="19" t="s">
        <v>80</v>
      </c>
      <c r="E235" s="16">
        <v>8.4093</v>
      </c>
      <c r="F235" s="8">
        <v>83.315039999999996</v>
      </c>
      <c r="G235" s="22">
        <v>50</v>
      </c>
      <c r="H235" s="22">
        <v>-13</v>
      </c>
      <c r="I235" s="10">
        <f t="shared" si="57"/>
        <v>-7.6489254580385788</v>
      </c>
      <c r="J235" s="10">
        <f t="shared" si="58"/>
        <v>-0.13349893348238856</v>
      </c>
      <c r="K235" s="10">
        <f t="shared" si="59"/>
        <v>21.188530377780278</v>
      </c>
      <c r="L235" s="22">
        <v>729</v>
      </c>
      <c r="M235" s="22" t="s">
        <v>39</v>
      </c>
      <c r="N235" s="8" t="s">
        <v>69</v>
      </c>
      <c r="O235" s="10" t="s">
        <v>65</v>
      </c>
      <c r="P235" s="10" t="s">
        <v>70</v>
      </c>
      <c r="Q235" s="8">
        <v>0.37</v>
      </c>
      <c r="R235" s="8" t="s">
        <v>71</v>
      </c>
      <c r="S235" s="31">
        <v>8.5</v>
      </c>
      <c r="T235" s="79">
        <f t="shared" si="67"/>
        <v>5.6745150000000006E-3</v>
      </c>
      <c r="U235" s="22">
        <v>11</v>
      </c>
      <c r="V235" s="22">
        <v>41</v>
      </c>
      <c r="W235" s="10">
        <f t="shared" si="68"/>
        <v>0.71558499331767511</v>
      </c>
      <c r="X235" s="22">
        <v>9</v>
      </c>
      <c r="Y235" s="22">
        <v>13</v>
      </c>
      <c r="Z235" s="10">
        <f t="shared" si="69"/>
        <v>0.22689280275926285</v>
      </c>
      <c r="AA235" s="10">
        <f t="shared" si="70"/>
        <v>9.2412088079903647</v>
      </c>
      <c r="AB235" s="10">
        <f t="shared" si="71"/>
        <v>13.774123690503373</v>
      </c>
      <c r="AC235" s="10">
        <f t="shared" si="60"/>
        <v>1.7217654613129216</v>
      </c>
      <c r="AD235" s="10">
        <f t="shared" si="64"/>
        <v>6.8870618452516865</v>
      </c>
      <c r="AE235" s="65"/>
      <c r="AF235" s="10">
        <f t="shared" si="65"/>
        <v>14.53703221060057</v>
      </c>
      <c r="AG235" s="8">
        <f t="shared" si="61"/>
        <v>2.8347212810671114</v>
      </c>
      <c r="AH235" s="10">
        <f t="shared" si="62"/>
        <v>7.2685161053002849</v>
      </c>
      <c r="AI235" s="63"/>
      <c r="AJ235" s="10">
        <f t="shared" si="66"/>
        <v>15.661499999999997</v>
      </c>
      <c r="AK235" s="8"/>
      <c r="AL235" s="8">
        <f t="shared" si="63"/>
        <v>7.8307499999999983</v>
      </c>
    </row>
    <row r="236" spans="1:38">
      <c r="A236" s="18">
        <v>41479</v>
      </c>
      <c r="B236" s="19" t="s">
        <v>141</v>
      </c>
      <c r="C236" s="12">
        <v>50.5</v>
      </c>
      <c r="D236" s="19" t="s">
        <v>80</v>
      </c>
      <c r="E236" s="16">
        <v>8.4093</v>
      </c>
      <c r="F236" s="8">
        <v>83.315039999999996</v>
      </c>
      <c r="G236" s="22">
        <v>50</v>
      </c>
      <c r="H236" s="22">
        <v>-13</v>
      </c>
      <c r="I236" s="10">
        <f t="shared" si="57"/>
        <v>-7.6489254580385788</v>
      </c>
      <c r="J236" s="10">
        <f t="shared" si="58"/>
        <v>-0.13349893348238856</v>
      </c>
      <c r="K236" s="10">
        <f t="shared" si="59"/>
        <v>21.188530377780278</v>
      </c>
      <c r="L236" s="22">
        <v>747</v>
      </c>
      <c r="M236" s="22" t="s">
        <v>39</v>
      </c>
      <c r="N236" s="8" t="s">
        <v>69</v>
      </c>
      <c r="O236" s="10" t="s">
        <v>65</v>
      </c>
      <c r="P236" s="10" t="s">
        <v>70</v>
      </c>
      <c r="Q236" s="8">
        <v>0.37</v>
      </c>
      <c r="R236" s="8" t="s">
        <v>71</v>
      </c>
      <c r="S236" s="31">
        <v>19.399999999999999</v>
      </c>
      <c r="T236" s="79">
        <f t="shared" si="67"/>
        <v>2.9559314399999998E-2</v>
      </c>
      <c r="U236" s="22">
        <v>17</v>
      </c>
      <c r="V236" s="22">
        <v>62</v>
      </c>
      <c r="W236" s="10">
        <f t="shared" si="68"/>
        <v>1.0821041362364843</v>
      </c>
      <c r="X236" s="22">
        <v>7</v>
      </c>
      <c r="Y236" s="22">
        <v>8</v>
      </c>
      <c r="Z236" s="10">
        <f t="shared" si="69"/>
        <v>0.13962634015954636</v>
      </c>
      <c r="AA236" s="10">
        <f t="shared" si="70"/>
        <v>15.984320785322215</v>
      </c>
      <c r="AB236" s="10">
        <f t="shared" si="71"/>
        <v>108.77050118867844</v>
      </c>
      <c r="AC236" s="10">
        <f t="shared" si="60"/>
        <v>13.596312648584805</v>
      </c>
      <c r="AD236" s="10">
        <f t="shared" si="64"/>
        <v>54.385250594339219</v>
      </c>
      <c r="AE236" s="65"/>
      <c r="AF236" s="10">
        <f t="shared" si="65"/>
        <v>112.78131673362823</v>
      </c>
      <c r="AG236" s="8">
        <f t="shared" si="61"/>
        <v>21.992356763057504</v>
      </c>
      <c r="AH236" s="10">
        <f t="shared" si="62"/>
        <v>56.390658366814115</v>
      </c>
      <c r="AI236" s="63"/>
      <c r="AJ236" s="10">
        <f t="shared" si="66"/>
        <v>164.9152</v>
      </c>
      <c r="AK236" s="8"/>
      <c r="AL236" s="8">
        <f t="shared" si="63"/>
        <v>82.457599999999999</v>
      </c>
    </row>
    <row r="237" spans="1:38">
      <c r="A237" s="18">
        <v>41479</v>
      </c>
      <c r="B237" s="19" t="s">
        <v>141</v>
      </c>
      <c r="C237" s="12">
        <v>50.5</v>
      </c>
      <c r="D237" s="19" t="s">
        <v>80</v>
      </c>
      <c r="E237" s="16">
        <v>8.4093</v>
      </c>
      <c r="F237" s="8">
        <v>83.315039999999996</v>
      </c>
      <c r="G237" s="22">
        <v>50</v>
      </c>
      <c r="H237" s="22">
        <v>-13</v>
      </c>
      <c r="I237" s="10">
        <f t="shared" si="57"/>
        <v>-7.6489254580385788</v>
      </c>
      <c r="J237" s="10">
        <f t="shared" si="58"/>
        <v>-0.13349893348238856</v>
      </c>
      <c r="K237" s="10">
        <f t="shared" si="59"/>
        <v>21.188530377780278</v>
      </c>
      <c r="L237" s="22">
        <v>818</v>
      </c>
      <c r="M237" s="22" t="s">
        <v>39</v>
      </c>
      <c r="N237" s="8" t="s">
        <v>69</v>
      </c>
      <c r="O237" s="10" t="s">
        <v>65</v>
      </c>
      <c r="P237" s="10" t="s">
        <v>70</v>
      </c>
      <c r="Q237" s="8">
        <v>0.37</v>
      </c>
      <c r="R237" s="8" t="s">
        <v>71</v>
      </c>
      <c r="S237" s="31">
        <v>9.8000000000000007</v>
      </c>
      <c r="T237" s="79">
        <f t="shared" si="67"/>
        <v>7.5429816000000018E-3</v>
      </c>
      <c r="U237" s="22">
        <v>8</v>
      </c>
      <c r="V237" s="22">
        <v>42</v>
      </c>
      <c r="W237" s="10">
        <f t="shared" si="68"/>
        <v>0.73303828583761843</v>
      </c>
      <c r="X237" s="22">
        <v>7</v>
      </c>
      <c r="Y237" s="22">
        <v>8</v>
      </c>
      <c r="Z237" s="10">
        <f t="shared" si="69"/>
        <v>0.13962634015954636</v>
      </c>
      <c r="AA237" s="10">
        <f t="shared" si="70"/>
        <v>6.3272565575913244</v>
      </c>
      <c r="AB237" s="10">
        <f t="shared" si="71"/>
        <v>12.607206954845118</v>
      </c>
      <c r="AC237" s="10">
        <f t="shared" si="60"/>
        <v>1.5759008693556398</v>
      </c>
      <c r="AD237" s="10">
        <f t="shared" si="64"/>
        <v>6.3036034774225591</v>
      </c>
      <c r="AE237" s="65"/>
      <c r="AF237" s="10">
        <f t="shared" si="65"/>
        <v>20.699041667282327</v>
      </c>
      <c r="AG237" s="8">
        <f t="shared" si="61"/>
        <v>4.0363131251200537</v>
      </c>
      <c r="AH237" s="10">
        <f t="shared" si="62"/>
        <v>10.349520833641163</v>
      </c>
      <c r="AI237" s="63"/>
      <c r="AJ237" s="10">
        <f t="shared" si="66"/>
        <v>24.227199999999996</v>
      </c>
      <c r="AK237" s="8"/>
      <c r="AL237" s="8">
        <f t="shared" si="63"/>
        <v>12.113599999999998</v>
      </c>
    </row>
    <row r="238" spans="1:38">
      <c r="A238" s="18">
        <v>41479</v>
      </c>
      <c r="B238" s="19" t="s">
        <v>141</v>
      </c>
      <c r="C238" s="12">
        <v>50.5</v>
      </c>
      <c r="D238" s="19" t="s">
        <v>80</v>
      </c>
      <c r="E238" s="16">
        <v>8.4093</v>
      </c>
      <c r="F238" s="8">
        <v>83.315039999999996</v>
      </c>
      <c r="G238" s="22">
        <v>50</v>
      </c>
      <c r="H238" s="22">
        <v>-13</v>
      </c>
      <c r="I238" s="10">
        <f t="shared" si="57"/>
        <v>-7.6489254580385788</v>
      </c>
      <c r="J238" s="10">
        <f t="shared" si="58"/>
        <v>-0.13349893348238856</v>
      </c>
      <c r="K238" s="10">
        <f t="shared" si="59"/>
        <v>21.188530377780278</v>
      </c>
      <c r="L238" s="22">
        <v>606</v>
      </c>
      <c r="M238" s="22" t="s">
        <v>39</v>
      </c>
      <c r="N238" s="8" t="s">
        <v>69</v>
      </c>
      <c r="O238" s="10" t="s">
        <v>65</v>
      </c>
      <c r="P238" s="10" t="s">
        <v>70</v>
      </c>
      <c r="Q238" s="8">
        <v>0.37</v>
      </c>
      <c r="R238" s="8" t="s">
        <v>71</v>
      </c>
      <c r="S238" s="31">
        <v>9.4</v>
      </c>
      <c r="T238" s="79">
        <f t="shared" si="67"/>
        <v>6.939794400000001E-3</v>
      </c>
      <c r="U238" s="22">
        <v>8</v>
      </c>
      <c r="V238" s="22">
        <v>15</v>
      </c>
      <c r="W238" s="10">
        <f t="shared" si="68"/>
        <v>0.26179938779914941</v>
      </c>
      <c r="X238" s="22">
        <v>7</v>
      </c>
      <c r="Y238" s="22">
        <v>11</v>
      </c>
      <c r="Z238" s="10">
        <f t="shared" si="69"/>
        <v>0.19198621771937624</v>
      </c>
      <c r="AA238" s="10">
        <f t="shared" si="70"/>
        <v>3.4062153284559793</v>
      </c>
      <c r="AB238" s="10">
        <f t="shared" si="71"/>
        <v>6.5130960028452876</v>
      </c>
      <c r="AC238" s="10">
        <f t="shared" si="60"/>
        <v>0.81413700035566094</v>
      </c>
      <c r="AD238" s="10">
        <f t="shared" si="64"/>
        <v>3.2565480014226438</v>
      </c>
      <c r="AE238" s="65"/>
      <c r="AF238" s="10">
        <f t="shared" si="65"/>
        <v>18.662688375802759</v>
      </c>
      <c r="AG238" s="8">
        <f t="shared" si="61"/>
        <v>3.6392242332815381</v>
      </c>
      <c r="AH238" s="10">
        <f t="shared" si="62"/>
        <v>9.3313441879013794</v>
      </c>
      <c r="AI238" s="63"/>
      <c r="AJ238" s="10">
        <f t="shared" si="66"/>
        <v>21.325199999999995</v>
      </c>
      <c r="AK238" s="8"/>
      <c r="AL238" s="8">
        <f t="shared" si="63"/>
        <v>10.662599999999998</v>
      </c>
    </row>
    <row r="239" spans="1:38">
      <c r="A239" s="18">
        <v>41479</v>
      </c>
      <c r="B239" s="19" t="s">
        <v>141</v>
      </c>
      <c r="C239" s="12">
        <v>50.5</v>
      </c>
      <c r="D239" s="19" t="s">
        <v>80</v>
      </c>
      <c r="E239" s="16">
        <v>8.4093</v>
      </c>
      <c r="F239" s="8">
        <v>83.315039999999996</v>
      </c>
      <c r="G239" s="22">
        <v>50</v>
      </c>
      <c r="H239" s="22">
        <v>-13</v>
      </c>
      <c r="I239" s="10">
        <f t="shared" si="57"/>
        <v>-7.6489254580385788</v>
      </c>
      <c r="J239" s="10">
        <f t="shared" si="58"/>
        <v>-0.13349893348238856</v>
      </c>
      <c r="K239" s="10">
        <f t="shared" si="59"/>
        <v>21.188530377780278</v>
      </c>
      <c r="L239" s="22">
        <v>743</v>
      </c>
      <c r="M239" s="22" t="s">
        <v>39</v>
      </c>
      <c r="N239" s="8" t="s">
        <v>69</v>
      </c>
      <c r="O239" s="10" t="s">
        <v>65</v>
      </c>
      <c r="P239" s="10" t="s">
        <v>70</v>
      </c>
      <c r="Q239" s="8">
        <v>0.37</v>
      </c>
      <c r="R239" s="8" t="s">
        <v>71</v>
      </c>
      <c r="S239" s="31">
        <v>9.4</v>
      </c>
      <c r="T239" s="79">
        <f t="shared" si="67"/>
        <v>6.939794400000001E-3</v>
      </c>
      <c r="U239" s="22">
        <v>8</v>
      </c>
      <c r="V239" s="22">
        <v>21</v>
      </c>
      <c r="W239" s="10">
        <f t="shared" si="68"/>
        <v>0.36651914291880922</v>
      </c>
      <c r="X239" s="22">
        <v>7</v>
      </c>
      <c r="Y239" s="22">
        <v>12</v>
      </c>
      <c r="Z239" s="10">
        <f t="shared" si="69"/>
        <v>0.20943951023931956</v>
      </c>
      <c r="AA239" s="10">
        <f t="shared" si="70"/>
        <v>4.3223254320867177</v>
      </c>
      <c r="AB239" s="10">
        <f t="shared" si="71"/>
        <v>8.1475328683159951</v>
      </c>
      <c r="AC239" s="10">
        <f t="shared" si="60"/>
        <v>1.0184416085394994</v>
      </c>
      <c r="AD239" s="10">
        <f t="shared" si="64"/>
        <v>4.0737664341579976</v>
      </c>
      <c r="AE239" s="65"/>
      <c r="AF239" s="10">
        <f t="shared" si="65"/>
        <v>18.662688375802759</v>
      </c>
      <c r="AG239" s="8">
        <f t="shared" si="61"/>
        <v>3.6392242332815381</v>
      </c>
      <c r="AH239" s="10">
        <f t="shared" si="62"/>
        <v>9.3313441879013794</v>
      </c>
      <c r="AI239" s="63"/>
      <c r="AJ239" s="10">
        <f t="shared" si="66"/>
        <v>21.325199999999995</v>
      </c>
      <c r="AK239" s="8"/>
      <c r="AL239" s="8">
        <f t="shared" si="63"/>
        <v>10.662599999999998</v>
      </c>
    </row>
    <row r="240" spans="1:38">
      <c r="A240" s="18">
        <v>41479</v>
      </c>
      <c r="B240" s="19" t="s">
        <v>141</v>
      </c>
      <c r="C240" s="12">
        <v>50.5</v>
      </c>
      <c r="D240" s="19" t="s">
        <v>80</v>
      </c>
      <c r="E240" s="16">
        <v>8.4093</v>
      </c>
      <c r="F240" s="8">
        <v>83.315039999999996</v>
      </c>
      <c r="G240" s="22">
        <v>50</v>
      </c>
      <c r="H240" s="22">
        <v>-13</v>
      </c>
      <c r="I240" s="10">
        <f t="shared" si="57"/>
        <v>-7.6489254580385788</v>
      </c>
      <c r="J240" s="10">
        <f t="shared" si="58"/>
        <v>-0.13349893348238856</v>
      </c>
      <c r="K240" s="10">
        <f t="shared" si="59"/>
        <v>21.188530377780278</v>
      </c>
      <c r="L240" s="22">
        <v>678</v>
      </c>
      <c r="M240" s="22" t="s">
        <v>39</v>
      </c>
      <c r="N240" s="8" t="s">
        <v>69</v>
      </c>
      <c r="O240" s="10" t="s">
        <v>65</v>
      </c>
      <c r="P240" s="10" t="s">
        <v>70</v>
      </c>
      <c r="Q240" s="8">
        <v>0.37</v>
      </c>
      <c r="R240" s="8" t="s">
        <v>71</v>
      </c>
      <c r="S240" s="31">
        <v>11.6</v>
      </c>
      <c r="T240" s="79">
        <f t="shared" si="67"/>
        <v>1.05683424E-2</v>
      </c>
      <c r="U240" s="22">
        <v>10</v>
      </c>
      <c r="V240" s="22">
        <v>60</v>
      </c>
      <c r="W240" s="10">
        <f t="shared" si="68"/>
        <v>1.0471975511965976</v>
      </c>
      <c r="X240" s="22">
        <v>6</v>
      </c>
      <c r="Y240" s="22">
        <v>6</v>
      </c>
      <c r="Z240" s="10">
        <f t="shared" si="69"/>
        <v>0.10471975511965978</v>
      </c>
      <c r="AA240" s="10">
        <f t="shared" si="70"/>
        <v>9.2874248174503062</v>
      </c>
      <c r="AB240" s="10">
        <f t="shared" si="71"/>
        <v>24.829841890048673</v>
      </c>
      <c r="AC240" s="10">
        <f t="shared" si="60"/>
        <v>3.1037302362560841</v>
      </c>
      <c r="AD240" s="10">
        <f t="shared" si="64"/>
        <v>12.414920945024337</v>
      </c>
      <c r="AE240" s="65"/>
      <c r="AF240" s="10">
        <f t="shared" si="65"/>
        <v>31.485404505655083</v>
      </c>
      <c r="AG240" s="8">
        <f t="shared" si="61"/>
        <v>6.1396538786027417</v>
      </c>
      <c r="AH240" s="10">
        <f t="shared" si="62"/>
        <v>15.742702252827542</v>
      </c>
      <c r="AI240" s="63"/>
      <c r="AJ240" s="10">
        <f t="shared" si="66"/>
        <v>40.2166</v>
      </c>
      <c r="AK240" s="8"/>
      <c r="AL240" s="8">
        <f t="shared" si="63"/>
        <v>20.1083</v>
      </c>
    </row>
    <row r="241" spans="1:38">
      <c r="A241" s="18">
        <v>41479</v>
      </c>
      <c r="B241" s="19" t="s">
        <v>141</v>
      </c>
      <c r="C241" s="12">
        <v>50.5</v>
      </c>
      <c r="D241" s="19" t="s">
        <v>80</v>
      </c>
      <c r="E241" s="16">
        <v>8.4093</v>
      </c>
      <c r="F241" s="8">
        <v>83.315039999999996</v>
      </c>
      <c r="G241" s="22">
        <v>50</v>
      </c>
      <c r="H241" s="22">
        <v>-13</v>
      </c>
      <c r="I241" s="10">
        <f t="shared" si="57"/>
        <v>-7.6489254580385788</v>
      </c>
      <c r="J241" s="10">
        <f t="shared" si="58"/>
        <v>-0.13349893348238856</v>
      </c>
      <c r="K241" s="10">
        <f t="shared" si="59"/>
        <v>21.188530377780278</v>
      </c>
      <c r="L241" s="22">
        <v>737</v>
      </c>
      <c r="M241" s="22" t="s">
        <v>39</v>
      </c>
      <c r="N241" s="8" t="s">
        <v>69</v>
      </c>
      <c r="O241" s="10" t="s">
        <v>65</v>
      </c>
      <c r="P241" s="10" t="s">
        <v>70</v>
      </c>
      <c r="Q241" s="8">
        <v>0.37</v>
      </c>
      <c r="R241" s="8" t="s">
        <v>71</v>
      </c>
      <c r="S241" s="31">
        <v>10.4</v>
      </c>
      <c r="T241" s="79">
        <f t="shared" si="67"/>
        <v>8.494886400000002E-3</v>
      </c>
      <c r="U241" s="22">
        <v>11</v>
      </c>
      <c r="V241" s="22">
        <v>52</v>
      </c>
      <c r="W241" s="10">
        <f t="shared" si="68"/>
        <v>0.90757121103705141</v>
      </c>
      <c r="X241" s="22">
        <v>6</v>
      </c>
      <c r="Y241" s="22">
        <v>6</v>
      </c>
      <c r="Z241" s="10">
        <f t="shared" si="69"/>
        <v>0.10471975511965978</v>
      </c>
      <c r="AA241" s="10">
        <f t="shared" si="70"/>
        <v>9.2952890692798622</v>
      </c>
      <c r="AB241" s="10">
        <f t="shared" si="71"/>
        <v>20.237699638610891</v>
      </c>
      <c r="AC241" s="10">
        <f t="shared" si="60"/>
        <v>2.5297124548263614</v>
      </c>
      <c r="AD241" s="10">
        <f t="shared" si="64"/>
        <v>10.118849819305446</v>
      </c>
      <c r="AE241" s="65"/>
      <c r="AF241" s="10">
        <f t="shared" si="65"/>
        <v>23.995005323267627</v>
      </c>
      <c r="AG241" s="8">
        <f t="shared" si="61"/>
        <v>4.6790260380371871</v>
      </c>
      <c r="AH241" s="10">
        <f t="shared" si="62"/>
        <v>11.997502661633813</v>
      </c>
      <c r="AI241" s="63"/>
      <c r="AJ241" s="10">
        <f t="shared" si="66"/>
        <v>29.024200000000008</v>
      </c>
      <c r="AK241" s="8"/>
      <c r="AL241" s="8">
        <f t="shared" si="63"/>
        <v>14.512100000000004</v>
      </c>
    </row>
    <row r="242" spans="1:38">
      <c r="A242" s="18">
        <v>41479</v>
      </c>
      <c r="B242" s="19" t="s">
        <v>141</v>
      </c>
      <c r="C242" s="12">
        <v>50.5</v>
      </c>
      <c r="D242" s="19" t="s">
        <v>80</v>
      </c>
      <c r="E242" s="16">
        <v>8.4093</v>
      </c>
      <c r="F242" s="8">
        <v>83.315039999999996</v>
      </c>
      <c r="G242" s="22">
        <v>50</v>
      </c>
      <c r="H242" s="22">
        <v>-13</v>
      </c>
      <c r="I242" s="10">
        <f t="shared" si="57"/>
        <v>-7.6489254580385788</v>
      </c>
      <c r="J242" s="10">
        <f t="shared" si="58"/>
        <v>-0.13349893348238856</v>
      </c>
      <c r="K242" s="10">
        <f t="shared" si="59"/>
        <v>21.188530377780278</v>
      </c>
      <c r="L242" s="22">
        <v>587</v>
      </c>
      <c r="M242" s="22" t="s">
        <v>39</v>
      </c>
      <c r="N242" s="8" t="s">
        <v>69</v>
      </c>
      <c r="O242" s="10" t="s">
        <v>65</v>
      </c>
      <c r="P242" s="10" t="s">
        <v>70</v>
      </c>
      <c r="Q242" s="8">
        <v>0.37</v>
      </c>
      <c r="R242" s="8" t="s">
        <v>71</v>
      </c>
      <c r="S242" s="31">
        <v>13.7</v>
      </c>
      <c r="T242" s="79">
        <f t="shared" si="67"/>
        <v>1.4741172599999998E-2</v>
      </c>
      <c r="U242" s="22">
        <v>12</v>
      </c>
      <c r="V242" s="22">
        <v>50</v>
      </c>
      <c r="W242" s="10">
        <f t="shared" si="68"/>
        <v>0.87266462599716477</v>
      </c>
      <c r="X242" s="22">
        <v>7</v>
      </c>
      <c r="Y242" s="22">
        <v>2</v>
      </c>
      <c r="Z242" s="10">
        <f t="shared" si="69"/>
        <v>3.4906585039886591E-2</v>
      </c>
      <c r="AA242" s="10">
        <f t="shared" si="70"/>
        <v>9.4368297943452433</v>
      </c>
      <c r="AB242" s="10">
        <f t="shared" si="71"/>
        <v>34.462165429804045</v>
      </c>
      <c r="AC242" s="10">
        <f t="shared" si="60"/>
        <v>4.3077706787255057</v>
      </c>
      <c r="AD242" s="10">
        <f t="shared" si="64"/>
        <v>17.231082714902023</v>
      </c>
      <c r="AE242" s="65"/>
      <c r="AF242" s="10">
        <f t="shared" si="65"/>
        <v>47.628607941958037</v>
      </c>
      <c r="AG242" s="8">
        <f t="shared" si="61"/>
        <v>9.2875785486818181</v>
      </c>
      <c r="AH242" s="10">
        <f t="shared" si="62"/>
        <v>23.814303970979019</v>
      </c>
      <c r="AI242" s="63"/>
      <c r="AJ242" s="10">
        <f t="shared" si="66"/>
        <v>64.931499999999971</v>
      </c>
      <c r="AK242" s="8"/>
      <c r="AL242" s="8">
        <f t="shared" si="63"/>
        <v>32.465749999999986</v>
      </c>
    </row>
    <row r="243" spans="1:38">
      <c r="A243" s="18">
        <v>41466</v>
      </c>
      <c r="B243" s="19" t="s">
        <v>119</v>
      </c>
      <c r="C243" s="12">
        <v>50.6</v>
      </c>
      <c r="D243" s="9" t="s">
        <v>80</v>
      </c>
      <c r="E243" s="8">
        <v>8.4102899999999998</v>
      </c>
      <c r="F243" s="8">
        <v>83.314350000000005</v>
      </c>
      <c r="G243" s="22">
        <v>50</v>
      </c>
      <c r="H243" s="45">
        <f t="shared" ref="H243:H284" si="72">AVERAGE(-3,14)</f>
        <v>5.5</v>
      </c>
      <c r="I243" s="10">
        <f t="shared" si="57"/>
        <v>18.163481150197153</v>
      </c>
      <c r="J243" s="10">
        <f t="shared" si="58"/>
        <v>0.31701254969486703</v>
      </c>
      <c r="K243" s="10">
        <v>21</v>
      </c>
      <c r="L243" s="8">
        <v>204</v>
      </c>
      <c r="M243" s="8" t="s">
        <v>39</v>
      </c>
      <c r="N243" s="8" t="s">
        <v>69</v>
      </c>
      <c r="O243" s="10" t="s">
        <v>65</v>
      </c>
      <c r="P243" s="10" t="s">
        <v>70</v>
      </c>
      <c r="Q243" s="8">
        <v>0.37</v>
      </c>
      <c r="R243" s="8" t="s">
        <v>71</v>
      </c>
      <c r="S243" s="29">
        <f>AVERAGE(11.7,12.3)</f>
        <v>12</v>
      </c>
      <c r="T243" s="79">
        <f t="shared" si="67"/>
        <v>1.130976E-2</v>
      </c>
      <c r="U243" s="8">
        <v>11</v>
      </c>
      <c r="V243" s="8">
        <v>60</v>
      </c>
      <c r="W243" s="10">
        <f t="shared" ref="W243:W284" si="73">RADIANS(V243)</f>
        <v>1.0471975511965976</v>
      </c>
      <c r="X243" s="8">
        <v>5</v>
      </c>
      <c r="Y243" s="22">
        <v>10</v>
      </c>
      <c r="Z243" s="10">
        <f t="shared" ref="Z243:Z284" si="74">RADIANS(Y243)</f>
        <v>0.17453292519943295</v>
      </c>
      <c r="AA243" s="10">
        <f t="shared" ref="AA243:AA284" si="75">(SIN(W243)*U243)+(SIN(Z243)*X243)</f>
        <v>10.394520329963477</v>
      </c>
      <c r="AB243" s="10">
        <f t="shared" ref="AB243:AB284" si="76">0.0776*(Q243*S243^2*AA243)^0.94</f>
        <v>29.419024657175775</v>
      </c>
      <c r="AC243" s="10">
        <f t="shared" si="60"/>
        <v>3.6773780821469719</v>
      </c>
      <c r="AD243" s="10">
        <f t="shared" si="64"/>
        <v>14.709512328587888</v>
      </c>
      <c r="AE243" s="65"/>
      <c r="AF243" s="10">
        <f t="shared" si="65"/>
        <v>34.256637001283615</v>
      </c>
      <c r="AG243" s="8">
        <f t="shared" si="61"/>
        <v>6.6800442152503052</v>
      </c>
      <c r="AH243" s="10">
        <f t="shared" si="62"/>
        <v>17.128318500641807</v>
      </c>
      <c r="AI243" s="63"/>
      <c r="AJ243" s="10">
        <f t="shared" si="66"/>
        <v>44.420999999999992</v>
      </c>
      <c r="AK243" s="8"/>
      <c r="AL243" s="8">
        <f t="shared" si="63"/>
        <v>22.210499999999996</v>
      </c>
    </row>
    <row r="244" spans="1:38">
      <c r="A244" s="18">
        <v>41466</v>
      </c>
      <c r="B244" s="19" t="s">
        <v>119</v>
      </c>
      <c r="C244" s="12">
        <v>50.6</v>
      </c>
      <c r="D244" s="19" t="s">
        <v>80</v>
      </c>
      <c r="E244" s="8">
        <v>8.4102899999999998</v>
      </c>
      <c r="F244" s="8">
        <v>83.314350000000005</v>
      </c>
      <c r="G244" s="22">
        <v>50</v>
      </c>
      <c r="H244" s="45">
        <f t="shared" si="72"/>
        <v>5.5</v>
      </c>
      <c r="I244" s="10">
        <f t="shared" si="57"/>
        <v>18.163481150197153</v>
      </c>
      <c r="J244" s="10">
        <f t="shared" si="58"/>
        <v>0.31701254969486703</v>
      </c>
      <c r="K244" s="10">
        <v>21</v>
      </c>
      <c r="L244" s="8">
        <v>207</v>
      </c>
      <c r="M244" s="8" t="s">
        <v>129</v>
      </c>
      <c r="N244" s="22" t="s">
        <v>171</v>
      </c>
      <c r="O244" s="58" t="s">
        <v>175</v>
      </c>
      <c r="P244" s="10" t="s">
        <v>176</v>
      </c>
      <c r="Q244" s="22">
        <v>0.23</v>
      </c>
      <c r="R244" s="22" t="s">
        <v>190</v>
      </c>
      <c r="S244" s="29">
        <f>AVERAGE(13.6,13.1)</f>
        <v>13.35</v>
      </c>
      <c r="T244" s="79">
        <f t="shared" si="67"/>
        <v>1.399759515E-2</v>
      </c>
      <c r="U244" s="8">
        <v>12</v>
      </c>
      <c r="V244" s="8">
        <v>65</v>
      </c>
      <c r="W244" s="10">
        <f t="shared" si="73"/>
        <v>1.1344640137963142</v>
      </c>
      <c r="X244" s="8">
        <v>5</v>
      </c>
      <c r="Y244" s="22">
        <v>5</v>
      </c>
      <c r="Z244" s="10">
        <f t="shared" si="74"/>
        <v>8.7266462599716474E-2</v>
      </c>
      <c r="AA244" s="10">
        <f t="shared" si="75"/>
        <v>11.311472158178089</v>
      </c>
      <c r="AB244" s="10">
        <f t="shared" si="76"/>
        <v>24.894227245398302</v>
      </c>
      <c r="AC244" s="10">
        <f t="shared" si="60"/>
        <v>3.1117784056747877</v>
      </c>
      <c r="AD244" s="10">
        <f t="shared" si="64"/>
        <v>12.447113622699151</v>
      </c>
      <c r="AE244" s="65"/>
      <c r="AF244" s="10">
        <f t="shared" si="65"/>
        <v>27.761850384721036</v>
      </c>
      <c r="AG244" s="8">
        <f t="shared" si="61"/>
        <v>5.4135608250206024</v>
      </c>
      <c r="AH244" s="10">
        <f t="shared" si="62"/>
        <v>13.880925192360518</v>
      </c>
      <c r="AI244" s="63"/>
      <c r="AJ244" s="10">
        <f t="shared" si="66"/>
        <v>60.359099999999984</v>
      </c>
      <c r="AK244" s="8"/>
      <c r="AL244" s="8">
        <f t="shared" si="63"/>
        <v>30.179549999999992</v>
      </c>
    </row>
    <row r="245" spans="1:38">
      <c r="A245" s="18">
        <v>41466</v>
      </c>
      <c r="B245" s="19" t="s">
        <v>119</v>
      </c>
      <c r="C245" s="12">
        <v>50.6</v>
      </c>
      <c r="D245" s="19" t="s">
        <v>80</v>
      </c>
      <c r="E245" s="8">
        <v>8.4102899999999998</v>
      </c>
      <c r="F245" s="8">
        <v>83.314350000000005</v>
      </c>
      <c r="G245" s="22">
        <v>50</v>
      </c>
      <c r="H245" s="45">
        <f t="shared" si="72"/>
        <v>5.5</v>
      </c>
      <c r="I245" s="10">
        <f t="shared" si="57"/>
        <v>18.163481150197153</v>
      </c>
      <c r="J245" s="10">
        <f t="shared" si="58"/>
        <v>0.31701254969486703</v>
      </c>
      <c r="K245" s="10">
        <v>21</v>
      </c>
      <c r="L245" s="8">
        <v>212</v>
      </c>
      <c r="M245" s="8" t="s">
        <v>39</v>
      </c>
      <c r="N245" s="8" t="s">
        <v>69</v>
      </c>
      <c r="O245" s="10" t="s">
        <v>65</v>
      </c>
      <c r="P245" s="10" t="s">
        <v>70</v>
      </c>
      <c r="Q245" s="8">
        <v>0.37</v>
      </c>
      <c r="R245" s="8" t="s">
        <v>71</v>
      </c>
      <c r="S245" s="12">
        <f>AVERAGE(8,8.2)</f>
        <v>8.1</v>
      </c>
      <c r="T245" s="79">
        <f t="shared" si="67"/>
        <v>5.1530094000000002E-3</v>
      </c>
      <c r="U245" s="8">
        <v>11</v>
      </c>
      <c r="V245" s="8">
        <v>65</v>
      </c>
      <c r="W245" s="10">
        <f t="shared" si="73"/>
        <v>1.1344640137963142</v>
      </c>
      <c r="X245" s="8">
        <v>5</v>
      </c>
      <c r="Y245" s="22">
        <v>0</v>
      </c>
      <c r="Z245" s="10">
        <f t="shared" si="74"/>
        <v>0</v>
      </c>
      <c r="AA245" s="10">
        <f t="shared" si="75"/>
        <v>9.9693856574031496</v>
      </c>
      <c r="AB245" s="10">
        <f t="shared" si="76"/>
        <v>13.510501506287001</v>
      </c>
      <c r="AC245" s="10">
        <f t="shared" si="60"/>
        <v>1.6888126882858752</v>
      </c>
      <c r="AD245" s="10">
        <f t="shared" si="64"/>
        <v>6.7552507531435007</v>
      </c>
      <c r="AE245" s="65"/>
      <c r="AF245" s="10">
        <f t="shared" si="65"/>
        <v>12.900005320287333</v>
      </c>
      <c r="AG245" s="8">
        <f t="shared" si="61"/>
        <v>2.5155010374560298</v>
      </c>
      <c r="AH245" s="10">
        <f t="shared" si="62"/>
        <v>6.4500026601436664</v>
      </c>
      <c r="AI245" s="63"/>
      <c r="AJ245" s="10">
        <f t="shared" si="66"/>
        <v>13.5291</v>
      </c>
      <c r="AK245" s="8"/>
      <c r="AL245" s="8">
        <f t="shared" si="63"/>
        <v>6.7645499999999998</v>
      </c>
    </row>
    <row r="246" spans="1:38">
      <c r="A246" s="18">
        <v>41466</v>
      </c>
      <c r="B246" s="19" t="s">
        <v>119</v>
      </c>
      <c r="C246" s="12">
        <v>50.6</v>
      </c>
      <c r="D246" s="19" t="s">
        <v>80</v>
      </c>
      <c r="E246" s="8">
        <v>8.4102899999999998</v>
      </c>
      <c r="F246" s="8">
        <v>83.314350000000005</v>
      </c>
      <c r="G246" s="22">
        <v>50</v>
      </c>
      <c r="H246" s="45">
        <f t="shared" si="72"/>
        <v>5.5</v>
      </c>
      <c r="I246" s="10">
        <f t="shared" si="57"/>
        <v>18.163481150197153</v>
      </c>
      <c r="J246" s="10">
        <f t="shared" si="58"/>
        <v>0.31701254969486703</v>
      </c>
      <c r="K246" s="10">
        <v>21</v>
      </c>
      <c r="L246" s="22">
        <v>265</v>
      </c>
      <c r="M246" s="22" t="s">
        <v>47</v>
      </c>
      <c r="N246" s="8" t="s">
        <v>48</v>
      </c>
      <c r="O246" s="10" t="s">
        <v>49</v>
      </c>
      <c r="P246" s="10" t="s">
        <v>50</v>
      </c>
      <c r="Q246" s="20">
        <v>0.75</v>
      </c>
      <c r="R246" s="8" t="s">
        <v>67</v>
      </c>
      <c r="S246" s="12">
        <f>AVERAGE(6.4,8)</f>
        <v>7.2</v>
      </c>
      <c r="T246" s="79">
        <f t="shared" si="67"/>
        <v>4.0715136000000008E-3</v>
      </c>
      <c r="U246" s="22">
        <v>8</v>
      </c>
      <c r="V246" s="22">
        <v>55</v>
      </c>
      <c r="W246" s="10">
        <f t="shared" si="73"/>
        <v>0.95993108859688125</v>
      </c>
      <c r="X246" s="22">
        <v>6</v>
      </c>
      <c r="Y246" s="22">
        <v>10</v>
      </c>
      <c r="Z246" s="10">
        <f t="shared" si="74"/>
        <v>0.17453292519943295</v>
      </c>
      <c r="AA246" s="10">
        <f t="shared" si="75"/>
        <v>7.5951054203135167</v>
      </c>
      <c r="AB246" s="10">
        <f t="shared" si="76"/>
        <v>16.289440963120295</v>
      </c>
      <c r="AC246" s="10">
        <f t="shared" si="60"/>
        <v>2.0361801203900369</v>
      </c>
      <c r="AD246" s="10">
        <f t="shared" si="64"/>
        <v>8.1447204815601477</v>
      </c>
      <c r="AE246" s="65"/>
      <c r="AF246" s="10">
        <f t="shared" si="65"/>
        <v>19.54078095458064</v>
      </c>
      <c r="AG246" s="8">
        <f t="shared" si="61"/>
        <v>3.8104522861432248</v>
      </c>
      <c r="AH246" s="10">
        <f t="shared" si="62"/>
        <v>9.7703904772903201</v>
      </c>
      <c r="AI246" s="63"/>
      <c r="AJ246" s="10">
        <f t="shared" si="66"/>
        <v>9.5969999999999978</v>
      </c>
      <c r="AK246" s="8"/>
      <c r="AL246" s="8">
        <f t="shared" si="63"/>
        <v>4.7984999999999989</v>
      </c>
    </row>
    <row r="247" spans="1:38">
      <c r="A247" s="18">
        <v>41466</v>
      </c>
      <c r="B247" s="19" t="s">
        <v>119</v>
      </c>
      <c r="C247" s="12">
        <v>50.6</v>
      </c>
      <c r="D247" s="19" t="s">
        <v>80</v>
      </c>
      <c r="E247" s="8">
        <v>8.4102899999999998</v>
      </c>
      <c r="F247" s="8">
        <v>83.314350000000005</v>
      </c>
      <c r="G247" s="22">
        <v>50</v>
      </c>
      <c r="H247" s="45">
        <f t="shared" si="72"/>
        <v>5.5</v>
      </c>
      <c r="I247" s="10">
        <f t="shared" si="57"/>
        <v>18.163481150197153</v>
      </c>
      <c r="J247" s="10">
        <f t="shared" si="58"/>
        <v>0.31701254969486703</v>
      </c>
      <c r="K247" s="10">
        <v>21</v>
      </c>
      <c r="L247" s="22">
        <v>211</v>
      </c>
      <c r="M247" s="22" t="s">
        <v>39</v>
      </c>
      <c r="N247" s="8" t="s">
        <v>69</v>
      </c>
      <c r="O247" s="10" t="s">
        <v>65</v>
      </c>
      <c r="P247" s="10" t="s">
        <v>70</v>
      </c>
      <c r="Q247" s="8">
        <v>0.37</v>
      </c>
      <c r="R247" s="8" t="s">
        <v>71</v>
      </c>
      <c r="S247" s="12">
        <f>AVERAGE(9.4,9.4)</f>
        <v>9.4</v>
      </c>
      <c r="T247" s="79">
        <f t="shared" si="67"/>
        <v>6.939794400000001E-3</v>
      </c>
      <c r="U247" s="22">
        <v>11</v>
      </c>
      <c r="V247" s="22">
        <v>60</v>
      </c>
      <c r="W247" s="10">
        <f t="shared" si="73"/>
        <v>1.0471975511965976</v>
      </c>
      <c r="X247" s="22">
        <v>5</v>
      </c>
      <c r="Y247" s="22">
        <v>5</v>
      </c>
      <c r="Z247" s="10">
        <f t="shared" si="74"/>
        <v>8.7266462599716474E-2</v>
      </c>
      <c r="AA247" s="10">
        <f t="shared" si="75"/>
        <v>9.9620581553671155</v>
      </c>
      <c r="AB247" s="10">
        <f t="shared" si="76"/>
        <v>17.860755895258031</v>
      </c>
      <c r="AC247" s="10">
        <f t="shared" si="60"/>
        <v>2.2325944869072538</v>
      </c>
      <c r="AD247" s="10">
        <f t="shared" si="64"/>
        <v>8.9303779476290153</v>
      </c>
      <c r="AE247" s="65"/>
      <c r="AF247" s="10">
        <f t="shared" si="65"/>
        <v>18.662688375802759</v>
      </c>
      <c r="AG247" s="8">
        <f t="shared" si="61"/>
        <v>3.6392242332815381</v>
      </c>
      <c r="AH247" s="10">
        <f t="shared" si="62"/>
        <v>9.3313441879013794</v>
      </c>
      <c r="AI247" s="63"/>
      <c r="AJ247" s="10">
        <f t="shared" si="66"/>
        <v>21.325199999999995</v>
      </c>
      <c r="AK247" s="8"/>
      <c r="AL247" s="8">
        <f t="shared" si="63"/>
        <v>10.662599999999998</v>
      </c>
    </row>
    <row r="248" spans="1:38">
      <c r="A248" s="18">
        <v>41466</v>
      </c>
      <c r="B248" s="19" t="s">
        <v>119</v>
      </c>
      <c r="C248" s="12">
        <v>50.6</v>
      </c>
      <c r="D248" s="19" t="s">
        <v>80</v>
      </c>
      <c r="E248" s="8">
        <v>8.4102899999999998</v>
      </c>
      <c r="F248" s="8">
        <v>83.314350000000005</v>
      </c>
      <c r="G248" s="22">
        <v>50</v>
      </c>
      <c r="H248" s="45">
        <f t="shared" si="72"/>
        <v>5.5</v>
      </c>
      <c r="I248" s="10">
        <f t="shared" si="57"/>
        <v>18.163481150197153</v>
      </c>
      <c r="J248" s="10">
        <f t="shared" si="58"/>
        <v>0.31701254969486703</v>
      </c>
      <c r="K248" s="10">
        <v>21</v>
      </c>
      <c r="L248" s="22">
        <v>314</v>
      </c>
      <c r="M248" s="22" t="s">
        <v>129</v>
      </c>
      <c r="N248" s="22" t="s">
        <v>171</v>
      </c>
      <c r="O248" s="58" t="s">
        <v>175</v>
      </c>
      <c r="P248" s="10" t="s">
        <v>176</v>
      </c>
      <c r="Q248" s="22">
        <v>0.23</v>
      </c>
      <c r="R248" s="22" t="s">
        <v>190</v>
      </c>
      <c r="S248" s="12">
        <f>AVERAGE(6.7,6.3)</f>
        <v>6.5</v>
      </c>
      <c r="T248" s="79">
        <f t="shared" si="67"/>
        <v>3.3183150000000001E-3</v>
      </c>
      <c r="U248" s="22">
        <v>10</v>
      </c>
      <c r="V248" s="22">
        <v>50</v>
      </c>
      <c r="W248" s="10">
        <f t="shared" si="73"/>
        <v>0.87266462599716477</v>
      </c>
      <c r="X248" s="22">
        <v>7</v>
      </c>
      <c r="Y248" s="22">
        <v>25</v>
      </c>
      <c r="Z248" s="10">
        <f t="shared" si="74"/>
        <v>0.43633231299858238</v>
      </c>
      <c r="AA248" s="10">
        <f t="shared" si="75"/>
        <v>10.618772263374677</v>
      </c>
      <c r="AB248" s="10">
        <f t="shared" si="76"/>
        <v>6.0627944720273685</v>
      </c>
      <c r="AC248" s="10">
        <f t="shared" si="60"/>
        <v>0.75784930900342107</v>
      </c>
      <c r="AD248" s="10">
        <f t="shared" si="64"/>
        <v>3.0313972360136843</v>
      </c>
      <c r="AE248" s="65"/>
      <c r="AF248" s="10">
        <f t="shared" si="65"/>
        <v>4.6574269734879783</v>
      </c>
      <c r="AG248" s="8">
        <f t="shared" si="61"/>
        <v>0.90819825983015579</v>
      </c>
      <c r="AH248" s="10">
        <f t="shared" si="62"/>
        <v>2.3287134867439891</v>
      </c>
      <c r="AI248" s="63"/>
      <c r="AJ248" s="10">
        <f t="shared" si="66"/>
        <v>7.3674999999999962</v>
      </c>
      <c r="AK248" s="8"/>
      <c r="AL248" s="8">
        <f t="shared" si="63"/>
        <v>3.6837499999999981</v>
      </c>
    </row>
    <row r="249" spans="1:38">
      <c r="A249" s="18">
        <v>41466</v>
      </c>
      <c r="B249" s="19" t="s">
        <v>119</v>
      </c>
      <c r="C249" s="12">
        <v>50.6</v>
      </c>
      <c r="D249" s="19" t="s">
        <v>80</v>
      </c>
      <c r="E249" s="8">
        <v>8.4102899999999998</v>
      </c>
      <c r="F249" s="8">
        <v>83.314350000000005</v>
      </c>
      <c r="G249" s="22">
        <v>50</v>
      </c>
      <c r="H249" s="45">
        <f t="shared" si="72"/>
        <v>5.5</v>
      </c>
      <c r="I249" s="10">
        <f t="shared" si="57"/>
        <v>18.163481150197153</v>
      </c>
      <c r="J249" s="10">
        <f t="shared" si="58"/>
        <v>0.31701254969486703</v>
      </c>
      <c r="K249" s="10">
        <v>21</v>
      </c>
      <c r="L249" s="22">
        <v>337</v>
      </c>
      <c r="M249" s="22" t="s">
        <v>39</v>
      </c>
      <c r="N249" s="8" t="s">
        <v>69</v>
      </c>
      <c r="O249" s="10" t="s">
        <v>65</v>
      </c>
      <c r="P249" s="10" t="s">
        <v>70</v>
      </c>
      <c r="Q249" s="8">
        <v>0.37</v>
      </c>
      <c r="R249" s="8" t="s">
        <v>71</v>
      </c>
      <c r="S249" s="12">
        <f>AVERAGE(7.3,7.7)</f>
        <v>7.5</v>
      </c>
      <c r="T249" s="79">
        <f t="shared" si="67"/>
        <v>4.4178749999999999E-3</v>
      </c>
      <c r="U249" s="22">
        <v>6</v>
      </c>
      <c r="V249" s="22">
        <v>60</v>
      </c>
      <c r="W249" s="10">
        <f t="shared" si="73"/>
        <v>1.0471975511965976</v>
      </c>
      <c r="X249" s="22">
        <v>5</v>
      </c>
      <c r="Y249" s="22">
        <v>20</v>
      </c>
      <c r="Z249" s="10">
        <f t="shared" si="74"/>
        <v>0.3490658503988659</v>
      </c>
      <c r="AA249" s="10">
        <f t="shared" si="75"/>
        <v>6.9062531393349751</v>
      </c>
      <c r="AB249" s="10">
        <f t="shared" si="76"/>
        <v>8.278934760179915</v>
      </c>
      <c r="AC249" s="10">
        <f t="shared" si="60"/>
        <v>1.0348668450224894</v>
      </c>
      <c r="AD249" s="10">
        <f t="shared" si="64"/>
        <v>4.1394673800899575</v>
      </c>
      <c r="AE249" s="65"/>
      <c r="AF249" s="10">
        <f t="shared" si="65"/>
        <v>10.662986568966447</v>
      </c>
      <c r="AG249" s="8">
        <f t="shared" si="61"/>
        <v>2.0792823809484573</v>
      </c>
      <c r="AH249" s="10">
        <f t="shared" si="62"/>
        <v>5.3314932844832237</v>
      </c>
      <c r="AI249" s="63"/>
      <c r="AJ249" s="10">
        <f t="shared" si="66"/>
        <v>10.7745</v>
      </c>
      <c r="AK249" s="8"/>
      <c r="AL249" s="8">
        <f t="shared" si="63"/>
        <v>5.3872499999999999</v>
      </c>
    </row>
    <row r="250" spans="1:38">
      <c r="A250" s="18">
        <v>41466</v>
      </c>
      <c r="B250" s="19" t="s">
        <v>119</v>
      </c>
      <c r="C250" s="12">
        <v>50.6</v>
      </c>
      <c r="D250" s="19" t="s">
        <v>80</v>
      </c>
      <c r="E250" s="8">
        <v>8.4102899999999998</v>
      </c>
      <c r="F250" s="8">
        <v>83.314350000000005</v>
      </c>
      <c r="G250" s="22">
        <v>50</v>
      </c>
      <c r="H250" s="45">
        <f t="shared" si="72"/>
        <v>5.5</v>
      </c>
      <c r="I250" s="10">
        <f t="shared" si="57"/>
        <v>18.163481150197153</v>
      </c>
      <c r="J250" s="10">
        <f t="shared" si="58"/>
        <v>0.31701254969486703</v>
      </c>
      <c r="K250" s="10">
        <v>21</v>
      </c>
      <c r="L250" s="22">
        <v>360</v>
      </c>
      <c r="M250" s="22" t="s">
        <v>39</v>
      </c>
      <c r="N250" s="8" t="s">
        <v>69</v>
      </c>
      <c r="O250" s="10" t="s">
        <v>65</v>
      </c>
      <c r="P250" s="10" t="s">
        <v>70</v>
      </c>
      <c r="Q250" s="8">
        <v>0.37</v>
      </c>
      <c r="R250" s="8" t="s">
        <v>71</v>
      </c>
      <c r="S250" s="29">
        <f>AVERAGE(14.7,14.8)</f>
        <v>14.75</v>
      </c>
      <c r="T250" s="79">
        <f t="shared" si="67"/>
        <v>1.708735875E-2</v>
      </c>
      <c r="U250" s="22">
        <v>11</v>
      </c>
      <c r="V250" s="22">
        <v>60</v>
      </c>
      <c r="W250" s="10">
        <f t="shared" si="73"/>
        <v>1.0471975511965976</v>
      </c>
      <c r="X250" s="22">
        <v>5</v>
      </c>
      <c r="Y250" s="22">
        <v>15</v>
      </c>
      <c r="Z250" s="10">
        <f t="shared" si="74"/>
        <v>0.26179938779914941</v>
      </c>
      <c r="AA250" s="10">
        <f t="shared" si="75"/>
        <v>10.820374667141429</v>
      </c>
      <c r="AB250" s="10">
        <f t="shared" si="76"/>
        <v>45.028564406960491</v>
      </c>
      <c r="AC250" s="10">
        <f t="shared" si="60"/>
        <v>5.6285705508700614</v>
      </c>
      <c r="AD250" s="10">
        <f t="shared" si="64"/>
        <v>22.514282203480246</v>
      </c>
      <c r="AE250" s="65"/>
      <c r="AF250" s="10">
        <f t="shared" si="65"/>
        <v>57.221987657729166</v>
      </c>
      <c r="AG250" s="8">
        <f t="shared" si="61"/>
        <v>11.158287593257187</v>
      </c>
      <c r="AH250" s="10">
        <f t="shared" si="62"/>
        <v>28.610993828864583</v>
      </c>
      <c r="AI250" s="63"/>
      <c r="AJ250" s="10">
        <f t="shared" si="66"/>
        <v>79.736499999999992</v>
      </c>
      <c r="AK250" s="8"/>
      <c r="AL250" s="8">
        <f t="shared" si="63"/>
        <v>39.868249999999996</v>
      </c>
    </row>
    <row r="251" spans="1:38">
      <c r="A251" s="18">
        <v>41466</v>
      </c>
      <c r="B251" s="19" t="s">
        <v>119</v>
      </c>
      <c r="C251" s="12">
        <v>50.6</v>
      </c>
      <c r="D251" s="19" t="s">
        <v>80</v>
      </c>
      <c r="E251" s="8">
        <v>8.4102899999999998</v>
      </c>
      <c r="F251" s="8">
        <v>83.314350000000005</v>
      </c>
      <c r="G251" s="22">
        <v>50</v>
      </c>
      <c r="H251" s="45">
        <f t="shared" si="72"/>
        <v>5.5</v>
      </c>
      <c r="I251" s="10">
        <f t="shared" si="57"/>
        <v>18.163481150197153</v>
      </c>
      <c r="J251" s="10">
        <f t="shared" si="58"/>
        <v>0.31701254969486703</v>
      </c>
      <c r="K251" s="10">
        <v>21</v>
      </c>
      <c r="L251" s="22">
        <v>201</v>
      </c>
      <c r="M251" s="22" t="s">
        <v>39</v>
      </c>
      <c r="N251" s="8" t="s">
        <v>69</v>
      </c>
      <c r="O251" s="10" t="s">
        <v>65</v>
      </c>
      <c r="P251" s="10" t="s">
        <v>70</v>
      </c>
      <c r="Q251" s="8">
        <v>0.37</v>
      </c>
      <c r="R251" s="8" t="s">
        <v>71</v>
      </c>
      <c r="S251" s="12">
        <f>AVERAGE(18.9,21.3)</f>
        <v>20.100000000000001</v>
      </c>
      <c r="T251" s="79">
        <f t="shared" si="67"/>
        <v>3.1730945400000002E-2</v>
      </c>
      <c r="U251" s="22">
        <v>11</v>
      </c>
      <c r="V251" s="22">
        <v>56</v>
      </c>
      <c r="W251" s="10">
        <f t="shared" si="73"/>
        <v>0.97738438111682457</v>
      </c>
      <c r="X251" s="22">
        <v>7</v>
      </c>
      <c r="Y251" s="22">
        <v>6</v>
      </c>
      <c r="Z251" s="10">
        <f t="shared" si="74"/>
        <v>0.10471975511965978</v>
      </c>
      <c r="AA251" s="10">
        <f t="shared" si="75"/>
        <v>9.8511125409790328</v>
      </c>
      <c r="AB251" s="10">
        <f t="shared" si="76"/>
        <v>73.765976103102219</v>
      </c>
      <c r="AC251" s="10">
        <f t="shared" si="60"/>
        <v>9.2207470128877773</v>
      </c>
      <c r="AD251" s="10">
        <f t="shared" si="64"/>
        <v>36.882988051551109</v>
      </c>
      <c r="AE251" s="65"/>
      <c r="AF251" s="10">
        <f t="shared" si="65"/>
        <v>123.07831047510186</v>
      </c>
      <c r="AG251" s="8">
        <f t="shared" si="61"/>
        <v>24.000270542644863</v>
      </c>
      <c r="AH251" s="10">
        <f t="shared" si="62"/>
        <v>61.539155237550929</v>
      </c>
      <c r="AI251" s="63"/>
      <c r="AJ251" s="10">
        <f t="shared" si="66"/>
        <v>180.50910000000005</v>
      </c>
      <c r="AK251" s="8"/>
      <c r="AL251" s="8">
        <f t="shared" si="63"/>
        <v>90.254550000000023</v>
      </c>
    </row>
    <row r="252" spans="1:38">
      <c r="A252" s="18">
        <v>41466</v>
      </c>
      <c r="B252" s="19" t="s">
        <v>119</v>
      </c>
      <c r="C252" s="12">
        <v>50.6</v>
      </c>
      <c r="D252" s="19" t="s">
        <v>80</v>
      </c>
      <c r="E252" s="8">
        <v>8.4102899999999998</v>
      </c>
      <c r="F252" s="8">
        <v>83.314350000000005</v>
      </c>
      <c r="G252" s="22">
        <v>50</v>
      </c>
      <c r="H252" s="45">
        <f t="shared" si="72"/>
        <v>5.5</v>
      </c>
      <c r="I252" s="10">
        <f t="shared" si="57"/>
        <v>18.163481150197153</v>
      </c>
      <c r="J252" s="10">
        <f t="shared" si="58"/>
        <v>0.31701254969486703</v>
      </c>
      <c r="K252" s="10">
        <v>21</v>
      </c>
      <c r="L252" s="22">
        <v>307</v>
      </c>
      <c r="M252" s="22" t="s">
        <v>39</v>
      </c>
      <c r="N252" s="8" t="s">
        <v>69</v>
      </c>
      <c r="O252" s="10" t="s">
        <v>65</v>
      </c>
      <c r="P252" s="10" t="s">
        <v>70</v>
      </c>
      <c r="Q252" s="8">
        <v>0.37</v>
      </c>
      <c r="R252" s="8" t="s">
        <v>71</v>
      </c>
      <c r="S252" s="29">
        <f>AVERAGE(6.5,6.4)</f>
        <v>6.45</v>
      </c>
      <c r="T252" s="79">
        <f t="shared" si="67"/>
        <v>3.2674603500000001E-3</v>
      </c>
      <c r="U252" s="22">
        <v>12</v>
      </c>
      <c r="V252" s="22">
        <v>50</v>
      </c>
      <c r="W252" s="10">
        <f t="shared" si="73"/>
        <v>0.87266462599716477</v>
      </c>
      <c r="X252" s="22">
        <v>10</v>
      </c>
      <c r="Y252" s="22">
        <v>2</v>
      </c>
      <c r="Z252" s="10">
        <f t="shared" si="74"/>
        <v>3.4906585039886591E-2</v>
      </c>
      <c r="AA252" s="10">
        <f t="shared" si="75"/>
        <v>9.5415282844527471</v>
      </c>
      <c r="AB252" s="10">
        <f t="shared" si="76"/>
        <v>8.4485945926023032</v>
      </c>
      <c r="AC252" s="10">
        <f t="shared" si="60"/>
        <v>1.0560743240752879</v>
      </c>
      <c r="AD252" s="10">
        <f t="shared" si="64"/>
        <v>4.2242972963011516</v>
      </c>
      <c r="AE252" s="65"/>
      <c r="AF252" s="10">
        <f t="shared" si="65"/>
        <v>7.3514449298455586</v>
      </c>
      <c r="AG252" s="8">
        <f t="shared" si="61"/>
        <v>1.4335317613198839</v>
      </c>
      <c r="AH252" s="10">
        <f t="shared" si="62"/>
        <v>3.6757224649227793</v>
      </c>
      <c r="AI252" s="63"/>
      <c r="AJ252" s="10">
        <f t="shared" si="66"/>
        <v>7.2359999999999971</v>
      </c>
      <c r="AK252" s="8"/>
      <c r="AL252" s="8">
        <f t="shared" si="63"/>
        <v>3.6179999999999986</v>
      </c>
    </row>
    <row r="253" spans="1:38">
      <c r="A253" s="18">
        <v>41466</v>
      </c>
      <c r="B253" s="19" t="s">
        <v>119</v>
      </c>
      <c r="C253" s="12">
        <v>50.6</v>
      </c>
      <c r="D253" s="19" t="s">
        <v>80</v>
      </c>
      <c r="E253" s="8">
        <v>8.4102899999999998</v>
      </c>
      <c r="F253" s="8">
        <v>83.314350000000005</v>
      </c>
      <c r="G253" s="22">
        <v>50</v>
      </c>
      <c r="H253" s="45">
        <f t="shared" si="72"/>
        <v>5.5</v>
      </c>
      <c r="I253" s="10">
        <f t="shared" si="57"/>
        <v>18.163481150197153</v>
      </c>
      <c r="J253" s="10">
        <f t="shared" si="58"/>
        <v>0.31701254969486703</v>
      </c>
      <c r="K253" s="10">
        <v>21</v>
      </c>
      <c r="L253" s="22">
        <v>312</v>
      </c>
      <c r="M253" s="22" t="s">
        <v>39</v>
      </c>
      <c r="N253" s="8" t="s">
        <v>69</v>
      </c>
      <c r="O253" s="10" t="s">
        <v>65</v>
      </c>
      <c r="P253" s="10" t="s">
        <v>70</v>
      </c>
      <c r="Q253" s="8">
        <v>0.37</v>
      </c>
      <c r="R253" s="8" t="s">
        <v>71</v>
      </c>
      <c r="S253" s="12">
        <f>AVERAGE(19,19.2)</f>
        <v>19.100000000000001</v>
      </c>
      <c r="T253" s="79">
        <f t="shared" si="67"/>
        <v>2.8652177400000006E-2</v>
      </c>
      <c r="U253" s="22">
        <v>10</v>
      </c>
      <c r="V253" s="22">
        <v>60</v>
      </c>
      <c r="W253" s="10">
        <f t="shared" si="73"/>
        <v>1.0471975511965976</v>
      </c>
      <c r="X253" s="22">
        <v>7</v>
      </c>
      <c r="Y253" s="22">
        <v>0</v>
      </c>
      <c r="Z253" s="10">
        <f t="shared" si="74"/>
        <v>0</v>
      </c>
      <c r="AA253" s="10">
        <f t="shared" si="75"/>
        <v>8.6602540378443855</v>
      </c>
      <c r="AB253" s="10">
        <f t="shared" si="76"/>
        <v>59.373529428300529</v>
      </c>
      <c r="AC253" s="10">
        <f t="shared" si="60"/>
        <v>7.4216911785375661</v>
      </c>
      <c r="AD253" s="10">
        <f t="shared" si="64"/>
        <v>29.686764714150264</v>
      </c>
      <c r="AE253" s="65"/>
      <c r="AF253" s="10">
        <f t="shared" si="65"/>
        <v>108.52736964738433</v>
      </c>
      <c r="AG253" s="8">
        <f t="shared" si="61"/>
        <v>21.162837081239946</v>
      </c>
      <c r="AH253" s="10">
        <f t="shared" si="62"/>
        <v>54.263684823692167</v>
      </c>
      <c r="AI253" s="63"/>
      <c r="AJ253" s="10">
        <f t="shared" si="66"/>
        <v>158.45410000000001</v>
      </c>
      <c r="AK253" s="8"/>
      <c r="AL253" s="8">
        <f t="shared" si="63"/>
        <v>79.227050000000006</v>
      </c>
    </row>
    <row r="254" spans="1:38">
      <c r="A254" s="18">
        <v>41466</v>
      </c>
      <c r="B254" s="19" t="s">
        <v>119</v>
      </c>
      <c r="C254" s="12">
        <v>50.6</v>
      </c>
      <c r="D254" s="19" t="s">
        <v>80</v>
      </c>
      <c r="E254" s="8">
        <v>8.4102899999999998</v>
      </c>
      <c r="F254" s="8">
        <v>83.314350000000005</v>
      </c>
      <c r="G254" s="22">
        <v>50</v>
      </c>
      <c r="H254" s="45">
        <f t="shared" si="72"/>
        <v>5.5</v>
      </c>
      <c r="I254" s="10">
        <f t="shared" si="57"/>
        <v>18.163481150197153</v>
      </c>
      <c r="J254" s="10">
        <f t="shared" si="58"/>
        <v>0.31701254969486703</v>
      </c>
      <c r="K254" s="10">
        <v>21</v>
      </c>
      <c r="L254" s="22">
        <v>222</v>
      </c>
      <c r="M254" s="22" t="s">
        <v>39</v>
      </c>
      <c r="N254" s="8" t="s">
        <v>69</v>
      </c>
      <c r="O254" s="10" t="s">
        <v>65</v>
      </c>
      <c r="P254" s="10" t="s">
        <v>70</v>
      </c>
      <c r="Q254" s="8">
        <v>0.37</v>
      </c>
      <c r="R254" s="8" t="s">
        <v>71</v>
      </c>
      <c r="S254" s="12">
        <f>AVERAGE(6.7,6.7)</f>
        <v>6.7</v>
      </c>
      <c r="T254" s="79">
        <f t="shared" si="67"/>
        <v>3.5256606000000001E-3</v>
      </c>
      <c r="U254" s="22">
        <v>11</v>
      </c>
      <c r="V254" s="22">
        <v>50</v>
      </c>
      <c r="W254" s="10">
        <f t="shared" si="73"/>
        <v>0.87266462599716477</v>
      </c>
      <c r="X254" s="22">
        <v>7</v>
      </c>
      <c r="Y254" s="22">
        <v>0</v>
      </c>
      <c r="Z254" s="10">
        <f t="shared" si="74"/>
        <v>0</v>
      </c>
      <c r="AA254" s="10">
        <f t="shared" si="75"/>
        <v>8.4264888743087578</v>
      </c>
      <c r="AB254" s="10">
        <f t="shared" si="76"/>
        <v>8.0742059636970183</v>
      </c>
      <c r="AC254" s="10">
        <f t="shared" si="60"/>
        <v>1.0092757454621273</v>
      </c>
      <c r="AD254" s="10">
        <f t="shared" si="64"/>
        <v>4.0371029818485091</v>
      </c>
      <c r="AE254" s="65"/>
      <c r="AF254" s="10">
        <f t="shared" si="65"/>
        <v>8.0725494403400475</v>
      </c>
      <c r="AG254" s="8">
        <f t="shared" si="61"/>
        <v>1.5741471408663092</v>
      </c>
      <c r="AH254" s="10">
        <f t="shared" si="62"/>
        <v>4.0362747201700238</v>
      </c>
      <c r="AI254" s="63"/>
      <c r="AJ254" s="10">
        <f t="shared" si="66"/>
        <v>7.9304999999999986</v>
      </c>
      <c r="AK254" s="8"/>
      <c r="AL254" s="8">
        <f t="shared" si="63"/>
        <v>3.9652499999999993</v>
      </c>
    </row>
    <row r="255" spans="1:38">
      <c r="A255" s="18">
        <v>41466</v>
      </c>
      <c r="B255" s="19" t="s">
        <v>119</v>
      </c>
      <c r="C255" s="12">
        <v>50.6</v>
      </c>
      <c r="D255" s="19" t="s">
        <v>80</v>
      </c>
      <c r="E255" s="8">
        <v>8.4102899999999998</v>
      </c>
      <c r="F255" s="8">
        <v>83.314350000000005</v>
      </c>
      <c r="G255" s="22">
        <v>50</v>
      </c>
      <c r="H255" s="45">
        <f t="shared" si="72"/>
        <v>5.5</v>
      </c>
      <c r="I255" s="10">
        <f t="shared" si="57"/>
        <v>18.163481150197153</v>
      </c>
      <c r="J255" s="10">
        <f t="shared" si="58"/>
        <v>0.31701254969486703</v>
      </c>
      <c r="K255" s="10">
        <v>21</v>
      </c>
      <c r="L255" s="22">
        <v>300</v>
      </c>
      <c r="M255" s="22" t="s">
        <v>39</v>
      </c>
      <c r="N255" s="8" t="s">
        <v>69</v>
      </c>
      <c r="O255" s="10" t="s">
        <v>65</v>
      </c>
      <c r="P255" s="10" t="s">
        <v>70</v>
      </c>
      <c r="Q255" s="8">
        <v>0.37</v>
      </c>
      <c r="R255" s="8" t="s">
        <v>71</v>
      </c>
      <c r="S255" s="29">
        <f>AVERAGE(7.2,5.5)</f>
        <v>6.35</v>
      </c>
      <c r="T255" s="79">
        <f t="shared" si="67"/>
        <v>3.16692915E-3</v>
      </c>
      <c r="U255" s="22">
        <v>9</v>
      </c>
      <c r="V255" s="22">
        <v>60</v>
      </c>
      <c r="W255" s="10">
        <f t="shared" si="73"/>
        <v>1.0471975511965976</v>
      </c>
      <c r="X255" s="22">
        <v>7</v>
      </c>
      <c r="Y255" s="22">
        <v>0</v>
      </c>
      <c r="Z255" s="10">
        <f t="shared" si="74"/>
        <v>0</v>
      </c>
      <c r="AA255" s="10">
        <f t="shared" si="75"/>
        <v>7.7942286340599471</v>
      </c>
      <c r="AB255" s="10">
        <f t="shared" si="76"/>
        <v>6.7834823305313385</v>
      </c>
      <c r="AC255" s="10">
        <f t="shared" si="60"/>
        <v>0.84793529131641732</v>
      </c>
      <c r="AD255" s="10">
        <f t="shared" si="64"/>
        <v>3.3917411652656693</v>
      </c>
      <c r="AE255" s="65"/>
      <c r="AF255" s="10">
        <f t="shared" si="65"/>
        <v>7.0744490609166846</v>
      </c>
      <c r="AG255" s="8">
        <f t="shared" si="61"/>
        <v>1.3795175668787536</v>
      </c>
      <c r="AH255" s="10">
        <f t="shared" si="62"/>
        <v>3.5372245304583423</v>
      </c>
      <c r="AI255" s="63"/>
      <c r="AJ255" s="10">
        <f t="shared" si="66"/>
        <v>6.984099999999998</v>
      </c>
      <c r="AK255" s="8"/>
      <c r="AL255" s="8">
        <f t="shared" si="63"/>
        <v>3.492049999999999</v>
      </c>
    </row>
    <row r="256" spans="1:38">
      <c r="A256" s="18">
        <v>41466</v>
      </c>
      <c r="B256" s="19" t="s">
        <v>119</v>
      </c>
      <c r="C256" s="12">
        <v>50.6</v>
      </c>
      <c r="D256" s="19" t="s">
        <v>80</v>
      </c>
      <c r="E256" s="8">
        <v>8.4102899999999998</v>
      </c>
      <c r="F256" s="8">
        <v>83.314350000000005</v>
      </c>
      <c r="G256" s="22">
        <v>50</v>
      </c>
      <c r="H256" s="45">
        <f t="shared" si="72"/>
        <v>5.5</v>
      </c>
      <c r="I256" s="10">
        <f t="shared" si="57"/>
        <v>18.163481150197153</v>
      </c>
      <c r="J256" s="10">
        <f t="shared" si="58"/>
        <v>0.31701254969486703</v>
      </c>
      <c r="K256" s="10">
        <v>21</v>
      </c>
      <c r="L256" s="22">
        <v>249</v>
      </c>
      <c r="M256" s="22" t="s">
        <v>36</v>
      </c>
      <c r="N256" s="8" t="s">
        <v>46</v>
      </c>
      <c r="O256" s="10" t="s">
        <v>37</v>
      </c>
      <c r="P256" s="10" t="s">
        <v>38</v>
      </c>
      <c r="Q256" s="11">
        <v>0.48</v>
      </c>
      <c r="R256" s="8" t="s">
        <v>60</v>
      </c>
      <c r="S256" s="29">
        <f>AVERAGE(7.5,6.6)</f>
        <v>7.05</v>
      </c>
      <c r="T256" s="79">
        <f t="shared" si="67"/>
        <v>3.9036343500000003E-3</v>
      </c>
      <c r="U256" s="22">
        <v>9</v>
      </c>
      <c r="V256" s="22">
        <v>12</v>
      </c>
      <c r="W256" s="10">
        <f t="shared" si="73"/>
        <v>0.20943951023931956</v>
      </c>
      <c r="X256" s="22">
        <v>7</v>
      </c>
      <c r="Y256" s="22">
        <v>6</v>
      </c>
      <c r="Z256" s="10">
        <f t="shared" si="74"/>
        <v>0.10471975511965978</v>
      </c>
      <c r="AA256" s="10">
        <f t="shared" si="75"/>
        <v>2.6029044602334084</v>
      </c>
      <c r="AB256" s="10">
        <f t="shared" si="76"/>
        <v>3.7614453667557428</v>
      </c>
      <c r="AC256" s="10">
        <f t="shared" si="60"/>
        <v>0.47018067084446785</v>
      </c>
      <c r="AD256" s="10">
        <f t="shared" si="64"/>
        <v>1.8807226833778714</v>
      </c>
      <c r="AE256" s="65"/>
      <c r="AF256" s="10">
        <f t="shared" si="65"/>
        <v>11.872907202365653</v>
      </c>
      <c r="AG256" s="8">
        <f t="shared" si="61"/>
        <v>2.3152169044613022</v>
      </c>
      <c r="AH256" s="10">
        <f t="shared" si="62"/>
        <v>5.9364536011828264</v>
      </c>
      <c r="AI256" s="63"/>
      <c r="AJ256" s="10">
        <f t="shared" si="66"/>
        <v>9.0582000000000029</v>
      </c>
      <c r="AK256" s="8"/>
      <c r="AL256" s="8">
        <f t="shared" si="63"/>
        <v>4.5291000000000015</v>
      </c>
    </row>
    <row r="257" spans="1:38">
      <c r="A257" s="18">
        <v>41466</v>
      </c>
      <c r="B257" s="19" t="s">
        <v>119</v>
      </c>
      <c r="C257" s="12">
        <v>50.6</v>
      </c>
      <c r="D257" s="19" t="s">
        <v>80</v>
      </c>
      <c r="E257" s="8">
        <v>8.4102899999999998</v>
      </c>
      <c r="F257" s="8">
        <v>83.314350000000005</v>
      </c>
      <c r="G257" s="22">
        <v>50</v>
      </c>
      <c r="H257" s="45">
        <f t="shared" si="72"/>
        <v>5.5</v>
      </c>
      <c r="I257" s="10">
        <f t="shared" si="57"/>
        <v>18.163481150197153</v>
      </c>
      <c r="J257" s="10">
        <f t="shared" si="58"/>
        <v>0.31701254969486703</v>
      </c>
      <c r="K257" s="10">
        <v>21</v>
      </c>
      <c r="L257" s="22">
        <v>257</v>
      </c>
      <c r="M257" s="22" t="s">
        <v>107</v>
      </c>
      <c r="N257" s="22" t="s">
        <v>63</v>
      </c>
      <c r="O257" s="10" t="s">
        <v>108</v>
      </c>
      <c r="P257" s="15" t="s">
        <v>92</v>
      </c>
      <c r="Q257" s="8">
        <v>0.57999999999999996</v>
      </c>
      <c r="R257" s="22" t="s">
        <v>190</v>
      </c>
      <c r="S257" s="12">
        <f>AVERAGE(8.5,8.5)</f>
        <v>8.5</v>
      </c>
      <c r="T257" s="79">
        <f t="shared" si="67"/>
        <v>5.6745150000000006E-3</v>
      </c>
      <c r="U257" s="22">
        <v>10</v>
      </c>
      <c r="V257" s="22">
        <v>60</v>
      </c>
      <c r="W257" s="10">
        <f t="shared" si="73"/>
        <v>1.0471975511965976</v>
      </c>
      <c r="X257" s="22">
        <v>7</v>
      </c>
      <c r="Y257" s="22">
        <v>7</v>
      </c>
      <c r="Z257" s="10">
        <f t="shared" si="74"/>
        <v>0.12217304763960307</v>
      </c>
      <c r="AA257" s="10">
        <f t="shared" si="75"/>
        <v>9.5133394416804187</v>
      </c>
      <c r="AB257" s="10">
        <f t="shared" si="76"/>
        <v>21.598551628379127</v>
      </c>
      <c r="AC257" s="10">
        <f t="shared" si="60"/>
        <v>2.6998189535473909</v>
      </c>
      <c r="AD257" s="10">
        <f t="shared" si="64"/>
        <v>10.799275814189564</v>
      </c>
      <c r="AE257" s="65"/>
      <c r="AF257" s="10">
        <f t="shared" si="65"/>
        <v>22.787780222022516</v>
      </c>
      <c r="AG257" s="8">
        <f t="shared" si="61"/>
        <v>4.4436171432943903</v>
      </c>
      <c r="AH257" s="10">
        <f t="shared" si="62"/>
        <v>11.393890111011258</v>
      </c>
      <c r="AI257" s="63"/>
      <c r="AJ257" s="10">
        <f t="shared" si="66"/>
        <v>15.661499999999997</v>
      </c>
      <c r="AK257" s="8"/>
      <c r="AL257" s="8">
        <f t="shared" si="63"/>
        <v>7.8307499999999983</v>
      </c>
    </row>
    <row r="258" spans="1:38">
      <c r="A258" s="18">
        <v>41466</v>
      </c>
      <c r="B258" s="19" t="s">
        <v>119</v>
      </c>
      <c r="C258" s="12">
        <v>50.6</v>
      </c>
      <c r="D258" s="19" t="s">
        <v>80</v>
      </c>
      <c r="E258" s="8">
        <v>8.4102899999999998</v>
      </c>
      <c r="F258" s="8">
        <v>83.314350000000005</v>
      </c>
      <c r="G258" s="22">
        <v>50</v>
      </c>
      <c r="H258" s="45">
        <f t="shared" si="72"/>
        <v>5.5</v>
      </c>
      <c r="I258" s="10">
        <f t="shared" ref="I258:I284" si="77">1/TAN(H258/100)</f>
        <v>18.163481150197153</v>
      </c>
      <c r="J258" s="10">
        <f t="shared" ref="J258:J284" si="78">RADIANS(I258)</f>
        <v>0.31701254969486703</v>
      </c>
      <c r="K258" s="10">
        <v>21</v>
      </c>
      <c r="L258" s="22">
        <v>290</v>
      </c>
      <c r="M258" s="22" t="s">
        <v>39</v>
      </c>
      <c r="N258" s="8" t="s">
        <v>69</v>
      </c>
      <c r="O258" s="10" t="s">
        <v>65</v>
      </c>
      <c r="P258" s="10" t="s">
        <v>70</v>
      </c>
      <c r="Q258" s="8">
        <v>0.37</v>
      </c>
      <c r="R258" s="8" t="s">
        <v>71</v>
      </c>
      <c r="S258" s="12">
        <f>AVERAGE(6.5,6.5)</f>
        <v>6.5</v>
      </c>
      <c r="T258" s="79">
        <f t="shared" si="67"/>
        <v>3.3183150000000001E-3</v>
      </c>
      <c r="U258" s="22">
        <v>9</v>
      </c>
      <c r="V258" s="22">
        <v>55</v>
      </c>
      <c r="W258" s="10">
        <f t="shared" si="73"/>
        <v>0.95993108859688125</v>
      </c>
      <c r="X258" s="22">
        <v>7</v>
      </c>
      <c r="Y258" s="22">
        <v>7</v>
      </c>
      <c r="Z258" s="10">
        <f t="shared" si="74"/>
        <v>0.12217304763960307</v>
      </c>
      <c r="AA258" s="10">
        <f t="shared" si="75"/>
        <v>8.2254538024369594</v>
      </c>
      <c r="AB258" s="10">
        <f t="shared" si="76"/>
        <v>7.4558768801841309</v>
      </c>
      <c r="AC258" s="10">
        <f t="shared" si="60"/>
        <v>0.93198461002301636</v>
      </c>
      <c r="AD258" s="10">
        <f t="shared" si="64"/>
        <v>3.7279384400920654</v>
      </c>
      <c r="AE258" s="65"/>
      <c r="AF258" s="10">
        <f t="shared" si="65"/>
        <v>7.4923825225676159</v>
      </c>
      <c r="AG258" s="8">
        <f t="shared" si="61"/>
        <v>1.4610145919006852</v>
      </c>
      <c r="AH258" s="10">
        <f t="shared" si="62"/>
        <v>3.746191261283808</v>
      </c>
      <c r="AI258" s="63"/>
      <c r="AJ258" s="10">
        <f t="shared" si="66"/>
        <v>7.3674999999999962</v>
      </c>
      <c r="AK258" s="8"/>
      <c r="AL258" s="8">
        <f t="shared" si="63"/>
        <v>3.6837499999999981</v>
      </c>
    </row>
    <row r="259" spans="1:38">
      <c r="A259" s="18">
        <v>41466</v>
      </c>
      <c r="B259" s="19" t="s">
        <v>119</v>
      </c>
      <c r="C259" s="12">
        <v>50.6</v>
      </c>
      <c r="D259" s="19" t="s">
        <v>80</v>
      </c>
      <c r="E259" s="8">
        <v>8.4102899999999998</v>
      </c>
      <c r="F259" s="8">
        <v>83.314350000000005</v>
      </c>
      <c r="G259" s="22">
        <v>50</v>
      </c>
      <c r="H259" s="45">
        <f t="shared" si="72"/>
        <v>5.5</v>
      </c>
      <c r="I259" s="10">
        <f t="shared" si="77"/>
        <v>18.163481150197153</v>
      </c>
      <c r="J259" s="10">
        <f t="shared" si="78"/>
        <v>0.31701254969486703</v>
      </c>
      <c r="K259" s="10">
        <v>21</v>
      </c>
      <c r="L259" s="22">
        <v>289</v>
      </c>
      <c r="M259" s="22" t="s">
        <v>36</v>
      </c>
      <c r="N259" s="8" t="s">
        <v>46</v>
      </c>
      <c r="O259" s="10" t="s">
        <v>37</v>
      </c>
      <c r="P259" s="10" t="s">
        <v>38</v>
      </c>
      <c r="Q259" s="11">
        <v>0.48</v>
      </c>
      <c r="R259" s="8" t="s">
        <v>60</v>
      </c>
      <c r="S259" s="29">
        <f>AVERAGE(14.3,13.8)</f>
        <v>14.05</v>
      </c>
      <c r="T259" s="79">
        <f t="shared" si="67"/>
        <v>1.5503992350000002E-2</v>
      </c>
      <c r="U259" s="22">
        <v>7</v>
      </c>
      <c r="V259" s="22">
        <v>35</v>
      </c>
      <c r="W259" s="10">
        <f t="shared" si="73"/>
        <v>0.6108652381980153</v>
      </c>
      <c r="X259" s="22">
        <v>7</v>
      </c>
      <c r="Y259" s="22">
        <v>1</v>
      </c>
      <c r="Z259" s="10">
        <f t="shared" si="74"/>
        <v>1.7453292519943295E-2</v>
      </c>
      <c r="AA259" s="10">
        <f t="shared" si="75"/>
        <v>4.1372018995183071</v>
      </c>
      <c r="AB259" s="10">
        <f t="shared" si="76"/>
        <v>21.260050238659584</v>
      </c>
      <c r="AC259" s="10">
        <f t="shared" ref="AC259:AC321" si="79">AB259*0.125</f>
        <v>2.657506279832448</v>
      </c>
      <c r="AD259" s="10">
        <f t="shared" si="64"/>
        <v>10.630025119329792</v>
      </c>
      <c r="AE259" s="65"/>
      <c r="AF259" s="10">
        <f t="shared" si="65"/>
        <v>65.787040965011343</v>
      </c>
      <c r="AG259" s="8">
        <f t="shared" ref="AG259:AG321" si="80">AF259*0.195</f>
        <v>12.828472988177213</v>
      </c>
      <c r="AH259" s="10">
        <f t="shared" ref="AH259:AH321" si="81">AF259/2</f>
        <v>32.893520482505672</v>
      </c>
      <c r="AI259" s="63"/>
      <c r="AJ259" s="10">
        <f t="shared" si="66"/>
        <v>69.685199999999995</v>
      </c>
      <c r="AK259" s="8"/>
      <c r="AL259" s="8">
        <f t="shared" ref="AL259:AL321" si="82">AJ259/2</f>
        <v>34.842599999999997</v>
      </c>
    </row>
    <row r="260" spans="1:38">
      <c r="A260" s="18">
        <v>41466</v>
      </c>
      <c r="B260" s="19" t="s">
        <v>119</v>
      </c>
      <c r="C260" s="12">
        <v>50.6</v>
      </c>
      <c r="D260" s="19" t="s">
        <v>80</v>
      </c>
      <c r="E260" s="8">
        <v>8.4102899999999998</v>
      </c>
      <c r="F260" s="8">
        <v>83.314350000000005</v>
      </c>
      <c r="G260" s="22">
        <v>50</v>
      </c>
      <c r="H260" s="45">
        <f t="shared" si="72"/>
        <v>5.5</v>
      </c>
      <c r="I260" s="10">
        <f t="shared" si="77"/>
        <v>18.163481150197153</v>
      </c>
      <c r="J260" s="10">
        <f t="shared" si="78"/>
        <v>0.31701254969486703</v>
      </c>
      <c r="K260" s="10">
        <v>21</v>
      </c>
      <c r="L260" s="22">
        <v>291</v>
      </c>
      <c r="M260" s="22" t="s">
        <v>181</v>
      </c>
      <c r="N260" s="22" t="s">
        <v>48</v>
      </c>
      <c r="O260" s="58" t="s">
        <v>218</v>
      </c>
      <c r="P260" s="10" t="s">
        <v>219</v>
      </c>
      <c r="Q260" s="24">
        <v>0.66</v>
      </c>
      <c r="R260" s="22" t="s">
        <v>190</v>
      </c>
      <c r="S260" s="29">
        <f>AVERAGE(27.5,26.4)</f>
        <v>26.95</v>
      </c>
      <c r="T260" s="79">
        <f t="shared" si="67"/>
        <v>5.7043798350000001E-2</v>
      </c>
      <c r="U260" s="22">
        <v>13</v>
      </c>
      <c r="V260" s="22">
        <v>75</v>
      </c>
      <c r="W260" s="10">
        <f t="shared" si="73"/>
        <v>1.3089969389957472</v>
      </c>
      <c r="X260" s="22">
        <v>6</v>
      </c>
      <c r="Y260" s="22">
        <v>-3</v>
      </c>
      <c r="Z260" s="10">
        <f t="shared" si="74"/>
        <v>-5.235987755982989E-2</v>
      </c>
      <c r="AA260" s="10">
        <f t="shared" si="75"/>
        <v>12.243020004300226</v>
      </c>
      <c r="AB260" s="10">
        <f t="shared" si="76"/>
        <v>270.5819067898762</v>
      </c>
      <c r="AC260" s="10">
        <f t="shared" si="79"/>
        <v>33.822738348734525</v>
      </c>
      <c r="AD260" s="10">
        <f t="shared" si="64"/>
        <v>135.2909533949381</v>
      </c>
      <c r="AE260" s="65"/>
      <c r="AF260" s="10">
        <f t="shared" si="65"/>
        <v>450.01129845122699</v>
      </c>
      <c r="AG260" s="8">
        <f t="shared" si="80"/>
        <v>87.75220319798926</v>
      </c>
      <c r="AH260" s="10">
        <f t="shared" si="81"/>
        <v>225.0056492256135</v>
      </c>
      <c r="AI260" s="63"/>
      <c r="AJ260" s="10">
        <f t="shared" si="66"/>
        <v>371.37749999999994</v>
      </c>
      <c r="AK260" s="8"/>
      <c r="AL260" s="8">
        <f t="shared" si="82"/>
        <v>185.68874999999997</v>
      </c>
    </row>
    <row r="261" spans="1:38">
      <c r="A261" s="18">
        <v>41466</v>
      </c>
      <c r="B261" s="19" t="s">
        <v>119</v>
      </c>
      <c r="C261" s="12">
        <v>50.6</v>
      </c>
      <c r="D261" s="19" t="s">
        <v>80</v>
      </c>
      <c r="E261" s="8">
        <v>8.4102899999999998</v>
      </c>
      <c r="F261" s="8">
        <v>83.314350000000005</v>
      </c>
      <c r="G261" s="22">
        <v>50</v>
      </c>
      <c r="H261" s="45">
        <f t="shared" si="72"/>
        <v>5.5</v>
      </c>
      <c r="I261" s="10">
        <f t="shared" si="77"/>
        <v>18.163481150197153</v>
      </c>
      <c r="J261" s="10">
        <f t="shared" si="78"/>
        <v>0.31701254969486703</v>
      </c>
      <c r="K261" s="10">
        <v>21</v>
      </c>
      <c r="L261" s="22">
        <v>296</v>
      </c>
      <c r="M261" s="22" t="s">
        <v>129</v>
      </c>
      <c r="N261" s="22" t="s">
        <v>171</v>
      </c>
      <c r="O261" s="58" t="s">
        <v>175</v>
      </c>
      <c r="P261" s="10" t="s">
        <v>176</v>
      </c>
      <c r="Q261" s="22">
        <v>0.23</v>
      </c>
      <c r="R261" s="22" t="s">
        <v>190</v>
      </c>
      <c r="S261" s="12">
        <f>AVERAGE(12.8,15.8)</f>
        <v>14.3</v>
      </c>
      <c r="T261" s="79">
        <f t="shared" si="67"/>
        <v>1.60606446E-2</v>
      </c>
      <c r="U261" s="22">
        <v>10</v>
      </c>
      <c r="V261" s="22">
        <v>58</v>
      </c>
      <c r="W261" s="10">
        <f t="shared" si="73"/>
        <v>1.0122909661567112</v>
      </c>
      <c r="X261" s="22">
        <v>6</v>
      </c>
      <c r="Y261" s="22">
        <v>12</v>
      </c>
      <c r="Z261" s="10">
        <f t="shared" si="74"/>
        <v>0.20943951023931956</v>
      </c>
      <c r="AA261" s="10">
        <f t="shared" si="75"/>
        <v>9.7279511064708153</v>
      </c>
      <c r="AB261" s="10">
        <f t="shared" si="76"/>
        <v>24.584293603147334</v>
      </c>
      <c r="AC261" s="10">
        <f t="shared" si="79"/>
        <v>3.0730367003934167</v>
      </c>
      <c r="AD261" s="10">
        <f t="shared" si="64"/>
        <v>12.292146801573667</v>
      </c>
      <c r="AE261" s="65"/>
      <c r="AF261" s="10">
        <f t="shared" si="65"/>
        <v>32.935309547622239</v>
      </c>
      <c r="AG261" s="8">
        <f t="shared" si="80"/>
        <v>6.4223853617863371</v>
      </c>
      <c r="AH261" s="10">
        <f t="shared" si="81"/>
        <v>16.46765477381112</v>
      </c>
      <c r="AI261" s="63"/>
      <c r="AJ261" s="10">
        <f t="shared" si="66"/>
        <v>73.191699999999983</v>
      </c>
      <c r="AK261" s="8"/>
      <c r="AL261" s="8">
        <f t="shared" si="82"/>
        <v>36.595849999999992</v>
      </c>
    </row>
    <row r="262" spans="1:38">
      <c r="A262" s="18">
        <v>41466</v>
      </c>
      <c r="B262" s="19" t="s">
        <v>119</v>
      </c>
      <c r="C262" s="12">
        <v>50.6</v>
      </c>
      <c r="D262" s="19" t="s">
        <v>80</v>
      </c>
      <c r="E262" s="8">
        <v>8.4102899999999998</v>
      </c>
      <c r="F262" s="8">
        <v>83.314350000000005</v>
      </c>
      <c r="G262" s="22">
        <v>50</v>
      </c>
      <c r="H262" s="45">
        <f t="shared" si="72"/>
        <v>5.5</v>
      </c>
      <c r="I262" s="10">
        <f t="shared" si="77"/>
        <v>18.163481150197153</v>
      </c>
      <c r="J262" s="10">
        <f t="shared" si="78"/>
        <v>0.31701254969486703</v>
      </c>
      <c r="K262" s="10">
        <v>21</v>
      </c>
      <c r="L262" s="22">
        <v>309</v>
      </c>
      <c r="M262" s="22" t="s">
        <v>129</v>
      </c>
      <c r="N262" s="22" t="s">
        <v>171</v>
      </c>
      <c r="O262" s="58" t="s">
        <v>175</v>
      </c>
      <c r="P262" s="10" t="s">
        <v>176</v>
      </c>
      <c r="Q262" s="22">
        <v>0.23</v>
      </c>
      <c r="R262" s="22" t="s">
        <v>190</v>
      </c>
      <c r="S262" s="12">
        <f>AVERAGE(9.5,8.3)</f>
        <v>8.9</v>
      </c>
      <c r="T262" s="79">
        <f t="shared" si="67"/>
        <v>6.2211534000000011E-3</v>
      </c>
      <c r="U262" s="22">
        <v>8</v>
      </c>
      <c r="V262" s="22">
        <v>52</v>
      </c>
      <c r="W262" s="10">
        <f t="shared" si="73"/>
        <v>0.90757121103705141</v>
      </c>
      <c r="X262" s="22">
        <v>6</v>
      </c>
      <c r="Y262" s="22">
        <v>12</v>
      </c>
      <c r="Z262" s="10">
        <f t="shared" si="74"/>
        <v>0.20943951023931956</v>
      </c>
      <c r="AA262" s="10">
        <f t="shared" si="75"/>
        <v>7.5515561737603321</v>
      </c>
      <c r="AB262" s="10">
        <f t="shared" si="76"/>
        <v>7.9449902667239698</v>
      </c>
      <c r="AC262" s="10">
        <f t="shared" si="79"/>
        <v>0.99312378334049622</v>
      </c>
      <c r="AD262" s="10">
        <f t="shared" si="64"/>
        <v>3.9724951333619849</v>
      </c>
      <c r="AE262" s="65"/>
      <c r="AF262" s="10">
        <f t="shared" si="65"/>
        <v>10.128647291462366</v>
      </c>
      <c r="AG262" s="8">
        <f t="shared" si="80"/>
        <v>1.9750862218351615</v>
      </c>
      <c r="AH262" s="10">
        <f t="shared" si="81"/>
        <v>5.0643236457311831</v>
      </c>
      <c r="AI262" s="63"/>
      <c r="AJ262" s="10">
        <f t="shared" si="66"/>
        <v>18.03070000000001</v>
      </c>
      <c r="AK262" s="8"/>
      <c r="AL262" s="8">
        <f t="shared" si="82"/>
        <v>9.0153500000000051</v>
      </c>
    </row>
    <row r="263" spans="1:38">
      <c r="A263" s="18">
        <v>41466</v>
      </c>
      <c r="B263" s="19" t="s">
        <v>119</v>
      </c>
      <c r="C263" s="12">
        <v>50.6</v>
      </c>
      <c r="D263" s="19" t="s">
        <v>80</v>
      </c>
      <c r="E263" s="8">
        <v>8.4102899999999998</v>
      </c>
      <c r="F263" s="8">
        <v>83.314350000000005</v>
      </c>
      <c r="G263" s="22">
        <v>50</v>
      </c>
      <c r="H263" s="45">
        <f t="shared" si="72"/>
        <v>5.5</v>
      </c>
      <c r="I263" s="10">
        <f t="shared" si="77"/>
        <v>18.163481150197153</v>
      </c>
      <c r="J263" s="10">
        <f t="shared" si="78"/>
        <v>0.31701254969486703</v>
      </c>
      <c r="K263" s="10">
        <v>21</v>
      </c>
      <c r="L263" s="22">
        <v>374</v>
      </c>
      <c r="M263" s="22" t="s">
        <v>129</v>
      </c>
      <c r="N263" s="22" t="s">
        <v>171</v>
      </c>
      <c r="O263" s="58" t="s">
        <v>175</v>
      </c>
      <c r="P263" s="10" t="s">
        <v>176</v>
      </c>
      <c r="Q263" s="22">
        <v>0.23</v>
      </c>
      <c r="R263" s="22" t="s">
        <v>190</v>
      </c>
      <c r="S263" s="12">
        <f>AVERAGE(15,18.4)</f>
        <v>16.7</v>
      </c>
      <c r="T263" s="79">
        <f t="shared" si="67"/>
        <v>2.1904020600000001E-2</v>
      </c>
      <c r="U263" s="22">
        <v>13</v>
      </c>
      <c r="V263" s="22">
        <v>50</v>
      </c>
      <c r="W263" s="10">
        <f t="shared" si="73"/>
        <v>0.87266462599716477</v>
      </c>
      <c r="X263" s="22">
        <v>6</v>
      </c>
      <c r="Y263" s="22">
        <v>10</v>
      </c>
      <c r="Z263" s="10">
        <f t="shared" si="74"/>
        <v>0.17453292519943295</v>
      </c>
      <c r="AA263" s="10">
        <f t="shared" si="75"/>
        <v>11.000466826548296</v>
      </c>
      <c r="AB263" s="10">
        <f t="shared" si="76"/>
        <v>36.941906231854233</v>
      </c>
      <c r="AC263" s="10">
        <f t="shared" si="79"/>
        <v>4.6177382789817791</v>
      </c>
      <c r="AD263" s="10">
        <f t="shared" ref="AD263:AD326" si="83">AB263/2</f>
        <v>18.470953115927117</v>
      </c>
      <c r="AE263" s="65"/>
      <c r="AF263" s="10">
        <f t="shared" ref="AF263:AF326" si="84">Q263*EXP(-1.239+1.98*LN(S263)+0.207*(LN(S263))^2-0.0281*(LN(S263))^3)</f>
        <v>48.401609952518058</v>
      </c>
      <c r="AG263" s="8">
        <f t="shared" si="80"/>
        <v>9.4383139407410219</v>
      </c>
      <c r="AH263" s="10">
        <f t="shared" si="81"/>
        <v>24.200804976259029</v>
      </c>
      <c r="AI263" s="63"/>
      <c r="AJ263" s="10">
        <f t="shared" ref="AJ263:AJ326" si="85">21.297-6.953*S263+0.74*(S263^2)</f>
        <v>111.56049999999998</v>
      </c>
      <c r="AK263" s="8"/>
      <c r="AL263" s="8">
        <f t="shared" si="82"/>
        <v>55.780249999999988</v>
      </c>
    </row>
    <row r="264" spans="1:38">
      <c r="A264" s="18">
        <v>41466</v>
      </c>
      <c r="B264" s="19" t="s">
        <v>119</v>
      </c>
      <c r="C264" s="12">
        <v>50.6</v>
      </c>
      <c r="D264" s="19" t="s">
        <v>80</v>
      </c>
      <c r="E264" s="8">
        <v>8.4102899999999998</v>
      </c>
      <c r="F264" s="8">
        <v>83.314350000000005</v>
      </c>
      <c r="G264" s="22">
        <v>50</v>
      </c>
      <c r="H264" s="45">
        <f t="shared" si="72"/>
        <v>5.5</v>
      </c>
      <c r="I264" s="10">
        <f t="shared" si="77"/>
        <v>18.163481150197153</v>
      </c>
      <c r="J264" s="10">
        <f t="shared" si="78"/>
        <v>0.31701254969486703</v>
      </c>
      <c r="K264" s="10">
        <v>21</v>
      </c>
      <c r="L264" s="22">
        <v>347</v>
      </c>
      <c r="M264" s="22" t="s">
        <v>107</v>
      </c>
      <c r="N264" s="22" t="s">
        <v>63</v>
      </c>
      <c r="O264" s="10" t="s">
        <v>108</v>
      </c>
      <c r="P264" s="15" t="s">
        <v>92</v>
      </c>
      <c r="Q264" s="8">
        <v>0.57999999999999996</v>
      </c>
      <c r="R264" s="22" t="s">
        <v>190</v>
      </c>
      <c r="S264" s="29">
        <f>AVERAGE(6.7,7)</f>
        <v>6.85</v>
      </c>
      <c r="T264" s="79">
        <f t="shared" ref="T264:T327" si="86">0.00007854*S264^2</f>
        <v>3.6852931499999995E-3</v>
      </c>
      <c r="U264" s="22">
        <v>8</v>
      </c>
      <c r="V264" s="22">
        <v>60</v>
      </c>
      <c r="W264" s="10">
        <f t="shared" si="73"/>
        <v>1.0471975511965976</v>
      </c>
      <c r="X264" s="22">
        <v>5</v>
      </c>
      <c r="Y264" s="22">
        <v>10</v>
      </c>
      <c r="Z264" s="10">
        <f t="shared" si="74"/>
        <v>0.17453292519943295</v>
      </c>
      <c r="AA264" s="10">
        <f t="shared" si="75"/>
        <v>7.7964441186101601</v>
      </c>
      <c r="AB264" s="10">
        <f t="shared" si="76"/>
        <v>11.938921201343279</v>
      </c>
      <c r="AC264" s="10">
        <f t="shared" si="79"/>
        <v>1.4923651501679098</v>
      </c>
      <c r="AD264" s="10">
        <f t="shared" si="83"/>
        <v>5.9694606006716393</v>
      </c>
      <c r="AE264" s="65"/>
      <c r="AF264" s="10">
        <f t="shared" si="84"/>
        <v>13.363658341568437</v>
      </c>
      <c r="AG264" s="8">
        <f t="shared" si="80"/>
        <v>2.6059133766058453</v>
      </c>
      <c r="AH264" s="10">
        <f t="shared" si="81"/>
        <v>6.6818291707842183</v>
      </c>
      <c r="AI264" s="63"/>
      <c r="AJ264" s="10">
        <f t="shared" si="85"/>
        <v>8.3915999999999933</v>
      </c>
      <c r="AK264" s="8"/>
      <c r="AL264" s="8">
        <f t="shared" si="82"/>
        <v>4.1957999999999966</v>
      </c>
    </row>
    <row r="265" spans="1:38">
      <c r="A265" s="18">
        <v>41466</v>
      </c>
      <c r="B265" s="19" t="s">
        <v>119</v>
      </c>
      <c r="C265" s="12">
        <v>50.6</v>
      </c>
      <c r="D265" s="19" t="s">
        <v>80</v>
      </c>
      <c r="E265" s="8">
        <v>8.4102899999999998</v>
      </c>
      <c r="F265" s="8">
        <v>83.314350000000005</v>
      </c>
      <c r="G265" s="22">
        <v>50</v>
      </c>
      <c r="H265" s="45">
        <f t="shared" si="72"/>
        <v>5.5</v>
      </c>
      <c r="I265" s="10">
        <f t="shared" si="77"/>
        <v>18.163481150197153</v>
      </c>
      <c r="J265" s="10">
        <f t="shared" si="78"/>
        <v>0.31701254969486703</v>
      </c>
      <c r="K265" s="10">
        <v>21</v>
      </c>
      <c r="L265" s="22">
        <v>213</v>
      </c>
      <c r="M265" s="22" t="s">
        <v>107</v>
      </c>
      <c r="N265" s="22" t="s">
        <v>63</v>
      </c>
      <c r="O265" s="10" t="s">
        <v>108</v>
      </c>
      <c r="P265" s="15" t="s">
        <v>92</v>
      </c>
      <c r="Q265" s="8">
        <v>0.57999999999999996</v>
      </c>
      <c r="R265" s="22" t="s">
        <v>190</v>
      </c>
      <c r="S265" s="12">
        <f>AVERAGE(7.7,7.3)</f>
        <v>7.5</v>
      </c>
      <c r="T265" s="79">
        <f t="shared" si="86"/>
        <v>4.4178749999999999E-3</v>
      </c>
      <c r="U265" s="22">
        <v>9</v>
      </c>
      <c r="V265" s="22">
        <v>60</v>
      </c>
      <c r="W265" s="10">
        <f t="shared" si="73"/>
        <v>1.0471975511965976</v>
      </c>
      <c r="X265" s="22">
        <v>6</v>
      </c>
      <c r="Y265" s="22">
        <v>12</v>
      </c>
      <c r="Z265" s="10">
        <f t="shared" si="74"/>
        <v>0.20943951023931956</v>
      </c>
      <c r="AA265" s="10">
        <f t="shared" si="75"/>
        <v>9.0416987789665022</v>
      </c>
      <c r="AB265" s="10">
        <f t="shared" si="76"/>
        <v>16.273247994650657</v>
      </c>
      <c r="AC265" s="10">
        <f t="shared" si="79"/>
        <v>2.0341559993313321</v>
      </c>
      <c r="AD265" s="10">
        <f t="shared" si="83"/>
        <v>8.1366239973253283</v>
      </c>
      <c r="AE265" s="65"/>
      <c r="AF265" s="10">
        <f t="shared" si="84"/>
        <v>16.714951918920377</v>
      </c>
      <c r="AG265" s="8">
        <f t="shared" si="80"/>
        <v>3.2594156241894736</v>
      </c>
      <c r="AH265" s="10">
        <f t="shared" si="81"/>
        <v>8.3574759594601886</v>
      </c>
      <c r="AI265" s="63"/>
      <c r="AJ265" s="10">
        <f t="shared" si="85"/>
        <v>10.7745</v>
      </c>
      <c r="AK265" s="8"/>
      <c r="AL265" s="8">
        <f t="shared" si="82"/>
        <v>5.3872499999999999</v>
      </c>
    </row>
    <row r="266" spans="1:38">
      <c r="A266" s="18">
        <v>41466</v>
      </c>
      <c r="B266" s="19" t="s">
        <v>119</v>
      </c>
      <c r="C266" s="12">
        <v>50.6</v>
      </c>
      <c r="D266" s="19" t="s">
        <v>80</v>
      </c>
      <c r="E266" s="8">
        <v>8.4102899999999998</v>
      </c>
      <c r="F266" s="8">
        <v>83.314350000000005</v>
      </c>
      <c r="G266" s="22">
        <v>50</v>
      </c>
      <c r="H266" s="45">
        <f t="shared" si="72"/>
        <v>5.5</v>
      </c>
      <c r="I266" s="10">
        <f t="shared" si="77"/>
        <v>18.163481150197153</v>
      </c>
      <c r="J266" s="10">
        <f t="shared" si="78"/>
        <v>0.31701254969486703</v>
      </c>
      <c r="K266" s="10">
        <v>21</v>
      </c>
      <c r="L266" s="22">
        <v>206</v>
      </c>
      <c r="M266" s="22" t="s">
        <v>252</v>
      </c>
      <c r="N266" s="8" t="s">
        <v>198</v>
      </c>
      <c r="O266" s="10" t="s">
        <v>226</v>
      </c>
      <c r="P266" s="10" t="s">
        <v>227</v>
      </c>
      <c r="Q266" s="22">
        <v>0.54</v>
      </c>
      <c r="R266" s="22" t="s">
        <v>190</v>
      </c>
      <c r="S266" s="29">
        <f>AVERAGE(13.7,10.4)</f>
        <v>12.05</v>
      </c>
      <c r="T266" s="79">
        <f t="shared" si="86"/>
        <v>1.1404204350000002E-2</v>
      </c>
      <c r="U266" s="22">
        <v>8</v>
      </c>
      <c r="V266" s="22">
        <v>60</v>
      </c>
      <c r="W266" s="10">
        <f t="shared" si="73"/>
        <v>1.0471975511965976</v>
      </c>
      <c r="X266" s="22">
        <v>7</v>
      </c>
      <c r="Y266" s="22">
        <v>-5</v>
      </c>
      <c r="Z266" s="10">
        <f t="shared" si="74"/>
        <v>-8.7266462599716474E-2</v>
      </c>
      <c r="AA266" s="10">
        <f t="shared" si="75"/>
        <v>6.3181130310419018</v>
      </c>
      <c r="AB266" s="10">
        <f t="shared" si="76"/>
        <v>26.492299207485992</v>
      </c>
      <c r="AC266" s="10">
        <f t="shared" si="79"/>
        <v>3.311537400935749</v>
      </c>
      <c r="AD266" s="10">
        <f t="shared" si="83"/>
        <v>13.246149603742996</v>
      </c>
      <c r="AE266" s="65"/>
      <c r="AF266" s="10">
        <f t="shared" si="84"/>
        <v>50.516118112171348</v>
      </c>
      <c r="AG266" s="8">
        <f t="shared" si="80"/>
        <v>9.8506430318734139</v>
      </c>
      <c r="AH266" s="10">
        <f t="shared" si="81"/>
        <v>25.258059056085674</v>
      </c>
      <c r="AI266" s="63"/>
      <c r="AJ266" s="10">
        <f t="shared" si="85"/>
        <v>44.963200000000001</v>
      </c>
      <c r="AK266" s="8"/>
      <c r="AL266" s="8">
        <f t="shared" si="82"/>
        <v>22.4816</v>
      </c>
    </row>
    <row r="267" spans="1:38">
      <c r="A267" s="18">
        <v>41466</v>
      </c>
      <c r="B267" s="19" t="s">
        <v>119</v>
      </c>
      <c r="C267" s="12">
        <v>50.6</v>
      </c>
      <c r="D267" s="19" t="s">
        <v>80</v>
      </c>
      <c r="E267" s="8">
        <v>8.4102899999999998</v>
      </c>
      <c r="F267" s="8">
        <v>83.314350000000005</v>
      </c>
      <c r="G267" s="22">
        <v>50</v>
      </c>
      <c r="H267" s="45">
        <f t="shared" si="72"/>
        <v>5.5</v>
      </c>
      <c r="I267" s="10">
        <f t="shared" si="77"/>
        <v>18.163481150197153</v>
      </c>
      <c r="J267" s="10">
        <f t="shared" si="78"/>
        <v>0.31701254969486703</v>
      </c>
      <c r="K267" s="10">
        <v>21</v>
      </c>
      <c r="L267" s="22">
        <v>306</v>
      </c>
      <c r="M267" s="22" t="s">
        <v>47</v>
      </c>
      <c r="N267" s="8" t="s">
        <v>48</v>
      </c>
      <c r="O267" s="10" t="s">
        <v>49</v>
      </c>
      <c r="P267" s="10" t="s">
        <v>50</v>
      </c>
      <c r="Q267" s="20">
        <v>0.75</v>
      </c>
      <c r="R267" s="8" t="s">
        <v>67</v>
      </c>
      <c r="S267" s="29">
        <f>AVERAGE(7.3,8.7)</f>
        <v>8</v>
      </c>
      <c r="T267" s="79">
        <f t="shared" si="86"/>
        <v>5.0265600000000002E-3</v>
      </c>
      <c r="U267" s="22">
        <v>11</v>
      </c>
      <c r="V267" s="22">
        <v>50</v>
      </c>
      <c r="W267" s="10">
        <f t="shared" si="73"/>
        <v>0.87266462599716477</v>
      </c>
      <c r="X267" s="22">
        <v>8</v>
      </c>
      <c r="Y267" s="22">
        <v>-3</v>
      </c>
      <c r="Z267" s="10">
        <f t="shared" si="74"/>
        <v>-5.235987755982989E-2</v>
      </c>
      <c r="AA267" s="10">
        <f t="shared" si="75"/>
        <v>8.0078012243652079</v>
      </c>
      <c r="AB267" s="10">
        <f t="shared" si="76"/>
        <v>20.870409552090322</v>
      </c>
      <c r="AC267" s="10">
        <f t="shared" si="79"/>
        <v>2.6088011940112903</v>
      </c>
      <c r="AD267" s="10">
        <f t="shared" si="83"/>
        <v>10.435204776045161</v>
      </c>
      <c r="AE267" s="65"/>
      <c r="AF267" s="10">
        <f t="shared" si="84"/>
        <v>25.356379154094324</v>
      </c>
      <c r="AG267" s="8">
        <f t="shared" si="80"/>
        <v>4.944493935048393</v>
      </c>
      <c r="AH267" s="10">
        <f t="shared" si="81"/>
        <v>12.678189577047162</v>
      </c>
      <c r="AI267" s="63"/>
      <c r="AJ267" s="10">
        <f t="shared" si="85"/>
        <v>13.033000000000001</v>
      </c>
      <c r="AK267" s="8"/>
      <c r="AL267" s="8">
        <f t="shared" si="82"/>
        <v>6.5165000000000006</v>
      </c>
    </row>
    <row r="268" spans="1:38">
      <c r="A268" s="18">
        <v>41466</v>
      </c>
      <c r="B268" s="19" t="s">
        <v>119</v>
      </c>
      <c r="C268" s="12">
        <v>50.6</v>
      </c>
      <c r="D268" s="19" t="s">
        <v>80</v>
      </c>
      <c r="E268" s="8">
        <v>8.4102899999999998</v>
      </c>
      <c r="F268" s="8">
        <v>83.314350000000005</v>
      </c>
      <c r="G268" s="22">
        <v>50</v>
      </c>
      <c r="H268" s="45">
        <f t="shared" si="72"/>
        <v>5.5</v>
      </c>
      <c r="I268" s="10">
        <f t="shared" si="77"/>
        <v>18.163481150197153</v>
      </c>
      <c r="J268" s="10">
        <f t="shared" si="78"/>
        <v>0.31701254969486703</v>
      </c>
      <c r="K268" s="10">
        <v>21</v>
      </c>
      <c r="L268" s="22">
        <v>252</v>
      </c>
      <c r="M268" s="22" t="s">
        <v>107</v>
      </c>
      <c r="N268" s="22" t="s">
        <v>63</v>
      </c>
      <c r="O268" s="10" t="s">
        <v>108</v>
      </c>
      <c r="P268" s="15" t="s">
        <v>92</v>
      </c>
      <c r="Q268" s="8">
        <v>0.57999999999999996</v>
      </c>
      <c r="R268" s="22" t="s">
        <v>190</v>
      </c>
      <c r="S268" s="29">
        <f>AVERAGE(9,8.5)</f>
        <v>8.75</v>
      </c>
      <c r="T268" s="79">
        <f t="shared" si="86"/>
        <v>6.0132187500000003E-3</v>
      </c>
      <c r="U268" s="22">
        <v>10</v>
      </c>
      <c r="V268" s="22">
        <v>50</v>
      </c>
      <c r="W268" s="10">
        <f t="shared" si="73"/>
        <v>0.87266462599716477</v>
      </c>
      <c r="X268" s="22">
        <v>8</v>
      </c>
      <c r="Y268" s="22">
        <v>2</v>
      </c>
      <c r="Z268" s="10">
        <f t="shared" si="74"/>
        <v>3.4906585039886591E-2</v>
      </c>
      <c r="AA268" s="10">
        <f t="shared" si="75"/>
        <v>7.9396404048097873</v>
      </c>
      <c r="AB268" s="10">
        <f t="shared" si="76"/>
        <v>19.242963588522798</v>
      </c>
      <c r="AC268" s="10">
        <f t="shared" si="79"/>
        <v>2.4053704485653498</v>
      </c>
      <c r="AD268" s="10">
        <f t="shared" si="83"/>
        <v>9.621481794261399</v>
      </c>
      <c r="AE268" s="65"/>
      <c r="AF268" s="10">
        <f t="shared" si="84"/>
        <v>24.486755615588873</v>
      </c>
      <c r="AG268" s="8">
        <f t="shared" si="80"/>
        <v>4.7749173450398308</v>
      </c>
      <c r="AH268" s="10">
        <f t="shared" si="81"/>
        <v>12.243377807794436</v>
      </c>
      <c r="AI268" s="63"/>
      <c r="AJ268" s="10">
        <f t="shared" si="85"/>
        <v>17.114499999999992</v>
      </c>
      <c r="AK268" s="8"/>
      <c r="AL268" s="8">
        <f t="shared" si="82"/>
        <v>8.5572499999999962</v>
      </c>
    </row>
    <row r="269" spans="1:38">
      <c r="A269" s="18">
        <v>41466</v>
      </c>
      <c r="B269" s="19" t="s">
        <v>119</v>
      </c>
      <c r="C269" s="12">
        <v>50.6</v>
      </c>
      <c r="D269" s="19" t="s">
        <v>80</v>
      </c>
      <c r="E269" s="8">
        <v>8.4102899999999998</v>
      </c>
      <c r="F269" s="8">
        <v>83.314350000000005</v>
      </c>
      <c r="G269" s="22">
        <v>50</v>
      </c>
      <c r="H269" s="45">
        <f t="shared" si="72"/>
        <v>5.5</v>
      </c>
      <c r="I269" s="10">
        <f t="shared" si="77"/>
        <v>18.163481150197153</v>
      </c>
      <c r="J269" s="10">
        <f t="shared" si="78"/>
        <v>0.31701254969486703</v>
      </c>
      <c r="K269" s="10">
        <v>21</v>
      </c>
      <c r="L269" s="22">
        <v>234</v>
      </c>
      <c r="M269" s="22" t="s">
        <v>39</v>
      </c>
      <c r="N269" s="8" t="s">
        <v>69</v>
      </c>
      <c r="O269" s="10" t="s">
        <v>65</v>
      </c>
      <c r="P269" s="10" t="s">
        <v>70</v>
      </c>
      <c r="Q269" s="8">
        <v>0.37</v>
      </c>
      <c r="R269" s="8" t="s">
        <v>71</v>
      </c>
      <c r="S269" s="29">
        <f>AVERAGE(34.5,31.5)</f>
        <v>33</v>
      </c>
      <c r="T269" s="79">
        <f t="shared" si="86"/>
        <v>8.5530060000000005E-2</v>
      </c>
      <c r="U269" s="22">
        <v>17</v>
      </c>
      <c r="V269" s="22">
        <v>72</v>
      </c>
      <c r="W269" s="10">
        <f t="shared" si="73"/>
        <v>1.2566370614359172</v>
      </c>
      <c r="X269" s="22">
        <v>7</v>
      </c>
      <c r="Y269" s="22">
        <v>0</v>
      </c>
      <c r="Z269" s="10">
        <f t="shared" si="74"/>
        <v>0</v>
      </c>
      <c r="AA269" s="10">
        <f t="shared" si="75"/>
        <v>16.167960777017608</v>
      </c>
      <c r="AB269" s="10">
        <f t="shared" si="76"/>
        <v>298.4787937833903</v>
      </c>
      <c r="AC269" s="10">
        <f t="shared" si="79"/>
        <v>37.309849222923788</v>
      </c>
      <c r="AD269" s="10">
        <f t="shared" si="83"/>
        <v>149.23939689169515</v>
      </c>
      <c r="AE269" s="65"/>
      <c r="AF269" s="10">
        <f t="shared" si="84"/>
        <v>411.30709946569368</v>
      </c>
      <c r="AG269" s="8">
        <f t="shared" si="80"/>
        <v>80.204884395810268</v>
      </c>
      <c r="AH269" s="10">
        <f t="shared" si="81"/>
        <v>205.65354973284684</v>
      </c>
      <c r="AI269" s="63"/>
      <c r="AJ269" s="10">
        <f t="shared" si="85"/>
        <v>597.70799999999997</v>
      </c>
      <c r="AK269" s="8"/>
      <c r="AL269" s="8">
        <f t="shared" si="82"/>
        <v>298.85399999999998</v>
      </c>
    </row>
    <row r="270" spans="1:38">
      <c r="A270" s="18">
        <v>41466</v>
      </c>
      <c r="B270" s="19" t="s">
        <v>119</v>
      </c>
      <c r="C270" s="12">
        <v>50.6</v>
      </c>
      <c r="D270" s="19" t="s">
        <v>80</v>
      </c>
      <c r="E270" s="8">
        <v>8.4102899999999998</v>
      </c>
      <c r="F270" s="8">
        <v>83.314350000000005</v>
      </c>
      <c r="G270" s="22">
        <v>50</v>
      </c>
      <c r="H270" s="45">
        <f t="shared" si="72"/>
        <v>5.5</v>
      </c>
      <c r="I270" s="10">
        <f t="shared" si="77"/>
        <v>18.163481150197153</v>
      </c>
      <c r="J270" s="10">
        <f t="shared" si="78"/>
        <v>0.31701254969486703</v>
      </c>
      <c r="K270" s="10">
        <v>21</v>
      </c>
      <c r="L270" s="22">
        <v>361</v>
      </c>
      <c r="M270" s="22" t="s">
        <v>36</v>
      </c>
      <c r="N270" s="8" t="s">
        <v>46</v>
      </c>
      <c r="O270" s="10" t="s">
        <v>37</v>
      </c>
      <c r="P270" s="10" t="s">
        <v>38</v>
      </c>
      <c r="Q270" s="11">
        <v>0.48</v>
      </c>
      <c r="R270" s="8" t="s">
        <v>60</v>
      </c>
      <c r="S270" s="29">
        <f>AVERAGE(13.5,14)</f>
        <v>13.75</v>
      </c>
      <c r="T270" s="79">
        <f t="shared" si="86"/>
        <v>1.484896875E-2</v>
      </c>
      <c r="U270" s="22">
        <v>8</v>
      </c>
      <c r="V270" s="22">
        <v>50</v>
      </c>
      <c r="W270" s="10">
        <f t="shared" si="73"/>
        <v>0.87266462599716477</v>
      </c>
      <c r="X270" s="22">
        <v>8</v>
      </c>
      <c r="Y270" s="22">
        <v>0</v>
      </c>
      <c r="Z270" s="10">
        <f t="shared" si="74"/>
        <v>0</v>
      </c>
      <c r="AA270" s="10">
        <f t="shared" si="75"/>
        <v>6.1283555449518241</v>
      </c>
      <c r="AB270" s="10">
        <f t="shared" si="76"/>
        <v>29.535265097523776</v>
      </c>
      <c r="AC270" s="10">
        <f t="shared" si="79"/>
        <v>3.6919081371904721</v>
      </c>
      <c r="AD270" s="10">
        <f t="shared" si="83"/>
        <v>14.767632548761888</v>
      </c>
      <c r="AE270" s="65"/>
      <c r="AF270" s="10">
        <f t="shared" si="84"/>
        <v>62.350599139786233</v>
      </c>
      <c r="AG270" s="8">
        <f t="shared" si="80"/>
        <v>12.158366832258316</v>
      </c>
      <c r="AH270" s="10">
        <f t="shared" si="81"/>
        <v>31.175299569893117</v>
      </c>
      <c r="AI270" s="63"/>
      <c r="AJ270" s="10">
        <f t="shared" si="85"/>
        <v>65.599499999999992</v>
      </c>
      <c r="AK270" s="8"/>
      <c r="AL270" s="8">
        <f t="shared" si="82"/>
        <v>32.799749999999996</v>
      </c>
    </row>
    <row r="271" spans="1:38">
      <c r="A271" s="18">
        <v>41466</v>
      </c>
      <c r="B271" s="19" t="s">
        <v>119</v>
      </c>
      <c r="C271" s="12">
        <v>50.6</v>
      </c>
      <c r="D271" s="19" t="s">
        <v>80</v>
      </c>
      <c r="E271" s="8">
        <v>8.4102899999999998</v>
      </c>
      <c r="F271" s="8">
        <v>83.314350000000005</v>
      </c>
      <c r="G271" s="22">
        <v>50</v>
      </c>
      <c r="H271" s="45">
        <f t="shared" si="72"/>
        <v>5.5</v>
      </c>
      <c r="I271" s="10">
        <f t="shared" si="77"/>
        <v>18.163481150197153</v>
      </c>
      <c r="J271" s="10">
        <f t="shared" si="78"/>
        <v>0.31701254969486703</v>
      </c>
      <c r="K271" s="10">
        <v>21</v>
      </c>
      <c r="L271" s="22">
        <v>219</v>
      </c>
      <c r="M271" s="22" t="s">
        <v>54</v>
      </c>
      <c r="N271" s="8" t="s">
        <v>55</v>
      </c>
      <c r="O271" s="10" t="s">
        <v>56</v>
      </c>
      <c r="P271" s="10" t="s">
        <v>57</v>
      </c>
      <c r="Q271" s="11">
        <v>0.315</v>
      </c>
      <c r="R271" s="12" t="s">
        <v>66</v>
      </c>
      <c r="S271" s="12">
        <f>AVERAGE(13.9,12.5)</f>
        <v>13.2</v>
      </c>
      <c r="T271" s="79">
        <f t="shared" si="86"/>
        <v>1.3684809599999999E-2</v>
      </c>
      <c r="U271" s="22">
        <v>10</v>
      </c>
      <c r="V271" s="22">
        <v>70</v>
      </c>
      <c r="W271" s="10">
        <f t="shared" si="73"/>
        <v>1.2217304763960306</v>
      </c>
      <c r="X271" s="22">
        <v>6</v>
      </c>
      <c r="Y271" s="22">
        <v>-2</v>
      </c>
      <c r="Z271" s="10">
        <f t="shared" si="74"/>
        <v>-3.4906585039886591E-2</v>
      </c>
      <c r="AA271" s="10">
        <f t="shared" si="75"/>
        <v>9.1875292276440774</v>
      </c>
      <c r="AB271" s="10">
        <f t="shared" si="76"/>
        <v>26.937633644195973</v>
      </c>
      <c r="AC271" s="10">
        <f t="shared" si="79"/>
        <v>3.3672042055244966</v>
      </c>
      <c r="AD271" s="10">
        <f t="shared" si="83"/>
        <v>13.468816822097986</v>
      </c>
      <c r="AE271" s="65"/>
      <c r="AF271" s="10">
        <f t="shared" si="84"/>
        <v>36.968112775847644</v>
      </c>
      <c r="AG271" s="8">
        <f t="shared" si="80"/>
        <v>7.2087819912902908</v>
      </c>
      <c r="AH271" s="10">
        <f t="shared" si="81"/>
        <v>18.484056387923822</v>
      </c>
      <c r="AI271" s="63"/>
      <c r="AJ271" s="10">
        <f t="shared" si="85"/>
        <v>58.45499999999997</v>
      </c>
      <c r="AK271" s="8"/>
      <c r="AL271" s="8">
        <f t="shared" si="82"/>
        <v>29.227499999999985</v>
      </c>
    </row>
    <row r="272" spans="1:38">
      <c r="A272" s="18">
        <v>41466</v>
      </c>
      <c r="B272" s="19" t="s">
        <v>119</v>
      </c>
      <c r="C272" s="12">
        <v>50.6</v>
      </c>
      <c r="D272" s="19" t="s">
        <v>80</v>
      </c>
      <c r="E272" s="8">
        <v>8.4102899999999998</v>
      </c>
      <c r="F272" s="8">
        <v>83.314350000000005</v>
      </c>
      <c r="G272" s="22">
        <v>50</v>
      </c>
      <c r="H272" s="45">
        <f t="shared" si="72"/>
        <v>5.5</v>
      </c>
      <c r="I272" s="10">
        <f t="shared" si="77"/>
        <v>18.163481150197153</v>
      </c>
      <c r="J272" s="10">
        <f t="shared" si="78"/>
        <v>0.31701254969486703</v>
      </c>
      <c r="K272" s="10">
        <v>21</v>
      </c>
      <c r="L272" s="22">
        <v>324</v>
      </c>
      <c r="M272" s="22" t="s">
        <v>36</v>
      </c>
      <c r="N272" s="8" t="s">
        <v>46</v>
      </c>
      <c r="O272" s="10" t="s">
        <v>37</v>
      </c>
      <c r="P272" s="10" t="s">
        <v>38</v>
      </c>
      <c r="Q272" s="11">
        <v>0.48</v>
      </c>
      <c r="R272" s="8" t="s">
        <v>60</v>
      </c>
      <c r="S272" s="29">
        <f>AVERAGE(13.4,13.9)</f>
        <v>13.65</v>
      </c>
      <c r="T272" s="79">
        <f t="shared" si="86"/>
        <v>1.4633769150000002E-2</v>
      </c>
      <c r="U272" s="22">
        <v>10</v>
      </c>
      <c r="V272" s="22">
        <v>58</v>
      </c>
      <c r="W272" s="10">
        <f t="shared" si="73"/>
        <v>1.0122909661567112</v>
      </c>
      <c r="X272" s="22">
        <v>5</v>
      </c>
      <c r="Y272" s="22">
        <v>0</v>
      </c>
      <c r="Z272" s="10">
        <f t="shared" si="74"/>
        <v>0</v>
      </c>
      <c r="AA272" s="10">
        <f t="shared" si="75"/>
        <v>8.4804809615642593</v>
      </c>
      <c r="AB272" s="10">
        <f t="shared" si="76"/>
        <v>39.536035997188641</v>
      </c>
      <c r="AC272" s="10">
        <f t="shared" si="79"/>
        <v>4.9420044996485801</v>
      </c>
      <c r="AD272" s="10">
        <f t="shared" si="83"/>
        <v>19.768017998594321</v>
      </c>
      <c r="AE272" s="65"/>
      <c r="AF272" s="10">
        <f t="shared" si="84"/>
        <v>61.229347749370042</v>
      </c>
      <c r="AG272" s="8">
        <f t="shared" si="80"/>
        <v>11.939722811127158</v>
      </c>
      <c r="AH272" s="10">
        <f t="shared" si="81"/>
        <v>30.614673874685021</v>
      </c>
      <c r="AI272" s="63"/>
      <c r="AJ272" s="10">
        <f t="shared" si="85"/>
        <v>64.267200000000017</v>
      </c>
      <c r="AK272" s="8"/>
      <c r="AL272" s="8">
        <f t="shared" si="82"/>
        <v>32.133600000000008</v>
      </c>
    </row>
    <row r="273" spans="1:38">
      <c r="A273" s="18">
        <v>41466</v>
      </c>
      <c r="B273" s="19" t="s">
        <v>119</v>
      </c>
      <c r="C273" s="12">
        <v>50.6</v>
      </c>
      <c r="D273" s="19" t="s">
        <v>80</v>
      </c>
      <c r="E273" s="8">
        <v>8.4102899999999998</v>
      </c>
      <c r="F273" s="8">
        <v>83.314350000000005</v>
      </c>
      <c r="G273" s="22">
        <v>50</v>
      </c>
      <c r="H273" s="45">
        <f t="shared" si="72"/>
        <v>5.5</v>
      </c>
      <c r="I273" s="10">
        <f t="shared" si="77"/>
        <v>18.163481150197153</v>
      </c>
      <c r="J273" s="10">
        <f t="shared" si="78"/>
        <v>0.31701254969486703</v>
      </c>
      <c r="K273" s="10">
        <v>21</v>
      </c>
      <c r="L273" s="22">
        <v>310</v>
      </c>
      <c r="M273" s="22" t="s">
        <v>36</v>
      </c>
      <c r="N273" s="8" t="s">
        <v>46</v>
      </c>
      <c r="O273" s="10" t="s">
        <v>37</v>
      </c>
      <c r="P273" s="10" t="s">
        <v>38</v>
      </c>
      <c r="Q273" s="11">
        <v>0.48</v>
      </c>
      <c r="R273" s="8" t="s">
        <v>60</v>
      </c>
      <c r="S273" s="29">
        <f>AVERAGE(15.8,17.3)</f>
        <v>16.55</v>
      </c>
      <c r="T273" s="79">
        <f t="shared" si="86"/>
        <v>2.1512302350000005E-2</v>
      </c>
      <c r="U273" s="22">
        <v>11</v>
      </c>
      <c r="V273" s="22">
        <v>55</v>
      </c>
      <c r="W273" s="10">
        <f t="shared" si="73"/>
        <v>0.95993108859688125</v>
      </c>
      <c r="X273" s="22">
        <v>6</v>
      </c>
      <c r="Y273" s="22">
        <v>2</v>
      </c>
      <c r="Z273" s="10">
        <f t="shared" si="74"/>
        <v>3.4906585039886591E-2</v>
      </c>
      <c r="AA273" s="10">
        <f t="shared" si="75"/>
        <v>9.2200694673939161</v>
      </c>
      <c r="AB273" s="10">
        <f t="shared" si="76"/>
        <v>61.435424356738785</v>
      </c>
      <c r="AC273" s="10">
        <f t="shared" si="79"/>
        <v>7.6794280445923482</v>
      </c>
      <c r="AD273" s="10">
        <f t="shared" si="83"/>
        <v>30.717712178369393</v>
      </c>
      <c r="AE273" s="65"/>
      <c r="AF273" s="10">
        <f t="shared" si="84"/>
        <v>98.779000122880319</v>
      </c>
      <c r="AG273" s="8">
        <f t="shared" si="80"/>
        <v>19.261905023961663</v>
      </c>
      <c r="AH273" s="10">
        <f t="shared" si="81"/>
        <v>49.38950006144016</v>
      </c>
      <c r="AI273" s="63"/>
      <c r="AJ273" s="10">
        <f t="shared" si="85"/>
        <v>108.91270000000002</v>
      </c>
      <c r="AK273" s="8"/>
      <c r="AL273" s="8">
        <f t="shared" si="82"/>
        <v>54.456350000000008</v>
      </c>
    </row>
    <row r="274" spans="1:38">
      <c r="A274" s="18">
        <v>41466</v>
      </c>
      <c r="B274" s="19" t="s">
        <v>119</v>
      </c>
      <c r="C274" s="12">
        <v>50.6</v>
      </c>
      <c r="D274" s="19" t="s">
        <v>80</v>
      </c>
      <c r="E274" s="8">
        <v>8.4102899999999998</v>
      </c>
      <c r="F274" s="8">
        <v>83.314350000000005</v>
      </c>
      <c r="G274" s="22">
        <v>50</v>
      </c>
      <c r="H274" s="45">
        <f t="shared" si="72"/>
        <v>5.5</v>
      </c>
      <c r="I274" s="10">
        <f t="shared" si="77"/>
        <v>18.163481150197153</v>
      </c>
      <c r="J274" s="10">
        <f t="shared" si="78"/>
        <v>0.31701254969486703</v>
      </c>
      <c r="K274" s="10">
        <v>21</v>
      </c>
      <c r="L274" s="22">
        <v>248</v>
      </c>
      <c r="M274" s="22" t="s">
        <v>39</v>
      </c>
      <c r="N274" s="8" t="s">
        <v>69</v>
      </c>
      <c r="O274" s="10" t="s">
        <v>65</v>
      </c>
      <c r="P274" s="10" t="s">
        <v>70</v>
      </c>
      <c r="Q274" s="8">
        <v>0.37</v>
      </c>
      <c r="R274" s="8" t="s">
        <v>71</v>
      </c>
      <c r="S274" s="29">
        <f>AVERAGE(8.2,8.1)</f>
        <v>8.1499999999999986</v>
      </c>
      <c r="T274" s="79">
        <f t="shared" si="86"/>
        <v>5.2168231499999983E-3</v>
      </c>
      <c r="U274" s="22">
        <v>11</v>
      </c>
      <c r="V274" s="22">
        <v>53</v>
      </c>
      <c r="W274" s="10">
        <f t="shared" si="73"/>
        <v>0.92502450355699462</v>
      </c>
      <c r="X274" s="22">
        <v>8</v>
      </c>
      <c r="Y274" s="22">
        <v>4</v>
      </c>
      <c r="Z274" s="10">
        <f t="shared" si="74"/>
        <v>6.9813170079773182E-2</v>
      </c>
      <c r="AA274" s="10">
        <f t="shared" si="75"/>
        <v>9.3430424004732231</v>
      </c>
      <c r="AB274" s="10">
        <f t="shared" si="76"/>
        <v>12.858984324095202</v>
      </c>
      <c r="AC274" s="10">
        <f t="shared" si="79"/>
        <v>1.6073730405119002</v>
      </c>
      <c r="AD274" s="10">
        <f t="shared" si="83"/>
        <v>6.4294921620476009</v>
      </c>
      <c r="AE274" s="65"/>
      <c r="AF274" s="10">
        <f t="shared" si="84"/>
        <v>13.098174742164739</v>
      </c>
      <c r="AG274" s="8">
        <f t="shared" si="80"/>
        <v>2.554144074722124</v>
      </c>
      <c r="AH274" s="10">
        <f t="shared" si="81"/>
        <v>6.5490873710823694</v>
      </c>
      <c r="AI274" s="63"/>
      <c r="AJ274" s="10">
        <f t="shared" si="85"/>
        <v>13.782699999999991</v>
      </c>
      <c r="AK274" s="8"/>
      <c r="AL274" s="8">
        <f t="shared" si="82"/>
        <v>6.8913499999999956</v>
      </c>
    </row>
    <row r="275" spans="1:38">
      <c r="A275" s="18">
        <v>41466</v>
      </c>
      <c r="B275" s="19" t="s">
        <v>119</v>
      </c>
      <c r="C275" s="12">
        <v>50.6</v>
      </c>
      <c r="D275" s="19" t="s">
        <v>80</v>
      </c>
      <c r="E275" s="8">
        <v>8.4102899999999998</v>
      </c>
      <c r="F275" s="8">
        <v>83.314350000000005</v>
      </c>
      <c r="G275" s="22">
        <v>50</v>
      </c>
      <c r="H275" s="45">
        <f t="shared" si="72"/>
        <v>5.5</v>
      </c>
      <c r="I275" s="10">
        <f t="shared" si="77"/>
        <v>18.163481150197153</v>
      </c>
      <c r="J275" s="10">
        <f t="shared" si="78"/>
        <v>0.31701254969486703</v>
      </c>
      <c r="K275" s="10">
        <v>21</v>
      </c>
      <c r="L275" s="22">
        <v>279</v>
      </c>
      <c r="M275" s="22" t="s">
        <v>36</v>
      </c>
      <c r="N275" s="8" t="s">
        <v>46</v>
      </c>
      <c r="O275" s="10" t="s">
        <v>37</v>
      </c>
      <c r="P275" s="10" t="s">
        <v>38</v>
      </c>
      <c r="Q275" s="11">
        <v>0.48</v>
      </c>
      <c r="R275" s="8" t="s">
        <v>60</v>
      </c>
      <c r="S275" s="29">
        <f>AVERAGE(31.5,26.8)</f>
        <v>29.15</v>
      </c>
      <c r="T275" s="79">
        <f t="shared" si="86"/>
        <v>6.6737205150000006E-2</v>
      </c>
      <c r="U275" s="22">
        <v>11</v>
      </c>
      <c r="V275" s="22">
        <v>45</v>
      </c>
      <c r="W275" s="10">
        <f t="shared" si="73"/>
        <v>0.78539816339744828</v>
      </c>
      <c r="X275" s="22">
        <v>9</v>
      </c>
      <c r="Y275" s="22">
        <v>2</v>
      </c>
      <c r="Z275" s="10">
        <f t="shared" si="74"/>
        <v>3.4906585039886591E-2</v>
      </c>
      <c r="AA275" s="10">
        <f t="shared" si="75"/>
        <v>8.0922700633745297</v>
      </c>
      <c r="AB275" s="10">
        <f t="shared" si="76"/>
        <v>157.51978902638373</v>
      </c>
      <c r="AC275" s="10">
        <f t="shared" si="79"/>
        <v>19.689973628297967</v>
      </c>
      <c r="AD275" s="10">
        <f t="shared" si="83"/>
        <v>78.759894513191867</v>
      </c>
      <c r="AE275" s="65"/>
      <c r="AF275" s="10">
        <f t="shared" si="84"/>
        <v>395.827999575315</v>
      </c>
      <c r="AG275" s="8">
        <f t="shared" si="80"/>
        <v>77.186459917186426</v>
      </c>
      <c r="AH275" s="10">
        <f t="shared" si="81"/>
        <v>197.9139997876575</v>
      </c>
      <c r="AI275" s="63"/>
      <c r="AJ275" s="10">
        <f t="shared" si="85"/>
        <v>447.41169999999994</v>
      </c>
      <c r="AK275" s="8"/>
      <c r="AL275" s="8">
        <f t="shared" si="82"/>
        <v>223.70584999999997</v>
      </c>
    </row>
    <row r="276" spans="1:38">
      <c r="A276" s="18">
        <v>41466</v>
      </c>
      <c r="B276" s="19" t="s">
        <v>119</v>
      </c>
      <c r="C276" s="12">
        <v>50.6</v>
      </c>
      <c r="D276" s="19" t="s">
        <v>80</v>
      </c>
      <c r="E276" s="8">
        <v>8.4102899999999998</v>
      </c>
      <c r="F276" s="8">
        <v>83.314350000000005</v>
      </c>
      <c r="G276" s="22">
        <v>50</v>
      </c>
      <c r="H276" s="45">
        <f t="shared" si="72"/>
        <v>5.5</v>
      </c>
      <c r="I276" s="10">
        <f t="shared" si="77"/>
        <v>18.163481150197153</v>
      </c>
      <c r="J276" s="10">
        <f t="shared" si="78"/>
        <v>0.31701254969486703</v>
      </c>
      <c r="K276" s="10">
        <v>21</v>
      </c>
      <c r="L276" s="22">
        <v>359</v>
      </c>
      <c r="M276" s="22" t="s">
        <v>39</v>
      </c>
      <c r="N276" s="8" t="s">
        <v>69</v>
      </c>
      <c r="O276" s="10" t="s">
        <v>65</v>
      </c>
      <c r="P276" s="10" t="s">
        <v>70</v>
      </c>
      <c r="Q276" s="8">
        <v>0.37</v>
      </c>
      <c r="R276" s="8" t="s">
        <v>71</v>
      </c>
      <c r="S276" s="12">
        <f>AVERAGE(17.3,17.5)</f>
        <v>17.399999999999999</v>
      </c>
      <c r="T276" s="79">
        <f t="shared" si="86"/>
        <v>2.3778770399999996E-2</v>
      </c>
      <c r="U276" s="22">
        <v>10</v>
      </c>
      <c r="V276" s="22">
        <v>65</v>
      </c>
      <c r="W276" s="10">
        <f t="shared" si="73"/>
        <v>1.1344640137963142</v>
      </c>
      <c r="X276" s="22">
        <v>7</v>
      </c>
      <c r="Y276" s="22">
        <v>1</v>
      </c>
      <c r="Z276" s="10">
        <f t="shared" si="74"/>
        <v>1.7453292519943295E-2</v>
      </c>
      <c r="AA276" s="10">
        <f t="shared" si="75"/>
        <v>9.1852447154274834</v>
      </c>
      <c r="AB276" s="10">
        <f t="shared" si="76"/>
        <v>52.663439045660475</v>
      </c>
      <c r="AC276" s="10">
        <f t="shared" si="79"/>
        <v>6.5829298807075594</v>
      </c>
      <c r="AD276" s="10">
        <f t="shared" si="83"/>
        <v>26.331719522830237</v>
      </c>
      <c r="AE276" s="65"/>
      <c r="AF276" s="10">
        <f t="shared" si="84"/>
        <v>86.196389852467746</v>
      </c>
      <c r="AG276" s="8">
        <f t="shared" si="80"/>
        <v>16.808296021231211</v>
      </c>
      <c r="AH276" s="10">
        <f t="shared" si="81"/>
        <v>43.098194926233873</v>
      </c>
      <c r="AI276" s="63"/>
      <c r="AJ276" s="10">
        <f t="shared" si="85"/>
        <v>124.35719999999996</v>
      </c>
      <c r="AK276" s="8"/>
      <c r="AL276" s="8">
        <f t="shared" si="82"/>
        <v>62.178599999999982</v>
      </c>
    </row>
    <row r="277" spans="1:38">
      <c r="A277" s="18">
        <v>41466</v>
      </c>
      <c r="B277" s="19" t="s">
        <v>119</v>
      </c>
      <c r="C277" s="12">
        <v>50.6</v>
      </c>
      <c r="D277" s="19" t="s">
        <v>80</v>
      </c>
      <c r="E277" s="8">
        <v>8.4102899999999998</v>
      </c>
      <c r="F277" s="8">
        <v>83.314350000000005</v>
      </c>
      <c r="G277" s="22">
        <v>50</v>
      </c>
      <c r="H277" s="45">
        <f t="shared" si="72"/>
        <v>5.5</v>
      </c>
      <c r="I277" s="10">
        <f t="shared" si="77"/>
        <v>18.163481150197153</v>
      </c>
      <c r="J277" s="10">
        <f t="shared" si="78"/>
        <v>0.31701254969486703</v>
      </c>
      <c r="K277" s="10">
        <v>21</v>
      </c>
      <c r="L277" s="22">
        <v>297</v>
      </c>
      <c r="M277" s="22" t="s">
        <v>36</v>
      </c>
      <c r="N277" s="8" t="s">
        <v>46</v>
      </c>
      <c r="O277" s="10" t="s">
        <v>37</v>
      </c>
      <c r="P277" s="10" t="s">
        <v>38</v>
      </c>
      <c r="Q277" s="11">
        <v>0.48</v>
      </c>
      <c r="R277" s="8" t="s">
        <v>60</v>
      </c>
      <c r="S277" s="12">
        <f>AVERAGE(10.4,8.4)</f>
        <v>9.4</v>
      </c>
      <c r="T277" s="79">
        <f t="shared" si="86"/>
        <v>6.939794400000001E-3</v>
      </c>
      <c r="U277" s="22">
        <v>8</v>
      </c>
      <c r="V277" s="22">
        <v>20</v>
      </c>
      <c r="W277" s="10">
        <f t="shared" si="73"/>
        <v>0.3490658503988659</v>
      </c>
      <c r="X277" s="22">
        <v>6</v>
      </c>
      <c r="Y277" s="22">
        <v>15</v>
      </c>
      <c r="Z277" s="10">
        <f t="shared" si="74"/>
        <v>0.26179938779914941</v>
      </c>
      <c r="AA277" s="10">
        <f t="shared" si="75"/>
        <v>4.2890754172204737</v>
      </c>
      <c r="AB277" s="10">
        <f t="shared" si="76"/>
        <v>10.33072285913274</v>
      </c>
      <c r="AC277" s="10">
        <f t="shared" si="79"/>
        <v>1.2913403573915925</v>
      </c>
      <c r="AD277" s="10">
        <f t="shared" si="83"/>
        <v>5.1653614295663699</v>
      </c>
      <c r="AE277" s="65"/>
      <c r="AF277" s="10">
        <f t="shared" si="84"/>
        <v>24.211055190230603</v>
      </c>
      <c r="AG277" s="8">
        <f t="shared" si="80"/>
        <v>4.721155762094968</v>
      </c>
      <c r="AH277" s="10">
        <f t="shared" si="81"/>
        <v>12.105527595115301</v>
      </c>
      <c r="AI277" s="63"/>
      <c r="AJ277" s="10">
        <f t="shared" si="85"/>
        <v>21.325199999999995</v>
      </c>
      <c r="AK277" s="8"/>
      <c r="AL277" s="8">
        <f t="shared" si="82"/>
        <v>10.662599999999998</v>
      </c>
    </row>
    <row r="278" spans="1:38">
      <c r="A278" s="18">
        <v>41466</v>
      </c>
      <c r="B278" s="19" t="s">
        <v>119</v>
      </c>
      <c r="C278" s="12">
        <v>50.6</v>
      </c>
      <c r="D278" s="19" t="s">
        <v>80</v>
      </c>
      <c r="E278" s="8">
        <v>8.4102899999999998</v>
      </c>
      <c r="F278" s="8">
        <v>83.314350000000005</v>
      </c>
      <c r="G278" s="22">
        <v>50</v>
      </c>
      <c r="H278" s="45">
        <f t="shared" si="72"/>
        <v>5.5</v>
      </c>
      <c r="I278" s="10">
        <f t="shared" si="77"/>
        <v>18.163481150197153</v>
      </c>
      <c r="J278" s="10">
        <f t="shared" si="78"/>
        <v>0.31701254969486703</v>
      </c>
      <c r="K278" s="10">
        <v>21</v>
      </c>
      <c r="L278" s="22">
        <v>375</v>
      </c>
      <c r="M278" s="49" t="s">
        <v>97</v>
      </c>
      <c r="N278" s="22" t="s">
        <v>99</v>
      </c>
      <c r="O278" s="10" t="s">
        <v>99</v>
      </c>
      <c r="P278" s="10" t="s">
        <v>99</v>
      </c>
      <c r="Q278" s="22">
        <v>0.57999999999999996</v>
      </c>
      <c r="R278" s="22" t="s">
        <v>103</v>
      </c>
      <c r="S278" s="29">
        <f>AVERAGE(6,6.7)</f>
        <v>6.35</v>
      </c>
      <c r="T278" s="79">
        <f t="shared" si="86"/>
        <v>3.16692915E-3</v>
      </c>
      <c r="U278" s="22">
        <v>11</v>
      </c>
      <c r="V278" s="22">
        <v>50</v>
      </c>
      <c r="W278" s="10">
        <f t="shared" si="73"/>
        <v>0.87266462599716477</v>
      </c>
      <c r="X278" s="22">
        <v>6</v>
      </c>
      <c r="Y278" s="22">
        <v>15</v>
      </c>
      <c r="Z278" s="10">
        <f t="shared" si="74"/>
        <v>0.26179938779914941</v>
      </c>
      <c r="AA278" s="10">
        <f t="shared" si="75"/>
        <v>9.9794031449238823</v>
      </c>
      <c r="AB278" s="10">
        <f t="shared" si="76"/>
        <v>13.057406725861583</v>
      </c>
      <c r="AC278" s="10">
        <f t="shared" si="79"/>
        <v>1.6321758407326978</v>
      </c>
      <c r="AD278" s="10">
        <f t="shared" si="83"/>
        <v>6.5287033629307913</v>
      </c>
      <c r="AE278" s="65"/>
      <c r="AF278" s="10">
        <f t="shared" si="84"/>
        <v>11.089676906301829</v>
      </c>
      <c r="AG278" s="8">
        <f t="shared" si="80"/>
        <v>2.1624869967288567</v>
      </c>
      <c r="AH278" s="10">
        <f t="shared" si="81"/>
        <v>5.5448384531509145</v>
      </c>
      <c r="AI278" s="63"/>
      <c r="AJ278" s="10">
        <f t="shared" si="85"/>
        <v>6.984099999999998</v>
      </c>
      <c r="AK278" s="8"/>
      <c r="AL278" s="8">
        <f t="shared" si="82"/>
        <v>3.492049999999999</v>
      </c>
    </row>
    <row r="279" spans="1:38">
      <c r="A279" s="18">
        <v>41466</v>
      </c>
      <c r="B279" s="19" t="s">
        <v>119</v>
      </c>
      <c r="C279" s="12">
        <v>50.6</v>
      </c>
      <c r="D279" s="19" t="s">
        <v>80</v>
      </c>
      <c r="E279" s="8">
        <v>8.4102899999999998</v>
      </c>
      <c r="F279" s="8">
        <v>83.314350000000005</v>
      </c>
      <c r="G279" s="22">
        <v>50</v>
      </c>
      <c r="H279" s="45">
        <f t="shared" si="72"/>
        <v>5.5</v>
      </c>
      <c r="I279" s="10">
        <f t="shared" si="77"/>
        <v>18.163481150197153</v>
      </c>
      <c r="J279" s="10">
        <f t="shared" si="78"/>
        <v>0.31701254969486703</v>
      </c>
      <c r="K279" s="10">
        <v>21</v>
      </c>
      <c r="L279" s="22">
        <v>250</v>
      </c>
      <c r="M279" s="22" t="s">
        <v>39</v>
      </c>
      <c r="N279" s="8" t="s">
        <v>69</v>
      </c>
      <c r="O279" s="10" t="s">
        <v>65</v>
      </c>
      <c r="P279" s="10" t="s">
        <v>70</v>
      </c>
      <c r="Q279" s="8">
        <v>0.37</v>
      </c>
      <c r="R279" s="8" t="s">
        <v>71</v>
      </c>
      <c r="S279" s="29">
        <f>AVERAGE(8.3,7.8)</f>
        <v>8.0500000000000007</v>
      </c>
      <c r="T279" s="79">
        <f t="shared" si="86"/>
        <v>5.0895883500000011E-3</v>
      </c>
      <c r="U279" s="22">
        <v>12</v>
      </c>
      <c r="V279" s="22">
        <v>60</v>
      </c>
      <c r="W279" s="10">
        <f t="shared" si="73"/>
        <v>1.0471975511965976</v>
      </c>
      <c r="X279" s="22">
        <v>5</v>
      </c>
      <c r="Y279" s="22">
        <v>25</v>
      </c>
      <c r="Z279" s="10">
        <f t="shared" si="74"/>
        <v>0.43633231299858238</v>
      </c>
      <c r="AA279" s="10">
        <f t="shared" si="75"/>
        <v>12.505396154116761</v>
      </c>
      <c r="AB279" s="10">
        <f t="shared" si="76"/>
        <v>16.524913843691504</v>
      </c>
      <c r="AC279" s="10">
        <f t="shared" si="79"/>
        <v>2.065614230461438</v>
      </c>
      <c r="AD279" s="10">
        <f t="shared" si="83"/>
        <v>8.262456921845752</v>
      </c>
      <c r="AE279" s="65"/>
      <c r="AF279" s="10">
        <f t="shared" si="84"/>
        <v>12.703664630379537</v>
      </c>
      <c r="AG279" s="8">
        <f t="shared" si="80"/>
        <v>2.4772146029240099</v>
      </c>
      <c r="AH279" s="10">
        <f t="shared" si="81"/>
        <v>6.3518323151897684</v>
      </c>
      <c r="AI279" s="63"/>
      <c r="AJ279" s="10">
        <f t="shared" si="85"/>
        <v>13.279200000000003</v>
      </c>
      <c r="AK279" s="8"/>
      <c r="AL279" s="8">
        <f t="shared" si="82"/>
        <v>6.6396000000000015</v>
      </c>
    </row>
    <row r="280" spans="1:38">
      <c r="A280" s="18">
        <v>41466</v>
      </c>
      <c r="B280" s="19" t="s">
        <v>119</v>
      </c>
      <c r="C280" s="12">
        <v>50.6</v>
      </c>
      <c r="D280" s="19" t="s">
        <v>80</v>
      </c>
      <c r="E280" s="8">
        <v>8.4102899999999998</v>
      </c>
      <c r="F280" s="8">
        <v>83.314350000000005</v>
      </c>
      <c r="G280" s="22">
        <v>50</v>
      </c>
      <c r="H280" s="45">
        <f t="shared" si="72"/>
        <v>5.5</v>
      </c>
      <c r="I280" s="10">
        <f t="shared" si="77"/>
        <v>18.163481150197153</v>
      </c>
      <c r="J280" s="10">
        <f t="shared" si="78"/>
        <v>0.31701254969486703</v>
      </c>
      <c r="K280" s="10">
        <v>21</v>
      </c>
      <c r="L280" s="22">
        <v>372</v>
      </c>
      <c r="M280" s="22" t="s">
        <v>220</v>
      </c>
      <c r="N280" s="8" t="s">
        <v>46</v>
      </c>
      <c r="O280" s="52" t="s">
        <v>214</v>
      </c>
      <c r="P280" s="52" t="s">
        <v>215</v>
      </c>
      <c r="Q280" s="60">
        <v>0.35</v>
      </c>
      <c r="R280" s="60" t="s">
        <v>190</v>
      </c>
      <c r="S280" s="29">
        <f>AVERAGE(27.6,25.5)</f>
        <v>26.55</v>
      </c>
      <c r="T280" s="79">
        <f t="shared" si="86"/>
        <v>5.5363042350000002E-2</v>
      </c>
      <c r="U280" s="22">
        <v>11</v>
      </c>
      <c r="V280" s="22">
        <v>68</v>
      </c>
      <c r="W280" s="10">
        <f t="shared" si="73"/>
        <v>1.1868238913561442</v>
      </c>
      <c r="X280" s="22">
        <v>7</v>
      </c>
      <c r="Y280" s="22">
        <v>22</v>
      </c>
      <c r="Z280" s="10">
        <f t="shared" si="74"/>
        <v>0.38397243543875248</v>
      </c>
      <c r="AA280" s="10">
        <f t="shared" si="75"/>
        <v>12.821268554146044</v>
      </c>
      <c r="AB280" s="10">
        <f t="shared" si="76"/>
        <v>151.34989636702676</v>
      </c>
      <c r="AC280" s="10">
        <f t="shared" si="79"/>
        <v>18.918737045878345</v>
      </c>
      <c r="AD280" s="10">
        <f t="shared" si="83"/>
        <v>75.674948183513379</v>
      </c>
      <c r="AE280" s="65"/>
      <c r="AF280" s="10">
        <f t="shared" si="84"/>
        <v>230.12617104064674</v>
      </c>
      <c r="AG280" s="8">
        <f t="shared" si="80"/>
        <v>44.874603352926115</v>
      </c>
      <c r="AH280" s="10">
        <f t="shared" si="81"/>
        <v>115.06308552032337</v>
      </c>
      <c r="AI280" s="63"/>
      <c r="AJ280" s="10">
        <f t="shared" si="85"/>
        <v>358.32269999999994</v>
      </c>
      <c r="AK280" s="8"/>
      <c r="AL280" s="8">
        <f t="shared" si="82"/>
        <v>179.16134999999997</v>
      </c>
    </row>
    <row r="281" spans="1:38">
      <c r="A281" s="18">
        <v>41466</v>
      </c>
      <c r="B281" s="19" t="s">
        <v>119</v>
      </c>
      <c r="C281" s="12">
        <v>50.6</v>
      </c>
      <c r="D281" s="19" t="s">
        <v>80</v>
      </c>
      <c r="E281" s="8">
        <v>8.4102899999999998</v>
      </c>
      <c r="F281" s="8">
        <v>83.314350000000005</v>
      </c>
      <c r="G281" s="22">
        <v>50</v>
      </c>
      <c r="H281" s="45">
        <f t="shared" si="72"/>
        <v>5.5</v>
      </c>
      <c r="I281" s="10">
        <f t="shared" si="77"/>
        <v>18.163481150197153</v>
      </c>
      <c r="J281" s="10">
        <f t="shared" si="78"/>
        <v>0.31701254969486703</v>
      </c>
      <c r="K281" s="10">
        <v>21</v>
      </c>
      <c r="L281" s="22">
        <v>274</v>
      </c>
      <c r="M281" s="22" t="s">
        <v>220</v>
      </c>
      <c r="N281" s="8" t="s">
        <v>46</v>
      </c>
      <c r="O281" s="52" t="s">
        <v>214</v>
      </c>
      <c r="P281" s="52" t="s">
        <v>215</v>
      </c>
      <c r="Q281" s="60">
        <v>0.35</v>
      </c>
      <c r="R281" s="60" t="s">
        <v>190</v>
      </c>
      <c r="S281" s="12">
        <f>AVERAGE(17.6,17.2)</f>
        <v>17.399999999999999</v>
      </c>
      <c r="T281" s="79">
        <f t="shared" si="86"/>
        <v>2.3778770399999996E-2</v>
      </c>
      <c r="U281" s="22">
        <v>10</v>
      </c>
      <c r="V281" s="22">
        <v>62</v>
      </c>
      <c r="W281" s="10">
        <f t="shared" si="73"/>
        <v>1.0821041362364843</v>
      </c>
      <c r="X281" s="22">
        <v>7</v>
      </c>
      <c r="Y281" s="22">
        <v>22</v>
      </c>
      <c r="Z281" s="10">
        <f t="shared" si="74"/>
        <v>0.38397243543875248</v>
      </c>
      <c r="AA281" s="10">
        <f t="shared" si="75"/>
        <v>11.451722082500652</v>
      </c>
      <c r="AB281" s="10">
        <f t="shared" si="76"/>
        <v>61.49740941844064</v>
      </c>
      <c r="AC281" s="10">
        <f t="shared" si="79"/>
        <v>7.68717617730508</v>
      </c>
      <c r="AD281" s="10">
        <f t="shared" si="83"/>
        <v>30.74870470922032</v>
      </c>
      <c r="AE281" s="65"/>
      <c r="AF281" s="10">
        <f t="shared" si="84"/>
        <v>81.53712553611814</v>
      </c>
      <c r="AG281" s="8">
        <f t="shared" si="80"/>
        <v>15.899739479543038</v>
      </c>
      <c r="AH281" s="10">
        <f t="shared" si="81"/>
        <v>40.76856276805907</v>
      </c>
      <c r="AI281" s="63"/>
      <c r="AJ281" s="10">
        <f t="shared" si="85"/>
        <v>124.35719999999996</v>
      </c>
      <c r="AK281" s="8"/>
      <c r="AL281" s="8">
        <f t="shared" si="82"/>
        <v>62.178599999999982</v>
      </c>
    </row>
    <row r="282" spans="1:38">
      <c r="A282" s="18">
        <v>41466</v>
      </c>
      <c r="B282" s="19" t="s">
        <v>119</v>
      </c>
      <c r="C282" s="12">
        <v>50.6</v>
      </c>
      <c r="D282" s="19" t="s">
        <v>80</v>
      </c>
      <c r="E282" s="8">
        <v>8.4102899999999998</v>
      </c>
      <c r="F282" s="8">
        <v>83.314350000000005</v>
      </c>
      <c r="G282" s="22">
        <v>50</v>
      </c>
      <c r="H282" s="45">
        <f t="shared" si="72"/>
        <v>5.5</v>
      </c>
      <c r="I282" s="10">
        <f t="shared" si="77"/>
        <v>18.163481150197153</v>
      </c>
      <c r="J282" s="10">
        <f t="shared" si="78"/>
        <v>0.31701254969486703</v>
      </c>
      <c r="K282" s="10">
        <v>21</v>
      </c>
      <c r="L282" s="22">
        <v>295</v>
      </c>
      <c r="M282" s="22" t="s">
        <v>220</v>
      </c>
      <c r="N282" s="8" t="s">
        <v>46</v>
      </c>
      <c r="O282" s="52" t="s">
        <v>214</v>
      </c>
      <c r="P282" s="52" t="s">
        <v>215</v>
      </c>
      <c r="Q282" s="60">
        <v>0.35</v>
      </c>
      <c r="R282" s="60" t="s">
        <v>190</v>
      </c>
      <c r="S282" s="12">
        <f>AVERAGE(36.2,32.6)</f>
        <v>34.400000000000006</v>
      </c>
      <c r="T282" s="79">
        <f t="shared" si="86"/>
        <v>9.2941094400000035E-2</v>
      </c>
      <c r="U282" s="22">
        <v>17</v>
      </c>
      <c r="V282" s="22">
        <v>72</v>
      </c>
      <c r="W282" s="10">
        <f t="shared" si="73"/>
        <v>1.2566370614359172</v>
      </c>
      <c r="X282" s="22">
        <v>7</v>
      </c>
      <c r="Y282" s="22">
        <v>22</v>
      </c>
      <c r="Z282" s="10">
        <f t="shared" si="74"/>
        <v>0.38397243543875248</v>
      </c>
      <c r="AA282" s="10">
        <f t="shared" si="75"/>
        <v>18.790206930928992</v>
      </c>
      <c r="AB282" s="10">
        <f t="shared" si="76"/>
        <v>352.78590404983834</v>
      </c>
      <c r="AC282" s="10">
        <f t="shared" si="79"/>
        <v>44.098238006229792</v>
      </c>
      <c r="AD282" s="10">
        <f t="shared" si="83"/>
        <v>176.39295202491917</v>
      </c>
      <c r="AE282" s="65"/>
      <c r="AF282" s="10">
        <f t="shared" si="84"/>
        <v>429.75152822658953</v>
      </c>
      <c r="AG282" s="8">
        <f t="shared" si="80"/>
        <v>83.801548004184966</v>
      </c>
      <c r="AH282" s="10">
        <f t="shared" si="81"/>
        <v>214.87576411329476</v>
      </c>
      <c r="AI282" s="63"/>
      <c r="AJ282" s="10">
        <f t="shared" si="85"/>
        <v>657.80020000000025</v>
      </c>
      <c r="AK282" s="8"/>
      <c r="AL282" s="8">
        <f t="shared" si="82"/>
        <v>328.90010000000012</v>
      </c>
    </row>
    <row r="283" spans="1:38">
      <c r="A283" s="18">
        <v>41466</v>
      </c>
      <c r="B283" s="19" t="s">
        <v>119</v>
      </c>
      <c r="C283" s="12">
        <v>50.6</v>
      </c>
      <c r="D283" s="19" t="s">
        <v>80</v>
      </c>
      <c r="E283" s="8">
        <v>8.4102899999999998</v>
      </c>
      <c r="F283" s="8">
        <v>83.314350000000005</v>
      </c>
      <c r="G283" s="22">
        <v>50</v>
      </c>
      <c r="H283" s="45">
        <f t="shared" si="72"/>
        <v>5.5</v>
      </c>
      <c r="I283" s="10">
        <f t="shared" si="77"/>
        <v>18.163481150197153</v>
      </c>
      <c r="J283" s="10">
        <f t="shared" si="78"/>
        <v>0.31701254969486703</v>
      </c>
      <c r="K283" s="10">
        <v>21</v>
      </c>
      <c r="L283" s="22">
        <v>253</v>
      </c>
      <c r="M283" s="22" t="s">
        <v>36</v>
      </c>
      <c r="N283" s="8" t="s">
        <v>46</v>
      </c>
      <c r="O283" s="10" t="s">
        <v>37</v>
      </c>
      <c r="P283" s="10" t="s">
        <v>38</v>
      </c>
      <c r="Q283" s="11">
        <v>0.48</v>
      </c>
      <c r="R283" s="8" t="s">
        <v>60</v>
      </c>
      <c r="S283" s="29">
        <f>AVERAGE(12,12)</f>
        <v>12</v>
      </c>
      <c r="T283" s="79">
        <f t="shared" si="86"/>
        <v>1.130976E-2</v>
      </c>
      <c r="U283" s="22">
        <v>7</v>
      </c>
      <c r="V283" s="22">
        <v>20</v>
      </c>
      <c r="W283" s="10">
        <f t="shared" si="73"/>
        <v>0.3490658503988659</v>
      </c>
      <c r="X283" s="22">
        <v>6</v>
      </c>
      <c r="Y283" s="22">
        <v>23</v>
      </c>
      <c r="Z283" s="10">
        <f t="shared" si="74"/>
        <v>0.4014257279586958</v>
      </c>
      <c r="AA283" s="10">
        <f t="shared" si="75"/>
        <v>4.7385277742153233</v>
      </c>
      <c r="AB283" s="10">
        <f t="shared" si="76"/>
        <v>17.955357296952528</v>
      </c>
      <c r="AC283" s="10">
        <f t="shared" si="79"/>
        <v>2.244419662119066</v>
      </c>
      <c r="AD283" s="10">
        <f t="shared" si="83"/>
        <v>8.9776786484762638</v>
      </c>
      <c r="AE283" s="65"/>
      <c r="AF283" s="10">
        <f t="shared" si="84"/>
        <v>44.441042596259827</v>
      </c>
      <c r="AG283" s="8">
        <f t="shared" si="80"/>
        <v>8.6660033062706674</v>
      </c>
      <c r="AH283" s="10">
        <f t="shared" si="81"/>
        <v>22.220521298129913</v>
      </c>
      <c r="AI283" s="63"/>
      <c r="AJ283" s="10">
        <f t="shared" si="85"/>
        <v>44.420999999999992</v>
      </c>
      <c r="AK283" s="8"/>
      <c r="AL283" s="8">
        <f t="shared" si="82"/>
        <v>22.210499999999996</v>
      </c>
    </row>
    <row r="284" spans="1:38">
      <c r="A284" s="18">
        <v>41466</v>
      </c>
      <c r="B284" s="19" t="s">
        <v>119</v>
      </c>
      <c r="C284" s="12">
        <v>50.6</v>
      </c>
      <c r="D284" s="19" t="s">
        <v>80</v>
      </c>
      <c r="E284" s="8">
        <v>8.4102899999999998</v>
      </c>
      <c r="F284" s="8">
        <v>83.314350000000005</v>
      </c>
      <c r="G284" s="22">
        <v>50</v>
      </c>
      <c r="H284" s="45">
        <f t="shared" si="72"/>
        <v>5.5</v>
      </c>
      <c r="I284" s="10">
        <f t="shared" si="77"/>
        <v>18.163481150197153</v>
      </c>
      <c r="J284" s="10">
        <f t="shared" si="78"/>
        <v>0.31701254969486703</v>
      </c>
      <c r="K284" s="10">
        <v>21</v>
      </c>
      <c r="L284" s="22">
        <v>230</v>
      </c>
      <c r="M284" s="22" t="s">
        <v>36</v>
      </c>
      <c r="N284" s="8" t="s">
        <v>46</v>
      </c>
      <c r="O284" s="10" t="s">
        <v>37</v>
      </c>
      <c r="P284" s="10" t="s">
        <v>38</v>
      </c>
      <c r="Q284" s="11">
        <v>0.48</v>
      </c>
      <c r="R284" s="8" t="s">
        <v>60</v>
      </c>
      <c r="S284" s="29">
        <f>AVERAGE(14.6,15.3)</f>
        <v>14.95</v>
      </c>
      <c r="T284" s="79">
        <f t="shared" si="86"/>
        <v>1.7553886349999999E-2</v>
      </c>
      <c r="U284" s="22">
        <v>9</v>
      </c>
      <c r="V284" s="22">
        <v>32</v>
      </c>
      <c r="W284" s="10">
        <f t="shared" si="73"/>
        <v>0.55850536063818546</v>
      </c>
      <c r="X284" s="22">
        <v>5</v>
      </c>
      <c r="Y284" s="22">
        <v>23</v>
      </c>
      <c r="Z284" s="10">
        <f t="shared" si="74"/>
        <v>0.4014257279586958</v>
      </c>
      <c r="AA284" s="10">
        <f t="shared" si="75"/>
        <v>6.7229290205452124</v>
      </c>
      <c r="AB284" s="10">
        <f t="shared" si="76"/>
        <v>37.710209149154487</v>
      </c>
      <c r="AC284" s="10">
        <f t="shared" si="79"/>
        <v>4.7137761436443109</v>
      </c>
      <c r="AD284" s="10">
        <f t="shared" si="83"/>
        <v>18.855104574577243</v>
      </c>
      <c r="AE284" s="65"/>
      <c r="AF284" s="10">
        <f t="shared" si="84"/>
        <v>76.758752109656186</v>
      </c>
      <c r="AG284" s="8">
        <f t="shared" si="80"/>
        <v>14.967956661382956</v>
      </c>
      <c r="AH284" s="10">
        <f t="shared" si="81"/>
        <v>38.379376054828093</v>
      </c>
      <c r="AI284" s="63"/>
      <c r="AJ284" s="10">
        <f t="shared" si="85"/>
        <v>82.741499999999974</v>
      </c>
      <c r="AK284" s="8"/>
      <c r="AL284" s="8">
        <f t="shared" si="82"/>
        <v>41.370749999999987</v>
      </c>
    </row>
    <row r="285" spans="1:38">
      <c r="A285" s="18">
        <v>41464</v>
      </c>
      <c r="B285" s="19" t="s">
        <v>119</v>
      </c>
      <c r="C285" s="12">
        <v>50.7</v>
      </c>
      <c r="D285" s="9" t="s">
        <v>80</v>
      </c>
      <c r="E285" s="16">
        <v>8.4109999999999996</v>
      </c>
      <c r="F285" s="8">
        <v>83.313580000000002</v>
      </c>
      <c r="G285" s="22">
        <v>50</v>
      </c>
      <c r="H285" s="22">
        <v>-24</v>
      </c>
      <c r="I285" s="10">
        <f t="shared" ref="I285:I347" si="87">1/TAN(H285/100)</f>
        <v>-4.0863577716916133</v>
      </c>
      <c r="J285" s="10">
        <f t="shared" ref="J285:J347" si="88">RADIANS(I285)</f>
        <v>-7.1320397530477392E-2</v>
      </c>
      <c r="K285" s="10">
        <f t="shared" ref="K285:K316" si="89">21/COS(J285)</f>
        <v>21.053522721748294</v>
      </c>
      <c r="L285" s="8">
        <v>1831</v>
      </c>
      <c r="M285" s="8" t="s">
        <v>78</v>
      </c>
      <c r="N285" s="22" t="s">
        <v>87</v>
      </c>
      <c r="O285" s="10" t="s">
        <v>88</v>
      </c>
      <c r="P285" s="10" t="s">
        <v>89</v>
      </c>
      <c r="Q285" s="23">
        <v>0.64</v>
      </c>
      <c r="R285" s="22" t="s">
        <v>90</v>
      </c>
      <c r="S285" s="12">
        <v>74.2</v>
      </c>
      <c r="T285" s="79">
        <f t="shared" si="86"/>
        <v>0.43241296560000003</v>
      </c>
      <c r="U285" s="8">
        <v>16</v>
      </c>
      <c r="V285" s="22">
        <v>65</v>
      </c>
      <c r="W285" s="10">
        <f t="shared" ref="W285:W323" si="90">RADIANS(V285)</f>
        <v>1.1344640137963142</v>
      </c>
      <c r="X285" s="22">
        <v>6</v>
      </c>
      <c r="Y285" s="22">
        <v>15</v>
      </c>
      <c r="Z285" s="10">
        <f t="shared" ref="Z285:Z323" si="91">RADIANS(Y285)</f>
        <v>0.26179938779914941</v>
      </c>
      <c r="AA285" s="10">
        <f t="shared" ref="AA285:AA323" si="92">(SIN(W285)*U285)+(SIN(Z285)*X285)</f>
        <v>16.053838863201523</v>
      </c>
      <c r="AB285" s="10">
        <f t="shared" ref="AB285:AB323" si="93">0.0776*(Q285*S285^2*AA285)^0.94</f>
        <v>2276.5353807793585</v>
      </c>
      <c r="AC285" s="10">
        <f t="shared" si="79"/>
        <v>284.56692259741982</v>
      </c>
      <c r="AD285" s="10">
        <f t="shared" si="83"/>
        <v>1138.2676903896793</v>
      </c>
      <c r="AE285" s="65"/>
      <c r="AF285" s="10">
        <f t="shared" si="84"/>
        <v>4614.1377989452558</v>
      </c>
      <c r="AG285" s="8">
        <f t="shared" si="80"/>
        <v>899.75687079432487</v>
      </c>
      <c r="AH285" s="10">
        <f t="shared" si="81"/>
        <v>2307.0688994726279</v>
      </c>
      <c r="AI285" s="63"/>
      <c r="AJ285" s="10">
        <f t="shared" si="85"/>
        <v>3579.558</v>
      </c>
      <c r="AK285" s="8"/>
      <c r="AL285" s="8">
        <f t="shared" si="82"/>
        <v>1789.779</v>
      </c>
    </row>
    <row r="286" spans="1:38">
      <c r="A286" s="18">
        <v>41464</v>
      </c>
      <c r="B286" s="19" t="s">
        <v>119</v>
      </c>
      <c r="C286" s="12">
        <v>50.7</v>
      </c>
      <c r="D286" s="19" t="s">
        <v>80</v>
      </c>
      <c r="E286" s="16">
        <v>8.4109999999999996</v>
      </c>
      <c r="F286" s="8">
        <v>83.313580000000002</v>
      </c>
      <c r="G286" s="22">
        <v>50</v>
      </c>
      <c r="H286" s="22">
        <v>-24</v>
      </c>
      <c r="I286" s="10">
        <f t="shared" si="87"/>
        <v>-4.0863577716916133</v>
      </c>
      <c r="J286" s="10">
        <f t="shared" si="88"/>
        <v>-7.1320397530477392E-2</v>
      </c>
      <c r="K286" s="10">
        <f t="shared" si="89"/>
        <v>21.053522721748294</v>
      </c>
      <c r="L286" s="8">
        <v>1830</v>
      </c>
      <c r="M286" s="22" t="s">
        <v>252</v>
      </c>
      <c r="N286" s="8" t="s">
        <v>198</v>
      </c>
      <c r="O286" s="10" t="s">
        <v>226</v>
      </c>
      <c r="P286" s="10" t="s">
        <v>227</v>
      </c>
      <c r="Q286" s="22">
        <v>0.54</v>
      </c>
      <c r="R286" s="22" t="s">
        <v>190</v>
      </c>
      <c r="S286" s="29">
        <f>AVERAGE(7.8,8.6)</f>
        <v>8.1999999999999993</v>
      </c>
      <c r="T286" s="79">
        <f t="shared" si="86"/>
        <v>5.2810295999999998E-3</v>
      </c>
      <c r="U286" s="8">
        <v>6</v>
      </c>
      <c r="V286" s="8">
        <v>43</v>
      </c>
      <c r="W286" s="10">
        <f t="shared" si="90"/>
        <v>0.75049157835756175</v>
      </c>
      <c r="X286" s="8">
        <v>5</v>
      </c>
      <c r="Y286" s="22">
        <v>15</v>
      </c>
      <c r="Z286" s="10">
        <f t="shared" si="91"/>
        <v>0.26179938779914941</v>
      </c>
      <c r="AA286" s="10">
        <f t="shared" si="92"/>
        <v>5.3860853858875943</v>
      </c>
      <c r="AB286" s="10">
        <f t="shared" si="93"/>
        <v>11.058054803287714</v>
      </c>
      <c r="AC286" s="10">
        <f t="shared" si="79"/>
        <v>1.3822568504109642</v>
      </c>
      <c r="AD286" s="10">
        <f t="shared" si="83"/>
        <v>5.529027401643857</v>
      </c>
      <c r="AE286" s="65"/>
      <c r="AF286" s="10">
        <f t="shared" si="84"/>
        <v>19.408152396033586</v>
      </c>
      <c r="AG286" s="8">
        <f t="shared" si="80"/>
        <v>3.7845897172265492</v>
      </c>
      <c r="AH286" s="10">
        <f t="shared" si="81"/>
        <v>9.7040761980167929</v>
      </c>
      <c r="AI286" s="63"/>
      <c r="AJ286" s="10">
        <f t="shared" si="85"/>
        <v>14.040000000000006</v>
      </c>
      <c r="AK286" s="8"/>
      <c r="AL286" s="8">
        <f t="shared" si="82"/>
        <v>7.0200000000000031</v>
      </c>
    </row>
    <row r="287" spans="1:38">
      <c r="A287" s="18">
        <v>41464</v>
      </c>
      <c r="B287" s="19" t="s">
        <v>119</v>
      </c>
      <c r="C287" s="12">
        <v>50.7</v>
      </c>
      <c r="D287" s="19" t="s">
        <v>80</v>
      </c>
      <c r="E287" s="16">
        <v>8.4109999999999996</v>
      </c>
      <c r="F287" s="8">
        <v>83.313580000000002</v>
      </c>
      <c r="G287" s="22">
        <v>50</v>
      </c>
      <c r="H287" s="22">
        <v>-24</v>
      </c>
      <c r="I287" s="10">
        <f t="shared" si="87"/>
        <v>-4.0863577716916133</v>
      </c>
      <c r="J287" s="10">
        <f t="shared" si="88"/>
        <v>-7.1320397530477392E-2</v>
      </c>
      <c r="K287" s="10">
        <f t="shared" si="89"/>
        <v>21.053522721748294</v>
      </c>
      <c r="L287" s="8">
        <v>1829</v>
      </c>
      <c r="M287" s="22" t="s">
        <v>252</v>
      </c>
      <c r="N287" s="8" t="s">
        <v>198</v>
      </c>
      <c r="O287" s="10" t="s">
        <v>226</v>
      </c>
      <c r="P287" s="10" t="s">
        <v>227</v>
      </c>
      <c r="Q287" s="22">
        <v>0.54</v>
      </c>
      <c r="R287" s="22" t="s">
        <v>190</v>
      </c>
      <c r="S287" s="29">
        <f>AVERAGE(7,6.8)</f>
        <v>6.9</v>
      </c>
      <c r="T287" s="79">
        <f t="shared" si="86"/>
        <v>3.7392894000000008E-3</v>
      </c>
      <c r="U287" s="8">
        <v>6</v>
      </c>
      <c r="V287" s="8">
        <v>60</v>
      </c>
      <c r="W287" s="10">
        <f t="shared" si="90"/>
        <v>1.0471975511965976</v>
      </c>
      <c r="X287" s="8">
        <v>6</v>
      </c>
      <c r="Y287" s="22">
        <v>5</v>
      </c>
      <c r="Z287" s="10">
        <f t="shared" si="91"/>
        <v>8.7266462599716474E-2</v>
      </c>
      <c r="AA287" s="10">
        <f t="shared" si="92"/>
        <v>5.7190868791925809</v>
      </c>
      <c r="AB287" s="10">
        <f t="shared" si="93"/>
        <v>8.4573681998966741</v>
      </c>
      <c r="AC287" s="10">
        <f t="shared" si="79"/>
        <v>1.0571710249870843</v>
      </c>
      <c r="AD287" s="10">
        <f t="shared" si="83"/>
        <v>4.228684099948337</v>
      </c>
      <c r="AE287" s="65"/>
      <c r="AF287" s="10">
        <f t="shared" si="84"/>
        <v>12.667074368807492</v>
      </c>
      <c r="AG287" s="8">
        <f t="shared" si="80"/>
        <v>2.4700795019174611</v>
      </c>
      <c r="AH287" s="10">
        <f t="shared" si="81"/>
        <v>6.3335371844037462</v>
      </c>
      <c r="AI287" s="63"/>
      <c r="AJ287" s="10">
        <f t="shared" si="85"/>
        <v>8.5527000000000051</v>
      </c>
      <c r="AK287" s="8"/>
      <c r="AL287" s="8">
        <f t="shared" si="82"/>
        <v>4.2763500000000025</v>
      </c>
    </row>
    <row r="288" spans="1:38">
      <c r="A288" s="18">
        <v>41464</v>
      </c>
      <c r="B288" s="19" t="s">
        <v>119</v>
      </c>
      <c r="C288" s="12">
        <v>50.7</v>
      </c>
      <c r="D288" s="19" t="s">
        <v>80</v>
      </c>
      <c r="E288" s="16">
        <v>8.4109999999999996</v>
      </c>
      <c r="F288" s="8">
        <v>83.313580000000002</v>
      </c>
      <c r="G288" s="22">
        <v>50</v>
      </c>
      <c r="H288" s="22">
        <v>-24</v>
      </c>
      <c r="I288" s="10">
        <f t="shared" si="87"/>
        <v>-4.0863577716916133</v>
      </c>
      <c r="J288" s="10">
        <f t="shared" si="88"/>
        <v>-7.1320397530477392E-2</v>
      </c>
      <c r="K288" s="10">
        <f t="shared" si="89"/>
        <v>21.053522721748294</v>
      </c>
      <c r="L288" s="22">
        <v>1828</v>
      </c>
      <c r="M288" s="22" t="s">
        <v>252</v>
      </c>
      <c r="N288" s="8" t="s">
        <v>198</v>
      </c>
      <c r="O288" s="10" t="s">
        <v>226</v>
      </c>
      <c r="P288" s="10" t="s">
        <v>227</v>
      </c>
      <c r="Q288" s="22">
        <v>0.54</v>
      </c>
      <c r="R288" s="22" t="s">
        <v>190</v>
      </c>
      <c r="S288" s="29">
        <f>AVERAGE(6.8,6.6)</f>
        <v>6.6999999999999993</v>
      </c>
      <c r="T288" s="79">
        <f t="shared" si="86"/>
        <v>3.5256605999999997E-3</v>
      </c>
      <c r="U288" s="22">
        <v>9</v>
      </c>
      <c r="V288" s="22">
        <v>39</v>
      </c>
      <c r="W288" s="10">
        <f t="shared" si="90"/>
        <v>0.68067840827778847</v>
      </c>
      <c r="X288" s="22">
        <v>6</v>
      </c>
      <c r="Y288" s="22">
        <v>5</v>
      </c>
      <c r="Z288" s="10">
        <f t="shared" si="91"/>
        <v>8.7266462599716474E-2</v>
      </c>
      <c r="AA288" s="10">
        <f t="shared" si="92"/>
        <v>6.1868179759344857</v>
      </c>
      <c r="AB288" s="10">
        <f t="shared" si="93"/>
        <v>8.6161208737310506</v>
      </c>
      <c r="AC288" s="10">
        <f t="shared" si="79"/>
        <v>1.0770151092163813</v>
      </c>
      <c r="AD288" s="10">
        <f t="shared" si="83"/>
        <v>4.3080604368655253</v>
      </c>
      <c r="AE288" s="65"/>
      <c r="AF288" s="10">
        <f t="shared" si="84"/>
        <v>11.781558642658444</v>
      </c>
      <c r="AG288" s="8">
        <f t="shared" si="80"/>
        <v>2.2974039353183966</v>
      </c>
      <c r="AH288" s="10">
        <f t="shared" si="81"/>
        <v>5.8907793213292221</v>
      </c>
      <c r="AI288" s="63"/>
      <c r="AJ288" s="10">
        <f t="shared" si="85"/>
        <v>7.9304999999999986</v>
      </c>
      <c r="AK288" s="8"/>
      <c r="AL288" s="8">
        <f t="shared" si="82"/>
        <v>3.9652499999999993</v>
      </c>
    </row>
    <row r="289" spans="1:38">
      <c r="A289" s="18">
        <v>41464</v>
      </c>
      <c r="B289" s="19" t="s">
        <v>119</v>
      </c>
      <c r="C289" s="12">
        <v>50.7</v>
      </c>
      <c r="D289" s="19" t="s">
        <v>80</v>
      </c>
      <c r="E289" s="16">
        <v>8.4109999999999996</v>
      </c>
      <c r="F289" s="8">
        <v>83.313580000000002</v>
      </c>
      <c r="G289" s="22">
        <v>50</v>
      </c>
      <c r="H289" s="22">
        <v>-24</v>
      </c>
      <c r="I289" s="10">
        <f t="shared" si="87"/>
        <v>-4.0863577716916133</v>
      </c>
      <c r="J289" s="10">
        <f t="shared" si="88"/>
        <v>-7.1320397530477392E-2</v>
      </c>
      <c r="K289" s="10">
        <f t="shared" si="89"/>
        <v>21.053522721748294</v>
      </c>
      <c r="L289" s="22">
        <v>1827</v>
      </c>
      <c r="M289" s="22" t="s">
        <v>39</v>
      </c>
      <c r="N289" s="8" t="s">
        <v>69</v>
      </c>
      <c r="O289" s="10" t="s">
        <v>65</v>
      </c>
      <c r="P289" s="10" t="s">
        <v>70</v>
      </c>
      <c r="Q289" s="8">
        <v>0.37</v>
      </c>
      <c r="R289" s="8" t="s">
        <v>71</v>
      </c>
      <c r="S289" s="29">
        <f>AVERAGE(13.9,14.5)</f>
        <v>14.2</v>
      </c>
      <c r="T289" s="79">
        <f t="shared" si="86"/>
        <v>1.58368056E-2</v>
      </c>
      <c r="U289" s="22">
        <v>10</v>
      </c>
      <c r="V289" s="22">
        <v>65</v>
      </c>
      <c r="W289" s="10">
        <f t="shared" si="90"/>
        <v>1.1344640137963142</v>
      </c>
      <c r="X289" s="22">
        <v>6</v>
      </c>
      <c r="Y289" s="22">
        <v>15</v>
      </c>
      <c r="Z289" s="10">
        <f t="shared" si="91"/>
        <v>0.26179938779914941</v>
      </c>
      <c r="AA289" s="10">
        <f t="shared" si="92"/>
        <v>10.615992140981623</v>
      </c>
      <c r="AB289" s="10">
        <f t="shared" si="93"/>
        <v>41.179055607328493</v>
      </c>
      <c r="AC289" s="10">
        <f t="shared" si="79"/>
        <v>5.1473819509160617</v>
      </c>
      <c r="AD289" s="10">
        <f t="shared" si="83"/>
        <v>20.589527803664247</v>
      </c>
      <c r="AE289" s="65"/>
      <c r="AF289" s="10">
        <f t="shared" si="84"/>
        <v>52.066992549100995</v>
      </c>
      <c r="AG289" s="8">
        <f t="shared" si="80"/>
        <v>10.153063547074694</v>
      </c>
      <c r="AH289" s="10">
        <f t="shared" si="81"/>
        <v>26.033496274550497</v>
      </c>
      <c r="AI289" s="63"/>
      <c r="AJ289" s="10">
        <f t="shared" si="85"/>
        <v>71.777999999999977</v>
      </c>
      <c r="AK289" s="8"/>
      <c r="AL289" s="8">
        <f t="shared" si="82"/>
        <v>35.888999999999989</v>
      </c>
    </row>
    <row r="290" spans="1:38">
      <c r="A290" s="18">
        <v>41464</v>
      </c>
      <c r="B290" s="19" t="s">
        <v>119</v>
      </c>
      <c r="C290" s="12">
        <v>50.7</v>
      </c>
      <c r="D290" s="19" t="s">
        <v>80</v>
      </c>
      <c r="E290" s="16">
        <v>8.4109999999999996</v>
      </c>
      <c r="F290" s="8">
        <v>83.313580000000002</v>
      </c>
      <c r="G290" s="22">
        <v>50</v>
      </c>
      <c r="H290" s="22">
        <v>-24</v>
      </c>
      <c r="I290" s="10">
        <f t="shared" si="87"/>
        <v>-4.0863577716916133</v>
      </c>
      <c r="J290" s="10">
        <f t="shared" si="88"/>
        <v>-7.1320397530477392E-2</v>
      </c>
      <c r="K290" s="10">
        <f t="shared" si="89"/>
        <v>21.053522721748294</v>
      </c>
      <c r="L290" s="22">
        <v>1825</v>
      </c>
      <c r="M290" s="22" t="s">
        <v>252</v>
      </c>
      <c r="N290" s="8" t="s">
        <v>198</v>
      </c>
      <c r="O290" s="10" t="s">
        <v>226</v>
      </c>
      <c r="P290" s="10" t="s">
        <v>227</v>
      </c>
      <c r="Q290" s="22">
        <v>0.54</v>
      </c>
      <c r="R290" s="22" t="s">
        <v>190</v>
      </c>
      <c r="S290" s="30">
        <f>AVERAGE(7.7,6.8)</f>
        <v>7.25</v>
      </c>
      <c r="T290" s="79">
        <f t="shared" si="86"/>
        <v>4.1282587500000006E-3</v>
      </c>
      <c r="U290" s="22">
        <v>7</v>
      </c>
      <c r="V290" s="22">
        <v>50</v>
      </c>
      <c r="W290" s="10">
        <f t="shared" si="90"/>
        <v>0.87266462599716477</v>
      </c>
      <c r="X290" s="22">
        <v>6</v>
      </c>
      <c r="Y290" s="22">
        <v>20</v>
      </c>
      <c r="Z290" s="10">
        <f t="shared" si="91"/>
        <v>0.3490658503988659</v>
      </c>
      <c r="AA290" s="10">
        <f t="shared" si="92"/>
        <v>7.4144319617868586</v>
      </c>
      <c r="AB290" s="10">
        <f t="shared" si="93"/>
        <v>11.847330911501897</v>
      </c>
      <c r="AC290" s="10">
        <f t="shared" si="79"/>
        <v>1.4809163639377372</v>
      </c>
      <c r="AD290" s="10">
        <f t="shared" si="83"/>
        <v>5.9236654557509487</v>
      </c>
      <c r="AE290" s="65"/>
      <c r="AF290" s="10">
        <f t="shared" si="84"/>
        <v>14.311828208302032</v>
      </c>
      <c r="AG290" s="8">
        <f t="shared" si="80"/>
        <v>2.7908065006188965</v>
      </c>
      <c r="AH290" s="10">
        <f t="shared" si="81"/>
        <v>7.1559141041510159</v>
      </c>
      <c r="AI290" s="63"/>
      <c r="AJ290" s="10">
        <f t="shared" si="85"/>
        <v>9.7840000000000025</v>
      </c>
      <c r="AK290" s="8"/>
      <c r="AL290" s="8">
        <f t="shared" si="82"/>
        <v>4.8920000000000012</v>
      </c>
    </row>
    <row r="291" spans="1:38">
      <c r="A291" s="18">
        <v>41464</v>
      </c>
      <c r="B291" s="19" t="s">
        <v>119</v>
      </c>
      <c r="C291" s="12">
        <v>50.7</v>
      </c>
      <c r="D291" s="19" t="s">
        <v>80</v>
      </c>
      <c r="E291" s="16">
        <v>8.4109999999999996</v>
      </c>
      <c r="F291" s="8">
        <v>83.313580000000002</v>
      </c>
      <c r="G291" s="22">
        <v>50</v>
      </c>
      <c r="H291" s="22">
        <v>-24</v>
      </c>
      <c r="I291" s="10">
        <f t="shared" si="87"/>
        <v>-4.0863577716916133</v>
      </c>
      <c r="J291" s="10">
        <f t="shared" si="88"/>
        <v>-7.1320397530477392E-2</v>
      </c>
      <c r="K291" s="10">
        <f t="shared" si="89"/>
        <v>21.053522721748294</v>
      </c>
      <c r="L291" s="22">
        <v>1824</v>
      </c>
      <c r="M291" s="22" t="s">
        <v>252</v>
      </c>
      <c r="N291" s="8" t="s">
        <v>198</v>
      </c>
      <c r="O291" s="10" t="s">
        <v>226</v>
      </c>
      <c r="P291" s="10" t="s">
        <v>227</v>
      </c>
      <c r="Q291" s="22">
        <v>0.54</v>
      </c>
      <c r="R291" s="22" t="s">
        <v>190</v>
      </c>
      <c r="S291" s="12">
        <f>AVERAGE(8.4,8.6)</f>
        <v>8.5</v>
      </c>
      <c r="T291" s="79">
        <f t="shared" si="86"/>
        <v>5.6745150000000006E-3</v>
      </c>
      <c r="U291" s="22">
        <v>10</v>
      </c>
      <c r="V291" s="22">
        <v>55</v>
      </c>
      <c r="W291" s="10">
        <f t="shared" si="90"/>
        <v>0.95993108859688125</v>
      </c>
      <c r="X291" s="22">
        <v>5</v>
      </c>
      <c r="Y291" s="22">
        <v>8</v>
      </c>
      <c r="Z291" s="10">
        <f t="shared" si="91"/>
        <v>0.13962634015954636</v>
      </c>
      <c r="AA291" s="10">
        <f t="shared" si="92"/>
        <v>8.8873859476902446</v>
      </c>
      <c r="AB291" s="10">
        <f t="shared" si="93"/>
        <v>18.943797115537912</v>
      </c>
      <c r="AC291" s="10">
        <f t="shared" si="79"/>
        <v>2.367974639442239</v>
      </c>
      <c r="AD291" s="10">
        <f t="shared" si="83"/>
        <v>9.4718985577689558</v>
      </c>
      <c r="AE291" s="65"/>
      <c r="AF291" s="10">
        <f t="shared" si="84"/>
        <v>21.21620917222786</v>
      </c>
      <c r="AG291" s="8">
        <f t="shared" si="80"/>
        <v>4.137160788584433</v>
      </c>
      <c r="AH291" s="10">
        <f t="shared" si="81"/>
        <v>10.60810458611393</v>
      </c>
      <c r="AI291" s="63"/>
      <c r="AJ291" s="10">
        <f t="shared" si="85"/>
        <v>15.661499999999997</v>
      </c>
      <c r="AK291" s="8"/>
      <c r="AL291" s="8">
        <f t="shared" si="82"/>
        <v>7.8307499999999983</v>
      </c>
    </row>
    <row r="292" spans="1:38">
      <c r="A292" s="18">
        <v>41464</v>
      </c>
      <c r="B292" s="19" t="s">
        <v>119</v>
      </c>
      <c r="C292" s="12">
        <v>50.7</v>
      </c>
      <c r="D292" s="19" t="s">
        <v>80</v>
      </c>
      <c r="E292" s="16">
        <v>8.4109999999999996</v>
      </c>
      <c r="F292" s="8">
        <v>83.313580000000002</v>
      </c>
      <c r="G292" s="22">
        <v>50</v>
      </c>
      <c r="H292" s="22">
        <v>-24</v>
      </c>
      <c r="I292" s="10">
        <f t="shared" si="87"/>
        <v>-4.0863577716916133</v>
      </c>
      <c r="J292" s="10">
        <f t="shared" si="88"/>
        <v>-7.1320397530477392E-2</v>
      </c>
      <c r="K292" s="10">
        <f t="shared" si="89"/>
        <v>21.053522721748294</v>
      </c>
      <c r="L292" s="22">
        <v>1823</v>
      </c>
      <c r="M292" s="22" t="s">
        <v>36</v>
      </c>
      <c r="N292" s="8" t="s">
        <v>46</v>
      </c>
      <c r="O292" s="10" t="s">
        <v>37</v>
      </c>
      <c r="P292" s="10" t="s">
        <v>38</v>
      </c>
      <c r="Q292" s="11">
        <v>0.48</v>
      </c>
      <c r="R292" s="8" t="s">
        <v>60</v>
      </c>
      <c r="S292" s="12">
        <f>AVERAGE(10,9.6)</f>
        <v>9.8000000000000007</v>
      </c>
      <c r="T292" s="79">
        <f t="shared" si="86"/>
        <v>7.5429816000000018E-3</v>
      </c>
      <c r="U292" s="22">
        <v>7</v>
      </c>
      <c r="V292" s="22">
        <v>41</v>
      </c>
      <c r="W292" s="10">
        <f t="shared" si="90"/>
        <v>0.71558499331767511</v>
      </c>
      <c r="X292" s="22">
        <v>5</v>
      </c>
      <c r="Y292" s="22">
        <v>20</v>
      </c>
      <c r="Z292" s="10">
        <f t="shared" si="91"/>
        <v>0.3490658503988659</v>
      </c>
      <c r="AA292" s="10">
        <f t="shared" si="92"/>
        <v>6.3025139195618944</v>
      </c>
      <c r="AB292" s="10">
        <f t="shared" si="93"/>
        <v>16.042664138026215</v>
      </c>
      <c r="AC292" s="10">
        <f t="shared" si="79"/>
        <v>2.0053330172532768</v>
      </c>
      <c r="AD292" s="10">
        <f t="shared" si="83"/>
        <v>8.0213320690131074</v>
      </c>
      <c r="AE292" s="65"/>
      <c r="AF292" s="10">
        <f t="shared" si="84"/>
        <v>26.852810811609501</v>
      </c>
      <c r="AG292" s="8">
        <f t="shared" si="80"/>
        <v>5.2362981082638527</v>
      </c>
      <c r="AH292" s="10">
        <f t="shared" si="81"/>
        <v>13.426405405804751</v>
      </c>
      <c r="AI292" s="63"/>
      <c r="AJ292" s="10">
        <f t="shared" si="85"/>
        <v>24.227199999999996</v>
      </c>
      <c r="AK292" s="8"/>
      <c r="AL292" s="8">
        <f t="shared" si="82"/>
        <v>12.113599999999998</v>
      </c>
    </row>
    <row r="293" spans="1:38">
      <c r="A293" s="18">
        <v>41464</v>
      </c>
      <c r="B293" s="19" t="s">
        <v>119</v>
      </c>
      <c r="C293" s="12">
        <v>50.7</v>
      </c>
      <c r="D293" s="19" t="s">
        <v>80</v>
      </c>
      <c r="E293" s="16">
        <v>8.4109999999999996</v>
      </c>
      <c r="F293" s="8">
        <v>83.313580000000002</v>
      </c>
      <c r="G293" s="22">
        <v>50</v>
      </c>
      <c r="H293" s="22">
        <v>-24</v>
      </c>
      <c r="I293" s="10">
        <f t="shared" si="87"/>
        <v>-4.0863577716916133</v>
      </c>
      <c r="J293" s="10">
        <f t="shared" si="88"/>
        <v>-7.1320397530477392E-2</v>
      </c>
      <c r="K293" s="10">
        <f t="shared" si="89"/>
        <v>21.053522721748294</v>
      </c>
      <c r="L293" s="22">
        <v>1822</v>
      </c>
      <c r="M293" s="31" t="s">
        <v>79</v>
      </c>
      <c r="N293" s="8" t="s">
        <v>212</v>
      </c>
      <c r="O293" s="10" t="s">
        <v>213</v>
      </c>
      <c r="P293" s="15" t="s">
        <v>92</v>
      </c>
      <c r="Q293" s="22">
        <v>0.78</v>
      </c>
      <c r="R293" s="22" t="s">
        <v>190</v>
      </c>
      <c r="S293" s="12">
        <f>AVERAGE(8.4,7.8)</f>
        <v>8.1</v>
      </c>
      <c r="T293" s="79">
        <f t="shared" si="86"/>
        <v>5.1530094000000002E-3</v>
      </c>
      <c r="U293" s="22">
        <v>7</v>
      </c>
      <c r="V293" s="22">
        <v>48</v>
      </c>
      <c r="W293" s="10">
        <f t="shared" si="90"/>
        <v>0.83775804095727824</v>
      </c>
      <c r="X293" s="22">
        <v>8</v>
      </c>
      <c r="Y293" s="22">
        <v>24</v>
      </c>
      <c r="Z293" s="10">
        <f t="shared" si="91"/>
        <v>0.41887902047863912</v>
      </c>
      <c r="AA293" s="10">
        <f t="shared" si="92"/>
        <v>8.4559069229481612</v>
      </c>
      <c r="AB293" s="10">
        <f t="shared" si="93"/>
        <v>23.329910114317773</v>
      </c>
      <c r="AC293" s="10">
        <f t="shared" si="79"/>
        <v>2.9162387642897216</v>
      </c>
      <c r="AD293" s="10">
        <f t="shared" si="83"/>
        <v>11.664955057158886</v>
      </c>
      <c r="AE293" s="65"/>
      <c r="AF293" s="10">
        <f t="shared" si="84"/>
        <v>27.19460581033546</v>
      </c>
      <c r="AG293" s="8">
        <f t="shared" si="80"/>
        <v>5.3029481330154153</v>
      </c>
      <c r="AH293" s="10">
        <f t="shared" si="81"/>
        <v>13.59730290516773</v>
      </c>
      <c r="AI293" s="63"/>
      <c r="AJ293" s="10">
        <f t="shared" si="85"/>
        <v>13.5291</v>
      </c>
      <c r="AK293" s="8"/>
      <c r="AL293" s="8">
        <f t="shared" si="82"/>
        <v>6.7645499999999998</v>
      </c>
    </row>
    <row r="294" spans="1:38">
      <c r="A294" s="18">
        <v>41464</v>
      </c>
      <c r="B294" s="19" t="s">
        <v>119</v>
      </c>
      <c r="C294" s="12">
        <v>50.7</v>
      </c>
      <c r="D294" s="19" t="s">
        <v>80</v>
      </c>
      <c r="E294" s="16">
        <v>8.4109999999999996</v>
      </c>
      <c r="F294" s="8">
        <v>83.313580000000002</v>
      </c>
      <c r="G294" s="22">
        <v>50</v>
      </c>
      <c r="H294" s="22">
        <v>-24</v>
      </c>
      <c r="I294" s="10">
        <f t="shared" si="87"/>
        <v>-4.0863577716916133</v>
      </c>
      <c r="J294" s="10">
        <f t="shared" si="88"/>
        <v>-7.1320397530477392E-2</v>
      </c>
      <c r="K294" s="10">
        <f t="shared" si="89"/>
        <v>21.053522721748294</v>
      </c>
      <c r="L294" s="22">
        <v>1821</v>
      </c>
      <c r="M294" s="22" t="s">
        <v>39</v>
      </c>
      <c r="N294" s="8" t="s">
        <v>69</v>
      </c>
      <c r="O294" s="10" t="s">
        <v>65</v>
      </c>
      <c r="P294" s="10" t="s">
        <v>70</v>
      </c>
      <c r="Q294" s="8">
        <v>0.37</v>
      </c>
      <c r="R294" s="8" t="s">
        <v>71</v>
      </c>
      <c r="S294" s="29">
        <f>AVERAGE(7.4,7.5)</f>
        <v>7.45</v>
      </c>
      <c r="T294" s="79">
        <f t="shared" si="86"/>
        <v>4.3591663500000006E-3</v>
      </c>
      <c r="U294" s="22">
        <v>8</v>
      </c>
      <c r="V294" s="22">
        <v>35</v>
      </c>
      <c r="W294" s="10">
        <f t="shared" si="90"/>
        <v>0.6108652381980153</v>
      </c>
      <c r="X294" s="22">
        <v>6</v>
      </c>
      <c r="Y294" s="22">
        <v>22</v>
      </c>
      <c r="Z294" s="10">
        <f t="shared" si="91"/>
        <v>0.38397243543875248</v>
      </c>
      <c r="AA294" s="10">
        <f t="shared" si="92"/>
        <v>6.8362510513038401</v>
      </c>
      <c r="AB294" s="10">
        <f t="shared" si="93"/>
        <v>8.0975578179046455</v>
      </c>
      <c r="AC294" s="10">
        <f t="shared" si="79"/>
        <v>1.0121947272380807</v>
      </c>
      <c r="AD294" s="10">
        <f t="shared" si="83"/>
        <v>4.0487789089523227</v>
      </c>
      <c r="AE294" s="65"/>
      <c r="AF294" s="10">
        <f t="shared" si="84"/>
        <v>10.488144596064272</v>
      </c>
      <c r="AG294" s="8">
        <f t="shared" si="80"/>
        <v>2.0451881962325329</v>
      </c>
      <c r="AH294" s="10">
        <f t="shared" si="81"/>
        <v>5.2440722980321359</v>
      </c>
      <c r="AI294" s="63"/>
      <c r="AJ294" s="10">
        <f t="shared" si="85"/>
        <v>10.568999999999999</v>
      </c>
      <c r="AK294" s="8"/>
      <c r="AL294" s="8">
        <f t="shared" si="82"/>
        <v>5.2844999999999995</v>
      </c>
    </row>
    <row r="295" spans="1:38">
      <c r="A295" s="18">
        <v>41464</v>
      </c>
      <c r="B295" s="19" t="s">
        <v>119</v>
      </c>
      <c r="C295" s="12">
        <v>50.7</v>
      </c>
      <c r="D295" s="19" t="s">
        <v>80</v>
      </c>
      <c r="E295" s="16">
        <v>8.4109999999999996</v>
      </c>
      <c r="F295" s="8">
        <v>83.313580000000002</v>
      </c>
      <c r="G295" s="22">
        <v>50</v>
      </c>
      <c r="H295" s="22">
        <v>-24</v>
      </c>
      <c r="I295" s="10">
        <f t="shared" si="87"/>
        <v>-4.0863577716916133</v>
      </c>
      <c r="J295" s="10">
        <f t="shared" si="88"/>
        <v>-7.1320397530477392E-2</v>
      </c>
      <c r="K295" s="10">
        <f t="shared" si="89"/>
        <v>21.053522721748294</v>
      </c>
      <c r="L295" s="22">
        <v>1820</v>
      </c>
      <c r="M295" s="22" t="s">
        <v>36</v>
      </c>
      <c r="N295" s="8" t="s">
        <v>46</v>
      </c>
      <c r="O295" s="10" t="s">
        <v>37</v>
      </c>
      <c r="P295" s="10" t="s">
        <v>38</v>
      </c>
      <c r="Q295" s="11">
        <v>0.48</v>
      </c>
      <c r="R295" s="8" t="s">
        <v>60</v>
      </c>
      <c r="S295" s="12">
        <f>AVERAGE(14,13.8)</f>
        <v>13.9</v>
      </c>
      <c r="T295" s="79">
        <f t="shared" si="86"/>
        <v>1.5174713400000001E-2</v>
      </c>
      <c r="U295" s="22">
        <v>7</v>
      </c>
      <c r="V295" s="22">
        <v>55</v>
      </c>
      <c r="W295" s="10">
        <f t="shared" si="90"/>
        <v>0.95993108859688125</v>
      </c>
      <c r="X295" s="22">
        <v>5</v>
      </c>
      <c r="Y295" s="22">
        <v>30</v>
      </c>
      <c r="Z295" s="10">
        <f t="shared" si="91"/>
        <v>0.52359877559829882</v>
      </c>
      <c r="AA295" s="10">
        <f t="shared" si="92"/>
        <v>8.2340643100229425</v>
      </c>
      <c r="AB295" s="10">
        <f t="shared" si="93"/>
        <v>39.789978841726416</v>
      </c>
      <c r="AC295" s="10">
        <f t="shared" si="79"/>
        <v>4.973747355215802</v>
      </c>
      <c r="AD295" s="10">
        <f t="shared" si="83"/>
        <v>19.894989420863208</v>
      </c>
      <c r="AE295" s="65"/>
      <c r="AF295" s="10">
        <f t="shared" si="84"/>
        <v>64.055157576548964</v>
      </c>
      <c r="AG295" s="8">
        <f t="shared" si="80"/>
        <v>12.490755727427048</v>
      </c>
      <c r="AH295" s="10">
        <f t="shared" si="81"/>
        <v>32.027578788274482</v>
      </c>
      <c r="AI295" s="63"/>
      <c r="AJ295" s="10">
        <f t="shared" si="85"/>
        <v>67.625699999999995</v>
      </c>
      <c r="AK295" s="8"/>
      <c r="AL295" s="8">
        <f t="shared" si="82"/>
        <v>33.812849999999997</v>
      </c>
    </row>
    <row r="296" spans="1:38">
      <c r="A296" s="18">
        <v>41464</v>
      </c>
      <c r="B296" s="19" t="s">
        <v>119</v>
      </c>
      <c r="C296" s="12">
        <v>50.7</v>
      </c>
      <c r="D296" s="19" t="s">
        <v>80</v>
      </c>
      <c r="E296" s="16">
        <v>8.4109999999999996</v>
      </c>
      <c r="F296" s="8">
        <v>83.313580000000002</v>
      </c>
      <c r="G296" s="22">
        <v>50</v>
      </c>
      <c r="H296" s="22">
        <v>-24</v>
      </c>
      <c r="I296" s="10">
        <f t="shared" si="87"/>
        <v>-4.0863577716916133</v>
      </c>
      <c r="J296" s="10">
        <f t="shared" si="88"/>
        <v>-7.1320397530477392E-2</v>
      </c>
      <c r="K296" s="10">
        <f t="shared" si="89"/>
        <v>21.053522721748294</v>
      </c>
      <c r="L296" s="22">
        <v>1819</v>
      </c>
      <c r="M296" s="22" t="s">
        <v>36</v>
      </c>
      <c r="N296" s="8" t="s">
        <v>46</v>
      </c>
      <c r="O296" s="10" t="s">
        <v>37</v>
      </c>
      <c r="P296" s="10" t="s">
        <v>38</v>
      </c>
      <c r="Q296" s="11">
        <v>0.48</v>
      </c>
      <c r="R296" s="8" t="s">
        <v>60</v>
      </c>
      <c r="S296" s="29">
        <f>AVERAGE(10.1,9.4)</f>
        <v>9.75</v>
      </c>
      <c r="T296" s="79">
        <f t="shared" si="86"/>
        <v>7.4662087500000007E-3</v>
      </c>
      <c r="U296" s="22">
        <v>7</v>
      </c>
      <c r="V296" s="22">
        <v>47</v>
      </c>
      <c r="W296" s="10">
        <f t="shared" si="90"/>
        <v>0.82030474843733492</v>
      </c>
      <c r="X296" s="22">
        <v>10</v>
      </c>
      <c r="Y296" s="22">
        <v>20</v>
      </c>
      <c r="Z296" s="10">
        <f t="shared" si="91"/>
        <v>0.3490658503988659</v>
      </c>
      <c r="AA296" s="10">
        <f t="shared" si="92"/>
        <v>8.5396773445908813</v>
      </c>
      <c r="AB296" s="10">
        <f t="shared" si="93"/>
        <v>21.14034819780824</v>
      </c>
      <c r="AC296" s="10">
        <f t="shared" si="79"/>
        <v>2.64254352472603</v>
      </c>
      <c r="AD296" s="10">
        <f t="shared" si="83"/>
        <v>10.57017409890412</v>
      </c>
      <c r="AE296" s="65"/>
      <c r="AF296" s="10">
        <f t="shared" si="84"/>
        <v>26.513550690918272</v>
      </c>
      <c r="AG296" s="8">
        <f t="shared" si="80"/>
        <v>5.1701423847290631</v>
      </c>
      <c r="AH296" s="10">
        <f t="shared" si="81"/>
        <v>13.256775345459136</v>
      </c>
      <c r="AI296" s="63"/>
      <c r="AJ296" s="10">
        <f t="shared" si="85"/>
        <v>23.851499999999987</v>
      </c>
      <c r="AK296" s="8"/>
      <c r="AL296" s="8">
        <f t="shared" si="82"/>
        <v>11.925749999999994</v>
      </c>
    </row>
    <row r="297" spans="1:38">
      <c r="A297" s="18">
        <v>41464</v>
      </c>
      <c r="B297" s="19" t="s">
        <v>119</v>
      </c>
      <c r="C297" s="12">
        <v>50.7</v>
      </c>
      <c r="D297" s="19" t="s">
        <v>80</v>
      </c>
      <c r="E297" s="16">
        <v>8.4109999999999996</v>
      </c>
      <c r="F297" s="8">
        <v>83.313580000000002</v>
      </c>
      <c r="G297" s="22">
        <v>50</v>
      </c>
      <c r="H297" s="22">
        <v>-24</v>
      </c>
      <c r="I297" s="10">
        <f t="shared" si="87"/>
        <v>-4.0863577716916133</v>
      </c>
      <c r="J297" s="10">
        <f t="shared" si="88"/>
        <v>-7.1320397530477392E-2</v>
      </c>
      <c r="K297" s="10">
        <f t="shared" si="89"/>
        <v>21.053522721748294</v>
      </c>
      <c r="L297" s="22">
        <v>1826</v>
      </c>
      <c r="M297" s="49" t="s">
        <v>97</v>
      </c>
      <c r="N297" s="22" t="s">
        <v>99</v>
      </c>
      <c r="O297" s="10" t="s">
        <v>99</v>
      </c>
      <c r="P297" s="10" t="s">
        <v>99</v>
      </c>
      <c r="Q297" s="22">
        <v>0.57999999999999996</v>
      </c>
      <c r="R297" s="22" t="s">
        <v>103</v>
      </c>
      <c r="S297" s="12">
        <f>AVERAGE(16.9,15.7)</f>
        <v>16.299999999999997</v>
      </c>
      <c r="T297" s="79">
        <f t="shared" si="86"/>
        <v>2.0867292599999993E-2</v>
      </c>
      <c r="U297" s="22">
        <v>10</v>
      </c>
      <c r="V297" s="22">
        <v>65</v>
      </c>
      <c r="W297" s="10">
        <f t="shared" si="90"/>
        <v>1.1344640137963142</v>
      </c>
      <c r="X297" s="22">
        <v>5</v>
      </c>
      <c r="Y297" s="22">
        <v>20</v>
      </c>
      <c r="Z297" s="10">
        <f t="shared" si="91"/>
        <v>0.3490658503988659</v>
      </c>
      <c r="AA297" s="10">
        <f t="shared" si="92"/>
        <v>10.773178586994842</v>
      </c>
      <c r="AB297" s="10">
        <f t="shared" si="93"/>
        <v>82.56575549405224</v>
      </c>
      <c r="AC297" s="10">
        <f t="shared" si="79"/>
        <v>10.32071943675653</v>
      </c>
      <c r="AD297" s="10">
        <f t="shared" si="83"/>
        <v>41.28287774702612</v>
      </c>
      <c r="AE297" s="65"/>
      <c r="AF297" s="10">
        <f t="shared" si="84"/>
        <v>114.93927781600242</v>
      </c>
      <c r="AG297" s="8">
        <f t="shared" si="80"/>
        <v>22.413159174120473</v>
      </c>
      <c r="AH297" s="10">
        <f t="shared" si="81"/>
        <v>57.469638908001208</v>
      </c>
      <c r="AI297" s="63"/>
      <c r="AJ297" s="10">
        <f t="shared" si="85"/>
        <v>104.57369999999993</v>
      </c>
      <c r="AK297" s="8"/>
      <c r="AL297" s="8">
        <f t="shared" si="82"/>
        <v>52.286849999999966</v>
      </c>
    </row>
    <row r="298" spans="1:38">
      <c r="A298" s="18">
        <v>41466</v>
      </c>
      <c r="B298" s="19" t="s">
        <v>119</v>
      </c>
      <c r="C298" s="12">
        <v>50.7</v>
      </c>
      <c r="D298" s="19" t="s">
        <v>80</v>
      </c>
      <c r="E298" s="16">
        <v>8.4109999999999996</v>
      </c>
      <c r="F298" s="8">
        <v>83.313580000000002</v>
      </c>
      <c r="G298" s="22">
        <v>50</v>
      </c>
      <c r="H298" s="22">
        <v>-24</v>
      </c>
      <c r="I298" s="10">
        <f t="shared" si="87"/>
        <v>-4.0863577716916133</v>
      </c>
      <c r="J298" s="10">
        <f t="shared" si="88"/>
        <v>-7.1320397530477392E-2</v>
      </c>
      <c r="K298" s="10">
        <f t="shared" si="89"/>
        <v>21.053522721748294</v>
      </c>
      <c r="L298" s="22">
        <v>8391</v>
      </c>
      <c r="M298" s="31" t="s">
        <v>36</v>
      </c>
      <c r="N298" s="8" t="s">
        <v>46</v>
      </c>
      <c r="O298" s="10" t="s">
        <v>37</v>
      </c>
      <c r="P298" s="10" t="s">
        <v>38</v>
      </c>
      <c r="Q298" s="11">
        <v>0.48</v>
      </c>
      <c r="R298" s="8" t="s">
        <v>60</v>
      </c>
      <c r="S298" s="29">
        <f>AVERAGE(19.2,20.3)</f>
        <v>19.75</v>
      </c>
      <c r="T298" s="79">
        <f t="shared" si="86"/>
        <v>3.0635508750000002E-2</v>
      </c>
      <c r="U298" s="22">
        <v>7</v>
      </c>
      <c r="V298" s="22">
        <v>46</v>
      </c>
      <c r="W298" s="10">
        <f t="shared" si="90"/>
        <v>0.8028514559173916</v>
      </c>
      <c r="X298" s="22">
        <v>5</v>
      </c>
      <c r="Y298" s="22">
        <v>14</v>
      </c>
      <c r="Z298" s="10">
        <f t="shared" si="91"/>
        <v>0.24434609527920614</v>
      </c>
      <c r="AA298" s="10">
        <f t="shared" si="92"/>
        <v>6.2449880803688966</v>
      </c>
      <c r="AB298" s="10">
        <f t="shared" si="93"/>
        <v>59.387405078929561</v>
      </c>
      <c r="AC298" s="10">
        <f t="shared" si="79"/>
        <v>7.4234256348661951</v>
      </c>
      <c r="AD298" s="10">
        <f t="shared" si="83"/>
        <v>29.69370253946478</v>
      </c>
      <c r="AE298" s="65"/>
      <c r="AF298" s="10">
        <f t="shared" si="84"/>
        <v>152.90547620038404</v>
      </c>
      <c r="AG298" s="8">
        <f t="shared" si="80"/>
        <v>29.81656785907489</v>
      </c>
      <c r="AH298" s="10">
        <f t="shared" si="81"/>
        <v>76.452738100192022</v>
      </c>
      <c r="AI298" s="63"/>
      <c r="AJ298" s="10">
        <f t="shared" si="85"/>
        <v>172.6215</v>
      </c>
      <c r="AK298" s="8"/>
      <c r="AL298" s="8">
        <f t="shared" si="82"/>
        <v>86.310749999999999</v>
      </c>
    </row>
    <row r="299" spans="1:38">
      <c r="A299" s="18">
        <v>41466</v>
      </c>
      <c r="B299" s="19" t="s">
        <v>119</v>
      </c>
      <c r="C299" s="12">
        <v>50.7</v>
      </c>
      <c r="D299" s="19" t="s">
        <v>80</v>
      </c>
      <c r="E299" s="16">
        <v>8.4109999999999996</v>
      </c>
      <c r="F299" s="8">
        <v>83.313580000000002</v>
      </c>
      <c r="G299" s="22">
        <v>50</v>
      </c>
      <c r="H299" s="22">
        <v>-24</v>
      </c>
      <c r="I299" s="10">
        <f t="shared" si="87"/>
        <v>-4.0863577716916133</v>
      </c>
      <c r="J299" s="10">
        <f t="shared" si="88"/>
        <v>-7.1320397530477392E-2</v>
      </c>
      <c r="K299" s="10">
        <f t="shared" si="89"/>
        <v>21.053522721748294</v>
      </c>
      <c r="L299" s="22">
        <v>376</v>
      </c>
      <c r="M299" s="31" t="s">
        <v>36</v>
      </c>
      <c r="N299" s="8" t="s">
        <v>46</v>
      </c>
      <c r="O299" s="10" t="s">
        <v>37</v>
      </c>
      <c r="P299" s="10" t="s">
        <v>38</v>
      </c>
      <c r="Q299" s="11">
        <v>0.48</v>
      </c>
      <c r="R299" s="8" t="s">
        <v>60</v>
      </c>
      <c r="S299" s="29">
        <f>AVERAGE(12.6,13.5)</f>
        <v>13.05</v>
      </c>
      <c r="T299" s="79">
        <f t="shared" si="86"/>
        <v>1.3375558350000002E-2</v>
      </c>
      <c r="U299" s="22">
        <v>8</v>
      </c>
      <c r="V299" s="22">
        <v>45</v>
      </c>
      <c r="W299" s="10">
        <f t="shared" si="90"/>
        <v>0.78539816339744828</v>
      </c>
      <c r="X299" s="22">
        <v>5</v>
      </c>
      <c r="Y299" s="22">
        <v>15</v>
      </c>
      <c r="Z299" s="10">
        <f t="shared" si="91"/>
        <v>0.26179938779914941</v>
      </c>
      <c r="AA299" s="10">
        <f t="shared" si="92"/>
        <v>6.9509494750049834</v>
      </c>
      <c r="AB299" s="10">
        <f t="shared" si="93"/>
        <v>30.13684123287123</v>
      </c>
      <c r="AC299" s="10">
        <f t="shared" si="79"/>
        <v>3.7671051541089038</v>
      </c>
      <c r="AD299" s="10">
        <f t="shared" si="83"/>
        <v>15.068420616435615</v>
      </c>
      <c r="AE299" s="65"/>
      <c r="AF299" s="10">
        <f t="shared" si="84"/>
        <v>54.753697991793302</v>
      </c>
      <c r="AG299" s="8">
        <f t="shared" si="80"/>
        <v>10.676971108399695</v>
      </c>
      <c r="AH299" s="10">
        <f t="shared" si="81"/>
        <v>27.376848995896651</v>
      </c>
      <c r="AI299" s="63"/>
      <c r="AJ299" s="10">
        <f t="shared" si="85"/>
        <v>56.584199999999996</v>
      </c>
      <c r="AK299" s="8"/>
      <c r="AL299" s="8">
        <f t="shared" si="82"/>
        <v>28.292099999999998</v>
      </c>
    </row>
    <row r="300" spans="1:38">
      <c r="A300" s="18">
        <v>41466</v>
      </c>
      <c r="B300" s="19" t="s">
        <v>119</v>
      </c>
      <c r="C300" s="12">
        <v>50.7</v>
      </c>
      <c r="D300" s="19" t="s">
        <v>80</v>
      </c>
      <c r="E300" s="16">
        <v>8.4109999999999996</v>
      </c>
      <c r="F300" s="8">
        <v>83.313580000000002</v>
      </c>
      <c r="G300" s="22">
        <v>50</v>
      </c>
      <c r="H300" s="22">
        <v>-24</v>
      </c>
      <c r="I300" s="10">
        <f t="shared" si="87"/>
        <v>-4.0863577716916133</v>
      </c>
      <c r="J300" s="10">
        <f t="shared" si="88"/>
        <v>-7.1320397530477392E-2</v>
      </c>
      <c r="K300" s="10">
        <f t="shared" si="89"/>
        <v>21.053522721748294</v>
      </c>
      <c r="L300" s="22">
        <v>380</v>
      </c>
      <c r="M300" s="31" t="s">
        <v>36</v>
      </c>
      <c r="N300" s="8" t="s">
        <v>46</v>
      </c>
      <c r="O300" s="10" t="s">
        <v>37</v>
      </c>
      <c r="P300" s="10" t="s">
        <v>38</v>
      </c>
      <c r="Q300" s="11">
        <v>0.48</v>
      </c>
      <c r="R300" s="8" t="s">
        <v>60</v>
      </c>
      <c r="S300" s="12">
        <f>AVERAGE(20.5,18.9)</f>
        <v>19.7</v>
      </c>
      <c r="T300" s="79">
        <f t="shared" si="86"/>
        <v>3.0480588600000001E-2</v>
      </c>
      <c r="U300" s="22">
        <v>12</v>
      </c>
      <c r="V300" s="22">
        <v>45</v>
      </c>
      <c r="W300" s="10">
        <f t="shared" si="90"/>
        <v>0.78539816339744828</v>
      </c>
      <c r="X300" s="22">
        <v>5</v>
      </c>
      <c r="Y300" s="22">
        <v>33</v>
      </c>
      <c r="Z300" s="10">
        <f t="shared" si="91"/>
        <v>0.57595865315812877</v>
      </c>
      <c r="AA300" s="10">
        <f t="shared" si="92"/>
        <v>11.208476549313705</v>
      </c>
      <c r="AB300" s="10">
        <f t="shared" si="93"/>
        <v>102.42330412184798</v>
      </c>
      <c r="AC300" s="10">
        <f t="shared" si="79"/>
        <v>12.802913015230997</v>
      </c>
      <c r="AD300" s="10">
        <f t="shared" si="83"/>
        <v>51.211652060923988</v>
      </c>
      <c r="AE300" s="65"/>
      <c r="AF300" s="10">
        <f t="shared" si="84"/>
        <v>151.9530624026049</v>
      </c>
      <c r="AG300" s="8">
        <f t="shared" si="80"/>
        <v>29.630847168507955</v>
      </c>
      <c r="AH300" s="10">
        <f t="shared" si="81"/>
        <v>75.97653120130245</v>
      </c>
      <c r="AI300" s="63"/>
      <c r="AJ300" s="10">
        <f t="shared" si="85"/>
        <v>171.5095</v>
      </c>
      <c r="AK300" s="8"/>
      <c r="AL300" s="8">
        <f t="shared" si="82"/>
        <v>85.754750000000001</v>
      </c>
    </row>
    <row r="301" spans="1:38">
      <c r="A301" s="18">
        <v>41466</v>
      </c>
      <c r="B301" s="19" t="s">
        <v>119</v>
      </c>
      <c r="C301" s="12">
        <v>50.7</v>
      </c>
      <c r="D301" s="19" t="s">
        <v>80</v>
      </c>
      <c r="E301" s="16">
        <v>8.4109999999999996</v>
      </c>
      <c r="F301" s="8">
        <v>83.313580000000002</v>
      </c>
      <c r="G301" s="22">
        <v>50</v>
      </c>
      <c r="H301" s="22">
        <v>-24</v>
      </c>
      <c r="I301" s="10">
        <f t="shared" si="87"/>
        <v>-4.0863577716916133</v>
      </c>
      <c r="J301" s="10">
        <f t="shared" si="88"/>
        <v>-7.1320397530477392E-2</v>
      </c>
      <c r="K301" s="10">
        <f t="shared" si="89"/>
        <v>21.053522721748294</v>
      </c>
      <c r="L301" s="22">
        <v>371</v>
      </c>
      <c r="M301" s="31" t="s">
        <v>96</v>
      </c>
      <c r="N301" s="8" t="s">
        <v>69</v>
      </c>
      <c r="O301" s="58" t="s">
        <v>65</v>
      </c>
      <c r="P301" s="10" t="s">
        <v>102</v>
      </c>
      <c r="Q301" s="22">
        <v>0.48</v>
      </c>
      <c r="R301" s="22" t="s">
        <v>190</v>
      </c>
      <c r="S301" s="29">
        <f>AVERAGE(24.5,27.4)</f>
        <v>25.95</v>
      </c>
      <c r="T301" s="79">
        <f t="shared" si="86"/>
        <v>5.2889032349999997E-2</v>
      </c>
      <c r="U301" s="22">
        <v>9</v>
      </c>
      <c r="V301" s="22">
        <v>55</v>
      </c>
      <c r="W301" s="10">
        <f t="shared" si="90"/>
        <v>0.95993108859688125</v>
      </c>
      <c r="X301" s="22">
        <v>5</v>
      </c>
      <c r="Y301" s="22">
        <v>30</v>
      </c>
      <c r="Z301" s="10">
        <f t="shared" si="91"/>
        <v>0.52359877559829882</v>
      </c>
      <c r="AA301" s="10">
        <f t="shared" si="92"/>
        <v>9.8723683986009263</v>
      </c>
      <c r="AB301" s="10">
        <f t="shared" si="93"/>
        <v>152.60290367041546</v>
      </c>
      <c r="AC301" s="10">
        <f t="shared" si="79"/>
        <v>19.075362958801932</v>
      </c>
      <c r="AD301" s="10">
        <f t="shared" si="83"/>
        <v>76.301451835207729</v>
      </c>
      <c r="AE301" s="65"/>
      <c r="AF301" s="10">
        <f t="shared" si="84"/>
        <v>298.53101362223794</v>
      </c>
      <c r="AG301" s="8">
        <f t="shared" si="80"/>
        <v>58.213547656336402</v>
      </c>
      <c r="AH301" s="10">
        <f t="shared" si="81"/>
        <v>149.26550681111897</v>
      </c>
      <c r="AI301" s="63"/>
      <c r="AJ301" s="10">
        <f t="shared" si="85"/>
        <v>339.1844999999999</v>
      </c>
      <c r="AK301" s="8"/>
      <c r="AL301" s="8">
        <f t="shared" si="82"/>
        <v>169.59224999999995</v>
      </c>
    </row>
    <row r="302" spans="1:38">
      <c r="A302" s="18">
        <v>41466</v>
      </c>
      <c r="B302" s="19" t="s">
        <v>119</v>
      </c>
      <c r="C302" s="12">
        <v>50.7</v>
      </c>
      <c r="D302" s="19" t="s">
        <v>80</v>
      </c>
      <c r="E302" s="16">
        <v>8.4109999999999996</v>
      </c>
      <c r="F302" s="8">
        <v>83.313580000000002</v>
      </c>
      <c r="G302" s="22">
        <v>50</v>
      </c>
      <c r="H302" s="22">
        <v>-24</v>
      </c>
      <c r="I302" s="10">
        <f t="shared" si="87"/>
        <v>-4.0863577716916133</v>
      </c>
      <c r="J302" s="10">
        <f t="shared" si="88"/>
        <v>-7.1320397530477392E-2</v>
      </c>
      <c r="K302" s="10">
        <f t="shared" si="89"/>
        <v>21.053522721748294</v>
      </c>
      <c r="L302" s="22">
        <v>353</v>
      </c>
      <c r="M302" s="31" t="s">
        <v>39</v>
      </c>
      <c r="N302" s="8" t="s">
        <v>69</v>
      </c>
      <c r="O302" s="10" t="s">
        <v>65</v>
      </c>
      <c r="P302" s="10" t="s">
        <v>70</v>
      </c>
      <c r="Q302" s="8">
        <v>0.37</v>
      </c>
      <c r="R302" s="8" t="s">
        <v>71</v>
      </c>
      <c r="S302" s="29">
        <f>AVERAGE(8.5,8.2)</f>
        <v>8.35</v>
      </c>
      <c r="T302" s="79">
        <f t="shared" si="86"/>
        <v>5.4760051500000002E-3</v>
      </c>
      <c r="U302" s="22">
        <v>9</v>
      </c>
      <c r="V302" s="22">
        <v>50</v>
      </c>
      <c r="W302" s="10">
        <f t="shared" si="90"/>
        <v>0.87266462599716477</v>
      </c>
      <c r="X302" s="22">
        <v>6</v>
      </c>
      <c r="Y302" s="22">
        <v>15</v>
      </c>
      <c r="Z302" s="10">
        <f t="shared" si="91"/>
        <v>0.26179938779914941</v>
      </c>
      <c r="AA302" s="10">
        <f t="shared" si="92"/>
        <v>8.4473142586859264</v>
      </c>
      <c r="AB302" s="10">
        <f t="shared" si="93"/>
        <v>12.242142992748843</v>
      </c>
      <c r="AC302" s="10">
        <f t="shared" si="79"/>
        <v>1.5302678740936053</v>
      </c>
      <c r="AD302" s="10">
        <f t="shared" si="83"/>
        <v>6.1210714963744213</v>
      </c>
      <c r="AE302" s="65"/>
      <c r="AF302" s="10">
        <f t="shared" si="84"/>
        <v>13.909251321255544</v>
      </c>
      <c r="AG302" s="8">
        <f t="shared" si="80"/>
        <v>2.712304007644831</v>
      </c>
      <c r="AH302" s="10">
        <f t="shared" si="81"/>
        <v>6.9546256606277721</v>
      </c>
      <c r="AI302" s="63"/>
      <c r="AJ302" s="10">
        <f t="shared" si="85"/>
        <v>14.834099999999999</v>
      </c>
      <c r="AK302" s="8"/>
      <c r="AL302" s="8">
        <f t="shared" si="82"/>
        <v>7.4170499999999997</v>
      </c>
    </row>
    <row r="303" spans="1:38">
      <c r="A303" s="18">
        <v>41466</v>
      </c>
      <c r="B303" s="19" t="s">
        <v>119</v>
      </c>
      <c r="C303" s="12">
        <v>50.7</v>
      </c>
      <c r="D303" s="19" t="s">
        <v>80</v>
      </c>
      <c r="E303" s="16">
        <v>8.4109999999999996</v>
      </c>
      <c r="F303" s="8">
        <v>83.313580000000002</v>
      </c>
      <c r="G303" s="22">
        <v>50</v>
      </c>
      <c r="H303" s="22">
        <v>-24</v>
      </c>
      <c r="I303" s="10">
        <f t="shared" si="87"/>
        <v>-4.0863577716916133</v>
      </c>
      <c r="J303" s="10">
        <f t="shared" si="88"/>
        <v>-7.1320397530477392E-2</v>
      </c>
      <c r="K303" s="10">
        <f t="shared" si="89"/>
        <v>21.053522721748294</v>
      </c>
      <c r="L303" s="22">
        <v>383</v>
      </c>
      <c r="M303" s="31" t="s">
        <v>36</v>
      </c>
      <c r="N303" s="8" t="s">
        <v>46</v>
      </c>
      <c r="O303" s="10" t="s">
        <v>37</v>
      </c>
      <c r="P303" s="10" t="s">
        <v>38</v>
      </c>
      <c r="Q303" s="11">
        <v>0.48</v>
      </c>
      <c r="R303" s="8" t="s">
        <v>60</v>
      </c>
      <c r="S303" s="29">
        <f>AVERAGE(8.7,9.2)</f>
        <v>8.9499999999999993</v>
      </c>
      <c r="T303" s="79">
        <f t="shared" si="86"/>
        <v>6.2912503499999994E-3</v>
      </c>
      <c r="U303" s="22">
        <v>7</v>
      </c>
      <c r="V303" s="22">
        <v>33</v>
      </c>
      <c r="W303" s="10">
        <f t="shared" si="90"/>
        <v>0.57595865315812877</v>
      </c>
      <c r="X303" s="22">
        <v>6</v>
      </c>
      <c r="Y303" s="22">
        <v>11</v>
      </c>
      <c r="Z303" s="10">
        <f t="shared" si="91"/>
        <v>0.19198621771937624</v>
      </c>
      <c r="AA303" s="10">
        <f t="shared" si="92"/>
        <v>4.9573272173644582</v>
      </c>
      <c r="AB303" s="10">
        <f t="shared" si="93"/>
        <v>10.794151813079036</v>
      </c>
      <c r="AC303" s="10">
        <f t="shared" si="79"/>
        <v>1.3492689766348795</v>
      </c>
      <c r="AD303" s="10">
        <f t="shared" si="83"/>
        <v>5.3970759065395182</v>
      </c>
      <c r="AE303" s="65"/>
      <c r="AF303" s="10">
        <f t="shared" si="84"/>
        <v>21.434055420659295</v>
      </c>
      <c r="AG303" s="8">
        <f t="shared" si="80"/>
        <v>4.1796408070285622</v>
      </c>
      <c r="AH303" s="10">
        <f t="shared" si="81"/>
        <v>10.717027710329647</v>
      </c>
      <c r="AI303" s="63"/>
      <c r="AJ303" s="10">
        <f t="shared" si="85"/>
        <v>18.343499999999992</v>
      </c>
      <c r="AK303" s="8"/>
      <c r="AL303" s="8">
        <f t="shared" si="82"/>
        <v>9.1717499999999959</v>
      </c>
    </row>
    <row r="304" spans="1:38">
      <c r="A304" s="18">
        <v>41466</v>
      </c>
      <c r="B304" s="19" t="s">
        <v>119</v>
      </c>
      <c r="C304" s="12">
        <v>50.7</v>
      </c>
      <c r="D304" s="19" t="s">
        <v>80</v>
      </c>
      <c r="E304" s="16">
        <v>8.4109999999999996</v>
      </c>
      <c r="F304" s="8">
        <v>83.313580000000002</v>
      </c>
      <c r="G304" s="22">
        <v>50</v>
      </c>
      <c r="H304" s="22">
        <v>-24</v>
      </c>
      <c r="I304" s="10">
        <f t="shared" si="87"/>
        <v>-4.0863577716916133</v>
      </c>
      <c r="J304" s="10">
        <f t="shared" si="88"/>
        <v>-7.1320397530477392E-2</v>
      </c>
      <c r="K304" s="10">
        <f t="shared" si="89"/>
        <v>21.053522721748294</v>
      </c>
      <c r="L304" s="22">
        <v>349</v>
      </c>
      <c r="M304" s="31" t="s">
        <v>36</v>
      </c>
      <c r="N304" s="8" t="s">
        <v>46</v>
      </c>
      <c r="O304" s="10" t="s">
        <v>37</v>
      </c>
      <c r="P304" s="10" t="s">
        <v>38</v>
      </c>
      <c r="Q304" s="11">
        <v>0.48</v>
      </c>
      <c r="R304" s="8" t="s">
        <v>60</v>
      </c>
      <c r="S304" s="12">
        <f>AVERAGE(12.6,13.2)</f>
        <v>12.899999999999999</v>
      </c>
      <c r="T304" s="79">
        <f t="shared" si="86"/>
        <v>1.3069841399999999E-2</v>
      </c>
      <c r="U304" s="22">
        <v>8</v>
      </c>
      <c r="V304" s="22">
        <v>55</v>
      </c>
      <c r="W304" s="10">
        <f t="shared" si="90"/>
        <v>0.95993108859688125</v>
      </c>
      <c r="X304" s="22">
        <v>5</v>
      </c>
      <c r="Y304" s="22">
        <v>15</v>
      </c>
      <c r="Z304" s="10">
        <f t="shared" si="91"/>
        <v>0.26179938779914941</v>
      </c>
      <c r="AA304" s="10">
        <f t="shared" si="92"/>
        <v>7.8473115798245381</v>
      </c>
      <c r="AB304" s="10">
        <f t="shared" si="93"/>
        <v>33.050252568416646</v>
      </c>
      <c r="AC304" s="10">
        <f t="shared" si="79"/>
        <v>4.1312815710520807</v>
      </c>
      <c r="AD304" s="10">
        <f t="shared" si="83"/>
        <v>16.525126284208323</v>
      </c>
      <c r="AE304" s="65"/>
      <c r="AF304" s="10">
        <f t="shared" si="84"/>
        <v>53.201653754035341</v>
      </c>
      <c r="AG304" s="8">
        <f t="shared" si="80"/>
        <v>10.374322482036892</v>
      </c>
      <c r="AH304" s="10">
        <f t="shared" si="81"/>
        <v>26.600826877017671</v>
      </c>
      <c r="AI304" s="63"/>
      <c r="AJ304" s="10">
        <f t="shared" si="85"/>
        <v>54.746699999999976</v>
      </c>
      <c r="AK304" s="8"/>
      <c r="AL304" s="8">
        <f t="shared" si="82"/>
        <v>27.373349999999988</v>
      </c>
    </row>
    <row r="305" spans="1:38">
      <c r="A305" s="18">
        <v>41466</v>
      </c>
      <c r="B305" s="19" t="s">
        <v>119</v>
      </c>
      <c r="C305" s="12">
        <v>50.7</v>
      </c>
      <c r="D305" s="19" t="s">
        <v>80</v>
      </c>
      <c r="E305" s="16">
        <v>8.4109999999999996</v>
      </c>
      <c r="F305" s="8">
        <v>83.313580000000002</v>
      </c>
      <c r="G305" s="22">
        <v>50</v>
      </c>
      <c r="H305" s="22">
        <v>-24</v>
      </c>
      <c r="I305" s="10">
        <f t="shared" si="87"/>
        <v>-4.0863577716916133</v>
      </c>
      <c r="J305" s="10">
        <f t="shared" si="88"/>
        <v>-7.1320397530477392E-2</v>
      </c>
      <c r="K305" s="10">
        <f t="shared" si="89"/>
        <v>21.053522721748294</v>
      </c>
      <c r="L305" s="22">
        <v>378</v>
      </c>
      <c r="M305" s="22" t="s">
        <v>252</v>
      </c>
      <c r="N305" s="8" t="s">
        <v>198</v>
      </c>
      <c r="O305" s="10" t="s">
        <v>226</v>
      </c>
      <c r="P305" s="10" t="s">
        <v>227</v>
      </c>
      <c r="Q305" s="22">
        <v>0.54</v>
      </c>
      <c r="R305" s="22" t="s">
        <v>190</v>
      </c>
      <c r="S305" s="29">
        <f>AVERAGE(8.2,9.3)</f>
        <v>8.75</v>
      </c>
      <c r="T305" s="79">
        <f t="shared" si="86"/>
        <v>6.0132187500000003E-3</v>
      </c>
      <c r="U305" s="22">
        <v>7</v>
      </c>
      <c r="V305" s="22">
        <v>30</v>
      </c>
      <c r="W305" s="10">
        <f t="shared" si="90"/>
        <v>0.52359877559829882</v>
      </c>
      <c r="X305" s="22">
        <v>5</v>
      </c>
      <c r="Y305" s="22">
        <v>32</v>
      </c>
      <c r="Z305" s="10">
        <f t="shared" si="91"/>
        <v>0.55850536063818546</v>
      </c>
      <c r="AA305" s="10">
        <f t="shared" si="92"/>
        <v>6.1495963211660243</v>
      </c>
      <c r="AB305" s="10">
        <f t="shared" si="93"/>
        <v>14.151510793139071</v>
      </c>
      <c r="AC305" s="10">
        <f t="shared" si="79"/>
        <v>1.7689388491423839</v>
      </c>
      <c r="AD305" s="10">
        <f t="shared" si="83"/>
        <v>7.0757553965695354</v>
      </c>
      <c r="AE305" s="65"/>
      <c r="AF305" s="10">
        <f t="shared" si="84"/>
        <v>22.79801384899654</v>
      </c>
      <c r="AG305" s="8">
        <f t="shared" si="80"/>
        <v>4.4456127005543253</v>
      </c>
      <c r="AH305" s="10">
        <f t="shared" si="81"/>
        <v>11.39900692449827</v>
      </c>
      <c r="AI305" s="63"/>
      <c r="AJ305" s="10">
        <f t="shared" si="85"/>
        <v>17.114499999999992</v>
      </c>
      <c r="AK305" s="8"/>
      <c r="AL305" s="8">
        <f t="shared" si="82"/>
        <v>8.5572499999999962</v>
      </c>
    </row>
    <row r="306" spans="1:38">
      <c r="A306" s="18">
        <v>41466</v>
      </c>
      <c r="B306" s="19" t="s">
        <v>119</v>
      </c>
      <c r="C306" s="12">
        <v>50.7</v>
      </c>
      <c r="D306" s="19" t="s">
        <v>80</v>
      </c>
      <c r="E306" s="16">
        <v>8.4109999999999996</v>
      </c>
      <c r="F306" s="8">
        <v>83.313580000000002</v>
      </c>
      <c r="G306" s="22">
        <v>50</v>
      </c>
      <c r="H306" s="22">
        <v>-24</v>
      </c>
      <c r="I306" s="10">
        <f t="shared" si="87"/>
        <v>-4.0863577716916133</v>
      </c>
      <c r="J306" s="10">
        <f t="shared" si="88"/>
        <v>-7.1320397530477392E-2</v>
      </c>
      <c r="K306" s="10">
        <f t="shared" si="89"/>
        <v>21.053522721748294</v>
      </c>
      <c r="L306" s="22">
        <v>377</v>
      </c>
      <c r="M306" s="22" t="s">
        <v>252</v>
      </c>
      <c r="N306" s="8" t="s">
        <v>198</v>
      </c>
      <c r="O306" s="10" t="s">
        <v>226</v>
      </c>
      <c r="P306" s="10" t="s">
        <v>227</v>
      </c>
      <c r="Q306" s="22">
        <v>0.54</v>
      </c>
      <c r="R306" s="22" t="s">
        <v>190</v>
      </c>
      <c r="S306" s="29">
        <f>AVERAGE(7.3,6)</f>
        <v>6.65</v>
      </c>
      <c r="T306" s="79">
        <f t="shared" si="86"/>
        <v>3.4732351500000006E-3</v>
      </c>
      <c r="U306" s="22">
        <v>7</v>
      </c>
      <c r="V306" s="22">
        <v>11</v>
      </c>
      <c r="W306" s="10">
        <f t="shared" si="90"/>
        <v>0.19198621771937624</v>
      </c>
      <c r="X306" s="22">
        <v>5</v>
      </c>
      <c r="Y306" s="22">
        <v>32</v>
      </c>
      <c r="Z306" s="10">
        <f t="shared" si="91"/>
        <v>0.55850536063818546</v>
      </c>
      <c r="AA306" s="10">
        <f t="shared" si="92"/>
        <v>3.9852592888018377</v>
      </c>
      <c r="AB306" s="10">
        <f t="shared" si="93"/>
        <v>5.6188279799751193</v>
      </c>
      <c r="AC306" s="10">
        <f t="shared" si="79"/>
        <v>0.70235349749688991</v>
      </c>
      <c r="AD306" s="10">
        <f t="shared" si="83"/>
        <v>2.8094139899875596</v>
      </c>
      <c r="AE306" s="65"/>
      <c r="AF306" s="10">
        <f t="shared" si="84"/>
        <v>11.566263330005675</v>
      </c>
      <c r="AG306" s="8">
        <f t="shared" si="80"/>
        <v>2.2554213493511068</v>
      </c>
      <c r="AH306" s="10">
        <f t="shared" si="81"/>
        <v>5.7831316650028377</v>
      </c>
      <c r="AI306" s="63"/>
      <c r="AJ306" s="10">
        <f t="shared" si="85"/>
        <v>7.784200000000002</v>
      </c>
      <c r="AK306" s="8"/>
      <c r="AL306" s="8">
        <f t="shared" si="82"/>
        <v>3.892100000000001</v>
      </c>
    </row>
    <row r="307" spans="1:38">
      <c r="A307" s="18">
        <v>41466</v>
      </c>
      <c r="B307" s="19" t="s">
        <v>119</v>
      </c>
      <c r="C307" s="12">
        <v>50.7</v>
      </c>
      <c r="D307" s="19" t="s">
        <v>80</v>
      </c>
      <c r="E307" s="16">
        <v>8.4109999999999996</v>
      </c>
      <c r="F307" s="8">
        <v>83.313580000000002</v>
      </c>
      <c r="G307" s="22">
        <v>50</v>
      </c>
      <c r="H307" s="22">
        <v>-24</v>
      </c>
      <c r="I307" s="10">
        <f t="shared" si="87"/>
        <v>-4.0863577716916133</v>
      </c>
      <c r="J307" s="10">
        <f t="shared" si="88"/>
        <v>-7.1320397530477392E-2</v>
      </c>
      <c r="K307" s="10">
        <f t="shared" si="89"/>
        <v>21.053522721748294</v>
      </c>
      <c r="L307" s="22">
        <v>386</v>
      </c>
      <c r="M307" s="22" t="s">
        <v>252</v>
      </c>
      <c r="N307" s="8" t="s">
        <v>198</v>
      </c>
      <c r="O307" s="10" t="s">
        <v>226</v>
      </c>
      <c r="P307" s="10" t="s">
        <v>227</v>
      </c>
      <c r="Q307" s="22">
        <v>0.54</v>
      </c>
      <c r="R307" s="22" t="s">
        <v>190</v>
      </c>
      <c r="S307" s="29">
        <f>AVERAGE(8.4,8.3)</f>
        <v>8.3500000000000014</v>
      </c>
      <c r="T307" s="79">
        <f t="shared" si="86"/>
        <v>5.4760051500000019E-3</v>
      </c>
      <c r="U307" s="22">
        <v>6</v>
      </c>
      <c r="V307" s="22">
        <v>60</v>
      </c>
      <c r="W307" s="10">
        <f t="shared" si="90"/>
        <v>1.0471975511965976</v>
      </c>
      <c r="X307" s="22">
        <v>7</v>
      </c>
      <c r="Y307" s="22">
        <v>19</v>
      </c>
      <c r="Z307" s="10">
        <f t="shared" si="91"/>
        <v>0.33161255787892263</v>
      </c>
      <c r="AA307" s="10">
        <f t="shared" si="92"/>
        <v>7.4751295039067287</v>
      </c>
      <c r="AB307" s="10">
        <f t="shared" si="93"/>
        <v>15.569835609459128</v>
      </c>
      <c r="AC307" s="10">
        <f t="shared" si="79"/>
        <v>1.946229451182391</v>
      </c>
      <c r="AD307" s="10">
        <f t="shared" si="83"/>
        <v>7.784917804729564</v>
      </c>
      <c r="AE307" s="65"/>
      <c r="AF307" s="10">
        <f t="shared" si="84"/>
        <v>20.299988414805391</v>
      </c>
      <c r="AG307" s="8">
        <f t="shared" si="80"/>
        <v>3.9584977408870512</v>
      </c>
      <c r="AH307" s="10">
        <f t="shared" si="81"/>
        <v>10.149994207402695</v>
      </c>
      <c r="AI307" s="63"/>
      <c r="AJ307" s="10">
        <f t="shared" si="85"/>
        <v>14.834100000000007</v>
      </c>
      <c r="AK307" s="8"/>
      <c r="AL307" s="8">
        <f t="shared" si="82"/>
        <v>7.4170500000000033</v>
      </c>
    </row>
    <row r="308" spans="1:38">
      <c r="A308" s="18">
        <v>41466</v>
      </c>
      <c r="B308" s="19" t="s">
        <v>119</v>
      </c>
      <c r="C308" s="12">
        <v>50.7</v>
      </c>
      <c r="D308" s="19" t="s">
        <v>80</v>
      </c>
      <c r="E308" s="16">
        <v>8.4109999999999996</v>
      </c>
      <c r="F308" s="8">
        <v>83.313580000000002</v>
      </c>
      <c r="G308" s="22">
        <v>50</v>
      </c>
      <c r="H308" s="22">
        <v>-24</v>
      </c>
      <c r="I308" s="10">
        <f t="shared" si="87"/>
        <v>-4.0863577716916133</v>
      </c>
      <c r="J308" s="10">
        <f t="shared" si="88"/>
        <v>-7.1320397530477392E-2</v>
      </c>
      <c r="K308" s="10">
        <f t="shared" si="89"/>
        <v>21.053522721748294</v>
      </c>
      <c r="L308" s="22">
        <v>8394</v>
      </c>
      <c r="M308" s="31" t="s">
        <v>39</v>
      </c>
      <c r="N308" s="8" t="s">
        <v>69</v>
      </c>
      <c r="O308" s="10" t="s">
        <v>65</v>
      </c>
      <c r="P308" s="10" t="s">
        <v>70</v>
      </c>
      <c r="Q308" s="8">
        <v>0.37</v>
      </c>
      <c r="R308" s="8" t="s">
        <v>71</v>
      </c>
      <c r="S308" s="12">
        <f>AVERAGE(8.3,8.5)</f>
        <v>8.4</v>
      </c>
      <c r="T308" s="79">
        <f t="shared" si="86"/>
        <v>5.5417824000000004E-3</v>
      </c>
      <c r="U308" s="22">
        <v>8</v>
      </c>
      <c r="V308" s="22">
        <v>55</v>
      </c>
      <c r="W308" s="10">
        <f t="shared" si="90"/>
        <v>0.95993108859688125</v>
      </c>
      <c r="X308" s="22">
        <v>9</v>
      </c>
      <c r="Y308" s="22">
        <v>30</v>
      </c>
      <c r="Z308" s="10">
        <f t="shared" si="91"/>
        <v>0.52359877559829882</v>
      </c>
      <c r="AA308" s="10">
        <f t="shared" si="92"/>
        <v>11.053216354311934</v>
      </c>
      <c r="AB308" s="10">
        <f t="shared" si="93"/>
        <v>15.940272828077473</v>
      </c>
      <c r="AC308" s="10">
        <f t="shared" si="79"/>
        <v>1.9925341035096842</v>
      </c>
      <c r="AD308" s="10">
        <f t="shared" si="83"/>
        <v>7.9701364140387367</v>
      </c>
      <c r="AE308" s="65"/>
      <c r="AF308" s="10">
        <f t="shared" si="84"/>
        <v>14.116647861656185</v>
      </c>
      <c r="AG308" s="8">
        <f t="shared" si="80"/>
        <v>2.752746333022956</v>
      </c>
      <c r="AH308" s="10">
        <f t="shared" si="81"/>
        <v>7.0583239308280925</v>
      </c>
      <c r="AI308" s="63"/>
      <c r="AJ308" s="10">
        <f t="shared" si="85"/>
        <v>15.106199999999987</v>
      </c>
      <c r="AK308" s="8"/>
      <c r="AL308" s="8">
        <f t="shared" si="82"/>
        <v>7.5530999999999935</v>
      </c>
    </row>
    <row r="309" spans="1:38">
      <c r="A309" s="18">
        <v>41466</v>
      </c>
      <c r="B309" s="19" t="s">
        <v>119</v>
      </c>
      <c r="C309" s="12">
        <v>50.7</v>
      </c>
      <c r="D309" s="19" t="s">
        <v>80</v>
      </c>
      <c r="E309" s="16">
        <v>8.4109999999999996</v>
      </c>
      <c r="F309" s="8">
        <v>83.313580000000002</v>
      </c>
      <c r="G309" s="22">
        <v>50</v>
      </c>
      <c r="H309" s="22">
        <v>-24</v>
      </c>
      <c r="I309" s="10">
        <f t="shared" si="87"/>
        <v>-4.0863577716916133</v>
      </c>
      <c r="J309" s="10">
        <f t="shared" si="88"/>
        <v>-7.1320397530477392E-2</v>
      </c>
      <c r="K309" s="10">
        <f t="shared" si="89"/>
        <v>21.053522721748294</v>
      </c>
      <c r="L309" s="22">
        <v>382</v>
      </c>
      <c r="M309" s="31" t="s">
        <v>54</v>
      </c>
      <c r="N309" s="8" t="s">
        <v>55</v>
      </c>
      <c r="O309" s="10" t="s">
        <v>56</v>
      </c>
      <c r="P309" s="10" t="s">
        <v>57</v>
      </c>
      <c r="Q309" s="11">
        <v>0.315</v>
      </c>
      <c r="R309" s="12" t="s">
        <v>66</v>
      </c>
      <c r="S309" s="29">
        <f>AVERAGE(9.2,8.3)</f>
        <v>8.75</v>
      </c>
      <c r="T309" s="79">
        <f t="shared" si="86"/>
        <v>6.0132187500000003E-3</v>
      </c>
      <c r="U309" s="22">
        <v>9</v>
      </c>
      <c r="V309" s="22">
        <v>63</v>
      </c>
      <c r="W309" s="10">
        <f t="shared" si="90"/>
        <v>1.0995574287564276</v>
      </c>
      <c r="X309" s="22">
        <v>7</v>
      </c>
      <c r="Y309" s="22">
        <v>35</v>
      </c>
      <c r="Z309" s="10">
        <f t="shared" si="91"/>
        <v>0.6108652381980153</v>
      </c>
      <c r="AA309" s="10">
        <f t="shared" si="92"/>
        <v>12.034093772152634</v>
      </c>
      <c r="AB309" s="10">
        <f t="shared" si="93"/>
        <v>16.026451341663261</v>
      </c>
      <c r="AC309" s="10">
        <f t="shared" si="79"/>
        <v>2.0033064177079076</v>
      </c>
      <c r="AD309" s="10">
        <f t="shared" si="83"/>
        <v>8.0132256708316305</v>
      </c>
      <c r="AE309" s="65"/>
      <c r="AF309" s="10">
        <f t="shared" si="84"/>
        <v>13.298841411914648</v>
      </c>
      <c r="AG309" s="8">
        <f t="shared" si="80"/>
        <v>2.5932740753233565</v>
      </c>
      <c r="AH309" s="10">
        <f t="shared" si="81"/>
        <v>6.6494207059573238</v>
      </c>
      <c r="AI309" s="63"/>
      <c r="AJ309" s="10">
        <f t="shared" si="85"/>
        <v>17.114499999999992</v>
      </c>
      <c r="AK309" s="8"/>
      <c r="AL309" s="8">
        <f t="shared" si="82"/>
        <v>8.5572499999999962</v>
      </c>
    </row>
    <row r="310" spans="1:38">
      <c r="A310" s="18">
        <v>41466</v>
      </c>
      <c r="B310" s="19" t="s">
        <v>119</v>
      </c>
      <c r="C310" s="12">
        <v>50.7</v>
      </c>
      <c r="D310" s="19" t="s">
        <v>80</v>
      </c>
      <c r="E310" s="16">
        <v>8.4109999999999996</v>
      </c>
      <c r="F310" s="8">
        <v>83.313580000000002</v>
      </c>
      <c r="G310" s="22">
        <v>50</v>
      </c>
      <c r="H310" s="22">
        <v>-24</v>
      </c>
      <c r="I310" s="10">
        <f t="shared" si="87"/>
        <v>-4.0863577716916133</v>
      </c>
      <c r="J310" s="10">
        <f t="shared" si="88"/>
        <v>-7.1320397530477392E-2</v>
      </c>
      <c r="K310" s="10">
        <f t="shared" si="89"/>
        <v>21.053522721748294</v>
      </c>
      <c r="L310" s="22">
        <v>379</v>
      </c>
      <c r="M310" s="22" t="s">
        <v>252</v>
      </c>
      <c r="N310" s="8" t="s">
        <v>198</v>
      </c>
      <c r="O310" s="10" t="s">
        <v>226</v>
      </c>
      <c r="P310" s="10" t="s">
        <v>227</v>
      </c>
      <c r="Q310" s="22">
        <v>0.54</v>
      </c>
      <c r="R310" s="22" t="s">
        <v>190</v>
      </c>
      <c r="S310" s="29">
        <f>AVERAGE(5.9,5.2)</f>
        <v>5.5500000000000007</v>
      </c>
      <c r="T310" s="79">
        <f t="shared" si="86"/>
        <v>2.419228350000001E-3</v>
      </c>
      <c r="U310" s="22">
        <v>6</v>
      </c>
      <c r="V310" s="22">
        <v>34</v>
      </c>
      <c r="W310" s="10">
        <f t="shared" si="90"/>
        <v>0.59341194567807209</v>
      </c>
      <c r="X310" s="22">
        <v>6</v>
      </c>
      <c r="Y310" s="22">
        <v>35</v>
      </c>
      <c r="Z310" s="10">
        <f t="shared" si="91"/>
        <v>0.6108652381980153</v>
      </c>
      <c r="AA310" s="10">
        <f t="shared" si="92"/>
        <v>6.7966160389307575</v>
      </c>
      <c r="AB310" s="10">
        <f t="shared" si="93"/>
        <v>6.6059888393739916</v>
      </c>
      <c r="AC310" s="10">
        <f t="shared" si="79"/>
        <v>0.82574860492174895</v>
      </c>
      <c r="AD310" s="10">
        <f t="shared" si="83"/>
        <v>3.3029944196869958</v>
      </c>
      <c r="AE310" s="65"/>
      <c r="AF310" s="10">
        <f t="shared" si="84"/>
        <v>7.4236432670320953</v>
      </c>
      <c r="AG310" s="8">
        <f t="shared" si="80"/>
        <v>1.4476104370712586</v>
      </c>
      <c r="AH310" s="10">
        <f t="shared" si="81"/>
        <v>3.7118216335160477</v>
      </c>
      <c r="AI310" s="63"/>
      <c r="AJ310" s="10">
        <f t="shared" si="85"/>
        <v>5.5017000000000031</v>
      </c>
      <c r="AK310" s="8"/>
      <c r="AL310" s="8">
        <f t="shared" si="82"/>
        <v>2.7508500000000016</v>
      </c>
    </row>
    <row r="311" spans="1:38">
      <c r="A311" s="18">
        <v>41466</v>
      </c>
      <c r="B311" s="19" t="s">
        <v>119</v>
      </c>
      <c r="C311" s="12">
        <v>50.7</v>
      </c>
      <c r="D311" s="19" t="s">
        <v>80</v>
      </c>
      <c r="E311" s="16">
        <v>8.4109999999999996</v>
      </c>
      <c r="F311" s="8">
        <v>83.313580000000002</v>
      </c>
      <c r="G311" s="22">
        <v>50</v>
      </c>
      <c r="H311" s="22">
        <v>-24</v>
      </c>
      <c r="I311" s="10">
        <f t="shared" si="87"/>
        <v>-4.0863577716916133</v>
      </c>
      <c r="J311" s="10">
        <f t="shared" si="88"/>
        <v>-7.1320397530477392E-2</v>
      </c>
      <c r="K311" s="10">
        <f t="shared" si="89"/>
        <v>21.053522721748294</v>
      </c>
      <c r="L311" s="22">
        <v>8390</v>
      </c>
      <c r="M311" s="22" t="s">
        <v>126</v>
      </c>
      <c r="N311" s="22" t="s">
        <v>180</v>
      </c>
      <c r="O311" s="50" t="s">
        <v>216</v>
      </c>
      <c r="P311" s="51" t="s">
        <v>92</v>
      </c>
      <c r="Q311" s="8">
        <v>0.68</v>
      </c>
      <c r="R311" s="22" t="s">
        <v>190</v>
      </c>
      <c r="S311" s="29">
        <f>AVERAGE(8,7.9)</f>
        <v>7.95</v>
      </c>
      <c r="T311" s="79">
        <f t="shared" si="86"/>
        <v>4.9639243500000001E-3</v>
      </c>
      <c r="U311" s="22">
        <v>10</v>
      </c>
      <c r="V311" s="22">
        <v>72</v>
      </c>
      <c r="W311" s="10">
        <f t="shared" si="90"/>
        <v>1.2566370614359172</v>
      </c>
      <c r="X311" s="22">
        <v>5</v>
      </c>
      <c r="Y311" s="22">
        <v>0</v>
      </c>
      <c r="Z311" s="10">
        <f t="shared" si="91"/>
        <v>0</v>
      </c>
      <c r="AA311" s="10">
        <f t="shared" si="92"/>
        <v>9.5105651629515346</v>
      </c>
      <c r="AB311" s="10">
        <f t="shared" si="93"/>
        <v>22.111807614034859</v>
      </c>
      <c r="AC311" s="10">
        <f t="shared" si="79"/>
        <v>2.7639759517543574</v>
      </c>
      <c r="AD311" s="10">
        <f t="shared" si="83"/>
        <v>11.05590380701743</v>
      </c>
      <c r="AE311" s="65"/>
      <c r="AF311" s="10">
        <f t="shared" si="84"/>
        <v>22.635632192801193</v>
      </c>
      <c r="AG311" s="8">
        <f t="shared" si="80"/>
        <v>4.4139482775962326</v>
      </c>
      <c r="AH311" s="10">
        <f t="shared" si="81"/>
        <v>11.317816096400596</v>
      </c>
      <c r="AI311" s="63"/>
      <c r="AJ311" s="10">
        <f t="shared" si="85"/>
        <v>12.790500000000002</v>
      </c>
      <c r="AK311" s="8"/>
      <c r="AL311" s="8">
        <f t="shared" si="82"/>
        <v>6.3952500000000008</v>
      </c>
    </row>
    <row r="312" spans="1:38">
      <c r="A312" s="18">
        <v>41466</v>
      </c>
      <c r="B312" s="19" t="s">
        <v>119</v>
      </c>
      <c r="C312" s="12">
        <v>50.7</v>
      </c>
      <c r="D312" s="19" t="s">
        <v>80</v>
      </c>
      <c r="E312" s="16">
        <v>8.4109999999999996</v>
      </c>
      <c r="F312" s="8">
        <v>83.313580000000002</v>
      </c>
      <c r="G312" s="22">
        <v>50</v>
      </c>
      <c r="H312" s="22">
        <v>-24</v>
      </c>
      <c r="I312" s="10">
        <f t="shared" si="87"/>
        <v>-4.0863577716916133</v>
      </c>
      <c r="J312" s="10">
        <f t="shared" si="88"/>
        <v>-7.1320397530477392E-2</v>
      </c>
      <c r="K312" s="10">
        <f t="shared" si="89"/>
        <v>21.053522721748294</v>
      </c>
      <c r="L312" s="22">
        <v>8388</v>
      </c>
      <c r="M312" s="31" t="s">
        <v>78</v>
      </c>
      <c r="N312" s="22" t="s">
        <v>87</v>
      </c>
      <c r="O312" s="10" t="s">
        <v>88</v>
      </c>
      <c r="P312" s="10" t="s">
        <v>89</v>
      </c>
      <c r="Q312" s="23">
        <v>0.64</v>
      </c>
      <c r="R312" s="22" t="s">
        <v>90</v>
      </c>
      <c r="S312" s="12">
        <v>53.6</v>
      </c>
      <c r="T312" s="79">
        <f t="shared" si="86"/>
        <v>0.22564227840000001</v>
      </c>
      <c r="U312" s="22">
        <v>10</v>
      </c>
      <c r="V312" s="22">
        <v>71</v>
      </c>
      <c r="W312" s="10">
        <f t="shared" si="90"/>
        <v>1.2391837689159739</v>
      </c>
      <c r="X312" s="22">
        <v>7</v>
      </c>
      <c r="Y312" s="22">
        <v>7</v>
      </c>
      <c r="Z312" s="10">
        <f t="shared" si="91"/>
        <v>0.12217304763960307</v>
      </c>
      <c r="AA312" s="10">
        <f t="shared" si="92"/>
        <v>10.3082711598292</v>
      </c>
      <c r="AB312" s="10">
        <f t="shared" si="93"/>
        <v>814.50805869914382</v>
      </c>
      <c r="AC312" s="10">
        <f t="shared" si="79"/>
        <v>101.81350733739298</v>
      </c>
      <c r="AD312" s="10">
        <f t="shared" si="83"/>
        <v>407.25402934957191</v>
      </c>
      <c r="AE312" s="65"/>
      <c r="AF312" s="10">
        <f t="shared" si="84"/>
        <v>2221.7884918898962</v>
      </c>
      <c r="AG312" s="8">
        <f t="shared" si="80"/>
        <v>433.24875591852981</v>
      </c>
      <c r="AH312" s="10">
        <f t="shared" si="81"/>
        <v>1110.8942459449481</v>
      </c>
      <c r="AI312" s="63"/>
      <c r="AJ312" s="10">
        <f t="shared" si="85"/>
        <v>1774.6066000000001</v>
      </c>
      <c r="AK312" s="8"/>
      <c r="AL312" s="8">
        <f t="shared" si="82"/>
        <v>887.30330000000004</v>
      </c>
    </row>
    <row r="313" spans="1:38">
      <c r="A313" s="18">
        <v>41466</v>
      </c>
      <c r="B313" s="19" t="s">
        <v>119</v>
      </c>
      <c r="C313" s="12">
        <v>50.7</v>
      </c>
      <c r="D313" s="19" t="s">
        <v>80</v>
      </c>
      <c r="E313" s="16">
        <v>8.4109999999999996</v>
      </c>
      <c r="F313" s="8">
        <v>83.313580000000002</v>
      </c>
      <c r="G313" s="22">
        <v>50</v>
      </c>
      <c r="H313" s="22">
        <v>-24</v>
      </c>
      <c r="I313" s="10">
        <f t="shared" si="87"/>
        <v>-4.0863577716916133</v>
      </c>
      <c r="J313" s="10">
        <f t="shared" si="88"/>
        <v>-7.1320397530477392E-2</v>
      </c>
      <c r="K313" s="10">
        <f t="shared" si="89"/>
        <v>21.053522721748294</v>
      </c>
      <c r="L313" s="22">
        <v>8387</v>
      </c>
      <c r="M313" s="22" t="s">
        <v>126</v>
      </c>
      <c r="N313" s="22" t="s">
        <v>180</v>
      </c>
      <c r="O313" s="50" t="s">
        <v>216</v>
      </c>
      <c r="P313" s="51" t="s">
        <v>92</v>
      </c>
      <c r="Q313" s="8">
        <v>0.68</v>
      </c>
      <c r="R313" s="22" t="s">
        <v>190</v>
      </c>
      <c r="S313" s="29">
        <f>AVERAGE(9.9,10.8)</f>
        <v>10.350000000000001</v>
      </c>
      <c r="T313" s="79">
        <f t="shared" si="86"/>
        <v>8.4134011500000029E-3</v>
      </c>
      <c r="U313" s="22">
        <v>9</v>
      </c>
      <c r="V313" s="22">
        <v>50</v>
      </c>
      <c r="W313" s="10">
        <f t="shared" si="90"/>
        <v>0.87266462599716477</v>
      </c>
      <c r="X313" s="22">
        <v>8</v>
      </c>
      <c r="Y313" s="22">
        <v>4</v>
      </c>
      <c r="Z313" s="10">
        <f t="shared" si="91"/>
        <v>6.9813170079773182E-2</v>
      </c>
      <c r="AA313" s="10">
        <f t="shared" si="92"/>
        <v>7.4524517780238044</v>
      </c>
      <c r="AB313" s="10">
        <f t="shared" si="93"/>
        <v>28.871488894316492</v>
      </c>
      <c r="AC313" s="10">
        <f t="shared" si="79"/>
        <v>3.6089361117895615</v>
      </c>
      <c r="AD313" s="10">
        <f t="shared" si="83"/>
        <v>14.435744447158246</v>
      </c>
      <c r="AE313" s="65"/>
      <c r="AF313" s="10">
        <f t="shared" si="84"/>
        <v>43.573500439865136</v>
      </c>
      <c r="AG313" s="8">
        <f t="shared" si="80"/>
        <v>8.496832585773701</v>
      </c>
      <c r="AH313" s="10">
        <f t="shared" si="81"/>
        <v>21.786750219932568</v>
      </c>
      <c r="AI313" s="63"/>
      <c r="AJ313" s="10">
        <f t="shared" si="85"/>
        <v>28.604100000000003</v>
      </c>
      <c r="AK313" s="8"/>
      <c r="AL313" s="8">
        <f t="shared" si="82"/>
        <v>14.302050000000001</v>
      </c>
    </row>
    <row r="314" spans="1:38">
      <c r="A314" s="18">
        <v>41466</v>
      </c>
      <c r="B314" s="19" t="s">
        <v>119</v>
      </c>
      <c r="C314" s="12">
        <v>50.7</v>
      </c>
      <c r="D314" s="19" t="s">
        <v>80</v>
      </c>
      <c r="E314" s="16">
        <v>8.4109999999999996</v>
      </c>
      <c r="F314" s="8">
        <v>83.313580000000002</v>
      </c>
      <c r="G314" s="22">
        <v>50</v>
      </c>
      <c r="H314" s="22">
        <v>-24</v>
      </c>
      <c r="I314" s="10">
        <f t="shared" si="87"/>
        <v>-4.0863577716916133</v>
      </c>
      <c r="J314" s="10">
        <f t="shared" si="88"/>
        <v>-7.1320397530477392E-2</v>
      </c>
      <c r="K314" s="10">
        <f t="shared" si="89"/>
        <v>21.053522721748294</v>
      </c>
      <c r="L314" s="22">
        <v>8381</v>
      </c>
      <c r="M314" s="22" t="s">
        <v>252</v>
      </c>
      <c r="N314" s="8" t="s">
        <v>198</v>
      </c>
      <c r="O314" s="10" t="s">
        <v>226</v>
      </c>
      <c r="P314" s="10" t="s">
        <v>227</v>
      </c>
      <c r="Q314" s="22">
        <v>0.54</v>
      </c>
      <c r="R314" s="22" t="s">
        <v>190</v>
      </c>
      <c r="S314" s="29">
        <f>AVERAGE(11.2,10.1)</f>
        <v>10.649999999999999</v>
      </c>
      <c r="T314" s="79">
        <f t="shared" si="86"/>
        <v>8.9082031499999985E-3</v>
      </c>
      <c r="U314" s="22">
        <v>7</v>
      </c>
      <c r="V314" s="22">
        <v>42</v>
      </c>
      <c r="W314" s="10">
        <f t="shared" si="90"/>
        <v>0.73303828583761843</v>
      </c>
      <c r="X314" s="22">
        <v>8</v>
      </c>
      <c r="Y314" s="22">
        <v>7</v>
      </c>
      <c r="Z314" s="10">
        <f t="shared" si="91"/>
        <v>0.12217304763960307</v>
      </c>
      <c r="AA314" s="10">
        <f t="shared" si="92"/>
        <v>5.6588689917531871</v>
      </c>
      <c r="AB314" s="10">
        <f t="shared" si="93"/>
        <v>18.936293639229341</v>
      </c>
      <c r="AC314" s="10">
        <f t="shared" si="79"/>
        <v>2.3670367049036676</v>
      </c>
      <c r="AD314" s="10">
        <f t="shared" si="83"/>
        <v>9.4681468196146703</v>
      </c>
      <c r="AE314" s="65"/>
      <c r="AF314" s="10">
        <f t="shared" si="84"/>
        <v>37.15127419057908</v>
      </c>
      <c r="AG314" s="8">
        <f t="shared" si="80"/>
        <v>7.2444984671629209</v>
      </c>
      <c r="AH314" s="10">
        <f t="shared" si="81"/>
        <v>18.57563709528954</v>
      </c>
      <c r="AI314" s="63"/>
      <c r="AJ314" s="10">
        <f t="shared" si="85"/>
        <v>31.180199999999985</v>
      </c>
      <c r="AK314" s="8"/>
      <c r="AL314" s="8">
        <f t="shared" si="82"/>
        <v>15.590099999999993</v>
      </c>
    </row>
    <row r="315" spans="1:38">
      <c r="A315" s="18">
        <v>41466</v>
      </c>
      <c r="B315" s="19" t="s">
        <v>119</v>
      </c>
      <c r="C315" s="12">
        <v>50.7</v>
      </c>
      <c r="D315" s="19" t="s">
        <v>80</v>
      </c>
      <c r="E315" s="16">
        <v>8.4109999999999996</v>
      </c>
      <c r="F315" s="8">
        <v>83.313580000000002</v>
      </c>
      <c r="G315" s="22">
        <v>50</v>
      </c>
      <c r="H315" s="22">
        <v>-24</v>
      </c>
      <c r="I315" s="10">
        <f t="shared" si="87"/>
        <v>-4.0863577716916133</v>
      </c>
      <c r="J315" s="10">
        <f t="shared" si="88"/>
        <v>-7.1320397530477392E-2</v>
      </c>
      <c r="K315" s="10">
        <f t="shared" si="89"/>
        <v>21.053522721748294</v>
      </c>
      <c r="L315" s="22">
        <v>8393</v>
      </c>
      <c r="M315" s="22" t="s">
        <v>252</v>
      </c>
      <c r="N315" s="8" t="s">
        <v>198</v>
      </c>
      <c r="O315" s="10" t="s">
        <v>226</v>
      </c>
      <c r="P315" s="10" t="s">
        <v>227</v>
      </c>
      <c r="Q315" s="22">
        <v>0.54</v>
      </c>
      <c r="R315" s="22" t="s">
        <v>190</v>
      </c>
      <c r="S315" s="12">
        <f>AVERAGE(11.3,12.3)</f>
        <v>11.8</v>
      </c>
      <c r="T315" s="79">
        <f t="shared" si="86"/>
        <v>1.0935909600000002E-2</v>
      </c>
      <c r="U315" s="22">
        <v>9</v>
      </c>
      <c r="V315" s="22">
        <v>32</v>
      </c>
      <c r="W315" s="10">
        <f t="shared" si="90"/>
        <v>0.55850536063818546</v>
      </c>
      <c r="X315" s="22">
        <v>8</v>
      </c>
      <c r="Y315" s="22">
        <v>7</v>
      </c>
      <c r="Z315" s="10">
        <f t="shared" si="91"/>
        <v>0.12217304763960307</v>
      </c>
      <c r="AA315" s="10">
        <f t="shared" si="92"/>
        <v>5.7442281253400234</v>
      </c>
      <c r="AB315" s="10">
        <f t="shared" si="93"/>
        <v>23.287764872993929</v>
      </c>
      <c r="AC315" s="10">
        <f t="shared" si="79"/>
        <v>2.9109706091242411</v>
      </c>
      <c r="AD315" s="10">
        <f t="shared" si="83"/>
        <v>11.643882436496964</v>
      </c>
      <c r="AE315" s="65"/>
      <c r="AF315" s="10">
        <f t="shared" si="84"/>
        <v>47.948432159197949</v>
      </c>
      <c r="AG315" s="8">
        <f t="shared" si="80"/>
        <v>9.3499442710436007</v>
      </c>
      <c r="AH315" s="10">
        <f t="shared" si="81"/>
        <v>23.974216079598975</v>
      </c>
      <c r="AI315" s="63"/>
      <c r="AJ315" s="10">
        <f t="shared" si="85"/>
        <v>42.289199999999994</v>
      </c>
      <c r="AK315" s="8"/>
      <c r="AL315" s="8">
        <f t="shared" si="82"/>
        <v>21.144599999999997</v>
      </c>
    </row>
    <row r="316" spans="1:38">
      <c r="A316" s="18">
        <v>41466</v>
      </c>
      <c r="B316" s="19" t="s">
        <v>119</v>
      </c>
      <c r="C316" s="12">
        <v>50.7</v>
      </c>
      <c r="D316" s="19" t="s">
        <v>80</v>
      </c>
      <c r="E316" s="16">
        <v>8.4109999999999996</v>
      </c>
      <c r="F316" s="8">
        <v>83.313580000000002</v>
      </c>
      <c r="G316" s="22">
        <v>50</v>
      </c>
      <c r="H316" s="22">
        <v>-24</v>
      </c>
      <c r="I316" s="10">
        <f t="shared" si="87"/>
        <v>-4.0863577716916133</v>
      </c>
      <c r="J316" s="10">
        <f t="shared" si="88"/>
        <v>-7.1320397530477392E-2</v>
      </c>
      <c r="K316" s="10">
        <f t="shared" si="89"/>
        <v>21.053522721748294</v>
      </c>
      <c r="L316" s="22">
        <v>8389</v>
      </c>
      <c r="M316" s="22" t="s">
        <v>252</v>
      </c>
      <c r="N316" s="8" t="s">
        <v>198</v>
      </c>
      <c r="O316" s="10" t="s">
        <v>226</v>
      </c>
      <c r="P316" s="10" t="s">
        <v>227</v>
      </c>
      <c r="Q316" s="22">
        <v>0.54</v>
      </c>
      <c r="R316" s="22" t="s">
        <v>190</v>
      </c>
      <c r="S316" s="12">
        <f>AVERAGE(6.3,6.3)</f>
        <v>6.3</v>
      </c>
      <c r="T316" s="79">
        <f t="shared" si="86"/>
        <v>3.1172525999999998E-3</v>
      </c>
      <c r="U316" s="22">
        <v>6</v>
      </c>
      <c r="V316" s="22">
        <v>50</v>
      </c>
      <c r="W316" s="10">
        <f t="shared" si="90"/>
        <v>0.87266462599716477</v>
      </c>
      <c r="X316" s="22">
        <v>7</v>
      </c>
      <c r="Y316" s="22">
        <v>31</v>
      </c>
      <c r="Z316" s="10">
        <f t="shared" si="91"/>
        <v>0.54105206811824214</v>
      </c>
      <c r="AA316" s="10">
        <f t="shared" si="92"/>
        <v>8.2015331830842477</v>
      </c>
      <c r="AB316" s="10">
        <f t="shared" si="93"/>
        <v>10.003072858638195</v>
      </c>
      <c r="AC316" s="10">
        <f t="shared" si="79"/>
        <v>1.2503841073297743</v>
      </c>
      <c r="AD316" s="10">
        <f t="shared" si="83"/>
        <v>5.0015364293190974</v>
      </c>
      <c r="AE316" s="65"/>
      <c r="AF316" s="10">
        <f t="shared" si="84"/>
        <v>10.126280842929946</v>
      </c>
      <c r="AG316" s="8">
        <f t="shared" si="80"/>
        <v>1.9746247643713395</v>
      </c>
      <c r="AH316" s="10">
        <f t="shared" si="81"/>
        <v>5.0631404214649729</v>
      </c>
      <c r="AI316" s="63"/>
      <c r="AJ316" s="10">
        <f t="shared" si="85"/>
        <v>6.8637000000000015</v>
      </c>
      <c r="AK316" s="8"/>
      <c r="AL316" s="8">
        <f t="shared" si="82"/>
        <v>3.4318500000000007</v>
      </c>
    </row>
    <row r="317" spans="1:38">
      <c r="A317" s="18">
        <v>41466</v>
      </c>
      <c r="B317" s="19" t="s">
        <v>119</v>
      </c>
      <c r="C317" s="12">
        <v>50.7</v>
      </c>
      <c r="D317" s="19" t="s">
        <v>80</v>
      </c>
      <c r="E317" s="16">
        <v>8.4109999999999996</v>
      </c>
      <c r="F317" s="8">
        <v>83.313580000000002</v>
      </c>
      <c r="G317" s="22">
        <v>50</v>
      </c>
      <c r="H317" s="22">
        <v>-24</v>
      </c>
      <c r="I317" s="10">
        <f t="shared" si="87"/>
        <v>-4.0863577716916133</v>
      </c>
      <c r="J317" s="10">
        <f t="shared" si="88"/>
        <v>-7.1320397530477392E-2</v>
      </c>
      <c r="K317" s="10">
        <f t="shared" ref="K317:K347" si="94">21/COS(J317)</f>
        <v>21.053522721748294</v>
      </c>
      <c r="L317" s="22">
        <v>8392</v>
      </c>
      <c r="M317" s="31" t="s">
        <v>127</v>
      </c>
      <c r="N317" s="7" t="s">
        <v>180</v>
      </c>
      <c r="O317" s="33" t="s">
        <v>217</v>
      </c>
      <c r="P317" s="34" t="s">
        <v>92</v>
      </c>
      <c r="Q317" s="7">
        <v>0.41</v>
      </c>
      <c r="R317" s="7" t="s">
        <v>190</v>
      </c>
      <c r="S317" s="29">
        <f>AVERAGE(10.9,10)</f>
        <v>10.45</v>
      </c>
      <c r="T317" s="79">
        <f t="shared" si="86"/>
        <v>8.5767643500000001E-3</v>
      </c>
      <c r="U317" s="22">
        <v>6</v>
      </c>
      <c r="V317" s="22">
        <v>45</v>
      </c>
      <c r="W317" s="10">
        <f t="shared" si="90"/>
        <v>0.78539816339744828</v>
      </c>
      <c r="X317" s="22">
        <v>6</v>
      </c>
      <c r="Y317" s="22">
        <v>32</v>
      </c>
      <c r="Z317" s="10">
        <f t="shared" si="91"/>
        <v>0.55850536063818546</v>
      </c>
      <c r="AA317" s="10">
        <f t="shared" si="92"/>
        <v>7.4221562725185137</v>
      </c>
      <c r="AB317" s="10">
        <f t="shared" si="93"/>
        <v>18.201847067467082</v>
      </c>
      <c r="AC317" s="10">
        <f t="shared" si="79"/>
        <v>2.2752308834333852</v>
      </c>
      <c r="AD317" s="10">
        <f t="shared" si="83"/>
        <v>9.1009235337335408</v>
      </c>
      <c r="AE317" s="65"/>
      <c r="AF317" s="10">
        <f t="shared" si="84"/>
        <v>26.908147370636428</v>
      </c>
      <c r="AG317" s="8">
        <f t="shared" si="80"/>
        <v>5.2470887372741037</v>
      </c>
      <c r="AH317" s="10">
        <f t="shared" si="81"/>
        <v>13.454073685318214</v>
      </c>
      <c r="AI317" s="63"/>
      <c r="AJ317" s="10">
        <f t="shared" si="85"/>
        <v>29.447999999999979</v>
      </c>
      <c r="AK317" s="8"/>
      <c r="AL317" s="8">
        <f t="shared" si="82"/>
        <v>14.72399999999999</v>
      </c>
    </row>
    <row r="318" spans="1:38">
      <c r="A318" s="18">
        <v>41466</v>
      </c>
      <c r="B318" s="19" t="s">
        <v>119</v>
      </c>
      <c r="C318" s="12">
        <v>50.7</v>
      </c>
      <c r="D318" s="19" t="s">
        <v>80</v>
      </c>
      <c r="E318" s="16">
        <v>8.4109999999999996</v>
      </c>
      <c r="F318" s="8">
        <v>83.313580000000002</v>
      </c>
      <c r="G318" s="22">
        <v>50</v>
      </c>
      <c r="H318" s="22">
        <v>-24</v>
      </c>
      <c r="I318" s="10">
        <f t="shared" si="87"/>
        <v>-4.0863577716916133</v>
      </c>
      <c r="J318" s="10">
        <f t="shared" si="88"/>
        <v>-7.1320397530477392E-2</v>
      </c>
      <c r="K318" s="10">
        <f t="shared" si="94"/>
        <v>21.053522721748294</v>
      </c>
      <c r="L318" s="22">
        <v>316</v>
      </c>
      <c r="M318" s="31" t="s">
        <v>36</v>
      </c>
      <c r="N318" s="8" t="s">
        <v>46</v>
      </c>
      <c r="O318" s="10" t="s">
        <v>37</v>
      </c>
      <c r="P318" s="10" t="s">
        <v>38</v>
      </c>
      <c r="Q318" s="11">
        <v>0.48</v>
      </c>
      <c r="R318" s="8" t="s">
        <v>60</v>
      </c>
      <c r="S318" s="29">
        <f>AVERAGE(11.6,10.1)</f>
        <v>10.85</v>
      </c>
      <c r="T318" s="79">
        <f t="shared" si="86"/>
        <v>9.2459251500000006E-3</v>
      </c>
      <c r="U318" s="22">
        <v>8</v>
      </c>
      <c r="V318" s="22">
        <v>45</v>
      </c>
      <c r="W318" s="10">
        <f t="shared" si="90"/>
        <v>0.78539816339744828</v>
      </c>
      <c r="X318" s="22">
        <v>5</v>
      </c>
      <c r="Y318" s="22">
        <v>13</v>
      </c>
      <c r="Z318" s="10">
        <f t="shared" si="91"/>
        <v>0.22689280275926285</v>
      </c>
      <c r="AA318" s="10">
        <f t="shared" si="92"/>
        <v>6.7816095212117045</v>
      </c>
      <c r="AB318" s="10">
        <f t="shared" si="93"/>
        <v>20.810820594259731</v>
      </c>
      <c r="AC318" s="10">
        <f t="shared" si="79"/>
        <v>2.6013525742824664</v>
      </c>
      <c r="AD318" s="10">
        <f t="shared" si="83"/>
        <v>10.405410297129865</v>
      </c>
      <c r="AE318" s="65"/>
      <c r="AF318" s="10">
        <f t="shared" si="84"/>
        <v>34.58776207575422</v>
      </c>
      <c r="AG318" s="8">
        <f t="shared" si="80"/>
        <v>6.7446136047720735</v>
      </c>
      <c r="AH318" s="10">
        <f t="shared" si="81"/>
        <v>17.29388103787711</v>
      </c>
      <c r="AI318" s="63"/>
      <c r="AJ318" s="10">
        <f t="shared" si="85"/>
        <v>32.971599999999995</v>
      </c>
      <c r="AK318" s="8"/>
      <c r="AL318" s="8">
        <f t="shared" si="82"/>
        <v>16.485799999999998</v>
      </c>
    </row>
    <row r="319" spans="1:38">
      <c r="A319" s="18">
        <v>41466</v>
      </c>
      <c r="B319" s="19" t="s">
        <v>119</v>
      </c>
      <c r="C319" s="12">
        <v>50.7</v>
      </c>
      <c r="D319" s="19" t="s">
        <v>80</v>
      </c>
      <c r="E319" s="16">
        <v>8.4109999999999996</v>
      </c>
      <c r="F319" s="8">
        <v>83.313580000000002</v>
      </c>
      <c r="G319" s="22">
        <v>50</v>
      </c>
      <c r="H319" s="22">
        <v>-24</v>
      </c>
      <c r="I319" s="10">
        <f t="shared" si="87"/>
        <v>-4.0863577716916133</v>
      </c>
      <c r="J319" s="10">
        <f t="shared" si="88"/>
        <v>-7.1320397530477392E-2</v>
      </c>
      <c r="K319" s="10">
        <f t="shared" si="94"/>
        <v>21.053522721748294</v>
      </c>
      <c r="L319" s="22">
        <v>315</v>
      </c>
      <c r="M319" s="31" t="s">
        <v>39</v>
      </c>
      <c r="N319" s="8" t="s">
        <v>69</v>
      </c>
      <c r="O319" s="10" t="s">
        <v>65</v>
      </c>
      <c r="P319" s="10" t="s">
        <v>70</v>
      </c>
      <c r="Q319" s="8">
        <v>0.37</v>
      </c>
      <c r="R319" s="8" t="s">
        <v>71</v>
      </c>
      <c r="S319" s="29">
        <f>AVERAGE(17.7,16.4)</f>
        <v>17.049999999999997</v>
      </c>
      <c r="T319" s="79">
        <f t="shared" si="86"/>
        <v>2.2831774349999997E-2</v>
      </c>
      <c r="U319" s="22">
        <v>7</v>
      </c>
      <c r="V319" s="22">
        <v>54</v>
      </c>
      <c r="W319" s="10">
        <f t="shared" si="90"/>
        <v>0.94247779607693793</v>
      </c>
      <c r="X319" s="22">
        <v>5</v>
      </c>
      <c r="Y319" s="22">
        <v>12</v>
      </c>
      <c r="Z319" s="10">
        <f t="shared" si="91"/>
        <v>0.20943951023931956</v>
      </c>
      <c r="AA319" s="10">
        <f t="shared" si="92"/>
        <v>6.7026774147134294</v>
      </c>
      <c r="AB319" s="10">
        <f t="shared" si="93"/>
        <v>37.695247720212642</v>
      </c>
      <c r="AC319" s="10">
        <f t="shared" si="79"/>
        <v>4.7119059650265802</v>
      </c>
      <c r="AD319" s="10">
        <f t="shared" si="83"/>
        <v>18.847623860106321</v>
      </c>
      <c r="AE319" s="65"/>
      <c r="AF319" s="10">
        <f t="shared" si="84"/>
        <v>81.967912908573595</v>
      </c>
      <c r="AG319" s="8">
        <f t="shared" si="80"/>
        <v>15.983743017171852</v>
      </c>
      <c r="AH319" s="10">
        <f t="shared" si="81"/>
        <v>40.983956454286798</v>
      </c>
      <c r="AI319" s="63"/>
      <c r="AJ319" s="10">
        <f t="shared" si="85"/>
        <v>117.86819999999997</v>
      </c>
      <c r="AK319" s="8"/>
      <c r="AL319" s="8">
        <f t="shared" si="82"/>
        <v>58.934099999999987</v>
      </c>
    </row>
    <row r="320" spans="1:38">
      <c r="A320" s="18">
        <v>41466</v>
      </c>
      <c r="B320" s="19" t="s">
        <v>119</v>
      </c>
      <c r="C320" s="12">
        <v>50.7</v>
      </c>
      <c r="D320" s="19" t="s">
        <v>80</v>
      </c>
      <c r="E320" s="16">
        <v>8.4109999999999996</v>
      </c>
      <c r="F320" s="8">
        <v>83.313580000000002</v>
      </c>
      <c r="G320" s="22">
        <v>50</v>
      </c>
      <c r="H320" s="22">
        <v>-24</v>
      </c>
      <c r="I320" s="10">
        <f t="shared" si="87"/>
        <v>-4.0863577716916133</v>
      </c>
      <c r="J320" s="10">
        <f t="shared" si="88"/>
        <v>-7.1320397530477392E-2</v>
      </c>
      <c r="K320" s="10">
        <f t="shared" si="94"/>
        <v>21.053522721748294</v>
      </c>
      <c r="L320" s="22">
        <v>340</v>
      </c>
      <c r="M320" s="31" t="s">
        <v>47</v>
      </c>
      <c r="N320" s="7" t="s">
        <v>48</v>
      </c>
      <c r="O320" s="33" t="s">
        <v>49</v>
      </c>
      <c r="P320" s="33" t="s">
        <v>50</v>
      </c>
      <c r="Q320" s="42">
        <v>0.75</v>
      </c>
      <c r="R320" s="7" t="s">
        <v>67</v>
      </c>
      <c r="S320" s="29">
        <f>AVERAGE(8.5,10.2)</f>
        <v>9.35</v>
      </c>
      <c r="T320" s="79">
        <f t="shared" si="86"/>
        <v>6.86616315E-3</v>
      </c>
      <c r="U320" s="22">
        <v>7</v>
      </c>
      <c r="V320" s="22">
        <v>55</v>
      </c>
      <c r="W320" s="10">
        <f t="shared" si="90"/>
        <v>0.95993108859688125</v>
      </c>
      <c r="X320" s="22">
        <v>6</v>
      </c>
      <c r="Y320" s="22">
        <v>13</v>
      </c>
      <c r="Z320" s="10">
        <f t="shared" si="91"/>
        <v>0.22689280275926285</v>
      </c>
      <c r="AA320" s="10">
        <f t="shared" si="92"/>
        <v>7.0837706360861326</v>
      </c>
      <c r="AB320" s="10">
        <f t="shared" si="93"/>
        <v>24.934103544665025</v>
      </c>
      <c r="AC320" s="10">
        <f t="shared" si="79"/>
        <v>3.1167629430831281</v>
      </c>
      <c r="AD320" s="10">
        <f t="shared" si="83"/>
        <v>12.467051772332512</v>
      </c>
      <c r="AE320" s="65"/>
      <c r="AF320" s="10">
        <f t="shared" si="84"/>
        <v>37.331848186207552</v>
      </c>
      <c r="AG320" s="8">
        <f t="shared" si="80"/>
        <v>7.279710396310473</v>
      </c>
      <c r="AH320" s="10">
        <f t="shared" si="81"/>
        <v>18.665924093103776</v>
      </c>
      <c r="AI320" s="63"/>
      <c r="AJ320" s="10">
        <f t="shared" si="85"/>
        <v>20.979100000000003</v>
      </c>
      <c r="AK320" s="8"/>
      <c r="AL320" s="8">
        <f t="shared" si="82"/>
        <v>10.489550000000001</v>
      </c>
    </row>
    <row r="321" spans="1:38">
      <c r="A321" s="18">
        <v>41466</v>
      </c>
      <c r="B321" s="19" t="s">
        <v>119</v>
      </c>
      <c r="C321" s="12">
        <v>50.7</v>
      </c>
      <c r="D321" s="19" t="s">
        <v>80</v>
      </c>
      <c r="E321" s="16">
        <v>8.4109999999999996</v>
      </c>
      <c r="F321" s="8">
        <v>83.313580000000002</v>
      </c>
      <c r="G321" s="22">
        <v>50</v>
      </c>
      <c r="H321" s="22">
        <v>-24</v>
      </c>
      <c r="I321" s="10">
        <f t="shared" si="87"/>
        <v>-4.0863577716916133</v>
      </c>
      <c r="J321" s="10">
        <f t="shared" si="88"/>
        <v>-7.1320397530477392E-2</v>
      </c>
      <c r="K321" s="10">
        <f t="shared" si="94"/>
        <v>21.053522721748294</v>
      </c>
      <c r="L321" s="22">
        <v>343</v>
      </c>
      <c r="M321" s="31" t="s">
        <v>36</v>
      </c>
      <c r="N321" s="8" t="s">
        <v>46</v>
      </c>
      <c r="O321" s="10" t="s">
        <v>37</v>
      </c>
      <c r="P321" s="10" t="s">
        <v>38</v>
      </c>
      <c r="Q321" s="11">
        <v>0.48</v>
      </c>
      <c r="R321" s="8" t="s">
        <v>60</v>
      </c>
      <c r="S321" s="12">
        <f>AVERAGE(19.7,19.9)</f>
        <v>19.799999999999997</v>
      </c>
      <c r="T321" s="79">
        <f t="shared" si="86"/>
        <v>3.0790821599999994E-2</v>
      </c>
      <c r="U321" s="22">
        <v>7</v>
      </c>
      <c r="V321" s="22">
        <v>45</v>
      </c>
      <c r="W321" s="10">
        <f t="shared" si="90"/>
        <v>0.78539816339744828</v>
      </c>
      <c r="X321" s="22">
        <v>5</v>
      </c>
      <c r="Y321" s="22">
        <v>25</v>
      </c>
      <c r="Z321" s="10">
        <f t="shared" si="91"/>
        <v>0.43633231299858238</v>
      </c>
      <c r="AA321" s="10">
        <f t="shared" si="92"/>
        <v>7.062838777009329</v>
      </c>
      <c r="AB321" s="10">
        <f t="shared" si="93"/>
        <v>66.988395736775004</v>
      </c>
      <c r="AC321" s="10">
        <f t="shared" si="79"/>
        <v>8.3735494670968755</v>
      </c>
      <c r="AD321" s="10">
        <f t="shared" si="83"/>
        <v>33.494197868387502</v>
      </c>
      <c r="AE321" s="65"/>
      <c r="AF321" s="10">
        <f t="shared" si="84"/>
        <v>153.86134115600342</v>
      </c>
      <c r="AG321" s="8">
        <f t="shared" si="80"/>
        <v>30.002961525420666</v>
      </c>
      <c r="AH321" s="10">
        <f t="shared" si="81"/>
        <v>76.93067057800171</v>
      </c>
      <c r="AI321" s="63"/>
      <c r="AJ321" s="10">
        <f t="shared" si="85"/>
        <v>173.73719999999994</v>
      </c>
      <c r="AK321" s="8"/>
      <c r="AL321" s="8">
        <f t="shared" si="82"/>
        <v>86.868599999999972</v>
      </c>
    </row>
    <row r="322" spans="1:38">
      <c r="A322" s="18">
        <v>41466</v>
      </c>
      <c r="B322" s="19" t="s">
        <v>119</v>
      </c>
      <c r="C322" s="12">
        <v>50.7</v>
      </c>
      <c r="D322" s="19" t="s">
        <v>80</v>
      </c>
      <c r="E322" s="16">
        <v>8.4109999999999996</v>
      </c>
      <c r="F322" s="8">
        <v>83.313580000000002</v>
      </c>
      <c r="G322" s="22">
        <v>50</v>
      </c>
      <c r="H322" s="22">
        <v>-24</v>
      </c>
      <c r="I322" s="10">
        <f t="shared" si="87"/>
        <v>-4.0863577716916133</v>
      </c>
      <c r="J322" s="10">
        <f t="shared" si="88"/>
        <v>-7.1320397530477392E-2</v>
      </c>
      <c r="K322" s="10">
        <f t="shared" si="94"/>
        <v>21.053522721748294</v>
      </c>
      <c r="L322" s="22">
        <v>344</v>
      </c>
      <c r="M322" s="31" t="s">
        <v>36</v>
      </c>
      <c r="N322" s="8" t="s">
        <v>46</v>
      </c>
      <c r="O322" s="10" t="s">
        <v>37</v>
      </c>
      <c r="P322" s="10" t="s">
        <v>38</v>
      </c>
      <c r="Q322" s="11">
        <v>0.48</v>
      </c>
      <c r="R322" s="8" t="s">
        <v>60</v>
      </c>
      <c r="S322" s="12">
        <f>AVERAGE(9.9,9.5)</f>
        <v>9.6999999999999993</v>
      </c>
      <c r="T322" s="79">
        <f t="shared" si="86"/>
        <v>7.3898285999999995E-3</v>
      </c>
      <c r="U322" s="22">
        <v>5</v>
      </c>
      <c r="V322" s="22">
        <v>41</v>
      </c>
      <c r="W322" s="10">
        <f t="shared" si="90"/>
        <v>0.71558499331767511</v>
      </c>
      <c r="X322" s="22">
        <v>5</v>
      </c>
      <c r="Y322" s="22">
        <v>14</v>
      </c>
      <c r="Z322" s="10">
        <f t="shared" si="91"/>
        <v>0.24434609527920614</v>
      </c>
      <c r="AA322" s="10">
        <f t="shared" si="92"/>
        <v>4.489904622950875</v>
      </c>
      <c r="AB322" s="10">
        <f t="shared" si="93"/>
        <v>11.440953841710565</v>
      </c>
      <c r="AC322" s="10">
        <f t="shared" ref="AC322:AC383" si="95">AB322*0.125</f>
        <v>1.4301192302138206</v>
      </c>
      <c r="AD322" s="10">
        <f t="shared" si="83"/>
        <v>5.7204769208552824</v>
      </c>
      <c r="AE322" s="65"/>
      <c r="AF322" s="10">
        <f t="shared" si="84"/>
        <v>26.176886290414128</v>
      </c>
      <c r="AG322" s="8">
        <f t="shared" ref="AG322:AG383" si="96">AF322*0.195</f>
        <v>5.1044928266307554</v>
      </c>
      <c r="AH322" s="10">
        <f t="shared" ref="AH322:AH383" si="97">AF322/2</f>
        <v>13.088443145207064</v>
      </c>
      <c r="AI322" s="63"/>
      <c r="AJ322" s="10">
        <f t="shared" si="85"/>
        <v>23.479500000000002</v>
      </c>
      <c r="AK322" s="8"/>
      <c r="AL322" s="8">
        <f t="shared" ref="AL322:AL383" si="98">AJ322/2</f>
        <v>11.739750000000001</v>
      </c>
    </row>
    <row r="323" spans="1:38">
      <c r="A323" s="18">
        <v>41466</v>
      </c>
      <c r="B323" s="19" t="s">
        <v>119</v>
      </c>
      <c r="C323" s="12">
        <v>50.7</v>
      </c>
      <c r="D323" s="19" t="s">
        <v>80</v>
      </c>
      <c r="E323" s="16">
        <v>8.4109999999999996</v>
      </c>
      <c r="F323" s="8">
        <v>83.313580000000002</v>
      </c>
      <c r="G323" s="22">
        <v>50</v>
      </c>
      <c r="H323" s="22">
        <v>-24</v>
      </c>
      <c r="I323" s="10">
        <f t="shared" si="87"/>
        <v>-4.0863577716916133</v>
      </c>
      <c r="J323" s="10">
        <f t="shared" si="88"/>
        <v>-7.1320397530477392E-2</v>
      </c>
      <c r="K323" s="10">
        <f t="shared" si="94"/>
        <v>21.053522721748294</v>
      </c>
      <c r="L323" s="22">
        <v>345</v>
      </c>
      <c r="M323" s="31" t="s">
        <v>222</v>
      </c>
      <c r="N323" s="22" t="s">
        <v>171</v>
      </c>
      <c r="O323" s="50" t="s">
        <v>172</v>
      </c>
      <c r="P323" s="50" t="s">
        <v>173</v>
      </c>
      <c r="Q323" s="23">
        <v>0.24</v>
      </c>
      <c r="R323" s="22" t="s">
        <v>174</v>
      </c>
      <c r="S323" s="29">
        <f>AVERAGE(33.7,30.4)</f>
        <v>32.049999999999997</v>
      </c>
      <c r="T323" s="79">
        <f t="shared" si="86"/>
        <v>8.0676484349999994E-2</v>
      </c>
      <c r="U323" s="22">
        <v>14</v>
      </c>
      <c r="V323" s="22">
        <v>64</v>
      </c>
      <c r="W323" s="10">
        <f t="shared" si="90"/>
        <v>1.1170107212763709</v>
      </c>
      <c r="X323" s="22">
        <v>6</v>
      </c>
      <c r="Y323" s="22">
        <v>16</v>
      </c>
      <c r="Z323" s="10">
        <f t="shared" si="91"/>
        <v>0.27925268031909273</v>
      </c>
      <c r="AA323" s="10">
        <f t="shared" si="92"/>
        <v>14.236940783090335</v>
      </c>
      <c r="AB323" s="10">
        <f t="shared" si="93"/>
        <v>166.88936800876559</v>
      </c>
      <c r="AC323" s="10">
        <f t="shared" si="95"/>
        <v>20.861171001095698</v>
      </c>
      <c r="AD323" s="10">
        <f t="shared" si="83"/>
        <v>83.444684004382793</v>
      </c>
      <c r="AE323" s="65"/>
      <c r="AF323" s="10">
        <f t="shared" si="84"/>
        <v>248.73457967943972</v>
      </c>
      <c r="AG323" s="8">
        <f t="shared" si="96"/>
        <v>48.503243037490748</v>
      </c>
      <c r="AH323" s="10">
        <f t="shared" si="97"/>
        <v>124.36728983971986</v>
      </c>
      <c r="AI323" s="63"/>
      <c r="AJ323" s="10">
        <f t="shared" si="85"/>
        <v>558.58319999999992</v>
      </c>
      <c r="AK323" s="8"/>
      <c r="AL323" s="8">
        <f t="shared" si="98"/>
        <v>279.29159999999996</v>
      </c>
    </row>
    <row r="324" spans="1:38">
      <c r="A324" s="18">
        <v>41464</v>
      </c>
      <c r="B324" s="19" t="s">
        <v>119</v>
      </c>
      <c r="C324" s="12">
        <v>50.8</v>
      </c>
      <c r="D324" s="9" t="s">
        <v>80</v>
      </c>
      <c r="E324" s="8">
        <v>8.4113100000000003</v>
      </c>
      <c r="F324" s="8">
        <v>83.313739999999996</v>
      </c>
      <c r="G324" s="22">
        <v>50</v>
      </c>
      <c r="H324" s="22">
        <v>20</v>
      </c>
      <c r="I324" s="10">
        <f t="shared" si="87"/>
        <v>4.9331548755868928</v>
      </c>
      <c r="J324" s="10">
        <f t="shared" si="88"/>
        <v>8.6099795089802519E-2</v>
      </c>
      <c r="K324" s="10">
        <f t="shared" si="94"/>
        <v>21.078079490328182</v>
      </c>
      <c r="L324" s="8">
        <v>174</v>
      </c>
      <c r="M324" s="8" t="s">
        <v>36</v>
      </c>
      <c r="N324" s="8" t="s">
        <v>46</v>
      </c>
      <c r="O324" s="10" t="s">
        <v>37</v>
      </c>
      <c r="P324" s="10" t="s">
        <v>38</v>
      </c>
      <c r="Q324" s="11">
        <v>0.48</v>
      </c>
      <c r="R324" s="8" t="s">
        <v>60</v>
      </c>
      <c r="S324" s="29">
        <f>AVERAGE(16,15)</f>
        <v>15.5</v>
      </c>
      <c r="T324" s="79">
        <f t="shared" si="86"/>
        <v>1.8869235000000002E-2</v>
      </c>
      <c r="U324" s="8">
        <v>6</v>
      </c>
      <c r="V324" s="8">
        <v>50</v>
      </c>
      <c r="W324" s="10">
        <f t="shared" ref="W324:W359" si="99">RADIANS(V324)</f>
        <v>0.87266462599716477</v>
      </c>
      <c r="X324" s="8">
        <v>6</v>
      </c>
      <c r="Y324" s="22">
        <v>15</v>
      </c>
      <c r="Z324" s="10">
        <f t="shared" ref="Z324:Z359" si="100">RADIANS(Y324)</f>
        <v>0.26179938779914941</v>
      </c>
      <c r="AA324" s="10">
        <f t="shared" ref="AA324:AA359" si="101">(SIN(W324)*U324)+(SIN(Z324)*X324)</f>
        <v>6.1491809293289927</v>
      </c>
      <c r="AB324" s="10">
        <f t="shared" ref="AB324:AB359" si="102">0.0776*(Q324*S324^2*AA324)^0.94</f>
        <v>37.114217821639237</v>
      </c>
      <c r="AC324" s="10">
        <f t="shared" si="95"/>
        <v>4.6392772277049046</v>
      </c>
      <c r="AD324" s="10">
        <f t="shared" si="83"/>
        <v>18.557108910819618</v>
      </c>
      <c r="AE324" s="65"/>
      <c r="AF324" s="10">
        <f t="shared" si="84"/>
        <v>83.960659275525302</v>
      </c>
      <c r="AG324" s="8">
        <f t="shared" si="96"/>
        <v>16.372328558727435</v>
      </c>
      <c r="AH324" s="10">
        <f t="shared" si="97"/>
        <v>41.980329637762651</v>
      </c>
      <c r="AI324" s="63"/>
      <c r="AJ324" s="10">
        <f t="shared" si="85"/>
        <v>91.31049999999999</v>
      </c>
      <c r="AK324" s="8"/>
      <c r="AL324" s="8">
        <f t="shared" si="98"/>
        <v>45.655249999999995</v>
      </c>
    </row>
    <row r="325" spans="1:38">
      <c r="A325" s="18">
        <v>41464</v>
      </c>
      <c r="B325" s="19" t="s">
        <v>119</v>
      </c>
      <c r="C325" s="12">
        <v>50.8</v>
      </c>
      <c r="D325" s="19" t="s">
        <v>80</v>
      </c>
      <c r="E325" s="8">
        <v>8.4113100000000003</v>
      </c>
      <c r="F325" s="8">
        <v>83.313739999999996</v>
      </c>
      <c r="G325" s="22">
        <v>50</v>
      </c>
      <c r="H325" s="22">
        <v>20</v>
      </c>
      <c r="I325" s="10">
        <f t="shared" si="87"/>
        <v>4.9331548755868928</v>
      </c>
      <c r="J325" s="10">
        <f t="shared" si="88"/>
        <v>8.6099795089802519E-2</v>
      </c>
      <c r="K325" s="10">
        <f t="shared" si="94"/>
        <v>21.078079490328182</v>
      </c>
      <c r="L325" s="8">
        <v>175</v>
      </c>
      <c r="M325" s="8" t="s">
        <v>39</v>
      </c>
      <c r="N325" s="8" t="s">
        <v>69</v>
      </c>
      <c r="O325" s="10" t="s">
        <v>65</v>
      </c>
      <c r="P325" s="10" t="s">
        <v>70</v>
      </c>
      <c r="Q325" s="8">
        <v>0.37</v>
      </c>
      <c r="R325" s="8" t="s">
        <v>71</v>
      </c>
      <c r="S325" s="29">
        <f>AVERAGE(11.5,13)</f>
        <v>12.25</v>
      </c>
      <c r="T325" s="79">
        <f t="shared" si="86"/>
        <v>1.1785908750000001E-2</v>
      </c>
      <c r="U325" s="8">
        <v>8</v>
      </c>
      <c r="V325" s="8">
        <v>62</v>
      </c>
      <c r="W325" s="10">
        <f t="shared" si="99"/>
        <v>1.0821041362364843</v>
      </c>
      <c r="X325" s="8">
        <v>5</v>
      </c>
      <c r="Y325" s="22">
        <v>10</v>
      </c>
      <c r="Z325" s="10">
        <f t="shared" si="100"/>
        <v>0.17453292519943295</v>
      </c>
      <c r="AA325" s="10">
        <f t="shared" si="101"/>
        <v>7.9318216312060663</v>
      </c>
      <c r="AB325" s="10">
        <f t="shared" si="102"/>
        <v>23.717982900226247</v>
      </c>
      <c r="AC325" s="10">
        <f t="shared" si="95"/>
        <v>2.9647478625282808</v>
      </c>
      <c r="AD325" s="10">
        <f t="shared" si="83"/>
        <v>11.858991450113123</v>
      </c>
      <c r="AE325" s="65"/>
      <c r="AF325" s="10">
        <f t="shared" si="84"/>
        <v>36.060004024459296</v>
      </c>
      <c r="AG325" s="8">
        <f t="shared" si="96"/>
        <v>7.031700784769563</v>
      </c>
      <c r="AH325" s="10">
        <f t="shared" si="97"/>
        <v>18.030002012229648</v>
      </c>
      <c r="AI325" s="63"/>
      <c r="AJ325" s="10">
        <f t="shared" si="85"/>
        <v>47.168999999999997</v>
      </c>
      <c r="AK325" s="8"/>
      <c r="AL325" s="8">
        <f t="shared" si="98"/>
        <v>23.584499999999998</v>
      </c>
    </row>
    <row r="326" spans="1:38">
      <c r="A326" s="18">
        <v>41464</v>
      </c>
      <c r="B326" s="19" t="s">
        <v>119</v>
      </c>
      <c r="C326" s="12">
        <v>50.8</v>
      </c>
      <c r="D326" s="19" t="s">
        <v>80</v>
      </c>
      <c r="E326" s="8">
        <v>8.4113100000000003</v>
      </c>
      <c r="F326" s="8">
        <v>83.313739999999996</v>
      </c>
      <c r="G326" s="22">
        <v>50</v>
      </c>
      <c r="H326" s="22">
        <v>20</v>
      </c>
      <c r="I326" s="10">
        <f t="shared" si="87"/>
        <v>4.9331548755868928</v>
      </c>
      <c r="J326" s="10">
        <f t="shared" si="88"/>
        <v>8.6099795089802519E-2</v>
      </c>
      <c r="K326" s="10">
        <f t="shared" si="94"/>
        <v>21.078079490328182</v>
      </c>
      <c r="L326" s="8">
        <v>176</v>
      </c>
      <c r="M326" s="8" t="s">
        <v>39</v>
      </c>
      <c r="N326" s="8" t="s">
        <v>69</v>
      </c>
      <c r="O326" s="10" t="s">
        <v>65</v>
      </c>
      <c r="P326" s="10" t="s">
        <v>70</v>
      </c>
      <c r="Q326" s="8">
        <v>0.37</v>
      </c>
      <c r="R326" s="8" t="s">
        <v>71</v>
      </c>
      <c r="S326" s="29">
        <f>AVERAGE(10.8,11.5)</f>
        <v>11.15</v>
      </c>
      <c r="T326" s="79">
        <f t="shared" si="86"/>
        <v>9.7642891500000009E-3</v>
      </c>
      <c r="U326" s="8">
        <v>8</v>
      </c>
      <c r="V326" s="8">
        <v>50</v>
      </c>
      <c r="W326" s="10">
        <f t="shared" si="99"/>
        <v>0.87266462599716477</v>
      </c>
      <c r="X326" s="8">
        <v>6</v>
      </c>
      <c r="Y326" s="22">
        <v>22</v>
      </c>
      <c r="Z326" s="10">
        <f t="shared" si="100"/>
        <v>0.38397243543875248</v>
      </c>
      <c r="AA326" s="10">
        <f t="shared" si="101"/>
        <v>8.3759951054472968</v>
      </c>
      <c r="AB326" s="10">
        <f t="shared" si="102"/>
        <v>20.91714093328779</v>
      </c>
      <c r="AC326" s="10">
        <f t="shared" si="95"/>
        <v>2.6146426166609738</v>
      </c>
      <c r="AD326" s="10">
        <f t="shared" si="83"/>
        <v>10.458570466643895</v>
      </c>
      <c r="AE326" s="65"/>
      <c r="AF326" s="10">
        <f t="shared" si="84"/>
        <v>28.53341149765372</v>
      </c>
      <c r="AG326" s="8">
        <f t="shared" si="96"/>
        <v>5.5640152420424753</v>
      </c>
      <c r="AH326" s="10">
        <f t="shared" si="97"/>
        <v>14.26670574882686</v>
      </c>
      <c r="AI326" s="63"/>
      <c r="AJ326" s="10">
        <f t="shared" si="85"/>
        <v>35.769699999999986</v>
      </c>
      <c r="AK326" s="8"/>
      <c r="AL326" s="8">
        <f t="shared" si="98"/>
        <v>17.884849999999993</v>
      </c>
    </row>
    <row r="327" spans="1:38">
      <c r="A327" s="18">
        <v>41464</v>
      </c>
      <c r="B327" s="19" t="s">
        <v>119</v>
      </c>
      <c r="C327" s="12">
        <v>50.8</v>
      </c>
      <c r="D327" s="19" t="s">
        <v>80</v>
      </c>
      <c r="E327" s="8">
        <v>8.4113100000000003</v>
      </c>
      <c r="F327" s="8">
        <v>83.313739999999996</v>
      </c>
      <c r="G327" s="22">
        <v>50</v>
      </c>
      <c r="H327" s="22">
        <v>20</v>
      </c>
      <c r="I327" s="10">
        <f t="shared" si="87"/>
        <v>4.9331548755868928</v>
      </c>
      <c r="J327" s="10">
        <f t="shared" si="88"/>
        <v>8.6099795089802519E-2</v>
      </c>
      <c r="K327" s="10">
        <f t="shared" si="94"/>
        <v>21.078079490328182</v>
      </c>
      <c r="L327" s="22">
        <v>177</v>
      </c>
      <c r="M327" s="22" t="s">
        <v>39</v>
      </c>
      <c r="N327" s="8" t="s">
        <v>69</v>
      </c>
      <c r="O327" s="10" t="s">
        <v>65</v>
      </c>
      <c r="P327" s="10" t="s">
        <v>70</v>
      </c>
      <c r="Q327" s="8">
        <v>0.37</v>
      </c>
      <c r="R327" s="8" t="s">
        <v>71</v>
      </c>
      <c r="S327" s="29">
        <f>AVERAGE(6.9,7.8)</f>
        <v>7.35</v>
      </c>
      <c r="T327" s="79">
        <f t="shared" si="86"/>
        <v>4.2429271499999999E-3</v>
      </c>
      <c r="U327" s="22">
        <v>8</v>
      </c>
      <c r="V327" s="22">
        <v>20</v>
      </c>
      <c r="W327" s="10">
        <f t="shared" si="99"/>
        <v>0.3490658503988659</v>
      </c>
      <c r="X327" s="22">
        <v>5</v>
      </c>
      <c r="Y327" s="22">
        <v>25</v>
      </c>
      <c r="Z327" s="10">
        <f t="shared" si="100"/>
        <v>0.43633231299858238</v>
      </c>
      <c r="AA327" s="10">
        <f t="shared" si="101"/>
        <v>4.8492524553088465</v>
      </c>
      <c r="AB327" s="10">
        <f t="shared" si="102"/>
        <v>5.7164425875437379</v>
      </c>
      <c r="AC327" s="10">
        <f t="shared" si="95"/>
        <v>0.71455532344296724</v>
      </c>
      <c r="AD327" s="10">
        <f t="shared" ref="AD327:AD390" si="103">AB327/2</f>
        <v>2.858221293771869</v>
      </c>
      <c r="AE327" s="65"/>
      <c r="AF327" s="10">
        <f t="shared" ref="AF327:AF390" si="104">Q327*EXP(-1.239+1.98*LN(S327)+0.207*(LN(S327))^2-0.0281*(LN(S327))^3)</f>
        <v>10.143715420038321</v>
      </c>
      <c r="AG327" s="8">
        <f t="shared" si="96"/>
        <v>1.9780245069074727</v>
      </c>
      <c r="AH327" s="10">
        <f t="shared" si="97"/>
        <v>5.0718577100191604</v>
      </c>
      <c r="AI327" s="63"/>
      <c r="AJ327" s="10">
        <f t="shared" ref="AJ327:AJ390" si="105">21.297-6.953*S327+0.74*(S327^2)</f>
        <v>10.169099999999997</v>
      </c>
      <c r="AK327" s="8"/>
      <c r="AL327" s="8">
        <f t="shared" si="98"/>
        <v>5.0845499999999983</v>
      </c>
    </row>
    <row r="328" spans="1:38">
      <c r="A328" s="18">
        <v>41464</v>
      </c>
      <c r="B328" s="19" t="s">
        <v>119</v>
      </c>
      <c r="C328" s="12">
        <v>50.8</v>
      </c>
      <c r="D328" s="19" t="s">
        <v>80</v>
      </c>
      <c r="E328" s="8">
        <v>8.4113100000000003</v>
      </c>
      <c r="F328" s="8">
        <v>83.313739999999996</v>
      </c>
      <c r="G328" s="22">
        <v>50</v>
      </c>
      <c r="H328" s="22">
        <v>20</v>
      </c>
      <c r="I328" s="10">
        <f t="shared" si="87"/>
        <v>4.9331548755868928</v>
      </c>
      <c r="J328" s="10">
        <f t="shared" si="88"/>
        <v>8.6099795089802519E-2</v>
      </c>
      <c r="K328" s="10">
        <f t="shared" si="94"/>
        <v>21.078079490328182</v>
      </c>
      <c r="L328" s="22">
        <v>178</v>
      </c>
      <c r="M328" s="31" t="s">
        <v>121</v>
      </c>
      <c r="N328" s="8" t="s">
        <v>182</v>
      </c>
      <c r="O328" s="58" t="s">
        <v>183</v>
      </c>
      <c r="P328" s="10" t="s">
        <v>70</v>
      </c>
      <c r="Q328" s="22">
        <v>0.49</v>
      </c>
      <c r="R328" s="22" t="s">
        <v>190</v>
      </c>
      <c r="S328" s="29">
        <f>AVERAGE(5.7,5.6)</f>
        <v>5.65</v>
      </c>
      <c r="T328" s="79">
        <f t="shared" ref="T328:T391" si="106">0.00007854*S328^2</f>
        <v>2.5071931500000003E-3</v>
      </c>
      <c r="U328" s="22">
        <v>6</v>
      </c>
      <c r="V328" s="22">
        <v>50</v>
      </c>
      <c r="W328" s="10">
        <f t="shared" si="99"/>
        <v>0.87266462599716477</v>
      </c>
      <c r="X328" s="22">
        <v>5</v>
      </c>
      <c r="Y328" s="22">
        <v>10</v>
      </c>
      <c r="Z328" s="10">
        <f t="shared" si="100"/>
        <v>0.17453292519943295</v>
      </c>
      <c r="AA328" s="10">
        <f t="shared" si="101"/>
        <v>5.4645075470485196</v>
      </c>
      <c r="AB328" s="10">
        <f t="shared" si="102"/>
        <v>5.079197340684841</v>
      </c>
      <c r="AC328" s="10">
        <f t="shared" si="95"/>
        <v>0.63489966758560512</v>
      </c>
      <c r="AD328" s="10">
        <f t="shared" si="103"/>
        <v>2.5395986703424205</v>
      </c>
      <c r="AE328" s="65"/>
      <c r="AF328" s="10">
        <f t="shared" si="104"/>
        <v>7.0366538333783968</v>
      </c>
      <c r="AG328" s="8">
        <f t="shared" si="96"/>
        <v>1.3721474975087875</v>
      </c>
      <c r="AH328" s="10">
        <f t="shared" si="97"/>
        <v>3.5183269166891984</v>
      </c>
      <c r="AI328" s="63"/>
      <c r="AJ328" s="10">
        <f t="shared" si="105"/>
        <v>5.6351999999999975</v>
      </c>
      <c r="AK328" s="8"/>
      <c r="AL328" s="8">
        <f t="shared" si="98"/>
        <v>2.8175999999999988</v>
      </c>
    </row>
    <row r="329" spans="1:38">
      <c r="A329" s="18">
        <v>41464</v>
      </c>
      <c r="B329" s="19" t="s">
        <v>119</v>
      </c>
      <c r="C329" s="12">
        <v>50.8</v>
      </c>
      <c r="D329" s="19" t="s">
        <v>80</v>
      </c>
      <c r="E329" s="8">
        <v>8.4113100000000003</v>
      </c>
      <c r="F329" s="8">
        <v>83.313739999999996</v>
      </c>
      <c r="G329" s="22">
        <v>50</v>
      </c>
      <c r="H329" s="22">
        <v>20</v>
      </c>
      <c r="I329" s="10">
        <f t="shared" si="87"/>
        <v>4.9331548755868928</v>
      </c>
      <c r="J329" s="10">
        <f t="shared" si="88"/>
        <v>8.6099795089802519E-2</v>
      </c>
      <c r="K329" s="10">
        <f t="shared" si="94"/>
        <v>21.078079490328182</v>
      </c>
      <c r="L329" s="22">
        <v>179</v>
      </c>
      <c r="M329" s="22" t="s">
        <v>39</v>
      </c>
      <c r="N329" s="8" t="s">
        <v>69</v>
      </c>
      <c r="O329" s="10" t="s">
        <v>65</v>
      </c>
      <c r="P329" s="10" t="s">
        <v>70</v>
      </c>
      <c r="Q329" s="8">
        <v>0.37</v>
      </c>
      <c r="R329" s="8" t="s">
        <v>71</v>
      </c>
      <c r="S329" s="29">
        <f>AVERAGE(6.1,6.3)</f>
        <v>6.1999999999999993</v>
      </c>
      <c r="T329" s="79">
        <f t="shared" si="106"/>
        <v>3.0190775999999996E-3</v>
      </c>
      <c r="U329" s="22">
        <v>9</v>
      </c>
      <c r="V329" s="22">
        <v>70</v>
      </c>
      <c r="W329" s="10">
        <f t="shared" si="99"/>
        <v>1.2217304763960306</v>
      </c>
      <c r="X329" s="22">
        <v>5</v>
      </c>
      <c r="Y329" s="22">
        <v>-6</v>
      </c>
      <c r="Z329" s="10">
        <f t="shared" si="100"/>
        <v>-0.10471975511965978</v>
      </c>
      <c r="AA329" s="10">
        <f t="shared" si="101"/>
        <v>7.9345912707349076</v>
      </c>
      <c r="AB329" s="10">
        <f t="shared" si="102"/>
        <v>6.595091186723061</v>
      </c>
      <c r="AC329" s="10">
        <f t="shared" si="95"/>
        <v>0.82438639834038263</v>
      </c>
      <c r="AD329" s="10">
        <f t="shared" si="103"/>
        <v>3.2975455933615305</v>
      </c>
      <c r="AE329" s="65"/>
      <c r="AF329" s="10">
        <f t="shared" si="104"/>
        <v>6.6710545294287398</v>
      </c>
      <c r="AG329" s="8">
        <f t="shared" si="96"/>
        <v>1.3008556332386043</v>
      </c>
      <c r="AH329" s="10">
        <f t="shared" si="97"/>
        <v>3.3355272647143699</v>
      </c>
      <c r="AI329" s="63"/>
      <c r="AJ329" s="10">
        <f t="shared" si="105"/>
        <v>6.6339999999999968</v>
      </c>
      <c r="AK329" s="8"/>
      <c r="AL329" s="8">
        <f t="shared" si="98"/>
        <v>3.3169999999999984</v>
      </c>
    </row>
    <row r="330" spans="1:38">
      <c r="A330" s="18">
        <v>41464</v>
      </c>
      <c r="B330" s="19" t="s">
        <v>119</v>
      </c>
      <c r="C330" s="12">
        <v>50.8</v>
      </c>
      <c r="D330" s="19" t="s">
        <v>80</v>
      </c>
      <c r="E330" s="8">
        <v>8.4113100000000003</v>
      </c>
      <c r="F330" s="8">
        <v>83.313739999999996</v>
      </c>
      <c r="G330" s="22">
        <v>50</v>
      </c>
      <c r="H330" s="22">
        <v>20</v>
      </c>
      <c r="I330" s="10">
        <f t="shared" si="87"/>
        <v>4.9331548755868928</v>
      </c>
      <c r="J330" s="10">
        <f t="shared" si="88"/>
        <v>8.6099795089802519E-2</v>
      </c>
      <c r="K330" s="10">
        <f t="shared" si="94"/>
        <v>21.078079490328182</v>
      </c>
      <c r="L330" s="22">
        <v>180</v>
      </c>
      <c r="M330" s="22" t="s">
        <v>39</v>
      </c>
      <c r="N330" s="8" t="s">
        <v>69</v>
      </c>
      <c r="O330" s="10" t="s">
        <v>65</v>
      </c>
      <c r="P330" s="10" t="s">
        <v>70</v>
      </c>
      <c r="Q330" s="8">
        <v>0.37</v>
      </c>
      <c r="R330" s="8" t="s">
        <v>71</v>
      </c>
      <c r="S330" s="29">
        <f>AVERAGE(12.5,12)</f>
        <v>12.25</v>
      </c>
      <c r="T330" s="79">
        <f t="shared" si="106"/>
        <v>1.1785908750000001E-2</v>
      </c>
      <c r="U330" s="22">
        <v>6</v>
      </c>
      <c r="V330" s="22">
        <v>46</v>
      </c>
      <c r="W330" s="10">
        <f t="shared" si="99"/>
        <v>0.8028514559173916</v>
      </c>
      <c r="X330" s="22">
        <v>5</v>
      </c>
      <c r="Y330" s="22">
        <v>27</v>
      </c>
      <c r="Z330" s="10">
        <f t="shared" si="100"/>
        <v>0.47123889803846897</v>
      </c>
      <c r="AA330" s="10">
        <f t="shared" si="101"/>
        <v>6.5859913007296402</v>
      </c>
      <c r="AB330" s="10">
        <f t="shared" si="102"/>
        <v>19.914576362034101</v>
      </c>
      <c r="AC330" s="10">
        <f t="shared" si="95"/>
        <v>2.4893220452542626</v>
      </c>
      <c r="AD330" s="10">
        <f t="shared" si="103"/>
        <v>9.9572881810170504</v>
      </c>
      <c r="AE330" s="65"/>
      <c r="AF330" s="10">
        <f t="shared" si="104"/>
        <v>36.060004024459296</v>
      </c>
      <c r="AG330" s="8">
        <f t="shared" si="96"/>
        <v>7.031700784769563</v>
      </c>
      <c r="AH330" s="10">
        <f t="shared" si="97"/>
        <v>18.030002012229648</v>
      </c>
      <c r="AI330" s="63"/>
      <c r="AJ330" s="10">
        <f t="shared" si="105"/>
        <v>47.168999999999997</v>
      </c>
      <c r="AK330" s="8"/>
      <c r="AL330" s="8">
        <f t="shared" si="98"/>
        <v>23.584499999999998</v>
      </c>
    </row>
    <row r="331" spans="1:38">
      <c r="A331" s="18">
        <v>41464</v>
      </c>
      <c r="B331" s="19" t="s">
        <v>119</v>
      </c>
      <c r="C331" s="12">
        <v>50.8</v>
      </c>
      <c r="D331" s="19" t="s">
        <v>80</v>
      </c>
      <c r="E331" s="8">
        <v>8.4113100000000003</v>
      </c>
      <c r="F331" s="8">
        <v>83.313739999999996</v>
      </c>
      <c r="G331" s="22">
        <v>50</v>
      </c>
      <c r="H331" s="22">
        <v>20</v>
      </c>
      <c r="I331" s="10">
        <f t="shared" si="87"/>
        <v>4.9331548755868928</v>
      </c>
      <c r="J331" s="10">
        <f t="shared" si="88"/>
        <v>8.6099795089802519E-2</v>
      </c>
      <c r="K331" s="10">
        <f t="shared" si="94"/>
        <v>21.078079490328182</v>
      </c>
      <c r="L331" s="22">
        <v>181</v>
      </c>
      <c r="M331" s="22" t="s">
        <v>36</v>
      </c>
      <c r="N331" s="8" t="s">
        <v>46</v>
      </c>
      <c r="O331" s="10" t="s">
        <v>37</v>
      </c>
      <c r="P331" s="10" t="s">
        <v>38</v>
      </c>
      <c r="Q331" s="11">
        <v>0.48</v>
      </c>
      <c r="R331" s="8" t="s">
        <v>60</v>
      </c>
      <c r="S331" s="29">
        <f>AVERAGE(16.7,18,4)</f>
        <v>12.9</v>
      </c>
      <c r="T331" s="79">
        <f t="shared" si="106"/>
        <v>1.3069841400000001E-2</v>
      </c>
      <c r="U331" s="22">
        <v>6</v>
      </c>
      <c r="V331" s="22">
        <v>30</v>
      </c>
      <c r="W331" s="10">
        <f t="shared" si="99"/>
        <v>0.52359877559829882</v>
      </c>
      <c r="X331" s="22">
        <v>6</v>
      </c>
      <c r="Y331" s="22">
        <v>25</v>
      </c>
      <c r="Z331" s="10">
        <f t="shared" si="100"/>
        <v>0.43633231299858238</v>
      </c>
      <c r="AA331" s="10">
        <f t="shared" si="101"/>
        <v>5.5357095704441956</v>
      </c>
      <c r="AB331" s="10">
        <f t="shared" si="102"/>
        <v>23.807842391749301</v>
      </c>
      <c r="AC331" s="10">
        <f t="shared" si="95"/>
        <v>2.9759802989686626</v>
      </c>
      <c r="AD331" s="10">
        <f t="shared" si="103"/>
        <v>11.90392119587465</v>
      </c>
      <c r="AE331" s="65"/>
      <c r="AF331" s="10">
        <f t="shared" si="104"/>
        <v>53.201653754035341</v>
      </c>
      <c r="AG331" s="8">
        <f t="shared" si="96"/>
        <v>10.374322482036892</v>
      </c>
      <c r="AH331" s="10">
        <f t="shared" si="97"/>
        <v>26.600826877017671</v>
      </c>
      <c r="AI331" s="63"/>
      <c r="AJ331" s="10">
        <f t="shared" si="105"/>
        <v>54.74669999999999</v>
      </c>
      <c r="AK331" s="8"/>
      <c r="AL331" s="8">
        <f t="shared" si="98"/>
        <v>27.373349999999995</v>
      </c>
    </row>
    <row r="332" spans="1:38">
      <c r="A332" s="18">
        <v>41464</v>
      </c>
      <c r="B332" s="19" t="s">
        <v>119</v>
      </c>
      <c r="C332" s="12">
        <v>50.8</v>
      </c>
      <c r="D332" s="19" t="s">
        <v>80</v>
      </c>
      <c r="E332" s="8">
        <v>8.4113100000000003</v>
      </c>
      <c r="F332" s="8">
        <v>83.313739999999996</v>
      </c>
      <c r="G332" s="22">
        <v>50</v>
      </c>
      <c r="H332" s="22">
        <v>20</v>
      </c>
      <c r="I332" s="10">
        <f t="shared" si="87"/>
        <v>4.9331548755868928</v>
      </c>
      <c r="J332" s="10">
        <f t="shared" si="88"/>
        <v>8.6099795089802519E-2</v>
      </c>
      <c r="K332" s="10">
        <f t="shared" si="94"/>
        <v>21.078079490328182</v>
      </c>
      <c r="L332" s="22">
        <v>182</v>
      </c>
      <c r="M332" s="31" t="s">
        <v>122</v>
      </c>
      <c r="N332" s="8" t="s">
        <v>123</v>
      </c>
      <c r="O332" s="10" t="s">
        <v>99</v>
      </c>
      <c r="P332" s="10" t="s">
        <v>99</v>
      </c>
      <c r="Q332" s="22">
        <v>0.69</v>
      </c>
      <c r="R332" s="22" t="s">
        <v>190</v>
      </c>
      <c r="S332" s="29">
        <f>AVERAGE(6.5,6.4)</f>
        <v>6.45</v>
      </c>
      <c r="T332" s="79">
        <f t="shared" si="106"/>
        <v>3.2674603500000001E-3</v>
      </c>
      <c r="U332" s="22">
        <v>5</v>
      </c>
      <c r="V332" s="22">
        <v>44</v>
      </c>
      <c r="W332" s="10">
        <f t="shared" si="99"/>
        <v>0.76794487087750496</v>
      </c>
      <c r="X332" s="22">
        <v>6</v>
      </c>
      <c r="Y332" s="22">
        <v>29</v>
      </c>
      <c r="Z332" s="10">
        <f t="shared" si="100"/>
        <v>0.50614548307835561</v>
      </c>
      <c r="AA332" s="10">
        <f t="shared" si="101"/>
        <v>6.3821495737730087</v>
      </c>
      <c r="AB332" s="10">
        <f t="shared" si="102"/>
        <v>10.399706661802426</v>
      </c>
      <c r="AC332" s="10">
        <f t="shared" si="95"/>
        <v>1.2999633327253033</v>
      </c>
      <c r="AD332" s="10">
        <f t="shared" si="103"/>
        <v>5.1998533309012132</v>
      </c>
      <c r="AE332" s="65"/>
      <c r="AF332" s="10">
        <f t="shared" si="104"/>
        <v>13.709451355657933</v>
      </c>
      <c r="AG332" s="8">
        <f t="shared" si="96"/>
        <v>2.6733430143532968</v>
      </c>
      <c r="AH332" s="10">
        <f t="shared" si="97"/>
        <v>6.8547256778289665</v>
      </c>
      <c r="AI332" s="63"/>
      <c r="AJ332" s="10">
        <f t="shared" si="105"/>
        <v>7.2359999999999971</v>
      </c>
      <c r="AK332" s="8"/>
      <c r="AL332" s="8">
        <f t="shared" si="98"/>
        <v>3.6179999999999986</v>
      </c>
    </row>
    <row r="333" spans="1:38">
      <c r="A333" s="18">
        <v>41464</v>
      </c>
      <c r="B333" s="19" t="s">
        <v>119</v>
      </c>
      <c r="C333" s="12">
        <v>50.8</v>
      </c>
      <c r="D333" s="19" t="s">
        <v>80</v>
      </c>
      <c r="E333" s="8">
        <v>8.4113100000000003</v>
      </c>
      <c r="F333" s="8">
        <v>83.313739999999996</v>
      </c>
      <c r="G333" s="22">
        <v>50</v>
      </c>
      <c r="H333" s="22">
        <v>20</v>
      </c>
      <c r="I333" s="10">
        <f t="shared" si="87"/>
        <v>4.9331548755868928</v>
      </c>
      <c r="J333" s="10">
        <f t="shared" si="88"/>
        <v>8.6099795089802519E-2</v>
      </c>
      <c r="K333" s="10">
        <f t="shared" si="94"/>
        <v>21.078079490328182</v>
      </c>
      <c r="L333" s="22">
        <v>183</v>
      </c>
      <c r="M333" s="22" t="s">
        <v>36</v>
      </c>
      <c r="N333" s="8" t="s">
        <v>46</v>
      </c>
      <c r="O333" s="10" t="s">
        <v>37</v>
      </c>
      <c r="P333" s="10" t="s">
        <v>38</v>
      </c>
      <c r="Q333" s="11">
        <v>0.48</v>
      </c>
      <c r="R333" s="8" t="s">
        <v>60</v>
      </c>
      <c r="S333" s="29">
        <f>AVERAGE(12.1,12.6)</f>
        <v>12.35</v>
      </c>
      <c r="T333" s="79">
        <f t="shared" si="106"/>
        <v>1.1979117149999999E-2</v>
      </c>
      <c r="U333" s="22">
        <v>9</v>
      </c>
      <c r="V333" s="22">
        <v>50</v>
      </c>
      <c r="W333" s="10">
        <f t="shared" si="99"/>
        <v>0.87266462599716477</v>
      </c>
      <c r="X333" s="22">
        <v>5</v>
      </c>
      <c r="Y333" s="22">
        <v>30</v>
      </c>
      <c r="Z333" s="10">
        <f t="shared" si="100"/>
        <v>0.52359877559829882</v>
      </c>
      <c r="AA333" s="10">
        <f t="shared" si="101"/>
        <v>9.394399988070802</v>
      </c>
      <c r="AB333" s="10">
        <f t="shared" si="102"/>
        <v>36.062785536554998</v>
      </c>
      <c r="AC333" s="10">
        <f t="shared" si="95"/>
        <v>4.5078481920693747</v>
      </c>
      <c r="AD333" s="10">
        <f t="shared" si="103"/>
        <v>18.031392768277499</v>
      </c>
      <c r="AE333" s="65"/>
      <c r="AF333" s="10">
        <f t="shared" si="104"/>
        <v>47.736463792994144</v>
      </c>
      <c r="AG333" s="8">
        <f t="shared" si="96"/>
        <v>9.308610439633858</v>
      </c>
      <c r="AH333" s="10">
        <f t="shared" si="97"/>
        <v>23.868231896497072</v>
      </c>
      <c r="AI333" s="63"/>
      <c r="AJ333" s="10">
        <f t="shared" si="105"/>
        <v>48.294099999999972</v>
      </c>
      <c r="AK333" s="8"/>
      <c r="AL333" s="8">
        <f t="shared" si="98"/>
        <v>24.147049999999986</v>
      </c>
    </row>
    <row r="334" spans="1:38">
      <c r="A334" s="18">
        <v>41464</v>
      </c>
      <c r="B334" s="19" t="s">
        <v>119</v>
      </c>
      <c r="C334" s="12">
        <v>50.8</v>
      </c>
      <c r="D334" s="19" t="s">
        <v>80</v>
      </c>
      <c r="E334" s="8">
        <v>8.4113100000000003</v>
      </c>
      <c r="F334" s="8">
        <v>83.313739999999996</v>
      </c>
      <c r="G334" s="22">
        <v>50</v>
      </c>
      <c r="H334" s="22">
        <v>20</v>
      </c>
      <c r="I334" s="10">
        <f t="shared" si="87"/>
        <v>4.9331548755868928</v>
      </c>
      <c r="J334" s="10">
        <f t="shared" si="88"/>
        <v>8.6099795089802519E-2</v>
      </c>
      <c r="K334" s="10">
        <f t="shared" si="94"/>
        <v>21.078079490328182</v>
      </c>
      <c r="L334" s="22">
        <v>185</v>
      </c>
      <c r="M334" s="22" t="s">
        <v>107</v>
      </c>
      <c r="N334" s="22" t="s">
        <v>63</v>
      </c>
      <c r="O334" s="10" t="s">
        <v>108</v>
      </c>
      <c r="P334" s="15" t="s">
        <v>92</v>
      </c>
      <c r="Q334" s="8">
        <v>0.57999999999999996</v>
      </c>
      <c r="R334" s="22" t="s">
        <v>190</v>
      </c>
      <c r="S334" s="29">
        <f>AVERAGE(6.4,5.5)</f>
        <v>5.95</v>
      </c>
      <c r="T334" s="79">
        <f t="shared" si="106"/>
        <v>2.7805123500000005E-3</v>
      </c>
      <c r="U334" s="22">
        <v>7</v>
      </c>
      <c r="V334" s="22">
        <v>69</v>
      </c>
      <c r="W334" s="10">
        <f t="shared" si="99"/>
        <v>1.2042771838760873</v>
      </c>
      <c r="X334" s="22">
        <v>5</v>
      </c>
      <c r="Y334" s="22">
        <v>1</v>
      </c>
      <c r="Z334" s="10">
        <f t="shared" si="100"/>
        <v>1.7453292519943295E-2</v>
      </c>
      <c r="AA334" s="10">
        <f t="shared" si="101"/>
        <v>6.6223250176668298</v>
      </c>
      <c r="AB334" s="10">
        <f t="shared" si="102"/>
        <v>7.8582491275014581</v>
      </c>
      <c r="AC334" s="10">
        <f t="shared" si="95"/>
        <v>0.98228114093768226</v>
      </c>
      <c r="AD334" s="10">
        <f t="shared" si="103"/>
        <v>3.929124563750729</v>
      </c>
      <c r="AE334" s="65"/>
      <c r="AF334" s="10">
        <f t="shared" si="104"/>
        <v>9.4532929187281258</v>
      </c>
      <c r="AG334" s="8">
        <f t="shared" si="96"/>
        <v>1.8433921191519846</v>
      </c>
      <c r="AH334" s="10">
        <f t="shared" si="97"/>
        <v>4.7266464593640629</v>
      </c>
      <c r="AI334" s="63"/>
      <c r="AJ334" s="10">
        <f t="shared" si="105"/>
        <v>6.1245000000000012</v>
      </c>
      <c r="AK334" s="8"/>
      <c r="AL334" s="8">
        <f t="shared" si="98"/>
        <v>3.0622500000000006</v>
      </c>
    </row>
    <row r="335" spans="1:38">
      <c r="A335" s="18">
        <v>41464</v>
      </c>
      <c r="B335" s="19" t="s">
        <v>119</v>
      </c>
      <c r="C335" s="12">
        <v>50.8</v>
      </c>
      <c r="D335" s="19" t="s">
        <v>80</v>
      </c>
      <c r="E335" s="8">
        <v>8.4113100000000003</v>
      </c>
      <c r="F335" s="8">
        <v>83.313739999999996</v>
      </c>
      <c r="G335" s="22">
        <v>50</v>
      </c>
      <c r="H335" s="22">
        <v>20</v>
      </c>
      <c r="I335" s="10">
        <f t="shared" si="87"/>
        <v>4.9331548755868928</v>
      </c>
      <c r="J335" s="10">
        <f t="shared" si="88"/>
        <v>8.6099795089802519E-2</v>
      </c>
      <c r="K335" s="10">
        <f t="shared" si="94"/>
        <v>21.078079490328182</v>
      </c>
      <c r="L335" s="22">
        <v>186</v>
      </c>
      <c r="M335" s="22" t="s">
        <v>107</v>
      </c>
      <c r="N335" s="22" t="s">
        <v>63</v>
      </c>
      <c r="O335" s="10" t="s">
        <v>108</v>
      </c>
      <c r="P335" s="15" t="s">
        <v>92</v>
      </c>
      <c r="Q335" s="8">
        <v>0.57999999999999996</v>
      </c>
      <c r="R335" s="22" t="s">
        <v>190</v>
      </c>
      <c r="S335" s="41">
        <f>AVERAGE(13.1,13)</f>
        <v>13.05</v>
      </c>
      <c r="T335" s="79">
        <f t="shared" si="106"/>
        <v>1.3375558350000002E-2</v>
      </c>
      <c r="U335" s="22">
        <v>8</v>
      </c>
      <c r="V335" s="22">
        <v>66</v>
      </c>
      <c r="W335" s="10">
        <f t="shared" si="99"/>
        <v>1.1519173063162575</v>
      </c>
      <c r="X335" s="22">
        <v>7</v>
      </c>
      <c r="Y335" s="22">
        <v>0</v>
      </c>
      <c r="Z335" s="10">
        <f t="shared" si="100"/>
        <v>0</v>
      </c>
      <c r="AA335" s="10">
        <f t="shared" si="101"/>
        <v>7.3083636611408069</v>
      </c>
      <c r="AB335" s="10">
        <f t="shared" si="102"/>
        <v>37.74181119416766</v>
      </c>
      <c r="AC335" s="10">
        <f t="shared" si="95"/>
        <v>4.7177263992709575</v>
      </c>
      <c r="AD335" s="10">
        <f t="shared" si="103"/>
        <v>18.87090559708383</v>
      </c>
      <c r="AE335" s="65"/>
      <c r="AF335" s="10">
        <f t="shared" si="104"/>
        <v>66.160718406750235</v>
      </c>
      <c r="AG335" s="8">
        <f t="shared" si="96"/>
        <v>12.901340089316296</v>
      </c>
      <c r="AH335" s="10">
        <f t="shared" si="97"/>
        <v>33.080359203375117</v>
      </c>
      <c r="AI335" s="63"/>
      <c r="AJ335" s="10">
        <f t="shared" si="105"/>
        <v>56.584199999999996</v>
      </c>
      <c r="AK335" s="8"/>
      <c r="AL335" s="8">
        <f t="shared" si="98"/>
        <v>28.292099999999998</v>
      </c>
    </row>
    <row r="336" spans="1:38">
      <c r="A336" s="18">
        <v>41464</v>
      </c>
      <c r="B336" s="19" t="s">
        <v>119</v>
      </c>
      <c r="C336" s="12">
        <v>50.8</v>
      </c>
      <c r="D336" s="19" t="s">
        <v>80</v>
      </c>
      <c r="E336" s="8">
        <v>8.4113100000000003</v>
      </c>
      <c r="F336" s="8">
        <v>83.313739999999996</v>
      </c>
      <c r="G336" s="22">
        <v>50</v>
      </c>
      <c r="H336" s="22">
        <v>20</v>
      </c>
      <c r="I336" s="10">
        <f t="shared" si="87"/>
        <v>4.9331548755868928</v>
      </c>
      <c r="J336" s="10">
        <f t="shared" si="88"/>
        <v>8.6099795089802519E-2</v>
      </c>
      <c r="K336" s="10">
        <f t="shared" si="94"/>
        <v>21.078079490328182</v>
      </c>
      <c r="L336" s="22">
        <v>187</v>
      </c>
      <c r="M336" s="22" t="s">
        <v>107</v>
      </c>
      <c r="N336" s="22" t="s">
        <v>63</v>
      </c>
      <c r="O336" s="10" t="s">
        <v>108</v>
      </c>
      <c r="P336" s="15" t="s">
        <v>92</v>
      </c>
      <c r="Q336" s="8">
        <v>0.57999999999999996</v>
      </c>
      <c r="R336" s="22" t="s">
        <v>190</v>
      </c>
      <c r="S336" s="29">
        <f>AVERAGE(8,7.6)</f>
        <v>7.8</v>
      </c>
      <c r="T336" s="79">
        <f t="shared" si="106"/>
        <v>4.7783736E-3</v>
      </c>
      <c r="U336" s="22">
        <v>9</v>
      </c>
      <c r="V336" s="22">
        <v>76</v>
      </c>
      <c r="W336" s="10">
        <f t="shared" si="99"/>
        <v>1.3264502315156905</v>
      </c>
      <c r="X336" s="22">
        <v>5</v>
      </c>
      <c r="Y336" s="22">
        <v>-4</v>
      </c>
      <c r="Z336" s="10">
        <f t="shared" si="100"/>
        <v>-6.9813170079773182E-2</v>
      </c>
      <c r="AA336" s="10">
        <f t="shared" si="101"/>
        <v>8.3838791677633413</v>
      </c>
      <c r="AB336" s="10">
        <f t="shared" si="102"/>
        <v>16.317747104808703</v>
      </c>
      <c r="AC336" s="10">
        <f t="shared" si="95"/>
        <v>2.0397183881010879</v>
      </c>
      <c r="AD336" s="10">
        <f t="shared" si="103"/>
        <v>8.1588735524043514</v>
      </c>
      <c r="AE336" s="65"/>
      <c r="AF336" s="10">
        <f t="shared" si="104"/>
        <v>18.417656164680125</v>
      </c>
      <c r="AG336" s="8">
        <f t="shared" si="96"/>
        <v>3.5914429521126245</v>
      </c>
      <c r="AH336" s="10">
        <f t="shared" si="97"/>
        <v>9.2088280823400623</v>
      </c>
      <c r="AI336" s="63"/>
      <c r="AJ336" s="10">
        <f t="shared" si="105"/>
        <v>12.085199999999993</v>
      </c>
      <c r="AK336" s="8"/>
      <c r="AL336" s="8">
        <f t="shared" si="98"/>
        <v>6.0425999999999966</v>
      </c>
    </row>
    <row r="337" spans="1:38">
      <c r="A337" s="18">
        <v>41464</v>
      </c>
      <c r="B337" s="19" t="s">
        <v>119</v>
      </c>
      <c r="C337" s="12">
        <v>50.8</v>
      </c>
      <c r="D337" s="19" t="s">
        <v>80</v>
      </c>
      <c r="E337" s="8">
        <v>8.4113100000000003</v>
      </c>
      <c r="F337" s="8">
        <v>83.313739999999996</v>
      </c>
      <c r="G337" s="22">
        <v>50</v>
      </c>
      <c r="H337" s="22">
        <v>20</v>
      </c>
      <c r="I337" s="10">
        <f t="shared" si="87"/>
        <v>4.9331548755868928</v>
      </c>
      <c r="J337" s="10">
        <f t="shared" si="88"/>
        <v>8.6099795089802519E-2</v>
      </c>
      <c r="K337" s="10">
        <f t="shared" si="94"/>
        <v>21.078079490328182</v>
      </c>
      <c r="L337" s="22">
        <v>184</v>
      </c>
      <c r="M337" s="22" t="s">
        <v>96</v>
      </c>
      <c r="N337" s="8" t="s">
        <v>69</v>
      </c>
      <c r="O337" s="58" t="s">
        <v>65</v>
      </c>
      <c r="P337" s="10" t="s">
        <v>102</v>
      </c>
      <c r="Q337" s="22">
        <v>0.48</v>
      </c>
      <c r="R337" s="22" t="s">
        <v>190</v>
      </c>
      <c r="S337" s="29">
        <f>AVERAGE(8,8.6)</f>
        <v>8.3000000000000007</v>
      </c>
      <c r="T337" s="79">
        <f t="shared" si="106"/>
        <v>5.4106206000000016E-3</v>
      </c>
      <c r="U337" s="22">
        <v>9</v>
      </c>
      <c r="V337" s="22">
        <v>70</v>
      </c>
      <c r="W337" s="10">
        <f t="shared" si="99"/>
        <v>1.2217304763960306</v>
      </c>
      <c r="X337" s="22">
        <v>5</v>
      </c>
      <c r="Y337" s="22">
        <v>2</v>
      </c>
      <c r="Z337" s="10">
        <f t="shared" si="100"/>
        <v>3.4906585039886591E-2</v>
      </c>
      <c r="AA337" s="10">
        <f t="shared" si="101"/>
        <v>8.6317310705856798</v>
      </c>
      <c r="AB337" s="10">
        <f t="shared" si="102"/>
        <v>15.777105333391095</v>
      </c>
      <c r="AC337" s="10">
        <f t="shared" si="95"/>
        <v>1.9721381666738869</v>
      </c>
      <c r="AD337" s="10">
        <f t="shared" si="103"/>
        <v>7.8885526666955474</v>
      </c>
      <c r="AE337" s="65"/>
      <c r="AF337" s="10">
        <f t="shared" si="104"/>
        <v>17.777787565803447</v>
      </c>
      <c r="AG337" s="8">
        <f t="shared" si="96"/>
        <v>3.4666685753316724</v>
      </c>
      <c r="AH337" s="10">
        <f t="shared" si="97"/>
        <v>8.8888937829017234</v>
      </c>
      <c r="AI337" s="63"/>
      <c r="AJ337" s="10">
        <f t="shared" si="105"/>
        <v>14.5657</v>
      </c>
      <c r="AK337" s="8"/>
      <c r="AL337" s="8">
        <f t="shared" si="98"/>
        <v>7.2828499999999998</v>
      </c>
    </row>
    <row r="338" spans="1:38">
      <c r="A338" s="18">
        <v>41464</v>
      </c>
      <c r="B338" s="19" t="s">
        <v>119</v>
      </c>
      <c r="C338" s="12">
        <v>50.8</v>
      </c>
      <c r="D338" s="19" t="s">
        <v>80</v>
      </c>
      <c r="E338" s="8">
        <v>8.4113100000000003</v>
      </c>
      <c r="F338" s="8">
        <v>83.313739999999996</v>
      </c>
      <c r="G338" s="22">
        <v>50</v>
      </c>
      <c r="H338" s="22">
        <v>20</v>
      </c>
      <c r="I338" s="10">
        <f t="shared" si="87"/>
        <v>4.9331548755868928</v>
      </c>
      <c r="J338" s="10">
        <f t="shared" si="88"/>
        <v>8.6099795089802519E-2</v>
      </c>
      <c r="K338" s="10">
        <f t="shared" si="94"/>
        <v>21.078079490328182</v>
      </c>
      <c r="L338" s="22">
        <v>188</v>
      </c>
      <c r="M338" s="22" t="s">
        <v>54</v>
      </c>
      <c r="N338" s="8" t="s">
        <v>55</v>
      </c>
      <c r="O338" s="10" t="s">
        <v>56</v>
      </c>
      <c r="P338" s="10" t="s">
        <v>57</v>
      </c>
      <c r="Q338" s="11">
        <v>0.315</v>
      </c>
      <c r="R338" s="12" t="s">
        <v>66</v>
      </c>
      <c r="S338" s="29">
        <f>AVERAGE(32.4,39.9)</f>
        <v>36.15</v>
      </c>
      <c r="T338" s="79">
        <f t="shared" si="106"/>
        <v>0.10263783915000001</v>
      </c>
      <c r="U338" s="22">
        <v>10</v>
      </c>
      <c r="V338" s="22">
        <v>76</v>
      </c>
      <c r="W338" s="10">
        <f t="shared" si="99"/>
        <v>1.3264502315156905</v>
      </c>
      <c r="X338" s="22">
        <v>5</v>
      </c>
      <c r="Y338" s="22">
        <v>25</v>
      </c>
      <c r="Z338" s="10">
        <f t="shared" si="100"/>
        <v>0.43633231299858238</v>
      </c>
      <c r="AA338" s="10">
        <f t="shared" si="101"/>
        <v>11.816048571463462</v>
      </c>
      <c r="AB338" s="10">
        <f t="shared" si="102"/>
        <v>226.79902351550206</v>
      </c>
      <c r="AC338" s="10">
        <f t="shared" si="95"/>
        <v>28.349877939437757</v>
      </c>
      <c r="AD338" s="10">
        <f t="shared" si="103"/>
        <v>113.39951175775103</v>
      </c>
      <c r="AE338" s="65"/>
      <c r="AF338" s="10">
        <f t="shared" si="104"/>
        <v>435.36576738506369</v>
      </c>
      <c r="AG338" s="8">
        <f t="shared" si="96"/>
        <v>84.896324640087428</v>
      </c>
      <c r="AH338" s="10">
        <f t="shared" si="97"/>
        <v>217.68288369253185</v>
      </c>
      <c r="AI338" s="63"/>
      <c r="AJ338" s="10">
        <f t="shared" si="105"/>
        <v>736.99469999999997</v>
      </c>
      <c r="AK338" s="8"/>
      <c r="AL338" s="8">
        <f t="shared" si="98"/>
        <v>368.49734999999998</v>
      </c>
    </row>
    <row r="339" spans="1:38">
      <c r="A339" s="18">
        <v>41464</v>
      </c>
      <c r="B339" s="19" t="s">
        <v>119</v>
      </c>
      <c r="C339" s="12">
        <v>50.8</v>
      </c>
      <c r="D339" s="19" t="s">
        <v>80</v>
      </c>
      <c r="E339" s="8">
        <v>8.4113100000000003</v>
      </c>
      <c r="F339" s="8">
        <v>83.313739999999996</v>
      </c>
      <c r="G339" s="22">
        <v>50</v>
      </c>
      <c r="H339" s="22">
        <v>20</v>
      </c>
      <c r="I339" s="10">
        <f t="shared" si="87"/>
        <v>4.9331548755868928</v>
      </c>
      <c r="J339" s="10">
        <f t="shared" si="88"/>
        <v>8.6099795089802519E-2</v>
      </c>
      <c r="K339" s="10">
        <f t="shared" si="94"/>
        <v>21.078079490328182</v>
      </c>
      <c r="L339" s="22">
        <v>189</v>
      </c>
      <c r="M339" s="22" t="s">
        <v>54</v>
      </c>
      <c r="N339" s="8" t="s">
        <v>55</v>
      </c>
      <c r="O339" s="10" t="s">
        <v>56</v>
      </c>
      <c r="P339" s="10" t="s">
        <v>57</v>
      </c>
      <c r="Q339" s="11">
        <v>0.315</v>
      </c>
      <c r="R339" s="12" t="s">
        <v>66</v>
      </c>
      <c r="S339" s="29">
        <f>AVERAGE(18.2,22.2)</f>
        <v>20.2</v>
      </c>
      <c r="T339" s="79">
        <f t="shared" si="106"/>
        <v>3.20474616E-2</v>
      </c>
      <c r="U339" s="22">
        <v>7</v>
      </c>
      <c r="V339" s="22">
        <v>70</v>
      </c>
      <c r="W339" s="10">
        <f t="shared" si="99"/>
        <v>1.2217304763960306</v>
      </c>
      <c r="X339" s="22">
        <v>5</v>
      </c>
      <c r="Y339" s="22">
        <v>25</v>
      </c>
      <c r="Z339" s="10">
        <f t="shared" si="100"/>
        <v>0.43633231299858238</v>
      </c>
      <c r="AA339" s="10">
        <f t="shared" si="101"/>
        <v>8.6909396542048558</v>
      </c>
      <c r="AB339" s="10">
        <f t="shared" si="102"/>
        <v>56.892752637803603</v>
      </c>
      <c r="AC339" s="10">
        <f t="shared" si="95"/>
        <v>7.1115940797254504</v>
      </c>
      <c r="AD339" s="10">
        <f t="shared" si="103"/>
        <v>28.446376318901802</v>
      </c>
      <c r="AE339" s="65"/>
      <c r="AF339" s="10">
        <f t="shared" si="104"/>
        <v>106.07154634251785</v>
      </c>
      <c r="AG339" s="8">
        <f t="shared" si="96"/>
        <v>20.683951536790982</v>
      </c>
      <c r="AH339" s="10">
        <f t="shared" si="97"/>
        <v>53.035773171258924</v>
      </c>
      <c r="AI339" s="63"/>
      <c r="AJ339" s="10">
        <f t="shared" si="105"/>
        <v>182.79599999999996</v>
      </c>
      <c r="AK339" s="8"/>
      <c r="AL339" s="8">
        <f t="shared" si="98"/>
        <v>91.397999999999982</v>
      </c>
    </row>
    <row r="340" spans="1:38">
      <c r="A340" s="18">
        <v>41464</v>
      </c>
      <c r="B340" s="19" t="s">
        <v>119</v>
      </c>
      <c r="C340" s="12">
        <v>50.8</v>
      </c>
      <c r="D340" s="19" t="s">
        <v>80</v>
      </c>
      <c r="E340" s="8">
        <v>8.4113100000000003</v>
      </c>
      <c r="F340" s="8">
        <v>83.313739999999996</v>
      </c>
      <c r="G340" s="22">
        <v>50</v>
      </c>
      <c r="H340" s="22">
        <v>20</v>
      </c>
      <c r="I340" s="10">
        <f t="shared" si="87"/>
        <v>4.9331548755868928</v>
      </c>
      <c r="J340" s="10">
        <f t="shared" si="88"/>
        <v>8.6099795089802519E-2</v>
      </c>
      <c r="K340" s="10">
        <f t="shared" si="94"/>
        <v>21.078079490328182</v>
      </c>
      <c r="L340" s="22">
        <v>190</v>
      </c>
      <c r="M340" s="31" t="s">
        <v>122</v>
      </c>
      <c r="N340" s="8" t="s">
        <v>123</v>
      </c>
      <c r="O340" s="10" t="s">
        <v>99</v>
      </c>
      <c r="P340" s="10" t="s">
        <v>99</v>
      </c>
      <c r="Q340" s="22">
        <v>0.69</v>
      </c>
      <c r="R340" s="22" t="s">
        <v>190</v>
      </c>
      <c r="S340" s="29">
        <f>AVERAGE(7.4,7.6)</f>
        <v>7.5</v>
      </c>
      <c r="T340" s="79">
        <f t="shared" si="106"/>
        <v>4.4178749999999999E-3</v>
      </c>
      <c r="U340" s="22">
        <v>6</v>
      </c>
      <c r="V340" s="22">
        <v>47</v>
      </c>
      <c r="W340" s="10">
        <f t="shared" si="99"/>
        <v>0.82030474843733492</v>
      </c>
      <c r="X340" s="22">
        <v>5</v>
      </c>
      <c r="Y340" s="22">
        <v>29</v>
      </c>
      <c r="Z340" s="10">
        <f t="shared" si="100"/>
        <v>0.50614548307835561</v>
      </c>
      <c r="AA340" s="10">
        <f t="shared" si="101"/>
        <v>6.8121703109467084</v>
      </c>
      <c r="AB340" s="10">
        <f t="shared" si="102"/>
        <v>14.681938789103503</v>
      </c>
      <c r="AC340" s="10">
        <f t="shared" si="95"/>
        <v>1.8352423486379379</v>
      </c>
      <c r="AD340" s="10">
        <f t="shared" si="103"/>
        <v>7.3409693945517516</v>
      </c>
      <c r="AE340" s="65"/>
      <c r="AF340" s="10">
        <f t="shared" si="104"/>
        <v>19.885029006991481</v>
      </c>
      <c r="AG340" s="8">
        <f t="shared" si="96"/>
        <v>3.8775806563633388</v>
      </c>
      <c r="AH340" s="10">
        <f t="shared" si="97"/>
        <v>9.9425145034957403</v>
      </c>
      <c r="AI340" s="63"/>
      <c r="AJ340" s="10">
        <f t="shared" si="105"/>
        <v>10.7745</v>
      </c>
      <c r="AK340" s="8"/>
      <c r="AL340" s="8">
        <f t="shared" si="98"/>
        <v>5.3872499999999999</v>
      </c>
    </row>
    <row r="341" spans="1:38">
      <c r="A341" s="18">
        <v>41464</v>
      </c>
      <c r="B341" s="19" t="s">
        <v>119</v>
      </c>
      <c r="C341" s="12">
        <v>50.8</v>
      </c>
      <c r="D341" s="19" t="s">
        <v>80</v>
      </c>
      <c r="E341" s="8">
        <v>8.4113100000000003</v>
      </c>
      <c r="F341" s="8">
        <v>83.313739999999996</v>
      </c>
      <c r="G341" s="22">
        <v>50</v>
      </c>
      <c r="H341" s="22">
        <v>20</v>
      </c>
      <c r="I341" s="10">
        <f t="shared" si="87"/>
        <v>4.9331548755868928</v>
      </c>
      <c r="J341" s="10">
        <f t="shared" si="88"/>
        <v>8.6099795089802519E-2</v>
      </c>
      <c r="K341" s="10">
        <f t="shared" si="94"/>
        <v>21.078079490328182</v>
      </c>
      <c r="L341" s="22">
        <v>191</v>
      </c>
      <c r="M341" s="22" t="s">
        <v>95</v>
      </c>
      <c r="N341" s="7" t="s">
        <v>109</v>
      </c>
      <c r="O341" s="57" t="s">
        <v>110</v>
      </c>
      <c r="P341" s="33" t="s">
        <v>246</v>
      </c>
      <c r="Q341" s="22">
        <v>0.64</v>
      </c>
      <c r="R341" s="22" t="s">
        <v>190</v>
      </c>
      <c r="S341" s="29">
        <f>AVERAGE(6.4,7.6)</f>
        <v>7</v>
      </c>
      <c r="T341" s="79">
        <f t="shared" si="106"/>
        <v>3.8484600000000002E-3</v>
      </c>
      <c r="U341" s="22">
        <v>7</v>
      </c>
      <c r="V341" s="22">
        <v>55</v>
      </c>
      <c r="W341" s="10">
        <f t="shared" si="99"/>
        <v>0.95993108859688125</v>
      </c>
      <c r="X341" s="22">
        <v>6</v>
      </c>
      <c r="Y341" s="22">
        <v>26</v>
      </c>
      <c r="Z341" s="10">
        <f t="shared" si="100"/>
        <v>0.4537856055185257</v>
      </c>
      <c r="AA341" s="10">
        <f t="shared" si="101"/>
        <v>8.364291190757406</v>
      </c>
      <c r="AB341" s="10">
        <f t="shared" si="102"/>
        <v>14.572652443889801</v>
      </c>
      <c r="AC341" s="10">
        <f t="shared" si="95"/>
        <v>1.8215815554862251</v>
      </c>
      <c r="AD341" s="10">
        <f t="shared" si="103"/>
        <v>7.2863262219449005</v>
      </c>
      <c r="AE341" s="65"/>
      <c r="AF341" s="10">
        <f t="shared" si="104"/>
        <v>15.555036671110013</v>
      </c>
      <c r="AG341" s="8">
        <f t="shared" si="96"/>
        <v>3.0332321508664526</v>
      </c>
      <c r="AH341" s="10">
        <f t="shared" si="97"/>
        <v>7.7775183355550066</v>
      </c>
      <c r="AI341" s="63"/>
      <c r="AJ341" s="10">
        <f t="shared" si="105"/>
        <v>8.8859999999999992</v>
      </c>
      <c r="AK341" s="8"/>
      <c r="AL341" s="8">
        <f t="shared" si="98"/>
        <v>4.4429999999999996</v>
      </c>
    </row>
    <row r="342" spans="1:38">
      <c r="A342" s="18">
        <v>41464</v>
      </c>
      <c r="B342" s="19" t="s">
        <v>119</v>
      </c>
      <c r="C342" s="12">
        <v>50.8</v>
      </c>
      <c r="D342" s="19" t="s">
        <v>80</v>
      </c>
      <c r="E342" s="8">
        <v>8.4113100000000003</v>
      </c>
      <c r="F342" s="8">
        <v>83.313739999999996</v>
      </c>
      <c r="G342" s="22">
        <v>50</v>
      </c>
      <c r="H342" s="22">
        <v>20</v>
      </c>
      <c r="I342" s="10">
        <f t="shared" si="87"/>
        <v>4.9331548755868928</v>
      </c>
      <c r="J342" s="10">
        <f t="shared" si="88"/>
        <v>8.6099795089802519E-2</v>
      </c>
      <c r="K342" s="10">
        <f t="shared" si="94"/>
        <v>21.078079490328182</v>
      </c>
      <c r="L342" s="22">
        <v>192</v>
      </c>
      <c r="M342" s="22" t="s">
        <v>54</v>
      </c>
      <c r="N342" s="8" t="s">
        <v>55</v>
      </c>
      <c r="O342" s="10" t="s">
        <v>56</v>
      </c>
      <c r="P342" s="10" t="s">
        <v>57</v>
      </c>
      <c r="Q342" s="11">
        <v>0.315</v>
      </c>
      <c r="R342" s="12" t="s">
        <v>66</v>
      </c>
      <c r="S342" s="29">
        <f>AVERAGE(35.6,38.9)</f>
        <v>37.25</v>
      </c>
      <c r="T342" s="79">
        <f t="shared" si="106"/>
        <v>0.10897915875</v>
      </c>
      <c r="U342" s="22">
        <v>14</v>
      </c>
      <c r="V342" s="22">
        <v>57</v>
      </c>
      <c r="W342" s="10">
        <f t="shared" si="99"/>
        <v>0.99483767363676789</v>
      </c>
      <c r="X342" s="22">
        <v>6</v>
      </c>
      <c r="Y342" s="22">
        <v>26</v>
      </c>
      <c r="Z342" s="10">
        <f t="shared" si="100"/>
        <v>0.4537856055185257</v>
      </c>
      <c r="AA342" s="10">
        <f t="shared" si="101"/>
        <v>14.371614831970401</v>
      </c>
      <c r="AB342" s="10">
        <f t="shared" si="102"/>
        <v>288.43388385177656</v>
      </c>
      <c r="AC342" s="10">
        <f t="shared" si="95"/>
        <v>36.05423548147207</v>
      </c>
      <c r="AD342" s="10">
        <f t="shared" si="103"/>
        <v>144.21694192588828</v>
      </c>
      <c r="AE342" s="65"/>
      <c r="AF342" s="10">
        <f t="shared" si="104"/>
        <v>467.52256190317354</v>
      </c>
      <c r="AG342" s="8">
        <f t="shared" si="96"/>
        <v>91.166899571118847</v>
      </c>
      <c r="AH342" s="10">
        <f t="shared" si="97"/>
        <v>233.76128095158677</v>
      </c>
      <c r="AI342" s="63"/>
      <c r="AJ342" s="10">
        <f t="shared" si="105"/>
        <v>789.09400000000005</v>
      </c>
      <c r="AK342" s="8"/>
      <c r="AL342" s="8">
        <f t="shared" si="98"/>
        <v>394.54700000000003</v>
      </c>
    </row>
    <row r="343" spans="1:38">
      <c r="A343" s="18">
        <v>41464</v>
      </c>
      <c r="B343" s="19" t="s">
        <v>119</v>
      </c>
      <c r="C343" s="12">
        <v>50.8</v>
      </c>
      <c r="D343" s="19" t="s">
        <v>80</v>
      </c>
      <c r="E343" s="8">
        <v>8.4113100000000003</v>
      </c>
      <c r="F343" s="8">
        <v>83.313739999999996</v>
      </c>
      <c r="G343" s="22">
        <v>50</v>
      </c>
      <c r="H343" s="22">
        <v>20</v>
      </c>
      <c r="I343" s="10">
        <f t="shared" si="87"/>
        <v>4.9331548755868928</v>
      </c>
      <c r="J343" s="10">
        <f t="shared" si="88"/>
        <v>8.6099795089802519E-2</v>
      </c>
      <c r="K343" s="10">
        <f t="shared" si="94"/>
        <v>21.078079490328182</v>
      </c>
      <c r="L343" s="22">
        <v>193</v>
      </c>
      <c r="M343" s="22" t="s">
        <v>39</v>
      </c>
      <c r="N343" s="8" t="s">
        <v>69</v>
      </c>
      <c r="O343" s="10" t="s">
        <v>65</v>
      </c>
      <c r="P343" s="10" t="s">
        <v>70</v>
      </c>
      <c r="Q343" s="8">
        <v>0.37</v>
      </c>
      <c r="R343" s="8" t="s">
        <v>71</v>
      </c>
      <c r="S343" s="29">
        <f>AVERAGE(15.7,14.7)</f>
        <v>15.2</v>
      </c>
      <c r="T343" s="79">
        <f t="shared" si="106"/>
        <v>1.81458816E-2</v>
      </c>
      <c r="U343" s="22">
        <v>6</v>
      </c>
      <c r="V343" s="22">
        <v>55</v>
      </c>
      <c r="W343" s="10">
        <f t="shared" si="99"/>
        <v>0.95993108859688125</v>
      </c>
      <c r="X343" s="22">
        <v>5</v>
      </c>
      <c r="Y343" s="22">
        <v>30</v>
      </c>
      <c r="Z343" s="10">
        <f t="shared" si="100"/>
        <v>0.52359877559829882</v>
      </c>
      <c r="AA343" s="10">
        <f t="shared" si="101"/>
        <v>7.4149122657339497</v>
      </c>
      <c r="AB343" s="10">
        <f t="shared" si="102"/>
        <v>33.399267564528273</v>
      </c>
      <c r="AC343" s="10">
        <f t="shared" si="95"/>
        <v>4.1749084455660341</v>
      </c>
      <c r="AD343" s="10">
        <f t="shared" si="103"/>
        <v>16.699633782264137</v>
      </c>
      <c r="AE343" s="65"/>
      <c r="AF343" s="10">
        <f t="shared" si="104"/>
        <v>61.655210522878484</v>
      </c>
      <c r="AG343" s="8">
        <f t="shared" si="96"/>
        <v>12.022766051961305</v>
      </c>
      <c r="AH343" s="10">
        <f t="shared" si="97"/>
        <v>30.827605261439242</v>
      </c>
      <c r="AI343" s="63"/>
      <c r="AJ343" s="10">
        <f t="shared" si="105"/>
        <v>86.580999999999989</v>
      </c>
      <c r="AK343" s="8"/>
      <c r="AL343" s="8">
        <f t="shared" si="98"/>
        <v>43.290499999999994</v>
      </c>
    </row>
    <row r="344" spans="1:38">
      <c r="A344" s="18">
        <v>41464</v>
      </c>
      <c r="B344" s="19" t="s">
        <v>119</v>
      </c>
      <c r="C344" s="12">
        <v>50.8</v>
      </c>
      <c r="D344" s="19" t="s">
        <v>80</v>
      </c>
      <c r="E344" s="8">
        <v>8.4113100000000003</v>
      </c>
      <c r="F344" s="8">
        <v>83.313739999999996</v>
      </c>
      <c r="G344" s="22">
        <v>50</v>
      </c>
      <c r="H344" s="22">
        <v>20</v>
      </c>
      <c r="I344" s="10">
        <f t="shared" si="87"/>
        <v>4.9331548755868928</v>
      </c>
      <c r="J344" s="10">
        <f t="shared" si="88"/>
        <v>8.6099795089802519E-2</v>
      </c>
      <c r="K344" s="10">
        <f t="shared" si="94"/>
        <v>21.078079490328182</v>
      </c>
      <c r="L344" s="22">
        <v>194</v>
      </c>
      <c r="M344" s="22" t="s">
        <v>39</v>
      </c>
      <c r="N344" s="8" t="s">
        <v>69</v>
      </c>
      <c r="O344" s="10" t="s">
        <v>65</v>
      </c>
      <c r="P344" s="10" t="s">
        <v>70</v>
      </c>
      <c r="Q344" s="8">
        <v>0.37</v>
      </c>
      <c r="R344" s="8" t="s">
        <v>71</v>
      </c>
      <c r="S344" s="29">
        <f>AVERAGE(9.5,10)</f>
        <v>9.75</v>
      </c>
      <c r="T344" s="79">
        <f t="shared" si="106"/>
        <v>7.4662087500000007E-3</v>
      </c>
      <c r="U344" s="22">
        <v>6</v>
      </c>
      <c r="V344" s="22">
        <v>45</v>
      </c>
      <c r="W344" s="10">
        <f t="shared" si="99"/>
        <v>0.78539816339744828</v>
      </c>
      <c r="X344" s="22">
        <v>5</v>
      </c>
      <c r="Y344" s="22">
        <v>30</v>
      </c>
      <c r="Z344" s="10">
        <f t="shared" si="100"/>
        <v>0.52359877559829882</v>
      </c>
      <c r="AA344" s="10">
        <f t="shared" si="101"/>
        <v>6.7426406871192839</v>
      </c>
      <c r="AB344" s="10">
        <f t="shared" si="102"/>
        <v>13.255625788404705</v>
      </c>
      <c r="AC344" s="10">
        <f t="shared" si="95"/>
        <v>1.6569532235505882</v>
      </c>
      <c r="AD344" s="10">
        <f t="shared" si="103"/>
        <v>6.6278128942023526</v>
      </c>
      <c r="AE344" s="65"/>
      <c r="AF344" s="10">
        <f t="shared" si="104"/>
        <v>20.437528657582835</v>
      </c>
      <c r="AG344" s="8">
        <f t="shared" si="96"/>
        <v>3.9853180882286527</v>
      </c>
      <c r="AH344" s="10">
        <f t="shared" si="97"/>
        <v>10.218764328791417</v>
      </c>
      <c r="AI344" s="63"/>
      <c r="AJ344" s="10">
        <f t="shared" si="105"/>
        <v>23.851499999999987</v>
      </c>
      <c r="AK344" s="8"/>
      <c r="AL344" s="8">
        <f t="shared" si="98"/>
        <v>11.925749999999994</v>
      </c>
    </row>
    <row r="345" spans="1:38">
      <c r="A345" s="18">
        <v>41464</v>
      </c>
      <c r="B345" s="19" t="s">
        <v>119</v>
      </c>
      <c r="C345" s="12">
        <v>50.8</v>
      </c>
      <c r="D345" s="19" t="s">
        <v>80</v>
      </c>
      <c r="E345" s="8">
        <v>8.4113100000000003</v>
      </c>
      <c r="F345" s="8">
        <v>83.313739999999996</v>
      </c>
      <c r="G345" s="22">
        <v>50</v>
      </c>
      <c r="H345" s="22">
        <v>20</v>
      </c>
      <c r="I345" s="10">
        <f t="shared" si="87"/>
        <v>4.9331548755868928</v>
      </c>
      <c r="J345" s="10">
        <f t="shared" si="88"/>
        <v>8.6099795089802519E-2</v>
      </c>
      <c r="K345" s="10">
        <f t="shared" si="94"/>
        <v>21.078079490328182</v>
      </c>
      <c r="L345" s="22">
        <v>195</v>
      </c>
      <c r="M345" s="22" t="s">
        <v>39</v>
      </c>
      <c r="N345" s="8" t="s">
        <v>69</v>
      </c>
      <c r="O345" s="10" t="s">
        <v>65</v>
      </c>
      <c r="P345" s="10" t="s">
        <v>70</v>
      </c>
      <c r="Q345" s="8">
        <v>0.37</v>
      </c>
      <c r="R345" s="8" t="s">
        <v>71</v>
      </c>
      <c r="S345" s="29">
        <f>AVERAGE(6,6)</f>
        <v>6</v>
      </c>
      <c r="T345" s="79">
        <f t="shared" si="106"/>
        <v>2.8274400000000001E-3</v>
      </c>
      <c r="U345" s="22">
        <v>5</v>
      </c>
      <c r="V345" s="22">
        <v>54</v>
      </c>
      <c r="W345" s="10">
        <f t="shared" si="99"/>
        <v>0.94247779607693793</v>
      </c>
      <c r="X345" s="22">
        <v>5</v>
      </c>
      <c r="Y345" s="22">
        <v>30</v>
      </c>
      <c r="Z345" s="10">
        <f t="shared" si="100"/>
        <v>0.52359877559829882</v>
      </c>
      <c r="AA345" s="10">
        <f t="shared" si="101"/>
        <v>6.5450849718747364</v>
      </c>
      <c r="AB345" s="10">
        <f t="shared" si="102"/>
        <v>5.1743531309402737</v>
      </c>
      <c r="AC345" s="10">
        <f t="shared" si="95"/>
        <v>0.64679414136753421</v>
      </c>
      <c r="AD345" s="10">
        <f t="shared" si="103"/>
        <v>2.5871765654701369</v>
      </c>
      <c r="AE345" s="65"/>
      <c r="AF345" s="10">
        <f t="shared" si="104"/>
        <v>6.1554997659111184</v>
      </c>
      <c r="AG345" s="8">
        <f t="shared" si="96"/>
        <v>1.200322454352668</v>
      </c>
      <c r="AH345" s="10">
        <f t="shared" si="97"/>
        <v>3.0777498829555592</v>
      </c>
      <c r="AI345" s="63"/>
      <c r="AJ345" s="10">
        <f t="shared" si="105"/>
        <v>6.2189999999999976</v>
      </c>
      <c r="AK345" s="8"/>
      <c r="AL345" s="8">
        <f t="shared" si="98"/>
        <v>3.1094999999999988</v>
      </c>
    </row>
    <row r="346" spans="1:38">
      <c r="A346" s="18">
        <v>41464</v>
      </c>
      <c r="B346" s="19" t="s">
        <v>119</v>
      </c>
      <c r="C346" s="12">
        <v>50.8</v>
      </c>
      <c r="D346" s="19" t="s">
        <v>80</v>
      </c>
      <c r="E346" s="8">
        <v>8.4113100000000003</v>
      </c>
      <c r="F346" s="8">
        <v>83.313739999999996</v>
      </c>
      <c r="G346" s="22">
        <v>50</v>
      </c>
      <c r="H346" s="22">
        <v>20</v>
      </c>
      <c r="I346" s="10">
        <f t="shared" si="87"/>
        <v>4.9331548755868928</v>
      </c>
      <c r="J346" s="10">
        <f t="shared" si="88"/>
        <v>8.6099795089802519E-2</v>
      </c>
      <c r="K346" s="10">
        <f t="shared" si="94"/>
        <v>21.078079490328182</v>
      </c>
      <c r="L346" s="22">
        <v>196</v>
      </c>
      <c r="M346" s="22" t="s">
        <v>36</v>
      </c>
      <c r="N346" s="8" t="s">
        <v>46</v>
      </c>
      <c r="O346" s="10" t="s">
        <v>37</v>
      </c>
      <c r="P346" s="10" t="s">
        <v>38</v>
      </c>
      <c r="Q346" s="11">
        <v>0.48</v>
      </c>
      <c r="R346" s="8" t="s">
        <v>60</v>
      </c>
      <c r="S346" s="29">
        <f>AVERAGE(22,23)</f>
        <v>22.5</v>
      </c>
      <c r="T346" s="79">
        <f t="shared" si="106"/>
        <v>3.9760875000000001E-2</v>
      </c>
      <c r="U346" s="22">
        <v>7</v>
      </c>
      <c r="V346" s="22">
        <v>50</v>
      </c>
      <c r="W346" s="10">
        <f t="shared" si="99"/>
        <v>0.87266462599716477</v>
      </c>
      <c r="X346" s="22">
        <v>5</v>
      </c>
      <c r="Y346" s="22">
        <v>6</v>
      </c>
      <c r="Z346" s="10">
        <f t="shared" si="100"/>
        <v>0.10471975511965978</v>
      </c>
      <c r="AA346" s="10">
        <f t="shared" si="101"/>
        <v>5.8849534181711132</v>
      </c>
      <c r="AB346" s="10">
        <f t="shared" si="102"/>
        <v>71.761261767790359</v>
      </c>
      <c r="AC346" s="10">
        <f t="shared" si="95"/>
        <v>8.9701577209737948</v>
      </c>
      <c r="AD346" s="10">
        <f t="shared" si="103"/>
        <v>35.880630883895179</v>
      </c>
      <c r="AE346" s="65"/>
      <c r="AF346" s="10">
        <f t="shared" si="104"/>
        <v>210.67581468403424</v>
      </c>
      <c r="AG346" s="8">
        <f t="shared" si="96"/>
        <v>41.081783863386676</v>
      </c>
      <c r="AH346" s="10">
        <f t="shared" si="97"/>
        <v>105.33790734201712</v>
      </c>
      <c r="AI346" s="63"/>
      <c r="AJ346" s="10">
        <f t="shared" si="105"/>
        <v>239.4795</v>
      </c>
      <c r="AK346" s="8"/>
      <c r="AL346" s="8">
        <f t="shared" si="98"/>
        <v>119.73975</v>
      </c>
    </row>
    <row r="347" spans="1:38">
      <c r="A347" s="18">
        <v>41464</v>
      </c>
      <c r="B347" s="19" t="s">
        <v>119</v>
      </c>
      <c r="C347" s="12">
        <v>50.8</v>
      </c>
      <c r="D347" s="19" t="s">
        <v>80</v>
      </c>
      <c r="E347" s="8">
        <v>8.4113100000000003</v>
      </c>
      <c r="F347" s="8">
        <v>83.313739999999996</v>
      </c>
      <c r="G347" s="22">
        <v>50</v>
      </c>
      <c r="H347" s="22">
        <v>20</v>
      </c>
      <c r="I347" s="10">
        <f t="shared" si="87"/>
        <v>4.9331548755868928</v>
      </c>
      <c r="J347" s="10">
        <f t="shared" si="88"/>
        <v>8.6099795089802519E-2</v>
      </c>
      <c r="K347" s="10">
        <f t="shared" si="94"/>
        <v>21.078079490328182</v>
      </c>
      <c r="L347" s="22">
        <v>197</v>
      </c>
      <c r="M347" s="22" t="s">
        <v>78</v>
      </c>
      <c r="N347" s="22" t="s">
        <v>87</v>
      </c>
      <c r="O347" s="10" t="s">
        <v>88</v>
      </c>
      <c r="P347" s="10" t="s">
        <v>89</v>
      </c>
      <c r="Q347" s="23">
        <v>0.64</v>
      </c>
      <c r="R347" s="22" t="s">
        <v>90</v>
      </c>
      <c r="S347" s="29">
        <f>AVERAGE(30.2,26.1)</f>
        <v>28.15</v>
      </c>
      <c r="T347" s="79">
        <f t="shared" si="106"/>
        <v>6.2236863149999995E-2</v>
      </c>
      <c r="U347" s="22">
        <v>12</v>
      </c>
      <c r="V347" s="22">
        <v>65</v>
      </c>
      <c r="W347" s="10">
        <f t="shared" si="99"/>
        <v>1.1344640137963142</v>
      </c>
      <c r="X347" s="22">
        <v>5</v>
      </c>
      <c r="Y347" s="22">
        <v>5</v>
      </c>
      <c r="Z347" s="10">
        <f t="shared" si="100"/>
        <v>8.7266462599716474E-2</v>
      </c>
      <c r="AA347" s="10">
        <f t="shared" si="101"/>
        <v>11.311472158178089</v>
      </c>
      <c r="AB347" s="10">
        <f t="shared" si="102"/>
        <v>264.84895902561681</v>
      </c>
      <c r="AC347" s="10">
        <f t="shared" si="95"/>
        <v>33.106119878202101</v>
      </c>
      <c r="AD347" s="10">
        <f t="shared" si="103"/>
        <v>132.4244795128084</v>
      </c>
      <c r="AE347" s="65"/>
      <c r="AF347" s="10">
        <f t="shared" si="104"/>
        <v>485.01645519843117</v>
      </c>
      <c r="AG347" s="8">
        <f t="shared" si="96"/>
        <v>94.578208763694079</v>
      </c>
      <c r="AH347" s="10">
        <f t="shared" si="97"/>
        <v>242.50822759921559</v>
      </c>
      <c r="AI347" s="63"/>
      <c r="AJ347" s="10">
        <f t="shared" si="105"/>
        <v>411.96269999999993</v>
      </c>
      <c r="AK347" s="8"/>
      <c r="AL347" s="8">
        <f t="shared" si="98"/>
        <v>205.98134999999996</v>
      </c>
    </row>
    <row r="348" spans="1:38">
      <c r="A348" s="18">
        <v>41464</v>
      </c>
      <c r="B348" s="19" t="s">
        <v>119</v>
      </c>
      <c r="C348" s="12">
        <v>50.8</v>
      </c>
      <c r="D348" s="19" t="s">
        <v>80</v>
      </c>
      <c r="E348" s="8">
        <v>8.4113100000000003</v>
      </c>
      <c r="F348" s="8">
        <v>83.313739999999996</v>
      </c>
      <c r="G348" s="22">
        <v>50</v>
      </c>
      <c r="H348" s="22">
        <v>20</v>
      </c>
      <c r="I348" s="10">
        <f t="shared" ref="I348:I409" si="107">1/TAN(H348/100)</f>
        <v>4.9331548755868928</v>
      </c>
      <c r="J348" s="10">
        <f t="shared" ref="J348:J409" si="108">RADIANS(I348)</f>
        <v>8.6099795089802519E-2</v>
      </c>
      <c r="K348" s="10">
        <f t="shared" ref="K348:K359" si="109">21/COS(J348)</f>
        <v>21.078079490328182</v>
      </c>
      <c r="L348" s="22">
        <v>199</v>
      </c>
      <c r="M348" s="22" t="s">
        <v>78</v>
      </c>
      <c r="N348" s="22" t="s">
        <v>87</v>
      </c>
      <c r="O348" s="10" t="s">
        <v>88</v>
      </c>
      <c r="P348" s="10" t="s">
        <v>89</v>
      </c>
      <c r="Q348" s="23">
        <v>0.64</v>
      </c>
      <c r="R348" s="22" t="s">
        <v>90</v>
      </c>
      <c r="S348" s="29">
        <f>AVERAGE(12.6,12.8)</f>
        <v>12.7</v>
      </c>
      <c r="T348" s="79">
        <f t="shared" si="106"/>
        <v>1.26677166E-2</v>
      </c>
      <c r="U348" s="22">
        <v>10</v>
      </c>
      <c r="V348" s="22">
        <v>40</v>
      </c>
      <c r="W348" s="10">
        <f t="shared" si="99"/>
        <v>0.69813170079773179</v>
      </c>
      <c r="X348" s="22">
        <v>5</v>
      </c>
      <c r="Y348" s="22">
        <v>5</v>
      </c>
      <c r="Z348" s="10">
        <f t="shared" si="100"/>
        <v>8.7266462599716474E-2</v>
      </c>
      <c r="AA348" s="10">
        <f t="shared" si="101"/>
        <v>6.8636548106036832</v>
      </c>
      <c r="AB348" s="10">
        <f t="shared" si="102"/>
        <v>37.083780334693301</v>
      </c>
      <c r="AC348" s="10">
        <f t="shared" si="95"/>
        <v>4.6354725418366627</v>
      </c>
      <c r="AD348" s="10">
        <f t="shared" si="103"/>
        <v>18.541890167346651</v>
      </c>
      <c r="AE348" s="65"/>
      <c r="AF348" s="10">
        <f t="shared" si="104"/>
        <v>68.231261793491768</v>
      </c>
      <c r="AG348" s="8">
        <f t="shared" si="96"/>
        <v>13.305096049730896</v>
      </c>
      <c r="AH348" s="10">
        <f t="shared" si="97"/>
        <v>34.115630896745884</v>
      </c>
      <c r="AI348" s="63"/>
      <c r="AJ348" s="10">
        <f t="shared" si="105"/>
        <v>52.348499999999987</v>
      </c>
      <c r="AK348" s="8"/>
      <c r="AL348" s="8">
        <f t="shared" si="98"/>
        <v>26.174249999999994</v>
      </c>
    </row>
    <row r="349" spans="1:38">
      <c r="A349" s="18">
        <v>41464</v>
      </c>
      <c r="B349" s="19" t="s">
        <v>119</v>
      </c>
      <c r="C349" s="12">
        <v>50.8</v>
      </c>
      <c r="D349" s="19" t="s">
        <v>80</v>
      </c>
      <c r="E349" s="8">
        <v>8.4113100000000003</v>
      </c>
      <c r="F349" s="8">
        <v>83.313739999999996</v>
      </c>
      <c r="G349" s="22">
        <v>50</v>
      </c>
      <c r="H349" s="22">
        <v>20</v>
      </c>
      <c r="I349" s="10">
        <f t="shared" si="107"/>
        <v>4.9331548755868928</v>
      </c>
      <c r="J349" s="10">
        <f t="shared" si="108"/>
        <v>8.6099795089802519E-2</v>
      </c>
      <c r="K349" s="10">
        <f t="shared" si="109"/>
        <v>21.078079490328182</v>
      </c>
      <c r="L349" s="22">
        <v>198</v>
      </c>
      <c r="M349" s="22" t="s">
        <v>78</v>
      </c>
      <c r="N349" s="22" t="s">
        <v>87</v>
      </c>
      <c r="O349" s="10" t="s">
        <v>88</v>
      </c>
      <c r="P349" s="10" t="s">
        <v>89</v>
      </c>
      <c r="Q349" s="23">
        <v>0.64</v>
      </c>
      <c r="R349" s="22" t="s">
        <v>90</v>
      </c>
      <c r="S349" s="29">
        <f>AVERAGE(22.5,22.2)</f>
        <v>22.35</v>
      </c>
      <c r="T349" s="79">
        <f t="shared" si="106"/>
        <v>3.9232497150000004E-2</v>
      </c>
      <c r="U349" s="22">
        <v>11</v>
      </c>
      <c r="V349" s="22">
        <v>70</v>
      </c>
      <c r="W349" s="10">
        <f t="shared" si="99"/>
        <v>1.2217304763960306</v>
      </c>
      <c r="X349" s="22">
        <v>5</v>
      </c>
      <c r="Y349" s="22">
        <v>5</v>
      </c>
      <c r="Z349" s="10">
        <f t="shared" si="100"/>
        <v>8.7266462599716474E-2</v>
      </c>
      <c r="AA349" s="10">
        <f t="shared" si="101"/>
        <v>10.772397542383283</v>
      </c>
      <c r="AB349" s="10">
        <f t="shared" si="102"/>
        <v>163.94050866826259</v>
      </c>
      <c r="AC349" s="10">
        <f t="shared" si="95"/>
        <v>20.492563583532824</v>
      </c>
      <c r="AD349" s="10">
        <f t="shared" si="103"/>
        <v>81.970254334131297</v>
      </c>
      <c r="AE349" s="65"/>
      <c r="AF349" s="10">
        <f t="shared" si="104"/>
        <v>276.33119084938483</v>
      </c>
      <c r="AG349" s="8">
        <f t="shared" si="96"/>
        <v>53.88458221563004</v>
      </c>
      <c r="AH349" s="10">
        <f t="shared" si="97"/>
        <v>138.16559542469241</v>
      </c>
      <c r="AI349" s="63"/>
      <c r="AJ349" s="10">
        <f t="shared" si="105"/>
        <v>235.54410000000001</v>
      </c>
      <c r="AK349" s="8"/>
      <c r="AL349" s="8">
        <f t="shared" si="98"/>
        <v>117.77205000000001</v>
      </c>
    </row>
    <row r="350" spans="1:38">
      <c r="A350" s="18">
        <v>41464</v>
      </c>
      <c r="B350" s="19" t="s">
        <v>119</v>
      </c>
      <c r="C350" s="12">
        <v>50.8</v>
      </c>
      <c r="D350" s="19" t="s">
        <v>80</v>
      </c>
      <c r="E350" s="8">
        <v>8.4113100000000003</v>
      </c>
      <c r="F350" s="8">
        <v>83.313739999999996</v>
      </c>
      <c r="G350" s="22">
        <v>50</v>
      </c>
      <c r="H350" s="22">
        <v>20</v>
      </c>
      <c r="I350" s="10">
        <f t="shared" si="107"/>
        <v>4.9331548755868928</v>
      </c>
      <c r="J350" s="10">
        <f t="shared" si="108"/>
        <v>8.6099795089802519E-2</v>
      </c>
      <c r="K350" s="10">
        <f t="shared" si="109"/>
        <v>21.078079490328182</v>
      </c>
      <c r="L350" s="22">
        <v>200</v>
      </c>
      <c r="M350" s="31" t="s">
        <v>231</v>
      </c>
      <c r="N350" s="8" t="s">
        <v>171</v>
      </c>
      <c r="O350" s="10" t="s">
        <v>99</v>
      </c>
      <c r="P350" s="10" t="s">
        <v>99</v>
      </c>
      <c r="Q350" s="8">
        <v>0.57999999999999996</v>
      </c>
      <c r="R350" s="8" t="s">
        <v>103</v>
      </c>
      <c r="S350" s="29">
        <f>AVERAGE(10.5,13.2)</f>
        <v>11.85</v>
      </c>
      <c r="T350" s="79">
        <f t="shared" si="106"/>
        <v>1.1028783149999999E-2</v>
      </c>
      <c r="U350" s="22">
        <v>19</v>
      </c>
      <c r="V350" s="22">
        <v>70</v>
      </c>
      <c r="W350" s="10">
        <f t="shared" si="99"/>
        <v>1.2217304763960306</v>
      </c>
      <c r="X350" s="22">
        <v>5</v>
      </c>
      <c r="Y350" s="22">
        <v>10</v>
      </c>
      <c r="Z350" s="10">
        <f t="shared" si="100"/>
        <v>0.17453292519943295</v>
      </c>
      <c r="AA350" s="10">
        <f t="shared" si="101"/>
        <v>18.722400683266908</v>
      </c>
      <c r="AB350" s="10">
        <f t="shared" si="102"/>
        <v>76.224463656680243</v>
      </c>
      <c r="AC350" s="10">
        <f t="shared" si="95"/>
        <v>9.5280579570850303</v>
      </c>
      <c r="AD350" s="10">
        <f t="shared" si="103"/>
        <v>38.112231828340121</v>
      </c>
      <c r="AE350" s="65"/>
      <c r="AF350" s="10">
        <f t="shared" si="104"/>
        <v>52.044874831929775</v>
      </c>
      <c r="AG350" s="8">
        <f t="shared" si="96"/>
        <v>10.148750592226307</v>
      </c>
      <c r="AH350" s="10">
        <f t="shared" si="97"/>
        <v>26.022437415964887</v>
      </c>
      <c r="AI350" s="63"/>
      <c r="AJ350" s="10">
        <f t="shared" si="105"/>
        <v>42.81659999999998</v>
      </c>
      <c r="AK350" s="8"/>
      <c r="AL350" s="8">
        <f t="shared" si="98"/>
        <v>21.40829999999999</v>
      </c>
    </row>
    <row r="351" spans="1:38">
      <c r="A351" s="18">
        <v>41464</v>
      </c>
      <c r="B351" s="19" t="s">
        <v>119</v>
      </c>
      <c r="C351" s="12">
        <v>50.8</v>
      </c>
      <c r="D351" s="19" t="s">
        <v>80</v>
      </c>
      <c r="E351" s="8">
        <v>8.4113100000000003</v>
      </c>
      <c r="F351" s="8">
        <v>83.313739999999996</v>
      </c>
      <c r="G351" s="22">
        <v>50</v>
      </c>
      <c r="H351" s="22">
        <v>20</v>
      </c>
      <c r="I351" s="10">
        <f t="shared" si="107"/>
        <v>4.9331548755868928</v>
      </c>
      <c r="J351" s="10">
        <f t="shared" si="108"/>
        <v>8.6099795089802519E-2</v>
      </c>
      <c r="K351" s="10">
        <f t="shared" si="109"/>
        <v>21.078079490328182</v>
      </c>
      <c r="L351" s="22">
        <v>2149</v>
      </c>
      <c r="M351" s="22" t="s">
        <v>78</v>
      </c>
      <c r="N351" s="22" t="s">
        <v>87</v>
      </c>
      <c r="O351" s="10" t="s">
        <v>88</v>
      </c>
      <c r="P351" s="10" t="s">
        <v>89</v>
      </c>
      <c r="Q351" s="23">
        <v>0.64</v>
      </c>
      <c r="R351" s="22" t="s">
        <v>90</v>
      </c>
      <c r="S351" s="29">
        <f>AVERAGE(39,39.3)</f>
        <v>39.15</v>
      </c>
      <c r="T351" s="79">
        <f t="shared" si="106"/>
        <v>0.12038002515</v>
      </c>
      <c r="U351" s="22">
        <v>9</v>
      </c>
      <c r="V351" s="22">
        <v>69</v>
      </c>
      <c r="W351" s="10">
        <f t="shared" si="99"/>
        <v>1.2042771838760873</v>
      </c>
      <c r="X351" s="22">
        <v>5</v>
      </c>
      <c r="Y351" s="22">
        <v>27</v>
      </c>
      <c r="Z351" s="10">
        <f t="shared" si="100"/>
        <v>0.47123889803846897</v>
      </c>
      <c r="AA351" s="10">
        <f t="shared" si="101"/>
        <v>10.67217633717255</v>
      </c>
      <c r="AB351" s="10">
        <f t="shared" si="102"/>
        <v>466.19158561245388</v>
      </c>
      <c r="AC351" s="10">
        <f t="shared" si="95"/>
        <v>58.273948201556735</v>
      </c>
      <c r="AD351" s="10">
        <f t="shared" si="103"/>
        <v>233.09579280622694</v>
      </c>
      <c r="AE351" s="65"/>
      <c r="AF351" s="10">
        <f t="shared" si="104"/>
        <v>1068.7253758196332</v>
      </c>
      <c r="AG351" s="8">
        <f t="shared" si="96"/>
        <v>208.40144828482849</v>
      </c>
      <c r="AH351" s="10">
        <f t="shared" si="97"/>
        <v>534.3626879098166</v>
      </c>
      <c r="AI351" s="63"/>
      <c r="AJ351" s="10">
        <f t="shared" si="105"/>
        <v>883.30169999999987</v>
      </c>
      <c r="AK351" s="8"/>
      <c r="AL351" s="8">
        <f t="shared" si="98"/>
        <v>441.65084999999993</v>
      </c>
    </row>
    <row r="352" spans="1:38">
      <c r="A352" s="18">
        <v>41464</v>
      </c>
      <c r="B352" s="19" t="s">
        <v>119</v>
      </c>
      <c r="C352" s="12">
        <v>50.8</v>
      </c>
      <c r="D352" s="19" t="s">
        <v>80</v>
      </c>
      <c r="E352" s="8">
        <v>8.4113100000000003</v>
      </c>
      <c r="F352" s="8">
        <v>83.313739999999996</v>
      </c>
      <c r="G352" s="22">
        <v>50</v>
      </c>
      <c r="H352" s="22">
        <v>20</v>
      </c>
      <c r="I352" s="10">
        <f t="shared" si="107"/>
        <v>4.9331548755868928</v>
      </c>
      <c r="J352" s="10">
        <f t="shared" si="108"/>
        <v>8.6099795089802519E-2</v>
      </c>
      <c r="K352" s="10">
        <f t="shared" si="109"/>
        <v>21.078079490328182</v>
      </c>
      <c r="L352" s="22">
        <v>9147</v>
      </c>
      <c r="M352" s="22" t="s">
        <v>36</v>
      </c>
      <c r="N352" s="8" t="s">
        <v>46</v>
      </c>
      <c r="O352" s="10" t="s">
        <v>37</v>
      </c>
      <c r="P352" s="10" t="s">
        <v>38</v>
      </c>
      <c r="Q352" s="11">
        <v>0.48</v>
      </c>
      <c r="R352" s="8" t="s">
        <v>60</v>
      </c>
      <c r="S352" s="29">
        <f>AVERAGE(20.4,18.5)</f>
        <v>19.45</v>
      </c>
      <c r="T352" s="79">
        <f t="shared" si="106"/>
        <v>2.9711878349999998E-2</v>
      </c>
      <c r="U352" s="22">
        <v>6</v>
      </c>
      <c r="V352" s="22">
        <v>65</v>
      </c>
      <c r="W352" s="10">
        <f t="shared" si="99"/>
        <v>1.1344640137963142</v>
      </c>
      <c r="X352" s="22">
        <v>7</v>
      </c>
      <c r="Y352" s="22">
        <v>20</v>
      </c>
      <c r="Z352" s="10">
        <f t="shared" si="100"/>
        <v>0.3490658503988659</v>
      </c>
      <c r="AA352" s="10">
        <f t="shared" si="101"/>
        <v>7.8319877254995802</v>
      </c>
      <c r="AB352" s="10">
        <f t="shared" si="102"/>
        <v>71.389940714985073</v>
      </c>
      <c r="AC352" s="10">
        <f t="shared" si="95"/>
        <v>8.9237425893731341</v>
      </c>
      <c r="AD352" s="10">
        <f t="shared" si="103"/>
        <v>35.694970357492537</v>
      </c>
      <c r="AE352" s="65"/>
      <c r="AF352" s="10">
        <f t="shared" si="104"/>
        <v>147.24266303965621</v>
      </c>
      <c r="AG352" s="8">
        <f t="shared" si="96"/>
        <v>28.71231929273296</v>
      </c>
      <c r="AH352" s="10">
        <f t="shared" si="97"/>
        <v>73.621331519828104</v>
      </c>
      <c r="AI352" s="63"/>
      <c r="AJ352" s="10">
        <f t="shared" si="105"/>
        <v>166.00499999999994</v>
      </c>
      <c r="AK352" s="8"/>
      <c r="AL352" s="8">
        <f t="shared" si="98"/>
        <v>83.002499999999969</v>
      </c>
    </row>
    <row r="353" spans="1:38">
      <c r="A353" s="18">
        <v>41464</v>
      </c>
      <c r="B353" s="19" t="s">
        <v>119</v>
      </c>
      <c r="C353" s="12">
        <v>50.8</v>
      </c>
      <c r="D353" s="19" t="s">
        <v>80</v>
      </c>
      <c r="E353" s="8">
        <v>8.4113100000000003</v>
      </c>
      <c r="F353" s="8">
        <v>83.313739999999996</v>
      </c>
      <c r="G353" s="22">
        <v>50</v>
      </c>
      <c r="H353" s="22">
        <v>20</v>
      </c>
      <c r="I353" s="10">
        <f t="shared" si="107"/>
        <v>4.9331548755868928</v>
      </c>
      <c r="J353" s="10">
        <f t="shared" si="108"/>
        <v>8.6099795089802519E-2</v>
      </c>
      <c r="K353" s="10">
        <f t="shared" si="109"/>
        <v>21.078079490328182</v>
      </c>
      <c r="L353" s="22">
        <v>9148</v>
      </c>
      <c r="M353" s="22" t="s">
        <v>36</v>
      </c>
      <c r="N353" s="8" t="s">
        <v>46</v>
      </c>
      <c r="O353" s="10" t="s">
        <v>37</v>
      </c>
      <c r="P353" s="10" t="s">
        <v>38</v>
      </c>
      <c r="Q353" s="11">
        <v>0.48</v>
      </c>
      <c r="R353" s="8" t="s">
        <v>60</v>
      </c>
      <c r="S353" s="29">
        <f>AVERAGE(14,15.5)</f>
        <v>14.75</v>
      </c>
      <c r="T353" s="79">
        <f t="shared" si="106"/>
        <v>1.708735875E-2</v>
      </c>
      <c r="U353" s="22">
        <v>9</v>
      </c>
      <c r="V353" s="22">
        <v>73</v>
      </c>
      <c r="W353" s="10">
        <f t="shared" si="99"/>
        <v>1.2740903539558606</v>
      </c>
      <c r="X353" s="22">
        <v>5</v>
      </c>
      <c r="Y353" s="22">
        <v>4</v>
      </c>
      <c r="Z353" s="10">
        <f t="shared" si="100"/>
        <v>6.9813170079773182E-2</v>
      </c>
      <c r="AA353" s="10">
        <f t="shared" si="101"/>
        <v>8.9555251723879454</v>
      </c>
      <c r="AB353" s="10">
        <f t="shared" si="102"/>
        <v>48.141883545770114</v>
      </c>
      <c r="AC353" s="10">
        <f t="shared" si="95"/>
        <v>6.0177354432212642</v>
      </c>
      <c r="AD353" s="10">
        <f t="shared" si="103"/>
        <v>24.070941772885057</v>
      </c>
      <c r="AE353" s="65"/>
      <c r="AF353" s="10">
        <f t="shared" si="104"/>
        <v>74.233929934351352</v>
      </c>
      <c r="AG353" s="8">
        <f t="shared" si="96"/>
        <v>14.475616337198515</v>
      </c>
      <c r="AH353" s="10">
        <f t="shared" si="97"/>
        <v>37.116964967175676</v>
      </c>
      <c r="AI353" s="63"/>
      <c r="AJ353" s="10">
        <f t="shared" si="105"/>
        <v>79.736499999999992</v>
      </c>
      <c r="AK353" s="8"/>
      <c r="AL353" s="8">
        <f t="shared" si="98"/>
        <v>39.868249999999996</v>
      </c>
    </row>
    <row r="354" spans="1:38">
      <c r="A354" s="18">
        <v>41464</v>
      </c>
      <c r="B354" s="19" t="s">
        <v>119</v>
      </c>
      <c r="C354" s="12">
        <v>50.8</v>
      </c>
      <c r="D354" s="19" t="s">
        <v>80</v>
      </c>
      <c r="E354" s="8">
        <v>8.4113100000000003</v>
      </c>
      <c r="F354" s="8">
        <v>83.313739999999996</v>
      </c>
      <c r="G354" s="22">
        <v>50</v>
      </c>
      <c r="H354" s="22">
        <v>20</v>
      </c>
      <c r="I354" s="10">
        <f t="shared" si="107"/>
        <v>4.9331548755868928</v>
      </c>
      <c r="J354" s="10">
        <f t="shared" si="108"/>
        <v>8.6099795089802519E-2</v>
      </c>
      <c r="K354" s="10">
        <f t="shared" si="109"/>
        <v>21.078079490328182</v>
      </c>
      <c r="L354" s="22">
        <v>9146</v>
      </c>
      <c r="M354" s="31" t="s">
        <v>122</v>
      </c>
      <c r="N354" s="8" t="s">
        <v>123</v>
      </c>
      <c r="O354" s="10" t="s">
        <v>99</v>
      </c>
      <c r="P354" s="10" t="s">
        <v>99</v>
      </c>
      <c r="Q354" s="22">
        <v>0.69</v>
      </c>
      <c r="R354" s="22" t="s">
        <v>190</v>
      </c>
      <c r="S354" s="29">
        <f>AVERAGE(13.2,12.3)</f>
        <v>12.75</v>
      </c>
      <c r="T354" s="79">
        <f t="shared" si="106"/>
        <v>1.2767658750000001E-2</v>
      </c>
      <c r="U354" s="22">
        <v>7</v>
      </c>
      <c r="V354" s="22">
        <v>55</v>
      </c>
      <c r="W354" s="10">
        <f t="shared" si="99"/>
        <v>0.95993108859688125</v>
      </c>
      <c r="X354" s="22">
        <v>6</v>
      </c>
      <c r="Y354" s="22">
        <v>31</v>
      </c>
      <c r="Z354" s="10">
        <f t="shared" si="100"/>
        <v>0.54105206811824214</v>
      </c>
      <c r="AA354" s="10">
        <f t="shared" si="101"/>
        <v>8.8242927594832672</v>
      </c>
      <c r="AB354" s="10">
        <f t="shared" si="102"/>
        <v>50.778296539159051</v>
      </c>
      <c r="AC354" s="10">
        <f t="shared" si="95"/>
        <v>6.3472870673948814</v>
      </c>
      <c r="AD354" s="10">
        <f t="shared" si="103"/>
        <v>25.389148269579525</v>
      </c>
      <c r="AE354" s="65"/>
      <c r="AF354" s="10">
        <f t="shared" si="104"/>
        <v>74.284393850880278</v>
      </c>
      <c r="AG354" s="8">
        <f t="shared" si="96"/>
        <v>14.485456800921655</v>
      </c>
      <c r="AH354" s="10">
        <f t="shared" si="97"/>
        <v>37.142196925440139</v>
      </c>
      <c r="AI354" s="63"/>
      <c r="AJ354" s="10">
        <f t="shared" si="105"/>
        <v>52.942499999999995</v>
      </c>
      <c r="AK354" s="8"/>
      <c r="AL354" s="8">
        <f t="shared" si="98"/>
        <v>26.471249999999998</v>
      </c>
    </row>
    <row r="355" spans="1:38">
      <c r="A355" s="18">
        <v>41464</v>
      </c>
      <c r="B355" s="19" t="s">
        <v>119</v>
      </c>
      <c r="C355" s="12">
        <v>50.8</v>
      </c>
      <c r="D355" s="19" t="s">
        <v>80</v>
      </c>
      <c r="E355" s="8">
        <v>8.4113100000000003</v>
      </c>
      <c r="F355" s="8">
        <v>83.313739999999996</v>
      </c>
      <c r="G355" s="22">
        <v>50</v>
      </c>
      <c r="H355" s="22">
        <v>20</v>
      </c>
      <c r="I355" s="10">
        <f t="shared" si="107"/>
        <v>4.9331548755868928</v>
      </c>
      <c r="J355" s="10">
        <f t="shared" si="108"/>
        <v>8.6099795089802519E-2</v>
      </c>
      <c r="K355" s="10">
        <f t="shared" si="109"/>
        <v>21.078079490328182</v>
      </c>
      <c r="L355" s="22">
        <v>9145</v>
      </c>
      <c r="M355" s="22" t="s">
        <v>39</v>
      </c>
      <c r="N355" s="8" t="s">
        <v>69</v>
      </c>
      <c r="O355" s="10" t="s">
        <v>65</v>
      </c>
      <c r="P355" s="10" t="s">
        <v>70</v>
      </c>
      <c r="Q355" s="8">
        <v>0.37</v>
      </c>
      <c r="R355" s="8" t="s">
        <v>71</v>
      </c>
      <c r="S355" s="29">
        <f>AVERAGE(12.7,12.9)</f>
        <v>12.8</v>
      </c>
      <c r="T355" s="79">
        <f t="shared" si="106"/>
        <v>1.2867993600000002E-2</v>
      </c>
      <c r="U355" s="22">
        <v>7</v>
      </c>
      <c r="V355" s="22">
        <v>43</v>
      </c>
      <c r="W355" s="10">
        <f t="shared" si="99"/>
        <v>0.75049157835756175</v>
      </c>
      <c r="X355" s="22">
        <v>7</v>
      </c>
      <c r="Y355" s="22">
        <v>30</v>
      </c>
      <c r="Z355" s="10">
        <f t="shared" si="100"/>
        <v>0.52359877559829882</v>
      </c>
      <c r="AA355" s="10">
        <f t="shared" si="101"/>
        <v>8.2739885204374897</v>
      </c>
      <c r="AB355" s="10">
        <f t="shared" si="102"/>
        <v>26.802672759586041</v>
      </c>
      <c r="AC355" s="10">
        <f t="shared" si="95"/>
        <v>3.3503340949482552</v>
      </c>
      <c r="AD355" s="10">
        <f t="shared" si="103"/>
        <v>13.401336379793021</v>
      </c>
      <c r="AE355" s="65"/>
      <c r="AF355" s="10">
        <f t="shared" si="104"/>
        <v>40.223380362158061</v>
      </c>
      <c r="AG355" s="8">
        <f t="shared" si="96"/>
        <v>7.8435591706208223</v>
      </c>
      <c r="AH355" s="10">
        <f t="shared" si="97"/>
        <v>20.11169018107903</v>
      </c>
      <c r="AI355" s="63"/>
      <c r="AJ355" s="10">
        <f t="shared" si="105"/>
        <v>53.540200000000013</v>
      </c>
      <c r="AK355" s="8"/>
      <c r="AL355" s="8">
        <f t="shared" si="98"/>
        <v>26.770100000000006</v>
      </c>
    </row>
    <row r="356" spans="1:38">
      <c r="A356" s="18">
        <v>41464</v>
      </c>
      <c r="B356" s="19" t="s">
        <v>119</v>
      </c>
      <c r="C356" s="12">
        <v>50.8</v>
      </c>
      <c r="D356" s="19" t="s">
        <v>80</v>
      </c>
      <c r="E356" s="8">
        <v>8.4113100000000003</v>
      </c>
      <c r="F356" s="8">
        <v>83.313739999999996</v>
      </c>
      <c r="G356" s="22">
        <v>50</v>
      </c>
      <c r="H356" s="22">
        <v>20</v>
      </c>
      <c r="I356" s="10">
        <f t="shared" si="107"/>
        <v>4.9331548755868928</v>
      </c>
      <c r="J356" s="10">
        <f t="shared" si="108"/>
        <v>8.6099795089802519E-2</v>
      </c>
      <c r="K356" s="10">
        <f t="shared" si="109"/>
        <v>21.078079490328182</v>
      </c>
      <c r="L356" s="22">
        <v>9144</v>
      </c>
      <c r="M356" s="22" t="s">
        <v>252</v>
      </c>
      <c r="N356" s="8" t="s">
        <v>198</v>
      </c>
      <c r="O356" s="10" t="s">
        <v>226</v>
      </c>
      <c r="P356" s="10" t="s">
        <v>227</v>
      </c>
      <c r="Q356" s="22">
        <v>0.54</v>
      </c>
      <c r="R356" s="22" t="s">
        <v>190</v>
      </c>
      <c r="S356" s="29">
        <f>AVERAGE(10.5,10)</f>
        <v>10.25</v>
      </c>
      <c r="T356" s="79">
        <f t="shared" si="106"/>
        <v>8.2516087500000002E-3</v>
      </c>
      <c r="U356" s="22">
        <v>6</v>
      </c>
      <c r="V356" s="22">
        <v>53</v>
      </c>
      <c r="W356" s="10">
        <f t="shared" si="99"/>
        <v>0.92502450355699462</v>
      </c>
      <c r="X356" s="22">
        <v>5</v>
      </c>
      <c r="Y356" s="22">
        <v>15</v>
      </c>
      <c r="Z356" s="10">
        <f t="shared" si="100"/>
        <v>0.26179938779914941</v>
      </c>
      <c r="AA356" s="10">
        <f t="shared" si="101"/>
        <v>6.0859082857963607</v>
      </c>
      <c r="AB356" s="10">
        <f t="shared" si="102"/>
        <v>18.868553236463878</v>
      </c>
      <c r="AC356" s="10">
        <f t="shared" si="95"/>
        <v>2.3585691545579848</v>
      </c>
      <c r="AD356" s="10">
        <f t="shared" si="103"/>
        <v>9.4342766182319391</v>
      </c>
      <c r="AE356" s="65"/>
      <c r="AF356" s="10">
        <f t="shared" si="104"/>
        <v>33.776983952370237</v>
      </c>
      <c r="AG356" s="8">
        <f t="shared" si="96"/>
        <v>6.5865118707121963</v>
      </c>
      <c r="AH356" s="10">
        <f t="shared" si="97"/>
        <v>16.888491976185119</v>
      </c>
      <c r="AI356" s="63"/>
      <c r="AJ356" s="10">
        <f t="shared" si="105"/>
        <v>27.774999999999991</v>
      </c>
      <c r="AK356" s="8"/>
      <c r="AL356" s="8">
        <f t="shared" si="98"/>
        <v>13.887499999999996</v>
      </c>
    </row>
    <row r="357" spans="1:38">
      <c r="A357" s="18">
        <v>41464</v>
      </c>
      <c r="B357" s="19" t="s">
        <v>119</v>
      </c>
      <c r="C357" s="12">
        <v>50.8</v>
      </c>
      <c r="D357" s="19" t="s">
        <v>80</v>
      </c>
      <c r="E357" s="8">
        <v>8.4113100000000003</v>
      </c>
      <c r="F357" s="8">
        <v>83.313739999999996</v>
      </c>
      <c r="G357" s="22">
        <v>50</v>
      </c>
      <c r="H357" s="22">
        <v>20</v>
      </c>
      <c r="I357" s="10">
        <f t="shared" si="107"/>
        <v>4.9331548755868928</v>
      </c>
      <c r="J357" s="10">
        <f t="shared" si="108"/>
        <v>8.6099795089802519E-2</v>
      </c>
      <c r="K357" s="10">
        <f t="shared" si="109"/>
        <v>21.078079490328182</v>
      </c>
      <c r="L357" s="22">
        <v>9143</v>
      </c>
      <c r="M357" s="22" t="s">
        <v>252</v>
      </c>
      <c r="N357" s="8" t="s">
        <v>198</v>
      </c>
      <c r="O357" s="10" t="s">
        <v>226</v>
      </c>
      <c r="P357" s="10" t="s">
        <v>227</v>
      </c>
      <c r="Q357" s="22">
        <v>0.54</v>
      </c>
      <c r="R357" s="22" t="s">
        <v>190</v>
      </c>
      <c r="S357" s="29">
        <f>AVERAGE(12.3,12.3)</f>
        <v>12.3</v>
      </c>
      <c r="T357" s="79">
        <f t="shared" si="106"/>
        <v>1.1882316600000001E-2</v>
      </c>
      <c r="U357" s="22">
        <v>8</v>
      </c>
      <c r="V357" s="22">
        <v>39</v>
      </c>
      <c r="W357" s="10">
        <f t="shared" si="99"/>
        <v>0.68067840827778847</v>
      </c>
      <c r="X357" s="22">
        <v>5</v>
      </c>
      <c r="Y357" s="22">
        <v>15</v>
      </c>
      <c r="Z357" s="10">
        <f t="shared" si="100"/>
        <v>0.26179938779914941</v>
      </c>
      <c r="AA357" s="10">
        <f t="shared" si="101"/>
        <v>6.3286583539113028</v>
      </c>
      <c r="AB357" s="10">
        <f t="shared" si="102"/>
        <v>27.578231779887666</v>
      </c>
      <c r="AC357" s="10">
        <f t="shared" si="95"/>
        <v>3.4472789724859583</v>
      </c>
      <c r="AD357" s="10">
        <f t="shared" si="103"/>
        <v>13.789115889943833</v>
      </c>
      <c r="AE357" s="65"/>
      <c r="AF357" s="10">
        <f t="shared" si="104"/>
        <v>53.164195607730363</v>
      </c>
      <c r="AG357" s="8">
        <f t="shared" si="96"/>
        <v>10.367018143507421</v>
      </c>
      <c r="AH357" s="10">
        <f t="shared" si="97"/>
        <v>26.582097803865182</v>
      </c>
      <c r="AI357" s="63"/>
      <c r="AJ357" s="10">
        <f t="shared" si="105"/>
        <v>47.729700000000008</v>
      </c>
      <c r="AK357" s="8"/>
      <c r="AL357" s="8">
        <f t="shared" si="98"/>
        <v>23.864850000000004</v>
      </c>
    </row>
    <row r="358" spans="1:38">
      <c r="A358" s="18">
        <v>41464</v>
      </c>
      <c r="B358" s="19" t="s">
        <v>119</v>
      </c>
      <c r="C358" s="12">
        <v>50.8</v>
      </c>
      <c r="D358" s="19" t="s">
        <v>80</v>
      </c>
      <c r="E358" s="8">
        <v>8.4113100000000003</v>
      </c>
      <c r="F358" s="8">
        <v>83.313739999999996</v>
      </c>
      <c r="G358" s="22">
        <v>50</v>
      </c>
      <c r="H358" s="22">
        <v>20</v>
      </c>
      <c r="I358" s="10">
        <f t="shared" si="107"/>
        <v>4.9331548755868928</v>
      </c>
      <c r="J358" s="10">
        <f t="shared" si="108"/>
        <v>8.6099795089802519E-2</v>
      </c>
      <c r="K358" s="10">
        <f t="shared" si="109"/>
        <v>21.078079490328182</v>
      </c>
      <c r="L358" s="22">
        <v>9142</v>
      </c>
      <c r="M358" s="31" t="s">
        <v>122</v>
      </c>
      <c r="N358" s="8" t="s">
        <v>123</v>
      </c>
      <c r="O358" s="10" t="s">
        <v>99</v>
      </c>
      <c r="P358" s="10" t="s">
        <v>99</v>
      </c>
      <c r="Q358" s="22">
        <v>0.69</v>
      </c>
      <c r="R358" s="22" t="s">
        <v>190</v>
      </c>
      <c r="S358" s="29">
        <f>AVERAGE(6,6)</f>
        <v>6</v>
      </c>
      <c r="T358" s="79">
        <f t="shared" si="106"/>
        <v>2.8274400000000001E-3</v>
      </c>
      <c r="U358" s="22">
        <v>7</v>
      </c>
      <c r="V358" s="22">
        <v>45</v>
      </c>
      <c r="W358" s="10">
        <f t="shared" si="99"/>
        <v>0.78539816339744828</v>
      </c>
      <c r="X358" s="22">
        <v>5</v>
      </c>
      <c r="Y358" s="22">
        <v>20</v>
      </c>
      <c r="Z358" s="10">
        <f t="shared" si="100"/>
        <v>0.3490658503988659</v>
      </c>
      <c r="AA358" s="10">
        <f t="shared" si="101"/>
        <v>6.6598481849341749</v>
      </c>
      <c r="AB358" s="10">
        <f t="shared" si="102"/>
        <v>9.4484525590470163</v>
      </c>
      <c r="AC358" s="10">
        <f t="shared" si="95"/>
        <v>1.181056569880877</v>
      </c>
      <c r="AD358" s="10">
        <f t="shared" si="103"/>
        <v>4.7242262795235082</v>
      </c>
      <c r="AE358" s="65"/>
      <c r="AF358" s="10">
        <f t="shared" si="104"/>
        <v>11.479175239131544</v>
      </c>
      <c r="AG358" s="8">
        <f t="shared" si="96"/>
        <v>2.2384391716306511</v>
      </c>
      <c r="AH358" s="10">
        <f t="shared" si="97"/>
        <v>5.7395876195657722</v>
      </c>
      <c r="AI358" s="63"/>
      <c r="AJ358" s="10">
        <f t="shared" si="105"/>
        <v>6.2189999999999976</v>
      </c>
      <c r="AK358" s="8"/>
      <c r="AL358" s="8">
        <f t="shared" si="98"/>
        <v>3.1094999999999988</v>
      </c>
    </row>
    <row r="359" spans="1:38">
      <c r="A359" s="18">
        <v>41464</v>
      </c>
      <c r="B359" s="19" t="s">
        <v>119</v>
      </c>
      <c r="C359" s="12">
        <v>50.8</v>
      </c>
      <c r="D359" s="19" t="s">
        <v>80</v>
      </c>
      <c r="E359" s="8">
        <v>8.4113100000000003</v>
      </c>
      <c r="F359" s="8">
        <v>83.313739999999996</v>
      </c>
      <c r="G359" s="22">
        <v>50</v>
      </c>
      <c r="H359" s="22">
        <v>20</v>
      </c>
      <c r="I359" s="10">
        <f t="shared" si="107"/>
        <v>4.9331548755868928</v>
      </c>
      <c r="J359" s="10">
        <f t="shared" si="108"/>
        <v>8.6099795089802519E-2</v>
      </c>
      <c r="K359" s="10">
        <f t="shared" si="109"/>
        <v>21.078079490328182</v>
      </c>
      <c r="L359" s="22">
        <v>9141</v>
      </c>
      <c r="M359" s="31" t="s">
        <v>122</v>
      </c>
      <c r="N359" s="8" t="s">
        <v>123</v>
      </c>
      <c r="O359" s="10" t="s">
        <v>99</v>
      </c>
      <c r="P359" s="10" t="s">
        <v>99</v>
      </c>
      <c r="Q359" s="22">
        <v>0.69</v>
      </c>
      <c r="R359" s="22" t="s">
        <v>190</v>
      </c>
      <c r="S359" s="29">
        <f>AVERAGE(5.4,5.5)</f>
        <v>5.45</v>
      </c>
      <c r="T359" s="79">
        <f t="shared" si="106"/>
        <v>2.3328343500000001E-3</v>
      </c>
      <c r="U359" s="22">
        <v>6</v>
      </c>
      <c r="V359" s="22">
        <v>50</v>
      </c>
      <c r="W359" s="10">
        <f t="shared" si="99"/>
        <v>0.87266462599716477</v>
      </c>
      <c r="X359" s="22">
        <v>7</v>
      </c>
      <c r="Y359" s="22">
        <v>10</v>
      </c>
      <c r="Z359" s="10">
        <f t="shared" si="100"/>
        <v>0.17453292519943295</v>
      </c>
      <c r="AA359" s="10">
        <f t="shared" si="101"/>
        <v>5.8118039023823806</v>
      </c>
      <c r="AB359" s="10">
        <f t="shared" si="102"/>
        <v>6.9383720822383141</v>
      </c>
      <c r="AC359" s="10">
        <f t="shared" si="95"/>
        <v>0.86729651027978927</v>
      </c>
      <c r="AD359" s="10">
        <f t="shared" si="103"/>
        <v>3.4691860411191571</v>
      </c>
      <c r="AE359" s="65"/>
      <c r="AF359" s="10">
        <f t="shared" si="104"/>
        <v>9.0740035452945911</v>
      </c>
      <c r="AG359" s="8">
        <f t="shared" si="96"/>
        <v>1.7694306913324453</v>
      </c>
      <c r="AH359" s="10">
        <f t="shared" si="97"/>
        <v>4.5370017726472955</v>
      </c>
      <c r="AI359" s="63"/>
      <c r="AJ359" s="10">
        <f t="shared" si="105"/>
        <v>5.3829999999999991</v>
      </c>
      <c r="AK359" s="8"/>
      <c r="AL359" s="8">
        <f t="shared" si="98"/>
        <v>2.6914999999999996</v>
      </c>
    </row>
    <row r="360" spans="1:38">
      <c r="A360" s="18">
        <v>41466</v>
      </c>
      <c r="B360" s="19" t="s">
        <v>119</v>
      </c>
      <c r="C360" s="12">
        <v>50.9</v>
      </c>
      <c r="D360" s="9" t="s">
        <v>80</v>
      </c>
      <c r="E360" s="8">
        <v>8.4099900000000005</v>
      </c>
      <c r="F360" s="8">
        <v>83.314719999999994</v>
      </c>
      <c r="G360" s="22">
        <v>50</v>
      </c>
      <c r="H360" s="22">
        <v>-15</v>
      </c>
      <c r="I360" s="10">
        <f t="shared" si="107"/>
        <v>-6.61659150558995</v>
      </c>
      <c r="J360" s="10">
        <f t="shared" si="108"/>
        <v>-0.11548130703203342</v>
      </c>
      <c r="K360" s="10">
        <f t="shared" ref="K360:K397" si="110">21/COS(J360)</f>
        <v>21.140809612582899</v>
      </c>
      <c r="L360" s="22">
        <v>365</v>
      </c>
      <c r="M360" s="31" t="s">
        <v>39</v>
      </c>
      <c r="N360" s="8" t="s">
        <v>69</v>
      </c>
      <c r="O360" s="10" t="s">
        <v>65</v>
      </c>
      <c r="P360" s="10" t="s">
        <v>70</v>
      </c>
      <c r="Q360" s="8">
        <v>0.37</v>
      </c>
      <c r="R360" s="8" t="s">
        <v>71</v>
      </c>
      <c r="S360" s="29">
        <f>AVERAGE(15.9,16.7)</f>
        <v>16.3</v>
      </c>
      <c r="T360" s="79">
        <f t="shared" si="106"/>
        <v>2.08672926E-2</v>
      </c>
      <c r="U360" s="22">
        <v>13</v>
      </c>
      <c r="V360" s="22">
        <v>70</v>
      </c>
      <c r="W360" s="10">
        <f t="shared" ref="W360:W397" si="111">RADIANS(V360)</f>
        <v>1.2217304763960306</v>
      </c>
      <c r="X360" s="22">
        <v>5</v>
      </c>
      <c r="Y360" s="22">
        <v>13</v>
      </c>
      <c r="Z360" s="10">
        <f t="shared" ref="Z360:Z397" si="112">RADIANS(Y360)</f>
        <v>0.22689280275926285</v>
      </c>
      <c r="AA360" s="10">
        <f t="shared" ref="AA360:AA397" si="113">(SIN(W360)*U360)+(SIN(Z360)*X360)</f>
        <v>13.340759341936133</v>
      </c>
      <c r="AB360" s="10">
        <f t="shared" ref="AB360:AB397" si="114">0.0776*(Q360*S360^2*AA360)^0.94</f>
        <v>66.153641444670498</v>
      </c>
      <c r="AC360" s="10">
        <f t="shared" si="95"/>
        <v>8.2692051805838123</v>
      </c>
      <c r="AD360" s="10">
        <f t="shared" si="103"/>
        <v>33.076820722335249</v>
      </c>
      <c r="AE360" s="65"/>
      <c r="AF360" s="10">
        <f t="shared" si="104"/>
        <v>73.323332399863673</v>
      </c>
      <c r="AG360" s="8">
        <f t="shared" si="96"/>
        <v>14.298049817973418</v>
      </c>
      <c r="AH360" s="10">
        <f t="shared" si="97"/>
        <v>36.661666199931837</v>
      </c>
      <c r="AI360" s="63"/>
      <c r="AJ360" s="10">
        <f t="shared" si="105"/>
        <v>104.57369999999999</v>
      </c>
      <c r="AK360" s="8"/>
      <c r="AL360" s="8">
        <f t="shared" si="98"/>
        <v>52.286849999999994</v>
      </c>
    </row>
    <row r="361" spans="1:38">
      <c r="A361" s="18">
        <v>41466</v>
      </c>
      <c r="B361" s="19" t="s">
        <v>119</v>
      </c>
      <c r="C361" s="12">
        <v>50.9</v>
      </c>
      <c r="D361" s="19" t="s">
        <v>80</v>
      </c>
      <c r="E361" s="8">
        <v>8.4099900000000005</v>
      </c>
      <c r="F361" s="8">
        <v>83.314719999999994</v>
      </c>
      <c r="G361" s="22">
        <v>50</v>
      </c>
      <c r="H361" s="22">
        <v>-15</v>
      </c>
      <c r="I361" s="10">
        <f t="shared" si="107"/>
        <v>-6.61659150558995</v>
      </c>
      <c r="J361" s="10">
        <f t="shared" si="108"/>
        <v>-0.11548130703203342</v>
      </c>
      <c r="K361" s="10">
        <f t="shared" si="110"/>
        <v>21.140809612582899</v>
      </c>
      <c r="L361" s="22">
        <v>256</v>
      </c>
      <c r="M361" s="31" t="s">
        <v>36</v>
      </c>
      <c r="N361" s="8" t="s">
        <v>46</v>
      </c>
      <c r="O361" s="10" t="s">
        <v>37</v>
      </c>
      <c r="P361" s="10" t="s">
        <v>38</v>
      </c>
      <c r="Q361" s="11">
        <v>0.48</v>
      </c>
      <c r="R361" s="8" t="s">
        <v>60</v>
      </c>
      <c r="S361" s="29">
        <f>AVERAGE(20.5,20)</f>
        <v>20.25</v>
      </c>
      <c r="T361" s="79">
        <f t="shared" si="106"/>
        <v>3.2206308750000003E-2</v>
      </c>
      <c r="U361" s="22">
        <v>10</v>
      </c>
      <c r="V361" s="22">
        <v>50</v>
      </c>
      <c r="W361" s="10">
        <f t="shared" si="111"/>
        <v>0.87266462599716477</v>
      </c>
      <c r="X361" s="22">
        <v>5</v>
      </c>
      <c r="Y361" s="22">
        <v>3</v>
      </c>
      <c r="Z361" s="10">
        <f t="shared" si="112"/>
        <v>5.235987755982989E-2</v>
      </c>
      <c r="AA361" s="10">
        <f t="shared" si="113"/>
        <v>7.9221242124044995</v>
      </c>
      <c r="AB361" s="10">
        <f t="shared" si="114"/>
        <v>77.84284225684074</v>
      </c>
      <c r="AC361" s="10">
        <f t="shared" si="95"/>
        <v>9.7303552821050925</v>
      </c>
      <c r="AD361" s="10">
        <f t="shared" si="103"/>
        <v>38.92142112842037</v>
      </c>
      <c r="AE361" s="65"/>
      <c r="AF361" s="10">
        <f t="shared" si="104"/>
        <v>162.61988120276683</v>
      </c>
      <c r="AG361" s="8">
        <f t="shared" si="96"/>
        <v>31.710876834539533</v>
      </c>
      <c r="AH361" s="10">
        <f t="shared" si="97"/>
        <v>81.309940601383417</v>
      </c>
      <c r="AI361" s="63"/>
      <c r="AJ361" s="10">
        <f t="shared" si="105"/>
        <v>183.94500000000002</v>
      </c>
      <c r="AK361" s="8"/>
      <c r="AL361" s="8">
        <f t="shared" si="98"/>
        <v>91.972500000000011</v>
      </c>
    </row>
    <row r="362" spans="1:38">
      <c r="A362" s="18">
        <v>41466</v>
      </c>
      <c r="B362" s="19" t="s">
        <v>119</v>
      </c>
      <c r="C362" s="12">
        <v>50.9</v>
      </c>
      <c r="D362" s="19" t="s">
        <v>80</v>
      </c>
      <c r="E362" s="8">
        <v>8.4099900000000005</v>
      </c>
      <c r="F362" s="8">
        <v>83.314719999999994</v>
      </c>
      <c r="G362" s="22">
        <v>50</v>
      </c>
      <c r="H362" s="22">
        <v>-15</v>
      </c>
      <c r="I362" s="10">
        <f t="shared" si="107"/>
        <v>-6.61659150558995</v>
      </c>
      <c r="J362" s="10">
        <f t="shared" si="108"/>
        <v>-0.11548130703203342</v>
      </c>
      <c r="K362" s="10">
        <f t="shared" si="110"/>
        <v>21.140809612582899</v>
      </c>
      <c r="L362" s="22">
        <v>303</v>
      </c>
      <c r="M362" s="22" t="s">
        <v>36</v>
      </c>
      <c r="N362" s="8" t="s">
        <v>46</v>
      </c>
      <c r="O362" s="10" t="s">
        <v>37</v>
      </c>
      <c r="P362" s="10" t="s">
        <v>38</v>
      </c>
      <c r="Q362" s="11">
        <v>0.48</v>
      </c>
      <c r="R362" s="8" t="s">
        <v>60</v>
      </c>
      <c r="S362" s="29">
        <f>AVERAGE(13.8,14.7)</f>
        <v>14.25</v>
      </c>
      <c r="T362" s="79">
        <f t="shared" si="106"/>
        <v>1.594852875E-2</v>
      </c>
      <c r="U362" s="22">
        <v>8</v>
      </c>
      <c r="V362" s="22">
        <v>30</v>
      </c>
      <c r="W362" s="10">
        <f t="shared" si="111"/>
        <v>0.52359877559829882</v>
      </c>
      <c r="X362" s="22">
        <v>6</v>
      </c>
      <c r="Y362" s="22">
        <v>16</v>
      </c>
      <c r="Z362" s="10">
        <f t="shared" si="112"/>
        <v>0.27925268031909273</v>
      </c>
      <c r="AA362" s="10">
        <f t="shared" si="113"/>
        <v>5.6538241349019946</v>
      </c>
      <c r="AB362" s="10">
        <f t="shared" si="114"/>
        <v>29.282097815861672</v>
      </c>
      <c r="AC362" s="10">
        <f t="shared" si="95"/>
        <v>3.660262226982709</v>
      </c>
      <c r="AD362" s="10">
        <f t="shared" si="103"/>
        <v>14.641048907930836</v>
      </c>
      <c r="AE362" s="65"/>
      <c r="AF362" s="10">
        <f t="shared" si="104"/>
        <v>68.138930471250944</v>
      </c>
      <c r="AG362" s="8">
        <f t="shared" si="96"/>
        <v>13.287091441893935</v>
      </c>
      <c r="AH362" s="10">
        <f t="shared" si="97"/>
        <v>34.069465235625472</v>
      </c>
      <c r="AI362" s="63"/>
      <c r="AJ362" s="10">
        <f t="shared" si="105"/>
        <v>72.482999999999976</v>
      </c>
      <c r="AK362" s="8"/>
      <c r="AL362" s="8">
        <f t="shared" si="98"/>
        <v>36.241499999999988</v>
      </c>
    </row>
    <row r="363" spans="1:38">
      <c r="A363" s="18">
        <v>41466</v>
      </c>
      <c r="B363" s="19" t="s">
        <v>119</v>
      </c>
      <c r="C363" s="12">
        <v>50.9</v>
      </c>
      <c r="D363" s="19" t="s">
        <v>80</v>
      </c>
      <c r="E363" s="8">
        <v>8.4099900000000005</v>
      </c>
      <c r="F363" s="8">
        <v>83.314719999999994</v>
      </c>
      <c r="G363" s="22">
        <v>50</v>
      </c>
      <c r="H363" s="22">
        <v>-15</v>
      </c>
      <c r="I363" s="10">
        <f t="shared" si="107"/>
        <v>-6.61659150558995</v>
      </c>
      <c r="J363" s="10">
        <f t="shared" si="108"/>
        <v>-0.11548130703203342</v>
      </c>
      <c r="K363" s="10">
        <f t="shared" si="110"/>
        <v>21.140809612582899</v>
      </c>
      <c r="L363" s="22">
        <v>351</v>
      </c>
      <c r="M363" s="22" t="s">
        <v>39</v>
      </c>
      <c r="N363" s="8" t="s">
        <v>69</v>
      </c>
      <c r="O363" s="10" t="s">
        <v>65</v>
      </c>
      <c r="P363" s="10" t="s">
        <v>70</v>
      </c>
      <c r="Q363" s="8">
        <v>0.37</v>
      </c>
      <c r="R363" s="8" t="s">
        <v>71</v>
      </c>
      <c r="S363" s="29">
        <f>AVERAGE(33.9,32)</f>
        <v>32.950000000000003</v>
      </c>
      <c r="T363" s="79">
        <f t="shared" si="106"/>
        <v>8.5271074350000017E-2</v>
      </c>
      <c r="U363" s="22">
        <v>18</v>
      </c>
      <c r="V363" s="22">
        <v>48</v>
      </c>
      <c r="W363" s="10">
        <f t="shared" si="111"/>
        <v>0.83775804095727824</v>
      </c>
      <c r="X363" s="22">
        <v>7</v>
      </c>
      <c r="Y363" s="22">
        <v>16</v>
      </c>
      <c r="Z363" s="10">
        <f t="shared" si="112"/>
        <v>0.27925268031909273</v>
      </c>
      <c r="AA363" s="10">
        <f t="shared" si="113"/>
        <v>15.30606834931209</v>
      </c>
      <c r="AB363" s="10">
        <f t="shared" si="114"/>
        <v>282.69059433599512</v>
      </c>
      <c r="AC363" s="10">
        <f t="shared" si="95"/>
        <v>35.336324291999389</v>
      </c>
      <c r="AD363" s="10">
        <f t="shared" si="103"/>
        <v>141.34529716799756</v>
      </c>
      <c r="AE363" s="65"/>
      <c r="AF363" s="10">
        <f t="shared" si="104"/>
        <v>409.81484274257093</v>
      </c>
      <c r="AG363" s="8">
        <f t="shared" si="96"/>
        <v>79.913894334801341</v>
      </c>
      <c r="AH363" s="10">
        <f t="shared" si="97"/>
        <v>204.90742137128547</v>
      </c>
      <c r="AI363" s="63"/>
      <c r="AJ363" s="10">
        <f t="shared" si="105"/>
        <v>595.61550000000011</v>
      </c>
      <c r="AK363" s="8"/>
      <c r="AL363" s="8">
        <f t="shared" si="98"/>
        <v>297.80775000000006</v>
      </c>
    </row>
    <row r="364" spans="1:38">
      <c r="A364" s="18">
        <v>41466</v>
      </c>
      <c r="B364" s="19" t="s">
        <v>119</v>
      </c>
      <c r="C364" s="12">
        <v>50.9</v>
      </c>
      <c r="D364" s="19" t="s">
        <v>80</v>
      </c>
      <c r="E364" s="8">
        <v>8.4099900000000005</v>
      </c>
      <c r="F364" s="8">
        <v>83.314719999999994</v>
      </c>
      <c r="G364" s="22">
        <v>50</v>
      </c>
      <c r="H364" s="22">
        <v>-15</v>
      </c>
      <c r="I364" s="10">
        <f t="shared" si="107"/>
        <v>-6.61659150558995</v>
      </c>
      <c r="J364" s="10">
        <f t="shared" si="108"/>
        <v>-0.11548130703203342</v>
      </c>
      <c r="K364" s="10">
        <f t="shared" si="110"/>
        <v>21.140809612582899</v>
      </c>
      <c r="L364" s="22">
        <v>304</v>
      </c>
      <c r="M364" s="22" t="s">
        <v>36</v>
      </c>
      <c r="N364" s="8" t="s">
        <v>46</v>
      </c>
      <c r="O364" s="10" t="s">
        <v>37</v>
      </c>
      <c r="P364" s="10" t="s">
        <v>38</v>
      </c>
      <c r="Q364" s="11">
        <v>0.48</v>
      </c>
      <c r="R364" s="8" t="s">
        <v>60</v>
      </c>
      <c r="S364" s="29">
        <f>AVERAGE(6.8,6.5)</f>
        <v>6.65</v>
      </c>
      <c r="T364" s="79">
        <f t="shared" si="106"/>
        <v>3.4732351500000006E-3</v>
      </c>
      <c r="U364" s="22">
        <v>8</v>
      </c>
      <c r="V364" s="22">
        <v>35</v>
      </c>
      <c r="W364" s="10">
        <f t="shared" si="111"/>
        <v>0.6108652381980153</v>
      </c>
      <c r="X364" s="22">
        <v>5</v>
      </c>
      <c r="Y364" s="22">
        <v>10</v>
      </c>
      <c r="Z364" s="10">
        <f t="shared" si="112"/>
        <v>0.17453292519943295</v>
      </c>
      <c r="AA364" s="10">
        <f t="shared" si="113"/>
        <v>5.4568523791430197</v>
      </c>
      <c r="AB364" s="10">
        <f t="shared" si="114"/>
        <v>6.7586327820508627</v>
      </c>
      <c r="AC364" s="10">
        <f t="shared" si="95"/>
        <v>0.84482909775635784</v>
      </c>
      <c r="AD364" s="10">
        <f t="shared" si="103"/>
        <v>3.3793163910254314</v>
      </c>
      <c r="AE364" s="65"/>
      <c r="AF364" s="10">
        <f t="shared" si="104"/>
        <v>10.281122960005044</v>
      </c>
      <c r="AG364" s="8">
        <f t="shared" si="96"/>
        <v>2.0048189772009839</v>
      </c>
      <c r="AH364" s="10">
        <f t="shared" si="97"/>
        <v>5.1405614800025221</v>
      </c>
      <c r="AI364" s="63"/>
      <c r="AJ364" s="10">
        <f t="shared" si="105"/>
        <v>7.784200000000002</v>
      </c>
      <c r="AK364" s="8"/>
      <c r="AL364" s="8">
        <f t="shared" si="98"/>
        <v>3.892100000000001</v>
      </c>
    </row>
    <row r="365" spans="1:38">
      <c r="A365" s="18">
        <v>41466</v>
      </c>
      <c r="B365" s="19" t="s">
        <v>119</v>
      </c>
      <c r="C365" s="12">
        <v>50.9</v>
      </c>
      <c r="D365" s="19" t="s">
        <v>80</v>
      </c>
      <c r="E365" s="8">
        <v>8.4099900000000005</v>
      </c>
      <c r="F365" s="8">
        <v>83.314719999999994</v>
      </c>
      <c r="G365" s="22">
        <v>50</v>
      </c>
      <c r="H365" s="22">
        <v>-15</v>
      </c>
      <c r="I365" s="10">
        <f t="shared" si="107"/>
        <v>-6.61659150558995</v>
      </c>
      <c r="J365" s="10">
        <f t="shared" si="108"/>
        <v>-0.11548130703203342</v>
      </c>
      <c r="K365" s="10">
        <f t="shared" si="110"/>
        <v>21.140809612582899</v>
      </c>
      <c r="L365" s="22">
        <v>214</v>
      </c>
      <c r="M365" s="22" t="s">
        <v>54</v>
      </c>
      <c r="N365" s="8" t="s">
        <v>55</v>
      </c>
      <c r="O365" s="10" t="s">
        <v>56</v>
      </c>
      <c r="P365" s="10" t="s">
        <v>57</v>
      </c>
      <c r="Q365" s="11">
        <v>0.315</v>
      </c>
      <c r="R365" s="12" t="s">
        <v>66</v>
      </c>
      <c r="S365" s="29">
        <f>AVERAGE(22.7,21.8)</f>
        <v>22.25</v>
      </c>
      <c r="T365" s="79">
        <f t="shared" si="106"/>
        <v>3.8882208750000001E-2</v>
      </c>
      <c r="U365" s="22">
        <v>13</v>
      </c>
      <c r="V365" s="22">
        <v>5</v>
      </c>
      <c r="W365" s="10">
        <f t="shared" si="111"/>
        <v>8.7266462599716474E-2</v>
      </c>
      <c r="X365" s="22">
        <v>5</v>
      </c>
      <c r="Y365" s="22">
        <v>26</v>
      </c>
      <c r="Z365" s="10">
        <f t="shared" si="112"/>
        <v>0.4537856055185257</v>
      </c>
      <c r="AA365" s="10">
        <f t="shared" si="113"/>
        <v>3.3248803896649433</v>
      </c>
      <c r="AB365" s="10">
        <f t="shared" si="114"/>
        <v>27.651808177910233</v>
      </c>
      <c r="AC365" s="10">
        <f t="shared" si="95"/>
        <v>3.4564760222387791</v>
      </c>
      <c r="AD365" s="10">
        <f t="shared" si="103"/>
        <v>13.825904088955117</v>
      </c>
      <c r="AE365" s="65"/>
      <c r="AF365" s="10">
        <f t="shared" si="104"/>
        <v>134.51901403556104</v>
      </c>
      <c r="AG365" s="8">
        <f t="shared" si="96"/>
        <v>26.231207736934405</v>
      </c>
      <c r="AH365" s="10">
        <f t="shared" si="97"/>
        <v>67.259507017780521</v>
      </c>
      <c r="AI365" s="63"/>
      <c r="AJ365" s="10">
        <f t="shared" si="105"/>
        <v>232.93899999999999</v>
      </c>
      <c r="AK365" s="8"/>
      <c r="AL365" s="8">
        <f t="shared" si="98"/>
        <v>116.4695</v>
      </c>
    </row>
    <row r="366" spans="1:38">
      <c r="A366" s="18">
        <v>41466</v>
      </c>
      <c r="B366" s="19" t="s">
        <v>119</v>
      </c>
      <c r="C366" s="12">
        <v>50.9</v>
      </c>
      <c r="D366" s="19" t="s">
        <v>80</v>
      </c>
      <c r="E366" s="8">
        <v>8.4099900000000005</v>
      </c>
      <c r="F366" s="8">
        <v>83.314719999999994</v>
      </c>
      <c r="G366" s="22">
        <v>50</v>
      </c>
      <c r="H366" s="22">
        <v>-15</v>
      </c>
      <c r="I366" s="10">
        <f t="shared" si="107"/>
        <v>-6.61659150558995</v>
      </c>
      <c r="J366" s="10">
        <f t="shared" si="108"/>
        <v>-0.11548130703203342</v>
      </c>
      <c r="K366" s="10">
        <f t="shared" si="110"/>
        <v>21.140809612582899</v>
      </c>
      <c r="L366" s="22">
        <v>278</v>
      </c>
      <c r="M366" s="22" t="s">
        <v>39</v>
      </c>
      <c r="N366" s="8" t="s">
        <v>69</v>
      </c>
      <c r="O366" s="10" t="s">
        <v>65</v>
      </c>
      <c r="P366" s="10" t="s">
        <v>70</v>
      </c>
      <c r="Q366" s="8">
        <v>0.37</v>
      </c>
      <c r="R366" s="8" t="s">
        <v>71</v>
      </c>
      <c r="S366" s="29">
        <f>AVERAGE(24,22.2)</f>
        <v>23.1</v>
      </c>
      <c r="T366" s="79">
        <f t="shared" si="106"/>
        <v>4.1909729400000005E-2</v>
      </c>
      <c r="U366" s="22">
        <v>10</v>
      </c>
      <c r="V366" s="22">
        <v>80</v>
      </c>
      <c r="W366" s="10">
        <f t="shared" si="111"/>
        <v>1.3962634015954636</v>
      </c>
      <c r="X366" s="22">
        <v>6</v>
      </c>
      <c r="Y366" s="22">
        <v>15</v>
      </c>
      <c r="Z366" s="10">
        <f t="shared" si="112"/>
        <v>0.26179938779914941</v>
      </c>
      <c r="AA366" s="10">
        <f t="shared" si="113"/>
        <v>11.400991800737204</v>
      </c>
      <c r="AB366" s="10">
        <f t="shared" si="114"/>
        <v>109.9228397453455</v>
      </c>
      <c r="AC366" s="10">
        <f t="shared" si="95"/>
        <v>13.740354968168187</v>
      </c>
      <c r="AD366" s="10">
        <f t="shared" si="103"/>
        <v>54.961419872672749</v>
      </c>
      <c r="AE366" s="65"/>
      <c r="AF366" s="10">
        <f t="shared" si="104"/>
        <v>173.21318050702681</v>
      </c>
      <c r="AG366" s="8">
        <f t="shared" si="96"/>
        <v>33.776570198870232</v>
      </c>
      <c r="AH366" s="10">
        <f t="shared" si="97"/>
        <v>86.606590253513403</v>
      </c>
      <c r="AI366" s="63"/>
      <c r="AJ366" s="10">
        <f t="shared" si="105"/>
        <v>255.55409999999998</v>
      </c>
      <c r="AK366" s="8"/>
      <c r="AL366" s="8">
        <f t="shared" si="98"/>
        <v>127.77704999999999</v>
      </c>
    </row>
    <row r="367" spans="1:38">
      <c r="A367" s="18">
        <v>41466</v>
      </c>
      <c r="B367" s="19" t="s">
        <v>119</v>
      </c>
      <c r="C367" s="12">
        <v>50.9</v>
      </c>
      <c r="D367" s="19" t="s">
        <v>80</v>
      </c>
      <c r="E367" s="8">
        <v>8.4099900000000005</v>
      </c>
      <c r="F367" s="8">
        <v>83.314719999999994</v>
      </c>
      <c r="G367" s="22">
        <v>50</v>
      </c>
      <c r="H367" s="22">
        <v>-15</v>
      </c>
      <c r="I367" s="10">
        <f t="shared" si="107"/>
        <v>-6.61659150558995</v>
      </c>
      <c r="J367" s="10">
        <f t="shared" si="108"/>
        <v>-0.11548130703203342</v>
      </c>
      <c r="K367" s="10">
        <f t="shared" si="110"/>
        <v>21.140809612582899</v>
      </c>
      <c r="L367" s="22">
        <v>313</v>
      </c>
      <c r="M367" s="22" t="s">
        <v>39</v>
      </c>
      <c r="N367" s="8" t="s">
        <v>69</v>
      </c>
      <c r="O367" s="10" t="s">
        <v>65</v>
      </c>
      <c r="P367" s="10" t="s">
        <v>70</v>
      </c>
      <c r="Q367" s="8">
        <v>0.37</v>
      </c>
      <c r="R367" s="8" t="s">
        <v>71</v>
      </c>
      <c r="S367" s="29">
        <f>AVERAGE(23,22)</f>
        <v>22.5</v>
      </c>
      <c r="T367" s="79">
        <f t="shared" si="106"/>
        <v>3.9760875000000001E-2</v>
      </c>
      <c r="U367" s="22">
        <v>15</v>
      </c>
      <c r="V367" s="22">
        <v>75</v>
      </c>
      <c r="W367" s="10">
        <f t="shared" si="111"/>
        <v>1.3089969389957472</v>
      </c>
      <c r="X367" s="22">
        <v>7</v>
      </c>
      <c r="Y367" s="22">
        <v>15</v>
      </c>
      <c r="Z367" s="10">
        <f t="shared" si="112"/>
        <v>0.26179938779914941</v>
      </c>
      <c r="AA367" s="10">
        <f t="shared" si="113"/>
        <v>16.300620710053671</v>
      </c>
      <c r="AB367" s="10">
        <f t="shared" si="114"/>
        <v>146.40178422626607</v>
      </c>
      <c r="AC367" s="10">
        <f t="shared" si="95"/>
        <v>18.300223028283259</v>
      </c>
      <c r="AD367" s="10">
        <f t="shared" si="103"/>
        <v>73.200892113133037</v>
      </c>
      <c r="AE367" s="65"/>
      <c r="AF367" s="10">
        <f t="shared" si="104"/>
        <v>162.39594048560971</v>
      </c>
      <c r="AG367" s="8">
        <f t="shared" si="96"/>
        <v>31.667208394693894</v>
      </c>
      <c r="AH367" s="10">
        <f t="shared" si="97"/>
        <v>81.197970242804857</v>
      </c>
      <c r="AI367" s="63"/>
      <c r="AJ367" s="10">
        <f t="shared" si="105"/>
        <v>239.4795</v>
      </c>
      <c r="AK367" s="8"/>
      <c r="AL367" s="8">
        <f t="shared" si="98"/>
        <v>119.73975</v>
      </c>
    </row>
    <row r="368" spans="1:38">
      <c r="A368" s="18">
        <v>41466</v>
      </c>
      <c r="B368" s="19" t="s">
        <v>119</v>
      </c>
      <c r="C368" s="12">
        <v>50.9</v>
      </c>
      <c r="D368" s="19" t="s">
        <v>80</v>
      </c>
      <c r="E368" s="8">
        <v>8.4099900000000005</v>
      </c>
      <c r="F368" s="8">
        <v>83.314719999999994</v>
      </c>
      <c r="G368" s="22">
        <v>50</v>
      </c>
      <c r="H368" s="22">
        <v>-15</v>
      </c>
      <c r="I368" s="10">
        <f t="shared" si="107"/>
        <v>-6.61659150558995</v>
      </c>
      <c r="J368" s="10">
        <f t="shared" si="108"/>
        <v>-0.11548130703203342</v>
      </c>
      <c r="K368" s="10">
        <f t="shared" si="110"/>
        <v>21.140809612582899</v>
      </c>
      <c r="L368" s="22">
        <v>281</v>
      </c>
      <c r="M368" s="22" t="s">
        <v>54</v>
      </c>
      <c r="N368" s="8" t="s">
        <v>55</v>
      </c>
      <c r="O368" s="10" t="s">
        <v>56</v>
      </c>
      <c r="P368" s="10" t="s">
        <v>57</v>
      </c>
      <c r="Q368" s="11">
        <v>0.315</v>
      </c>
      <c r="R368" s="12" t="s">
        <v>66</v>
      </c>
      <c r="S368" s="29">
        <f>AVERAGE(26,23)</f>
        <v>24.5</v>
      </c>
      <c r="T368" s="79">
        <f t="shared" si="106"/>
        <v>4.7143635000000003E-2</v>
      </c>
      <c r="U368" s="22">
        <v>14</v>
      </c>
      <c r="V368" s="22">
        <v>74</v>
      </c>
      <c r="W368" s="10">
        <f t="shared" si="111"/>
        <v>1.2915436464758039</v>
      </c>
      <c r="X368" s="22">
        <v>5</v>
      </c>
      <c r="Y368" s="22">
        <v>28</v>
      </c>
      <c r="Z368" s="10">
        <f t="shared" si="112"/>
        <v>0.48869219055841229</v>
      </c>
      <c r="AA368" s="10">
        <f t="shared" si="113"/>
        <v>15.805021557065919</v>
      </c>
      <c r="AB368" s="10">
        <f t="shared" si="114"/>
        <v>143.47402013949701</v>
      </c>
      <c r="AC368" s="10">
        <f t="shared" si="95"/>
        <v>17.934252517437127</v>
      </c>
      <c r="AD368" s="10">
        <f t="shared" si="103"/>
        <v>71.737010069748507</v>
      </c>
      <c r="AE368" s="65"/>
      <c r="AF368" s="10">
        <f t="shared" si="104"/>
        <v>170.28555713162427</v>
      </c>
      <c r="AG368" s="8">
        <f t="shared" si="96"/>
        <v>33.205683640666734</v>
      </c>
      <c r="AH368" s="10">
        <f t="shared" si="97"/>
        <v>85.142778565812137</v>
      </c>
      <c r="AI368" s="63"/>
      <c r="AJ368" s="10">
        <f t="shared" si="105"/>
        <v>295.13350000000003</v>
      </c>
      <c r="AK368" s="8"/>
      <c r="AL368" s="8">
        <f t="shared" si="98"/>
        <v>147.56675000000001</v>
      </c>
    </row>
    <row r="369" spans="1:38">
      <c r="A369" s="18">
        <v>41466</v>
      </c>
      <c r="B369" s="19" t="s">
        <v>119</v>
      </c>
      <c r="C369" s="12">
        <v>50.9</v>
      </c>
      <c r="D369" s="19" t="s">
        <v>80</v>
      </c>
      <c r="E369" s="8">
        <v>8.4099900000000005</v>
      </c>
      <c r="F369" s="8">
        <v>83.314719999999994</v>
      </c>
      <c r="G369" s="22">
        <v>50</v>
      </c>
      <c r="H369" s="22">
        <v>-15</v>
      </c>
      <c r="I369" s="10">
        <f t="shared" si="107"/>
        <v>-6.61659150558995</v>
      </c>
      <c r="J369" s="10">
        <f t="shared" si="108"/>
        <v>-0.11548130703203342</v>
      </c>
      <c r="K369" s="10">
        <f t="shared" si="110"/>
        <v>21.140809612582899</v>
      </c>
      <c r="L369" s="22">
        <v>276</v>
      </c>
      <c r="M369" s="22" t="s">
        <v>54</v>
      </c>
      <c r="N369" s="8" t="s">
        <v>55</v>
      </c>
      <c r="O369" s="10" t="s">
        <v>56</v>
      </c>
      <c r="P369" s="10" t="s">
        <v>57</v>
      </c>
      <c r="Q369" s="11">
        <v>0.315</v>
      </c>
      <c r="R369" s="12" t="s">
        <v>66</v>
      </c>
      <c r="S369" s="29">
        <f>AVERAGE(5.6,5.7)</f>
        <v>5.65</v>
      </c>
      <c r="T369" s="79">
        <f t="shared" si="106"/>
        <v>2.5071931500000003E-3</v>
      </c>
      <c r="U369" s="22">
        <v>6</v>
      </c>
      <c r="V369" s="22">
        <v>76</v>
      </c>
      <c r="W369" s="10">
        <f t="shared" si="111"/>
        <v>1.3264502315156905</v>
      </c>
      <c r="X369" s="22">
        <v>5</v>
      </c>
      <c r="Y369" s="22">
        <v>34</v>
      </c>
      <c r="Z369" s="10">
        <f t="shared" si="112"/>
        <v>0.59341194567807209</v>
      </c>
      <c r="AA369" s="10">
        <f t="shared" si="113"/>
        <v>8.6177388750097137</v>
      </c>
      <c r="AB369" s="10">
        <f t="shared" si="114"/>
        <v>5.1451075137537812</v>
      </c>
      <c r="AC369" s="10">
        <f t="shared" si="95"/>
        <v>0.64313843921922265</v>
      </c>
      <c r="AD369" s="10">
        <f t="shared" si="103"/>
        <v>2.5725537568768906</v>
      </c>
      <c r="AE369" s="65"/>
      <c r="AF369" s="10">
        <f t="shared" si="104"/>
        <v>4.5235631786003978</v>
      </c>
      <c r="AG369" s="8">
        <f t="shared" si="96"/>
        <v>0.8820948198270776</v>
      </c>
      <c r="AH369" s="10">
        <f t="shared" si="97"/>
        <v>2.2617815893001989</v>
      </c>
      <c r="AI369" s="63"/>
      <c r="AJ369" s="10">
        <f t="shared" si="105"/>
        <v>5.6351999999999975</v>
      </c>
      <c r="AK369" s="8"/>
      <c r="AL369" s="8">
        <f t="shared" si="98"/>
        <v>2.8175999999999988</v>
      </c>
    </row>
    <row r="370" spans="1:38">
      <c r="A370" s="18">
        <v>41466</v>
      </c>
      <c r="B370" s="19" t="s">
        <v>119</v>
      </c>
      <c r="C370" s="12">
        <v>50.9</v>
      </c>
      <c r="D370" s="19" t="s">
        <v>80</v>
      </c>
      <c r="E370" s="8">
        <v>8.4099900000000005</v>
      </c>
      <c r="F370" s="8">
        <v>83.314719999999994</v>
      </c>
      <c r="G370" s="22">
        <v>50</v>
      </c>
      <c r="H370" s="22">
        <v>-15</v>
      </c>
      <c r="I370" s="10">
        <f t="shared" si="107"/>
        <v>-6.61659150558995</v>
      </c>
      <c r="J370" s="10">
        <f t="shared" si="108"/>
        <v>-0.11548130703203342</v>
      </c>
      <c r="K370" s="10">
        <f t="shared" si="110"/>
        <v>21.140809612582899</v>
      </c>
      <c r="L370" s="22">
        <v>272</v>
      </c>
      <c r="M370" s="22" t="s">
        <v>184</v>
      </c>
      <c r="N370" s="22" t="s">
        <v>185</v>
      </c>
      <c r="O370" s="10" t="s">
        <v>186</v>
      </c>
      <c r="P370" s="10" t="s">
        <v>187</v>
      </c>
      <c r="Q370" s="24">
        <v>0.57999999999999996</v>
      </c>
      <c r="R370" s="31" t="s">
        <v>103</v>
      </c>
      <c r="S370" s="29">
        <f>AVERAGE(19.8,19)</f>
        <v>19.399999999999999</v>
      </c>
      <c r="T370" s="79">
        <f t="shared" si="106"/>
        <v>2.9559314399999998E-2</v>
      </c>
      <c r="U370" s="22">
        <v>8</v>
      </c>
      <c r="V370" s="22">
        <v>50</v>
      </c>
      <c r="W370" s="10">
        <f t="shared" si="111"/>
        <v>0.87266462599716477</v>
      </c>
      <c r="X370" s="22">
        <v>6</v>
      </c>
      <c r="Y370" s="22">
        <v>38</v>
      </c>
      <c r="Z370" s="10">
        <f t="shared" si="112"/>
        <v>0.66322511575784526</v>
      </c>
      <c r="AA370" s="10">
        <f t="shared" si="113"/>
        <v>9.8223243969057741</v>
      </c>
      <c r="AB370" s="10">
        <f t="shared" si="114"/>
        <v>105.01049467788424</v>
      </c>
      <c r="AC370" s="10">
        <f t="shared" si="95"/>
        <v>13.12631183473553</v>
      </c>
      <c r="AD370" s="10">
        <f t="shared" si="103"/>
        <v>52.505247338942119</v>
      </c>
      <c r="AE370" s="65"/>
      <c r="AF370" s="10">
        <f t="shared" si="104"/>
        <v>176.79233433920098</v>
      </c>
      <c r="AG370" s="8">
        <f t="shared" si="96"/>
        <v>34.474505196144193</v>
      </c>
      <c r="AH370" s="10">
        <f t="shared" si="97"/>
        <v>88.396167169600488</v>
      </c>
      <c r="AI370" s="63"/>
      <c r="AJ370" s="10">
        <f t="shared" si="105"/>
        <v>164.9152</v>
      </c>
      <c r="AK370" s="8"/>
      <c r="AL370" s="8">
        <f t="shared" si="98"/>
        <v>82.457599999999999</v>
      </c>
    </row>
    <row r="371" spans="1:38">
      <c r="A371" s="18">
        <v>41466</v>
      </c>
      <c r="B371" s="19" t="s">
        <v>119</v>
      </c>
      <c r="C371" s="12">
        <v>50.9</v>
      </c>
      <c r="D371" s="19" t="s">
        <v>80</v>
      </c>
      <c r="E371" s="8">
        <v>8.4099900000000005</v>
      </c>
      <c r="F371" s="8">
        <v>83.314719999999994</v>
      </c>
      <c r="G371" s="22">
        <v>50</v>
      </c>
      <c r="H371" s="22">
        <v>-15</v>
      </c>
      <c r="I371" s="10">
        <f t="shared" si="107"/>
        <v>-6.61659150558995</v>
      </c>
      <c r="J371" s="10">
        <f t="shared" si="108"/>
        <v>-0.11548130703203342</v>
      </c>
      <c r="K371" s="10">
        <f t="shared" si="110"/>
        <v>21.140809612582899</v>
      </c>
      <c r="L371" s="22">
        <v>224</v>
      </c>
      <c r="M371" s="22" t="s">
        <v>39</v>
      </c>
      <c r="N371" s="8" t="s">
        <v>69</v>
      </c>
      <c r="O371" s="10" t="s">
        <v>65</v>
      </c>
      <c r="P371" s="10" t="s">
        <v>70</v>
      </c>
      <c r="Q371" s="8">
        <v>0.37</v>
      </c>
      <c r="R371" s="8" t="s">
        <v>71</v>
      </c>
      <c r="S371" s="29">
        <f>AVERAGE(23.4,22.7)</f>
        <v>23.049999999999997</v>
      </c>
      <c r="T371" s="79">
        <f t="shared" si="106"/>
        <v>4.1728498349999997E-2</v>
      </c>
      <c r="U371" s="22">
        <v>11</v>
      </c>
      <c r="V371" s="22">
        <v>54</v>
      </c>
      <c r="W371" s="10">
        <f t="shared" si="111"/>
        <v>0.94247779607693793</v>
      </c>
      <c r="X371" s="22">
        <v>6</v>
      </c>
      <c r="Y371" s="22">
        <v>18</v>
      </c>
      <c r="Z371" s="10">
        <f t="shared" si="112"/>
        <v>0.31415926535897931</v>
      </c>
      <c r="AA371" s="10">
        <f t="shared" si="113"/>
        <v>10.753288904374108</v>
      </c>
      <c r="AB371" s="10">
        <f t="shared" si="114"/>
        <v>103.61950777114106</v>
      </c>
      <c r="AC371" s="10">
        <f t="shared" si="95"/>
        <v>12.952438471392632</v>
      </c>
      <c r="AD371" s="10">
        <f t="shared" si="103"/>
        <v>51.80975388557053</v>
      </c>
      <c r="AE371" s="65"/>
      <c r="AF371" s="10">
        <f t="shared" si="104"/>
        <v>172.29646252508604</v>
      </c>
      <c r="AG371" s="8">
        <f t="shared" si="96"/>
        <v>33.597810192391776</v>
      </c>
      <c r="AH371" s="10">
        <f t="shared" si="97"/>
        <v>86.148231262543021</v>
      </c>
      <c r="AI371" s="63"/>
      <c r="AJ371" s="10">
        <f t="shared" si="105"/>
        <v>254.19419999999991</v>
      </c>
      <c r="AK371" s="8"/>
      <c r="AL371" s="8">
        <f t="shared" si="98"/>
        <v>127.09709999999995</v>
      </c>
    </row>
    <row r="372" spans="1:38">
      <c r="A372" s="18">
        <v>41466</v>
      </c>
      <c r="B372" s="19" t="s">
        <v>119</v>
      </c>
      <c r="C372" s="12">
        <v>50.9</v>
      </c>
      <c r="D372" s="19" t="s">
        <v>80</v>
      </c>
      <c r="E372" s="8">
        <v>8.4099900000000005</v>
      </c>
      <c r="F372" s="8">
        <v>83.314719999999994</v>
      </c>
      <c r="G372" s="22">
        <v>50</v>
      </c>
      <c r="H372" s="22">
        <v>-15</v>
      </c>
      <c r="I372" s="10">
        <f t="shared" si="107"/>
        <v>-6.61659150558995</v>
      </c>
      <c r="J372" s="10">
        <f t="shared" si="108"/>
        <v>-0.11548130703203342</v>
      </c>
      <c r="K372" s="10">
        <f t="shared" si="110"/>
        <v>21.140809612582899</v>
      </c>
      <c r="L372" s="22">
        <v>228</v>
      </c>
      <c r="M372" s="22" t="s">
        <v>36</v>
      </c>
      <c r="N372" s="8" t="s">
        <v>46</v>
      </c>
      <c r="O372" s="10" t="s">
        <v>37</v>
      </c>
      <c r="P372" s="10" t="s">
        <v>38</v>
      </c>
      <c r="Q372" s="11">
        <v>0.48</v>
      </c>
      <c r="R372" s="8" t="s">
        <v>60</v>
      </c>
      <c r="S372" s="29">
        <f>AVERAGE(13.9,15.5)</f>
        <v>14.7</v>
      </c>
      <c r="T372" s="79">
        <f t="shared" si="106"/>
        <v>1.69717086E-2</v>
      </c>
      <c r="U372" s="22">
        <v>10</v>
      </c>
      <c r="V372" s="22">
        <v>40</v>
      </c>
      <c r="W372" s="10">
        <f t="shared" si="111"/>
        <v>0.69813170079773179</v>
      </c>
      <c r="X372" s="22">
        <v>8</v>
      </c>
      <c r="Y372" s="22">
        <v>19</v>
      </c>
      <c r="Z372" s="10">
        <f t="shared" si="112"/>
        <v>0.33161255787892263</v>
      </c>
      <c r="AA372" s="10">
        <f t="shared" si="113"/>
        <v>9.0324213325226452</v>
      </c>
      <c r="AB372" s="10">
        <f t="shared" si="114"/>
        <v>48.221532713357462</v>
      </c>
      <c r="AC372" s="10">
        <f t="shared" si="95"/>
        <v>6.0276915891696827</v>
      </c>
      <c r="AD372" s="10">
        <f t="shared" si="103"/>
        <v>24.110766356678731</v>
      </c>
      <c r="AE372" s="65"/>
      <c r="AF372" s="10">
        <f t="shared" si="104"/>
        <v>73.610507764208975</v>
      </c>
      <c r="AG372" s="8">
        <f t="shared" si="96"/>
        <v>14.354049014020751</v>
      </c>
      <c r="AH372" s="10">
        <f t="shared" si="97"/>
        <v>36.805253882104488</v>
      </c>
      <c r="AI372" s="63"/>
      <c r="AJ372" s="10">
        <f t="shared" si="105"/>
        <v>78.994499999999974</v>
      </c>
      <c r="AK372" s="8"/>
      <c r="AL372" s="8">
        <f t="shared" si="98"/>
        <v>39.497249999999987</v>
      </c>
    </row>
    <row r="373" spans="1:38">
      <c r="A373" s="18">
        <v>41466</v>
      </c>
      <c r="B373" s="19" t="s">
        <v>119</v>
      </c>
      <c r="C373" s="12">
        <v>50.9</v>
      </c>
      <c r="D373" s="19" t="s">
        <v>80</v>
      </c>
      <c r="E373" s="8">
        <v>8.4099900000000005</v>
      </c>
      <c r="F373" s="8">
        <v>83.314719999999994</v>
      </c>
      <c r="G373" s="22">
        <v>50</v>
      </c>
      <c r="H373" s="22">
        <v>-15</v>
      </c>
      <c r="I373" s="10">
        <f t="shared" si="107"/>
        <v>-6.61659150558995</v>
      </c>
      <c r="J373" s="10">
        <f t="shared" si="108"/>
        <v>-0.11548130703203342</v>
      </c>
      <c r="K373" s="10">
        <f t="shared" si="110"/>
        <v>21.140809612582899</v>
      </c>
      <c r="L373" s="22">
        <v>293</v>
      </c>
      <c r="M373" s="22" t="s">
        <v>36</v>
      </c>
      <c r="N373" s="8" t="s">
        <v>46</v>
      </c>
      <c r="O373" s="10" t="s">
        <v>37</v>
      </c>
      <c r="P373" s="10" t="s">
        <v>38</v>
      </c>
      <c r="Q373" s="11">
        <v>0.48</v>
      </c>
      <c r="R373" s="8" t="s">
        <v>60</v>
      </c>
      <c r="S373" s="29">
        <f>AVERAGE(7.8,8.1)</f>
        <v>7.9499999999999993</v>
      </c>
      <c r="T373" s="79">
        <f t="shared" si="106"/>
        <v>4.9639243499999992E-3</v>
      </c>
      <c r="U373" s="22">
        <v>7</v>
      </c>
      <c r="V373" s="22">
        <v>20</v>
      </c>
      <c r="W373" s="10">
        <f t="shared" si="111"/>
        <v>0.3490658503988659</v>
      </c>
      <c r="X373" s="22">
        <v>6</v>
      </c>
      <c r="Y373" s="22">
        <v>30</v>
      </c>
      <c r="Z373" s="10">
        <f t="shared" si="112"/>
        <v>0.52359877559829882</v>
      </c>
      <c r="AA373" s="10">
        <f t="shared" si="113"/>
        <v>5.3941410032796799</v>
      </c>
      <c r="AB373" s="10">
        <f t="shared" si="114"/>
        <v>9.352455346738104</v>
      </c>
      <c r="AC373" s="10">
        <f t="shared" si="95"/>
        <v>1.169056918342263</v>
      </c>
      <c r="AD373" s="10">
        <f t="shared" si="103"/>
        <v>4.676227673369052</v>
      </c>
      <c r="AE373" s="65"/>
      <c r="AF373" s="10">
        <f t="shared" si="104"/>
        <v>15.978093312565525</v>
      </c>
      <c r="AG373" s="8">
        <f t="shared" si="96"/>
        <v>3.1157281959502776</v>
      </c>
      <c r="AH373" s="10">
        <f t="shared" si="97"/>
        <v>7.9890466562827624</v>
      </c>
      <c r="AI373" s="63"/>
      <c r="AJ373" s="10">
        <f t="shared" si="105"/>
        <v>12.790499999999994</v>
      </c>
      <c r="AK373" s="8"/>
      <c r="AL373" s="8">
        <f t="shared" si="98"/>
        <v>6.3952499999999972</v>
      </c>
    </row>
    <row r="374" spans="1:38">
      <c r="A374" s="18">
        <v>41466</v>
      </c>
      <c r="B374" s="19" t="s">
        <v>119</v>
      </c>
      <c r="C374" s="12">
        <v>50.9</v>
      </c>
      <c r="D374" s="19" t="s">
        <v>80</v>
      </c>
      <c r="E374" s="8">
        <v>8.4099900000000005</v>
      </c>
      <c r="F374" s="8">
        <v>83.314719999999994</v>
      </c>
      <c r="G374" s="22">
        <v>50</v>
      </c>
      <c r="H374" s="22">
        <v>-15</v>
      </c>
      <c r="I374" s="10">
        <f t="shared" si="107"/>
        <v>-6.61659150558995</v>
      </c>
      <c r="J374" s="10">
        <f t="shared" si="108"/>
        <v>-0.11548130703203342</v>
      </c>
      <c r="K374" s="10">
        <f t="shared" si="110"/>
        <v>21.140809612582899</v>
      </c>
      <c r="L374" s="22">
        <v>229</v>
      </c>
      <c r="M374" s="22" t="s">
        <v>39</v>
      </c>
      <c r="N374" s="8" t="s">
        <v>69</v>
      </c>
      <c r="O374" s="10" t="s">
        <v>65</v>
      </c>
      <c r="P374" s="10" t="s">
        <v>70</v>
      </c>
      <c r="Q374" s="8">
        <v>0.37</v>
      </c>
      <c r="R374" s="8" t="s">
        <v>71</v>
      </c>
      <c r="S374" s="29">
        <f>AVERAGE(7.7,7)</f>
        <v>7.35</v>
      </c>
      <c r="T374" s="79">
        <f t="shared" si="106"/>
        <v>4.2429271499999999E-3</v>
      </c>
      <c r="U374" s="22">
        <v>8</v>
      </c>
      <c r="V374" s="22">
        <v>20</v>
      </c>
      <c r="W374" s="10">
        <f t="shared" si="111"/>
        <v>0.3490658503988659</v>
      </c>
      <c r="X374" s="22">
        <v>5</v>
      </c>
      <c r="Y374" s="22">
        <v>35</v>
      </c>
      <c r="Z374" s="10">
        <f t="shared" si="112"/>
        <v>0.6108652381980153</v>
      </c>
      <c r="AA374" s="10">
        <f t="shared" si="113"/>
        <v>5.6040433283605804</v>
      </c>
      <c r="AB374" s="10">
        <f t="shared" si="114"/>
        <v>6.5491197981026819</v>
      </c>
      <c r="AC374" s="10">
        <f t="shared" si="95"/>
        <v>0.81863997476283523</v>
      </c>
      <c r="AD374" s="10">
        <f t="shared" si="103"/>
        <v>3.2745598990513409</v>
      </c>
      <c r="AE374" s="65"/>
      <c r="AF374" s="10">
        <f t="shared" si="104"/>
        <v>10.143715420038321</v>
      </c>
      <c r="AG374" s="8">
        <f t="shared" si="96"/>
        <v>1.9780245069074727</v>
      </c>
      <c r="AH374" s="10">
        <f t="shared" si="97"/>
        <v>5.0718577100191604</v>
      </c>
      <c r="AI374" s="63"/>
      <c r="AJ374" s="10">
        <f t="shared" si="105"/>
        <v>10.169099999999997</v>
      </c>
      <c r="AK374" s="8"/>
      <c r="AL374" s="8">
        <f t="shared" si="98"/>
        <v>5.0845499999999983</v>
      </c>
    </row>
    <row r="375" spans="1:38">
      <c r="A375" s="18">
        <v>41466</v>
      </c>
      <c r="B375" s="19" t="s">
        <v>119</v>
      </c>
      <c r="C375" s="12">
        <v>50.9</v>
      </c>
      <c r="D375" s="19" t="s">
        <v>80</v>
      </c>
      <c r="E375" s="8">
        <v>8.4099900000000005</v>
      </c>
      <c r="F375" s="8">
        <v>83.314719999999994</v>
      </c>
      <c r="G375" s="22">
        <v>50</v>
      </c>
      <c r="H375" s="22">
        <v>-15</v>
      </c>
      <c r="I375" s="10">
        <f t="shared" si="107"/>
        <v>-6.61659150558995</v>
      </c>
      <c r="J375" s="10">
        <f t="shared" si="108"/>
        <v>-0.11548130703203342</v>
      </c>
      <c r="K375" s="10">
        <f t="shared" si="110"/>
        <v>21.140809612582899</v>
      </c>
      <c r="L375" s="22">
        <v>225</v>
      </c>
      <c r="M375" s="22" t="s">
        <v>129</v>
      </c>
      <c r="N375" s="22" t="s">
        <v>171</v>
      </c>
      <c r="O375" s="58" t="s">
        <v>175</v>
      </c>
      <c r="P375" s="10" t="s">
        <v>176</v>
      </c>
      <c r="Q375" s="22">
        <v>0.23</v>
      </c>
      <c r="R375" s="22" t="s">
        <v>190</v>
      </c>
      <c r="S375" s="29">
        <f>AVERAGE(18.1,28.6)</f>
        <v>23.35</v>
      </c>
      <c r="T375" s="79">
        <f t="shared" si="106"/>
        <v>4.2821775150000012E-2</v>
      </c>
      <c r="U375" s="22">
        <v>16</v>
      </c>
      <c r="V375" s="22">
        <v>52</v>
      </c>
      <c r="W375" s="10">
        <f t="shared" si="111"/>
        <v>0.90757121103705141</v>
      </c>
      <c r="X375" s="22">
        <v>5</v>
      </c>
      <c r="Y375" s="22">
        <v>36</v>
      </c>
      <c r="Z375" s="10">
        <f t="shared" si="112"/>
        <v>0.62831853071795862</v>
      </c>
      <c r="AA375" s="10">
        <f t="shared" si="113"/>
        <v>15.547098319169919</v>
      </c>
      <c r="AB375" s="10">
        <f t="shared" si="114"/>
        <v>96.031920686909814</v>
      </c>
      <c r="AC375" s="10">
        <f t="shared" si="95"/>
        <v>12.003990085863727</v>
      </c>
      <c r="AD375" s="10">
        <f t="shared" si="103"/>
        <v>48.015960343454907</v>
      </c>
      <c r="AE375" s="65"/>
      <c r="AF375" s="10">
        <f t="shared" si="104"/>
        <v>110.54830997273304</v>
      </c>
      <c r="AG375" s="8">
        <f t="shared" si="96"/>
        <v>21.556920444682945</v>
      </c>
      <c r="AH375" s="10">
        <f t="shared" si="97"/>
        <v>55.274154986366518</v>
      </c>
      <c r="AI375" s="63"/>
      <c r="AJ375" s="10">
        <f t="shared" si="105"/>
        <v>262.40910000000008</v>
      </c>
      <c r="AK375" s="8"/>
      <c r="AL375" s="8">
        <f t="shared" si="98"/>
        <v>131.20455000000004</v>
      </c>
    </row>
    <row r="376" spans="1:38">
      <c r="A376" s="18">
        <v>41466</v>
      </c>
      <c r="B376" s="19" t="s">
        <v>119</v>
      </c>
      <c r="C376" s="12">
        <v>50.9</v>
      </c>
      <c r="D376" s="19" t="s">
        <v>80</v>
      </c>
      <c r="E376" s="8">
        <v>8.4099900000000005</v>
      </c>
      <c r="F376" s="8">
        <v>83.314719999999994</v>
      </c>
      <c r="G376" s="22">
        <v>50</v>
      </c>
      <c r="H376" s="22">
        <v>-15</v>
      </c>
      <c r="I376" s="10">
        <f t="shared" si="107"/>
        <v>-6.61659150558995</v>
      </c>
      <c r="J376" s="10">
        <f t="shared" si="108"/>
        <v>-0.11548130703203342</v>
      </c>
      <c r="K376" s="10">
        <f t="shared" si="110"/>
        <v>21.140809612582899</v>
      </c>
      <c r="L376" s="22">
        <v>267</v>
      </c>
      <c r="M376" s="22" t="s">
        <v>36</v>
      </c>
      <c r="N376" s="8" t="s">
        <v>46</v>
      </c>
      <c r="O376" s="10" t="s">
        <v>37</v>
      </c>
      <c r="P376" s="10" t="s">
        <v>38</v>
      </c>
      <c r="Q376" s="11">
        <v>0.48</v>
      </c>
      <c r="R376" s="8" t="s">
        <v>60</v>
      </c>
      <c r="S376" s="29">
        <f>AVERAGE(11.5,12.2)</f>
        <v>11.85</v>
      </c>
      <c r="T376" s="79">
        <f t="shared" si="106"/>
        <v>1.1028783149999999E-2</v>
      </c>
      <c r="U376" s="22">
        <v>7</v>
      </c>
      <c r="V376" s="22">
        <v>34</v>
      </c>
      <c r="W376" s="10">
        <f t="shared" si="111"/>
        <v>0.59341194567807209</v>
      </c>
      <c r="X376" s="22">
        <v>5</v>
      </c>
      <c r="Y376" s="22">
        <v>10</v>
      </c>
      <c r="Z376" s="10">
        <f t="shared" si="112"/>
        <v>0.17453292519943295</v>
      </c>
      <c r="AA376" s="10">
        <f t="shared" si="113"/>
        <v>4.78259121262988</v>
      </c>
      <c r="AB376" s="10">
        <f t="shared" si="114"/>
        <v>17.688966070398077</v>
      </c>
      <c r="AC376" s="10">
        <f t="shared" si="95"/>
        <v>2.2111207587997597</v>
      </c>
      <c r="AD376" s="10">
        <f t="shared" si="103"/>
        <v>8.8444830351990387</v>
      </c>
      <c r="AE376" s="65"/>
      <c r="AF376" s="10">
        <f t="shared" si="104"/>
        <v>43.071620550562571</v>
      </c>
      <c r="AG376" s="8">
        <f t="shared" si="96"/>
        <v>8.3989660073597019</v>
      </c>
      <c r="AH376" s="10">
        <f t="shared" si="97"/>
        <v>21.535810275281285</v>
      </c>
      <c r="AI376" s="63"/>
      <c r="AJ376" s="10">
        <f t="shared" si="105"/>
        <v>42.81659999999998</v>
      </c>
      <c r="AK376" s="8"/>
      <c r="AL376" s="8">
        <f t="shared" si="98"/>
        <v>21.40829999999999</v>
      </c>
    </row>
    <row r="377" spans="1:38">
      <c r="A377" s="18">
        <v>41466</v>
      </c>
      <c r="B377" s="19" t="s">
        <v>119</v>
      </c>
      <c r="C377" s="12">
        <v>50.9</v>
      </c>
      <c r="D377" s="19" t="s">
        <v>80</v>
      </c>
      <c r="E377" s="8">
        <v>8.4099900000000005</v>
      </c>
      <c r="F377" s="8">
        <v>83.314719999999994</v>
      </c>
      <c r="G377" s="22">
        <v>50</v>
      </c>
      <c r="H377" s="22">
        <v>-15</v>
      </c>
      <c r="I377" s="10">
        <f t="shared" si="107"/>
        <v>-6.61659150558995</v>
      </c>
      <c r="J377" s="10">
        <f t="shared" si="108"/>
        <v>-0.11548130703203342</v>
      </c>
      <c r="K377" s="10">
        <f t="shared" si="110"/>
        <v>21.140809612582899</v>
      </c>
      <c r="L377" s="22">
        <v>223</v>
      </c>
      <c r="M377" s="22" t="s">
        <v>54</v>
      </c>
      <c r="N377" s="8" t="s">
        <v>55</v>
      </c>
      <c r="O377" s="10" t="s">
        <v>56</v>
      </c>
      <c r="P377" s="10" t="s">
        <v>57</v>
      </c>
      <c r="Q377" s="11">
        <v>0.315</v>
      </c>
      <c r="R377" s="12" t="s">
        <v>66</v>
      </c>
      <c r="S377" s="29">
        <f>AVERAGE(21.5,21)</f>
        <v>21.25</v>
      </c>
      <c r="T377" s="79">
        <f t="shared" si="106"/>
        <v>3.546571875E-2</v>
      </c>
      <c r="U377" s="22">
        <v>21</v>
      </c>
      <c r="V377" s="22">
        <v>70</v>
      </c>
      <c r="W377" s="10">
        <f t="shared" si="111"/>
        <v>1.2217304763960306</v>
      </c>
      <c r="X377" s="22">
        <v>7</v>
      </c>
      <c r="Y377" s="22">
        <v>1</v>
      </c>
      <c r="Z377" s="10">
        <f t="shared" si="112"/>
        <v>1.7453292519943295E-2</v>
      </c>
      <c r="AA377" s="10">
        <f t="shared" si="113"/>
        <v>19.85571188156506</v>
      </c>
      <c r="AB377" s="10">
        <f t="shared" si="114"/>
        <v>136.05696313688873</v>
      </c>
      <c r="AC377" s="10">
        <f t="shared" si="95"/>
        <v>17.007120392111091</v>
      </c>
      <c r="AD377" s="10">
        <f t="shared" si="103"/>
        <v>68.028481568444363</v>
      </c>
      <c r="AE377" s="65"/>
      <c r="AF377" s="10">
        <f t="shared" si="104"/>
        <v>120.15595061094844</v>
      </c>
      <c r="AG377" s="8">
        <f t="shared" si="96"/>
        <v>23.430410369134947</v>
      </c>
      <c r="AH377" s="10">
        <f t="shared" si="97"/>
        <v>60.077975305474219</v>
      </c>
      <c r="AI377" s="63"/>
      <c r="AJ377" s="10">
        <f t="shared" si="105"/>
        <v>207.702</v>
      </c>
      <c r="AK377" s="8"/>
      <c r="AL377" s="8">
        <f t="shared" si="98"/>
        <v>103.851</v>
      </c>
    </row>
    <row r="378" spans="1:38">
      <c r="A378" s="18">
        <v>41466</v>
      </c>
      <c r="B378" s="19" t="s">
        <v>119</v>
      </c>
      <c r="C378" s="12">
        <v>50.9</v>
      </c>
      <c r="D378" s="19" t="s">
        <v>80</v>
      </c>
      <c r="E378" s="8">
        <v>8.4099900000000005</v>
      </c>
      <c r="F378" s="8">
        <v>83.314719999999994</v>
      </c>
      <c r="G378" s="22">
        <v>50</v>
      </c>
      <c r="H378" s="22">
        <v>-15</v>
      </c>
      <c r="I378" s="10">
        <f t="shared" si="107"/>
        <v>-6.61659150558995</v>
      </c>
      <c r="J378" s="10">
        <f t="shared" si="108"/>
        <v>-0.11548130703203342</v>
      </c>
      <c r="K378" s="10">
        <f t="shared" si="110"/>
        <v>21.140809612582899</v>
      </c>
      <c r="L378" s="22">
        <v>227</v>
      </c>
      <c r="M378" s="22" t="s">
        <v>39</v>
      </c>
      <c r="N378" s="8" t="s">
        <v>69</v>
      </c>
      <c r="O378" s="10" t="s">
        <v>65</v>
      </c>
      <c r="P378" s="10" t="s">
        <v>70</v>
      </c>
      <c r="Q378" s="8">
        <v>0.37</v>
      </c>
      <c r="R378" s="8" t="s">
        <v>71</v>
      </c>
      <c r="S378" s="29">
        <f>AVERAGE(10.6,11.4)</f>
        <v>11</v>
      </c>
      <c r="T378" s="79">
        <f t="shared" si="106"/>
        <v>9.5033400000000007E-3</v>
      </c>
      <c r="U378" s="22">
        <v>8</v>
      </c>
      <c r="V378" s="22">
        <v>36</v>
      </c>
      <c r="W378" s="10">
        <f t="shared" si="111"/>
        <v>0.62831853071795862</v>
      </c>
      <c r="X378" s="22">
        <v>5</v>
      </c>
      <c r="Y378" s="22">
        <v>10</v>
      </c>
      <c r="Z378" s="10">
        <f t="shared" si="112"/>
        <v>0.17453292519943295</v>
      </c>
      <c r="AA378" s="10">
        <f t="shared" si="113"/>
        <v>5.5705229066744364</v>
      </c>
      <c r="AB378" s="10">
        <f t="shared" si="114"/>
        <v>13.897343643009711</v>
      </c>
      <c r="AC378" s="10">
        <f t="shared" si="95"/>
        <v>1.7371679553762138</v>
      </c>
      <c r="AD378" s="10">
        <f t="shared" si="103"/>
        <v>6.9486718215048553</v>
      </c>
      <c r="AE378" s="65"/>
      <c r="AF378" s="10">
        <f t="shared" si="104"/>
        <v>27.587884777633903</v>
      </c>
      <c r="AG378" s="8">
        <f t="shared" si="96"/>
        <v>5.3796375316386111</v>
      </c>
      <c r="AH378" s="10">
        <f t="shared" si="97"/>
        <v>13.793942388816951</v>
      </c>
      <c r="AI378" s="63"/>
      <c r="AJ378" s="10">
        <f t="shared" si="105"/>
        <v>34.353999999999985</v>
      </c>
      <c r="AK378" s="8"/>
      <c r="AL378" s="8">
        <f t="shared" si="98"/>
        <v>17.176999999999992</v>
      </c>
    </row>
    <row r="379" spans="1:38">
      <c r="A379" s="18">
        <v>41466</v>
      </c>
      <c r="B379" s="19" t="s">
        <v>119</v>
      </c>
      <c r="C379" s="12">
        <v>50.9</v>
      </c>
      <c r="D379" s="19" t="s">
        <v>80</v>
      </c>
      <c r="E379" s="8">
        <v>8.4099900000000005</v>
      </c>
      <c r="F379" s="8">
        <v>83.314719999999994</v>
      </c>
      <c r="G379" s="22">
        <v>50</v>
      </c>
      <c r="H379" s="22">
        <v>-15</v>
      </c>
      <c r="I379" s="10">
        <f t="shared" si="107"/>
        <v>-6.61659150558995</v>
      </c>
      <c r="J379" s="10">
        <f t="shared" si="108"/>
        <v>-0.11548130703203342</v>
      </c>
      <c r="K379" s="10">
        <f t="shared" si="110"/>
        <v>21.140809612582899</v>
      </c>
      <c r="L379" s="22">
        <v>243</v>
      </c>
      <c r="M379" s="22" t="s">
        <v>39</v>
      </c>
      <c r="N379" s="8" t="s">
        <v>69</v>
      </c>
      <c r="O379" s="10" t="s">
        <v>65</v>
      </c>
      <c r="P379" s="10" t="s">
        <v>70</v>
      </c>
      <c r="Q379" s="8">
        <v>0.37</v>
      </c>
      <c r="R379" s="8" t="s">
        <v>71</v>
      </c>
      <c r="S379" s="29">
        <f>AVERAGE(10.7,10.8)</f>
        <v>10.75</v>
      </c>
      <c r="T379" s="79">
        <f t="shared" si="106"/>
        <v>9.0762787499999997E-3</v>
      </c>
      <c r="U379" s="22">
        <v>8</v>
      </c>
      <c r="V379" s="22">
        <v>49</v>
      </c>
      <c r="W379" s="10">
        <f t="shared" si="111"/>
        <v>0.85521133347722145</v>
      </c>
      <c r="X379" s="22">
        <v>5</v>
      </c>
      <c r="Y379" s="22">
        <v>10</v>
      </c>
      <c r="Z379" s="10">
        <f t="shared" si="112"/>
        <v>0.17453292519943295</v>
      </c>
      <c r="AA379" s="10">
        <f t="shared" si="113"/>
        <v>6.9059175301168274</v>
      </c>
      <c r="AB379" s="10">
        <f t="shared" si="114"/>
        <v>16.28873504826306</v>
      </c>
      <c r="AC379" s="10">
        <f t="shared" si="95"/>
        <v>2.0360918810328825</v>
      </c>
      <c r="AD379" s="10">
        <f t="shared" si="103"/>
        <v>8.1443675241315301</v>
      </c>
      <c r="AE379" s="65"/>
      <c r="AF379" s="10">
        <f t="shared" si="104"/>
        <v>26.054263795115276</v>
      </c>
      <c r="AG379" s="8">
        <f t="shared" si="96"/>
        <v>5.0805814400474789</v>
      </c>
      <c r="AH379" s="10">
        <f t="shared" si="97"/>
        <v>13.027131897557638</v>
      </c>
      <c r="AI379" s="63"/>
      <c r="AJ379" s="10">
        <f t="shared" si="105"/>
        <v>32.0685</v>
      </c>
      <c r="AK379" s="8"/>
      <c r="AL379" s="8">
        <f t="shared" si="98"/>
        <v>16.03425</v>
      </c>
    </row>
    <row r="380" spans="1:38">
      <c r="A380" s="18">
        <v>41466</v>
      </c>
      <c r="B380" s="19" t="s">
        <v>119</v>
      </c>
      <c r="C380" s="12">
        <v>50.9</v>
      </c>
      <c r="D380" s="19" t="s">
        <v>80</v>
      </c>
      <c r="E380" s="8">
        <v>8.4099900000000005</v>
      </c>
      <c r="F380" s="8">
        <v>83.314719999999994</v>
      </c>
      <c r="G380" s="22">
        <v>50</v>
      </c>
      <c r="H380" s="22">
        <v>-15</v>
      </c>
      <c r="I380" s="10">
        <f t="shared" si="107"/>
        <v>-6.61659150558995</v>
      </c>
      <c r="J380" s="10">
        <f t="shared" si="108"/>
        <v>-0.11548130703203342</v>
      </c>
      <c r="K380" s="10">
        <f t="shared" si="110"/>
        <v>21.140809612582899</v>
      </c>
      <c r="L380" s="22">
        <v>241</v>
      </c>
      <c r="M380" s="22" t="s">
        <v>36</v>
      </c>
      <c r="N380" s="8" t="s">
        <v>46</v>
      </c>
      <c r="O380" s="10" t="s">
        <v>37</v>
      </c>
      <c r="P380" s="10" t="s">
        <v>38</v>
      </c>
      <c r="Q380" s="11">
        <v>0.48</v>
      </c>
      <c r="R380" s="8" t="s">
        <v>60</v>
      </c>
      <c r="S380" s="29">
        <f>AVERAGE(19.8,19.5)</f>
        <v>19.649999999999999</v>
      </c>
      <c r="T380" s="79">
        <f t="shared" si="106"/>
        <v>3.0326061149999996E-2</v>
      </c>
      <c r="U380" s="22">
        <v>9</v>
      </c>
      <c r="V380" s="22">
        <v>49</v>
      </c>
      <c r="W380" s="10">
        <f t="shared" si="111"/>
        <v>0.85521133347722145</v>
      </c>
      <c r="X380" s="22">
        <v>6</v>
      </c>
      <c r="Y380" s="22">
        <v>10</v>
      </c>
      <c r="Z380" s="10">
        <f t="shared" si="112"/>
        <v>0.17453292519943295</v>
      </c>
      <c r="AA380" s="10">
        <f t="shared" si="113"/>
        <v>7.8342752880065305</v>
      </c>
      <c r="AB380" s="10">
        <f t="shared" si="114"/>
        <v>72.796246292901856</v>
      </c>
      <c r="AC380" s="10">
        <f t="shared" si="95"/>
        <v>9.099530786612732</v>
      </c>
      <c r="AD380" s="10">
        <f t="shared" si="103"/>
        <v>36.398123146450928</v>
      </c>
      <c r="AE380" s="65"/>
      <c r="AF380" s="10">
        <f t="shared" si="104"/>
        <v>151.00409698141675</v>
      </c>
      <c r="AG380" s="8">
        <f t="shared" si="96"/>
        <v>29.445798911376269</v>
      </c>
      <c r="AH380" s="10">
        <f t="shared" si="97"/>
        <v>75.502048490708376</v>
      </c>
      <c r="AI380" s="63"/>
      <c r="AJ380" s="10">
        <f t="shared" si="105"/>
        <v>170.40119999999996</v>
      </c>
      <c r="AK380" s="8"/>
      <c r="AL380" s="8">
        <f t="shared" si="98"/>
        <v>85.20059999999998</v>
      </c>
    </row>
    <row r="381" spans="1:38">
      <c r="A381" s="18">
        <v>41466</v>
      </c>
      <c r="B381" s="19" t="s">
        <v>119</v>
      </c>
      <c r="C381" s="12">
        <v>50.9</v>
      </c>
      <c r="D381" s="19" t="s">
        <v>80</v>
      </c>
      <c r="E381" s="8">
        <v>8.4099900000000005</v>
      </c>
      <c r="F381" s="8">
        <v>83.314719999999994</v>
      </c>
      <c r="G381" s="22">
        <v>50</v>
      </c>
      <c r="H381" s="22">
        <v>-15</v>
      </c>
      <c r="I381" s="10">
        <f t="shared" si="107"/>
        <v>-6.61659150558995</v>
      </c>
      <c r="J381" s="10">
        <f t="shared" si="108"/>
        <v>-0.11548130703203342</v>
      </c>
      <c r="K381" s="10">
        <f t="shared" si="110"/>
        <v>21.140809612582899</v>
      </c>
      <c r="L381" s="22">
        <v>316</v>
      </c>
      <c r="M381" s="22" t="s">
        <v>39</v>
      </c>
      <c r="N381" s="8" t="s">
        <v>69</v>
      </c>
      <c r="O381" s="10" t="s">
        <v>65</v>
      </c>
      <c r="P381" s="10" t="s">
        <v>70</v>
      </c>
      <c r="Q381" s="8">
        <v>0.37</v>
      </c>
      <c r="R381" s="8" t="s">
        <v>71</v>
      </c>
      <c r="S381" s="29">
        <f>AVERAGE(22.9,24.5)</f>
        <v>23.7</v>
      </c>
      <c r="T381" s="79">
        <f t="shared" si="106"/>
        <v>4.4115132599999995E-2</v>
      </c>
      <c r="U381" s="22">
        <v>12</v>
      </c>
      <c r="V381" s="22">
        <v>55</v>
      </c>
      <c r="W381" s="10">
        <f t="shared" si="111"/>
        <v>0.95993108859688125</v>
      </c>
      <c r="X381" s="22">
        <v>5</v>
      </c>
      <c r="Y381" s="22">
        <v>15</v>
      </c>
      <c r="Z381" s="10">
        <f t="shared" si="112"/>
        <v>0.26179938779914941</v>
      </c>
      <c r="AA381" s="10">
        <f t="shared" si="113"/>
        <v>11.123919756980506</v>
      </c>
      <c r="AB381" s="10">
        <f t="shared" si="114"/>
        <v>112.71471284019927</v>
      </c>
      <c r="AC381" s="10">
        <f t="shared" si="95"/>
        <v>14.089339105024909</v>
      </c>
      <c r="AD381" s="10">
        <f t="shared" si="103"/>
        <v>56.357356420099634</v>
      </c>
      <c r="AE381" s="65"/>
      <c r="AF381" s="10">
        <f t="shared" si="104"/>
        <v>184.43152515256031</v>
      </c>
      <c r="AG381" s="8">
        <f t="shared" si="96"/>
        <v>35.964147404749262</v>
      </c>
      <c r="AH381" s="10">
        <f t="shared" si="97"/>
        <v>92.215762576280156</v>
      </c>
      <c r="AI381" s="63"/>
      <c r="AJ381" s="10">
        <f t="shared" si="105"/>
        <v>272.16149999999993</v>
      </c>
      <c r="AK381" s="8"/>
      <c r="AL381" s="8">
        <f t="shared" si="98"/>
        <v>136.08074999999997</v>
      </c>
    </row>
    <row r="382" spans="1:38">
      <c r="A382" s="18">
        <v>41466</v>
      </c>
      <c r="B382" s="19" t="s">
        <v>119</v>
      </c>
      <c r="C382" s="12">
        <v>50.9</v>
      </c>
      <c r="D382" s="19" t="s">
        <v>80</v>
      </c>
      <c r="E382" s="8">
        <v>8.4099900000000005</v>
      </c>
      <c r="F382" s="8">
        <v>83.314719999999994</v>
      </c>
      <c r="G382" s="22">
        <v>50</v>
      </c>
      <c r="H382" s="22">
        <v>-15</v>
      </c>
      <c r="I382" s="10">
        <f t="shared" si="107"/>
        <v>-6.61659150558995</v>
      </c>
      <c r="J382" s="10">
        <f t="shared" si="108"/>
        <v>-0.11548130703203342</v>
      </c>
      <c r="K382" s="10">
        <f t="shared" si="110"/>
        <v>21.140809612582899</v>
      </c>
      <c r="L382" s="22">
        <v>263</v>
      </c>
      <c r="M382" s="22" t="s">
        <v>39</v>
      </c>
      <c r="N382" s="8" t="s">
        <v>69</v>
      </c>
      <c r="O382" s="10" t="s">
        <v>65</v>
      </c>
      <c r="P382" s="10" t="s">
        <v>70</v>
      </c>
      <c r="Q382" s="8">
        <v>0.37</v>
      </c>
      <c r="R382" s="8" t="s">
        <v>71</v>
      </c>
      <c r="S382" s="29">
        <f>AVERAGE(12.9,13.1)</f>
        <v>13</v>
      </c>
      <c r="T382" s="79">
        <f t="shared" si="106"/>
        <v>1.327326E-2</v>
      </c>
      <c r="U382" s="22">
        <v>10</v>
      </c>
      <c r="V382" s="22">
        <v>32</v>
      </c>
      <c r="W382" s="10">
        <f t="shared" si="111"/>
        <v>0.55850536063818546</v>
      </c>
      <c r="X382" s="22">
        <v>6</v>
      </c>
      <c r="Y382" s="22">
        <v>15</v>
      </c>
      <c r="Z382" s="10">
        <f t="shared" si="112"/>
        <v>0.26179938779914941</v>
      </c>
      <c r="AA382" s="10">
        <f t="shared" si="113"/>
        <v>6.852106912947173</v>
      </c>
      <c r="AB382" s="10">
        <f t="shared" si="114"/>
        <v>23.113170713250451</v>
      </c>
      <c r="AC382" s="10">
        <f t="shared" si="95"/>
        <v>2.8891463391563064</v>
      </c>
      <c r="AD382" s="10">
        <f t="shared" si="103"/>
        <v>11.556585356625225</v>
      </c>
      <c r="AE382" s="65"/>
      <c r="AF382" s="10">
        <f t="shared" si="104"/>
        <v>41.804911334924498</v>
      </c>
      <c r="AG382" s="8">
        <f t="shared" si="96"/>
        <v>8.1519577103102776</v>
      </c>
      <c r="AH382" s="10">
        <f t="shared" si="97"/>
        <v>20.902455667462249</v>
      </c>
      <c r="AI382" s="63"/>
      <c r="AJ382" s="10">
        <f t="shared" si="105"/>
        <v>55.967999999999989</v>
      </c>
      <c r="AK382" s="8"/>
      <c r="AL382" s="8">
        <f t="shared" si="98"/>
        <v>27.983999999999995</v>
      </c>
    </row>
    <row r="383" spans="1:38">
      <c r="A383" s="18">
        <v>41466</v>
      </c>
      <c r="B383" s="19" t="s">
        <v>119</v>
      </c>
      <c r="C383" s="12">
        <v>50.9</v>
      </c>
      <c r="D383" s="19" t="s">
        <v>80</v>
      </c>
      <c r="E383" s="8">
        <v>8.4099900000000005</v>
      </c>
      <c r="F383" s="8">
        <v>83.314719999999994</v>
      </c>
      <c r="G383" s="22">
        <v>50</v>
      </c>
      <c r="H383" s="22">
        <v>-15</v>
      </c>
      <c r="I383" s="10">
        <f t="shared" si="107"/>
        <v>-6.61659150558995</v>
      </c>
      <c r="J383" s="10">
        <f t="shared" si="108"/>
        <v>-0.11548130703203342</v>
      </c>
      <c r="K383" s="10">
        <f t="shared" si="110"/>
        <v>21.140809612582899</v>
      </c>
      <c r="L383" s="22">
        <v>245</v>
      </c>
      <c r="M383" s="22" t="s">
        <v>36</v>
      </c>
      <c r="N383" s="8" t="s">
        <v>46</v>
      </c>
      <c r="O383" s="10" t="s">
        <v>37</v>
      </c>
      <c r="P383" s="10" t="s">
        <v>38</v>
      </c>
      <c r="Q383" s="11">
        <v>0.48</v>
      </c>
      <c r="R383" s="8" t="s">
        <v>60</v>
      </c>
      <c r="S383" s="29">
        <f>AVERAGE(9.9,10.1)</f>
        <v>10</v>
      </c>
      <c r="T383" s="79">
        <f t="shared" si="106"/>
        <v>7.8539999999999999E-3</v>
      </c>
      <c r="U383" s="22">
        <v>8</v>
      </c>
      <c r="V383" s="22">
        <v>53</v>
      </c>
      <c r="W383" s="10">
        <f t="shared" si="111"/>
        <v>0.92502450355699462</v>
      </c>
      <c r="X383" s="22">
        <v>5</v>
      </c>
      <c r="Y383" s="22">
        <v>1</v>
      </c>
      <c r="Z383" s="10">
        <f t="shared" si="112"/>
        <v>1.7453292519943295E-2</v>
      </c>
      <c r="AA383" s="10">
        <f t="shared" si="113"/>
        <v>6.4763461125647606</v>
      </c>
      <c r="AB383" s="10">
        <f t="shared" si="114"/>
        <v>17.095378938664123</v>
      </c>
      <c r="AC383" s="10">
        <f t="shared" si="95"/>
        <v>2.1369223673330153</v>
      </c>
      <c r="AD383" s="10">
        <f t="shared" si="103"/>
        <v>8.5476894693320613</v>
      </c>
      <c r="AE383" s="65"/>
      <c r="AF383" s="10">
        <f t="shared" si="104"/>
        <v>28.235933581188522</v>
      </c>
      <c r="AG383" s="8">
        <f t="shared" si="96"/>
        <v>5.506007048331762</v>
      </c>
      <c r="AH383" s="10">
        <f t="shared" si="97"/>
        <v>14.117966790594261</v>
      </c>
      <c r="AI383" s="63"/>
      <c r="AJ383" s="10">
        <f t="shared" si="105"/>
        <v>25.766999999999996</v>
      </c>
      <c r="AK383" s="8"/>
      <c r="AL383" s="8">
        <f t="shared" si="98"/>
        <v>12.883499999999998</v>
      </c>
    </row>
    <row r="384" spans="1:38">
      <c r="A384" s="18">
        <v>41466</v>
      </c>
      <c r="B384" s="19" t="s">
        <v>119</v>
      </c>
      <c r="C384" s="12">
        <v>50.9</v>
      </c>
      <c r="D384" s="19" t="s">
        <v>80</v>
      </c>
      <c r="E384" s="8">
        <v>8.4099900000000005</v>
      </c>
      <c r="F384" s="8">
        <v>83.314719999999994</v>
      </c>
      <c r="G384" s="22">
        <v>50</v>
      </c>
      <c r="H384" s="22">
        <v>-15</v>
      </c>
      <c r="I384" s="10">
        <f t="shared" si="107"/>
        <v>-6.61659150558995</v>
      </c>
      <c r="J384" s="10">
        <f t="shared" si="108"/>
        <v>-0.11548130703203342</v>
      </c>
      <c r="K384" s="10">
        <f t="shared" si="110"/>
        <v>21.140809612582899</v>
      </c>
      <c r="L384" s="22">
        <v>264</v>
      </c>
      <c r="M384" s="22" t="s">
        <v>36</v>
      </c>
      <c r="N384" s="8" t="s">
        <v>46</v>
      </c>
      <c r="O384" s="10" t="s">
        <v>37</v>
      </c>
      <c r="P384" s="10" t="s">
        <v>38</v>
      </c>
      <c r="Q384" s="11">
        <v>0.48</v>
      </c>
      <c r="R384" s="8" t="s">
        <v>60</v>
      </c>
      <c r="S384" s="29">
        <f>AVERAGE(11.3,11.8)</f>
        <v>11.55</v>
      </c>
      <c r="T384" s="79">
        <f t="shared" si="106"/>
        <v>1.0477432350000001E-2</v>
      </c>
      <c r="U384" s="22">
        <v>8</v>
      </c>
      <c r="V384" s="22">
        <v>50</v>
      </c>
      <c r="W384" s="10">
        <f t="shared" si="111"/>
        <v>0.87266462599716477</v>
      </c>
      <c r="X384" s="22">
        <v>8</v>
      </c>
      <c r="Y384" s="22">
        <v>0</v>
      </c>
      <c r="Z384" s="10">
        <f t="shared" si="112"/>
        <v>0</v>
      </c>
      <c r="AA384" s="10">
        <f t="shared" si="113"/>
        <v>6.1283555449518241</v>
      </c>
      <c r="AB384" s="10">
        <f t="shared" si="114"/>
        <v>21.280701062440318</v>
      </c>
      <c r="AC384" s="10">
        <f t="shared" ref="AC384:AC446" si="115">AB384*0.125</f>
        <v>2.6600876328050398</v>
      </c>
      <c r="AD384" s="10">
        <f t="shared" si="103"/>
        <v>10.640350531220159</v>
      </c>
      <c r="AE384" s="65"/>
      <c r="AF384" s="10">
        <f t="shared" si="104"/>
        <v>40.40924627566239</v>
      </c>
      <c r="AG384" s="8">
        <f t="shared" ref="AG384:AG446" si="116">AF384*0.195</f>
        <v>7.8798030237541665</v>
      </c>
      <c r="AH384" s="10">
        <f t="shared" ref="AH384:AH446" si="117">AF384/2</f>
        <v>20.204623137831195</v>
      </c>
      <c r="AI384" s="63"/>
      <c r="AJ384" s="10">
        <f t="shared" si="105"/>
        <v>39.707699999999988</v>
      </c>
      <c r="AK384" s="8"/>
      <c r="AL384" s="8">
        <f t="shared" ref="AL384:AL446" si="118">AJ384/2</f>
        <v>19.853849999999994</v>
      </c>
    </row>
    <row r="385" spans="1:38">
      <c r="A385" s="18">
        <v>41466</v>
      </c>
      <c r="B385" s="19" t="s">
        <v>119</v>
      </c>
      <c r="C385" s="12">
        <v>50.9</v>
      </c>
      <c r="D385" s="19" t="s">
        <v>80</v>
      </c>
      <c r="E385" s="8">
        <v>8.4099900000000005</v>
      </c>
      <c r="F385" s="8">
        <v>83.314719999999994</v>
      </c>
      <c r="G385" s="22">
        <v>50</v>
      </c>
      <c r="H385" s="22">
        <v>-15</v>
      </c>
      <c r="I385" s="10">
        <f t="shared" si="107"/>
        <v>-6.61659150558995</v>
      </c>
      <c r="J385" s="10">
        <f t="shared" si="108"/>
        <v>-0.11548130703203342</v>
      </c>
      <c r="K385" s="10">
        <f t="shared" si="110"/>
        <v>21.140809612582899</v>
      </c>
      <c r="L385" s="22">
        <v>280</v>
      </c>
      <c r="M385" s="22" t="s">
        <v>39</v>
      </c>
      <c r="N385" s="8" t="s">
        <v>69</v>
      </c>
      <c r="O385" s="10" t="s">
        <v>65</v>
      </c>
      <c r="P385" s="10" t="s">
        <v>70</v>
      </c>
      <c r="Q385" s="8">
        <v>0.37</v>
      </c>
      <c r="R385" s="8" t="s">
        <v>71</v>
      </c>
      <c r="S385" s="29">
        <f>AVERAGE(17.5,16.8)</f>
        <v>17.149999999999999</v>
      </c>
      <c r="T385" s="79">
        <f t="shared" si="106"/>
        <v>2.3100381149999998E-2</v>
      </c>
      <c r="U385" s="22">
        <v>11</v>
      </c>
      <c r="V385" s="22">
        <v>65</v>
      </c>
      <c r="W385" s="10">
        <f t="shared" si="111"/>
        <v>1.1344640137963142</v>
      </c>
      <c r="X385" s="22">
        <v>5</v>
      </c>
      <c r="Y385" s="22">
        <v>0</v>
      </c>
      <c r="Z385" s="10">
        <f t="shared" si="112"/>
        <v>0</v>
      </c>
      <c r="AA385" s="10">
        <f t="shared" si="113"/>
        <v>9.9693856574031496</v>
      </c>
      <c r="AB385" s="10">
        <f t="shared" si="114"/>
        <v>55.352365913268351</v>
      </c>
      <c r="AC385" s="10">
        <f t="shared" si="115"/>
        <v>6.9190457391585438</v>
      </c>
      <c r="AD385" s="10">
        <f t="shared" si="103"/>
        <v>27.676182956634175</v>
      </c>
      <c r="AE385" s="65"/>
      <c r="AF385" s="10">
        <f t="shared" si="104"/>
        <v>83.163353880877551</v>
      </c>
      <c r="AG385" s="8">
        <f t="shared" si="116"/>
        <v>16.216854006771122</v>
      </c>
      <c r="AH385" s="10">
        <f t="shared" si="117"/>
        <v>41.581676940438776</v>
      </c>
      <c r="AI385" s="63"/>
      <c r="AJ385" s="10">
        <f t="shared" si="105"/>
        <v>119.70369999999996</v>
      </c>
      <c r="AK385" s="8"/>
      <c r="AL385" s="8">
        <f t="shared" si="118"/>
        <v>59.851849999999978</v>
      </c>
    </row>
    <row r="386" spans="1:38">
      <c r="A386" s="18">
        <v>41466</v>
      </c>
      <c r="B386" s="19" t="s">
        <v>119</v>
      </c>
      <c r="C386" s="12">
        <v>50.9</v>
      </c>
      <c r="D386" s="19" t="s">
        <v>80</v>
      </c>
      <c r="E386" s="8">
        <v>8.4099900000000005</v>
      </c>
      <c r="F386" s="8">
        <v>83.314719999999994</v>
      </c>
      <c r="G386" s="22">
        <v>50</v>
      </c>
      <c r="H386" s="22">
        <v>-15</v>
      </c>
      <c r="I386" s="10">
        <f t="shared" si="107"/>
        <v>-6.61659150558995</v>
      </c>
      <c r="J386" s="10">
        <f t="shared" si="108"/>
        <v>-0.11548130703203342</v>
      </c>
      <c r="K386" s="10">
        <f t="shared" si="110"/>
        <v>21.140809612582899</v>
      </c>
      <c r="L386" s="22">
        <v>292</v>
      </c>
      <c r="M386" s="22" t="s">
        <v>36</v>
      </c>
      <c r="N386" s="8" t="s">
        <v>46</v>
      </c>
      <c r="O386" s="10" t="s">
        <v>37</v>
      </c>
      <c r="P386" s="10" t="s">
        <v>38</v>
      </c>
      <c r="Q386" s="11">
        <v>0.48</v>
      </c>
      <c r="R386" s="8" t="s">
        <v>60</v>
      </c>
      <c r="S386" s="29">
        <f>AVERAGE(11.3,11.7)</f>
        <v>11.5</v>
      </c>
      <c r="T386" s="79">
        <f t="shared" si="106"/>
        <v>1.0386915E-2</v>
      </c>
      <c r="U386" s="22">
        <v>8</v>
      </c>
      <c r="V386" s="22">
        <v>55</v>
      </c>
      <c r="W386" s="10">
        <f t="shared" si="111"/>
        <v>0.95993108859688125</v>
      </c>
      <c r="X386" s="22">
        <v>7</v>
      </c>
      <c r="Y386" s="22">
        <v>0</v>
      </c>
      <c r="Z386" s="10">
        <f t="shared" si="112"/>
        <v>0</v>
      </c>
      <c r="AA386" s="10">
        <f t="shared" si="113"/>
        <v>6.5532163543119344</v>
      </c>
      <c r="AB386" s="10">
        <f t="shared" si="114"/>
        <v>22.480587683177905</v>
      </c>
      <c r="AC386" s="10">
        <f t="shared" si="115"/>
        <v>2.8100734603972382</v>
      </c>
      <c r="AD386" s="10">
        <f t="shared" si="103"/>
        <v>11.240293841588953</v>
      </c>
      <c r="AE386" s="65"/>
      <c r="AF386" s="10">
        <f t="shared" si="104"/>
        <v>39.975367927888335</v>
      </c>
      <c r="AG386" s="8">
        <f t="shared" si="116"/>
        <v>7.7951967459382256</v>
      </c>
      <c r="AH386" s="10">
        <f t="shared" si="117"/>
        <v>19.987683963944168</v>
      </c>
      <c r="AI386" s="63"/>
      <c r="AJ386" s="10">
        <f t="shared" si="105"/>
        <v>39.202499999999986</v>
      </c>
      <c r="AK386" s="8"/>
      <c r="AL386" s="8">
        <f t="shared" si="118"/>
        <v>19.601249999999993</v>
      </c>
    </row>
    <row r="387" spans="1:38">
      <c r="A387" s="18">
        <v>41466</v>
      </c>
      <c r="B387" s="19" t="s">
        <v>119</v>
      </c>
      <c r="C387" s="12">
        <v>50.9</v>
      </c>
      <c r="D387" s="19" t="s">
        <v>80</v>
      </c>
      <c r="E387" s="8">
        <v>8.4099900000000005</v>
      </c>
      <c r="F387" s="8">
        <v>83.314719999999994</v>
      </c>
      <c r="G387" s="22">
        <v>50</v>
      </c>
      <c r="H387" s="22">
        <v>-15</v>
      </c>
      <c r="I387" s="10">
        <f t="shared" si="107"/>
        <v>-6.61659150558995</v>
      </c>
      <c r="J387" s="10">
        <f t="shared" si="108"/>
        <v>-0.11548130703203342</v>
      </c>
      <c r="K387" s="10">
        <f t="shared" si="110"/>
        <v>21.140809612582899</v>
      </c>
      <c r="L387" s="22">
        <v>260</v>
      </c>
      <c r="M387" s="22" t="s">
        <v>54</v>
      </c>
      <c r="N387" s="8" t="s">
        <v>55</v>
      </c>
      <c r="O387" s="10" t="s">
        <v>56</v>
      </c>
      <c r="P387" s="10" t="s">
        <v>57</v>
      </c>
      <c r="Q387" s="11">
        <v>0.315</v>
      </c>
      <c r="R387" s="12" t="s">
        <v>66</v>
      </c>
      <c r="S387" s="29">
        <f>AVERAGE(18.2,22)</f>
        <v>20.100000000000001</v>
      </c>
      <c r="T387" s="79">
        <f t="shared" si="106"/>
        <v>3.1730945400000002E-2</v>
      </c>
      <c r="U387" s="22">
        <v>23</v>
      </c>
      <c r="V387" s="22">
        <v>75</v>
      </c>
      <c r="W387" s="10">
        <f t="shared" si="111"/>
        <v>1.3089969389957472</v>
      </c>
      <c r="X387" s="22">
        <v>5</v>
      </c>
      <c r="Y387" s="22">
        <v>-3</v>
      </c>
      <c r="Z387" s="10">
        <f t="shared" si="112"/>
        <v>-5.235987755982989E-2</v>
      </c>
      <c r="AA387" s="10">
        <f t="shared" si="113"/>
        <v>21.95461422343385</v>
      </c>
      <c r="AB387" s="10">
        <f t="shared" si="114"/>
        <v>134.68415051795702</v>
      </c>
      <c r="AC387" s="10">
        <f t="shared" si="115"/>
        <v>16.835518814744628</v>
      </c>
      <c r="AD387" s="10">
        <f t="shared" si="103"/>
        <v>67.342075258978511</v>
      </c>
      <c r="AE387" s="65"/>
      <c r="AF387" s="10">
        <f t="shared" si="104"/>
        <v>104.78288594501915</v>
      </c>
      <c r="AG387" s="8">
        <f t="shared" si="116"/>
        <v>20.432662759278735</v>
      </c>
      <c r="AH387" s="10">
        <f t="shared" si="117"/>
        <v>52.391442972509573</v>
      </c>
      <c r="AI387" s="63"/>
      <c r="AJ387" s="10">
        <f t="shared" si="105"/>
        <v>180.50910000000005</v>
      </c>
      <c r="AK387" s="8"/>
      <c r="AL387" s="8">
        <f t="shared" si="118"/>
        <v>90.254550000000023</v>
      </c>
    </row>
    <row r="388" spans="1:38">
      <c r="A388" s="18">
        <v>41466</v>
      </c>
      <c r="B388" s="19" t="s">
        <v>119</v>
      </c>
      <c r="C388" s="12">
        <v>50.9</v>
      </c>
      <c r="D388" s="19" t="s">
        <v>80</v>
      </c>
      <c r="E388" s="8">
        <v>8.4099900000000005</v>
      </c>
      <c r="F388" s="8">
        <v>83.314719999999994</v>
      </c>
      <c r="G388" s="22">
        <v>50</v>
      </c>
      <c r="H388" s="22">
        <v>-15</v>
      </c>
      <c r="I388" s="10">
        <f t="shared" si="107"/>
        <v>-6.61659150558995</v>
      </c>
      <c r="J388" s="10">
        <f t="shared" si="108"/>
        <v>-0.11548130703203342</v>
      </c>
      <c r="K388" s="10">
        <f t="shared" si="110"/>
        <v>21.140809612582899</v>
      </c>
      <c r="L388" s="22">
        <v>299</v>
      </c>
      <c r="M388" s="22" t="s">
        <v>36</v>
      </c>
      <c r="N388" s="8" t="s">
        <v>46</v>
      </c>
      <c r="O388" s="10" t="s">
        <v>37</v>
      </c>
      <c r="P388" s="10" t="s">
        <v>38</v>
      </c>
      <c r="Q388" s="11">
        <v>0.48</v>
      </c>
      <c r="R388" s="8" t="s">
        <v>60</v>
      </c>
      <c r="S388" s="29">
        <f>AVERAGE(6.3,6.7)</f>
        <v>6.5</v>
      </c>
      <c r="T388" s="79">
        <f t="shared" si="106"/>
        <v>3.3183150000000001E-3</v>
      </c>
      <c r="U388" s="22">
        <v>9</v>
      </c>
      <c r="V388" s="22">
        <v>25</v>
      </c>
      <c r="W388" s="10">
        <f t="shared" si="111"/>
        <v>0.43633231299858238</v>
      </c>
      <c r="X388" s="22">
        <v>8</v>
      </c>
      <c r="Y388" s="22">
        <v>-2</v>
      </c>
      <c r="Z388" s="10">
        <f t="shared" si="112"/>
        <v>-3.4906585039886591E-2</v>
      </c>
      <c r="AA388" s="10">
        <f t="shared" si="113"/>
        <v>3.524368382046287</v>
      </c>
      <c r="AB388" s="10">
        <f t="shared" si="114"/>
        <v>4.2930111210587709</v>
      </c>
      <c r="AC388" s="10">
        <f t="shared" si="115"/>
        <v>0.53662639013234636</v>
      </c>
      <c r="AD388" s="10">
        <f t="shared" si="103"/>
        <v>2.1465055605293855</v>
      </c>
      <c r="AE388" s="65"/>
      <c r="AF388" s="10">
        <f t="shared" si="104"/>
        <v>9.719847596844474</v>
      </c>
      <c r="AG388" s="8">
        <f t="shared" si="116"/>
        <v>1.8953702813846725</v>
      </c>
      <c r="AH388" s="10">
        <f t="shared" si="117"/>
        <v>4.859923798422237</v>
      </c>
      <c r="AI388" s="63"/>
      <c r="AJ388" s="10">
        <f t="shared" si="105"/>
        <v>7.3674999999999962</v>
      </c>
      <c r="AK388" s="8"/>
      <c r="AL388" s="8">
        <f t="shared" si="118"/>
        <v>3.6837499999999981</v>
      </c>
    </row>
    <row r="389" spans="1:38">
      <c r="A389" s="18">
        <v>41466</v>
      </c>
      <c r="B389" s="19" t="s">
        <v>119</v>
      </c>
      <c r="C389" s="12">
        <v>50.9</v>
      </c>
      <c r="D389" s="19" t="s">
        <v>80</v>
      </c>
      <c r="E389" s="8">
        <v>8.4099900000000005</v>
      </c>
      <c r="F389" s="8">
        <v>83.314719999999994</v>
      </c>
      <c r="G389" s="22">
        <v>50</v>
      </c>
      <c r="H389" s="22">
        <v>-15</v>
      </c>
      <c r="I389" s="10">
        <f t="shared" si="107"/>
        <v>-6.61659150558995</v>
      </c>
      <c r="J389" s="10">
        <f t="shared" si="108"/>
        <v>-0.11548130703203342</v>
      </c>
      <c r="K389" s="10">
        <f t="shared" si="110"/>
        <v>21.140809612582899</v>
      </c>
      <c r="L389" s="22">
        <v>251</v>
      </c>
      <c r="M389" s="22" t="s">
        <v>39</v>
      </c>
      <c r="N389" s="8" t="s">
        <v>69</v>
      </c>
      <c r="O389" s="10" t="s">
        <v>65</v>
      </c>
      <c r="P389" s="10" t="s">
        <v>70</v>
      </c>
      <c r="Q389" s="8">
        <v>0.37</v>
      </c>
      <c r="R389" s="8" t="s">
        <v>71</v>
      </c>
      <c r="S389" s="29">
        <f>AVERAGE(7.2,7)</f>
        <v>7.1</v>
      </c>
      <c r="T389" s="79">
        <f t="shared" si="106"/>
        <v>3.9592014E-3</v>
      </c>
      <c r="U389" s="22">
        <v>12</v>
      </c>
      <c r="V389" s="22">
        <v>52</v>
      </c>
      <c r="W389" s="10">
        <f t="shared" si="111"/>
        <v>0.90757121103705141</v>
      </c>
      <c r="X389" s="22">
        <v>9</v>
      </c>
      <c r="Y389" s="22">
        <v>-5</v>
      </c>
      <c r="Z389" s="10">
        <f t="shared" si="112"/>
        <v>-8.7266462599716474E-2</v>
      </c>
      <c r="AA389" s="10">
        <f t="shared" si="113"/>
        <v>8.6717273585517418</v>
      </c>
      <c r="AB389" s="10">
        <f t="shared" si="114"/>
        <v>9.2503106051807986</v>
      </c>
      <c r="AC389" s="10">
        <f t="shared" si="115"/>
        <v>1.1562888256475998</v>
      </c>
      <c r="AD389" s="10">
        <f t="shared" si="103"/>
        <v>4.6251553025903993</v>
      </c>
      <c r="AE389" s="65"/>
      <c r="AF389" s="10">
        <f t="shared" si="104"/>
        <v>9.3130147178558573</v>
      </c>
      <c r="AG389" s="8">
        <f t="shared" si="116"/>
        <v>1.8160378699818922</v>
      </c>
      <c r="AH389" s="10">
        <f t="shared" si="117"/>
        <v>4.6565073589279287</v>
      </c>
      <c r="AI389" s="63"/>
      <c r="AJ389" s="10">
        <f t="shared" si="105"/>
        <v>9.2340999999999944</v>
      </c>
      <c r="AK389" s="8"/>
      <c r="AL389" s="8">
        <f t="shared" si="118"/>
        <v>4.6170499999999972</v>
      </c>
    </row>
    <row r="390" spans="1:38">
      <c r="A390" s="18">
        <v>41466</v>
      </c>
      <c r="B390" s="19" t="s">
        <v>119</v>
      </c>
      <c r="C390" s="12">
        <v>50.9</v>
      </c>
      <c r="D390" s="19" t="s">
        <v>80</v>
      </c>
      <c r="E390" s="8">
        <v>8.4099900000000005</v>
      </c>
      <c r="F390" s="8">
        <v>83.314719999999994</v>
      </c>
      <c r="G390" s="22">
        <v>50</v>
      </c>
      <c r="H390" s="22">
        <v>-15</v>
      </c>
      <c r="I390" s="10">
        <f t="shared" si="107"/>
        <v>-6.61659150558995</v>
      </c>
      <c r="J390" s="10">
        <f t="shared" si="108"/>
        <v>-0.11548130703203342</v>
      </c>
      <c r="K390" s="10">
        <f t="shared" si="110"/>
        <v>21.140809612582899</v>
      </c>
      <c r="L390" s="22">
        <v>221</v>
      </c>
      <c r="M390" s="22" t="s">
        <v>39</v>
      </c>
      <c r="N390" s="8" t="s">
        <v>69</v>
      </c>
      <c r="O390" s="10" t="s">
        <v>65</v>
      </c>
      <c r="P390" s="10" t="s">
        <v>70</v>
      </c>
      <c r="Q390" s="8">
        <v>0.37</v>
      </c>
      <c r="R390" s="8" t="s">
        <v>71</v>
      </c>
      <c r="S390" s="29">
        <f>AVERAGE(34.1,34.2)</f>
        <v>34.150000000000006</v>
      </c>
      <c r="T390" s="79">
        <f t="shared" si="106"/>
        <v>9.1595115150000031E-2</v>
      </c>
      <c r="U390" s="22">
        <v>17</v>
      </c>
      <c r="V390" s="22">
        <v>75</v>
      </c>
      <c r="W390" s="10">
        <f t="shared" si="111"/>
        <v>1.3089969389957472</v>
      </c>
      <c r="X390" s="22">
        <v>5</v>
      </c>
      <c r="Y390" s="22">
        <v>3</v>
      </c>
      <c r="Z390" s="10">
        <f t="shared" si="112"/>
        <v>5.235987755982989E-2</v>
      </c>
      <c r="AA390" s="10">
        <f t="shared" si="113"/>
        <v>16.682418828128881</v>
      </c>
      <c r="AB390" s="10">
        <f t="shared" si="114"/>
        <v>327.84559449737344</v>
      </c>
      <c r="AC390" s="10">
        <f t="shared" si="115"/>
        <v>40.98069931217168</v>
      </c>
      <c r="AD390" s="10">
        <f t="shared" si="103"/>
        <v>163.92279724868672</v>
      </c>
      <c r="AE390" s="65"/>
      <c r="AF390" s="10">
        <f t="shared" si="104"/>
        <v>446.45706541411039</v>
      </c>
      <c r="AG390" s="8">
        <f t="shared" si="116"/>
        <v>87.059127755751533</v>
      </c>
      <c r="AH390" s="10">
        <f t="shared" si="117"/>
        <v>223.22853270705519</v>
      </c>
      <c r="AI390" s="63"/>
      <c r="AJ390" s="10">
        <f t="shared" si="105"/>
        <v>646.85670000000016</v>
      </c>
      <c r="AK390" s="8"/>
      <c r="AL390" s="8">
        <f t="shared" si="118"/>
        <v>323.42835000000008</v>
      </c>
    </row>
    <row r="391" spans="1:38">
      <c r="A391" s="18">
        <v>41466</v>
      </c>
      <c r="B391" s="19" t="s">
        <v>119</v>
      </c>
      <c r="C391" s="12">
        <v>50.9</v>
      </c>
      <c r="D391" s="19" t="s">
        <v>80</v>
      </c>
      <c r="E391" s="8">
        <v>8.4099900000000005</v>
      </c>
      <c r="F391" s="8">
        <v>83.314719999999994</v>
      </c>
      <c r="G391" s="22">
        <v>50</v>
      </c>
      <c r="H391" s="22">
        <v>-15</v>
      </c>
      <c r="I391" s="10">
        <f t="shared" si="107"/>
        <v>-6.61659150558995</v>
      </c>
      <c r="J391" s="10">
        <f t="shared" si="108"/>
        <v>-0.11548130703203342</v>
      </c>
      <c r="K391" s="10">
        <f t="shared" si="110"/>
        <v>21.140809612582899</v>
      </c>
      <c r="L391" s="22">
        <v>226</v>
      </c>
      <c r="M391" s="22" t="s">
        <v>39</v>
      </c>
      <c r="N391" s="8" t="s">
        <v>69</v>
      </c>
      <c r="O391" s="10" t="s">
        <v>65</v>
      </c>
      <c r="P391" s="10" t="s">
        <v>70</v>
      </c>
      <c r="Q391" s="8">
        <v>0.37</v>
      </c>
      <c r="R391" s="8" t="s">
        <v>71</v>
      </c>
      <c r="S391" s="29">
        <f>AVERAGE(22.8,23)</f>
        <v>22.9</v>
      </c>
      <c r="T391" s="79">
        <f t="shared" si="106"/>
        <v>4.1187161399999998E-2</v>
      </c>
      <c r="U391" s="22">
        <v>14</v>
      </c>
      <c r="V391" s="22">
        <v>72</v>
      </c>
      <c r="W391" s="10">
        <f t="shared" si="111"/>
        <v>1.2566370614359172</v>
      </c>
      <c r="X391" s="22">
        <v>6</v>
      </c>
      <c r="Y391" s="22">
        <v>8</v>
      </c>
      <c r="Z391" s="10">
        <f t="shared" si="112"/>
        <v>0.13962634015954636</v>
      </c>
      <c r="AA391" s="10">
        <f t="shared" si="113"/>
        <v>14.149829833892541</v>
      </c>
      <c r="AB391" s="10">
        <f t="shared" si="114"/>
        <v>132.4854522914878</v>
      </c>
      <c r="AC391" s="10">
        <f t="shared" si="115"/>
        <v>16.560681536435975</v>
      </c>
      <c r="AD391" s="10">
        <f t="shared" ref="AD391:AD454" si="119">AB391/2</f>
        <v>66.242726145743902</v>
      </c>
      <c r="AE391" s="65"/>
      <c r="AF391" s="10">
        <f t="shared" ref="AF391:AF454" si="120">Q391*EXP(-1.239+1.98*LN(S391)+0.207*(LN(S391))^2-0.0281*(LN(S391))^3)</f>
        <v>169.56300549566842</v>
      </c>
      <c r="AG391" s="8">
        <f t="shared" si="116"/>
        <v>33.064786071655341</v>
      </c>
      <c r="AH391" s="10">
        <f t="shared" si="117"/>
        <v>84.78150274783421</v>
      </c>
      <c r="AI391" s="63"/>
      <c r="AJ391" s="10">
        <f t="shared" ref="AJ391:AJ454" si="121">21.297-6.953*S391+0.74*(S391^2)</f>
        <v>250.13669999999993</v>
      </c>
      <c r="AK391" s="8"/>
      <c r="AL391" s="8">
        <f t="shared" si="118"/>
        <v>125.06834999999997</v>
      </c>
    </row>
    <row r="392" spans="1:38">
      <c r="A392" s="18">
        <v>41466</v>
      </c>
      <c r="B392" s="19" t="s">
        <v>119</v>
      </c>
      <c r="C392" s="12">
        <v>50.9</v>
      </c>
      <c r="D392" s="19" t="s">
        <v>80</v>
      </c>
      <c r="E392" s="8">
        <v>8.4099900000000005</v>
      </c>
      <c r="F392" s="8">
        <v>83.314719999999994</v>
      </c>
      <c r="G392" s="22">
        <v>50</v>
      </c>
      <c r="H392" s="22">
        <v>-15</v>
      </c>
      <c r="I392" s="10">
        <f t="shared" si="107"/>
        <v>-6.61659150558995</v>
      </c>
      <c r="J392" s="10">
        <f t="shared" si="108"/>
        <v>-0.11548130703203342</v>
      </c>
      <c r="K392" s="10">
        <f t="shared" si="110"/>
        <v>21.140809612582899</v>
      </c>
      <c r="L392" s="22">
        <v>218</v>
      </c>
      <c r="M392" s="22" t="s">
        <v>129</v>
      </c>
      <c r="N392" s="22" t="s">
        <v>171</v>
      </c>
      <c r="O392" s="58" t="s">
        <v>175</v>
      </c>
      <c r="P392" s="10" t="s">
        <v>176</v>
      </c>
      <c r="Q392" s="22">
        <v>0.23</v>
      </c>
      <c r="R392" s="22" t="s">
        <v>190</v>
      </c>
      <c r="S392" s="29">
        <f>AVERAGE(22.3,21)</f>
        <v>21.65</v>
      </c>
      <c r="T392" s="79">
        <f t="shared" ref="T392:T455" si="122">0.00007854*S392^2</f>
        <v>3.6813465149999995E-2</v>
      </c>
      <c r="U392" s="22">
        <v>17</v>
      </c>
      <c r="V392" s="22">
        <v>80</v>
      </c>
      <c r="W392" s="10">
        <f t="shared" si="111"/>
        <v>1.3962634015954636</v>
      </c>
      <c r="X392" s="22">
        <v>5</v>
      </c>
      <c r="Y392" s="22">
        <v>7</v>
      </c>
      <c r="Z392" s="10">
        <f t="shared" si="112"/>
        <v>0.12217304763960307</v>
      </c>
      <c r="AA392" s="10">
        <f t="shared" si="113"/>
        <v>17.351078518233273</v>
      </c>
      <c r="AB392" s="10">
        <f t="shared" si="114"/>
        <v>92.366317003644767</v>
      </c>
      <c r="AC392" s="10">
        <f t="shared" si="115"/>
        <v>11.545789625455596</v>
      </c>
      <c r="AD392" s="10">
        <f t="shared" si="119"/>
        <v>46.183158501822383</v>
      </c>
      <c r="AE392" s="65"/>
      <c r="AF392" s="10">
        <f t="shared" si="120"/>
        <v>91.846148984155775</v>
      </c>
      <c r="AG392" s="8">
        <f t="shared" si="116"/>
        <v>17.909999051910376</v>
      </c>
      <c r="AH392" s="10">
        <f t="shared" si="117"/>
        <v>45.923074492077887</v>
      </c>
      <c r="AI392" s="63"/>
      <c r="AJ392" s="10">
        <f t="shared" si="121"/>
        <v>217.61919999999995</v>
      </c>
      <c r="AK392" s="8"/>
      <c r="AL392" s="8">
        <f t="shared" si="118"/>
        <v>108.80959999999997</v>
      </c>
    </row>
    <row r="393" spans="1:38">
      <c r="A393" s="18">
        <v>41466</v>
      </c>
      <c r="B393" s="19" t="s">
        <v>119</v>
      </c>
      <c r="C393" s="12">
        <v>50.9</v>
      </c>
      <c r="D393" s="19" t="s">
        <v>80</v>
      </c>
      <c r="E393" s="8">
        <v>8.4099900000000005</v>
      </c>
      <c r="F393" s="8">
        <v>83.314719999999994</v>
      </c>
      <c r="G393" s="22">
        <v>50</v>
      </c>
      <c r="H393" s="22">
        <v>-15</v>
      </c>
      <c r="I393" s="10">
        <f t="shared" si="107"/>
        <v>-6.61659150558995</v>
      </c>
      <c r="J393" s="10">
        <f t="shared" si="108"/>
        <v>-0.11548130703203342</v>
      </c>
      <c r="K393" s="10">
        <f t="shared" si="110"/>
        <v>21.140809612582899</v>
      </c>
      <c r="L393" s="22">
        <v>254</v>
      </c>
      <c r="M393" s="22" t="s">
        <v>36</v>
      </c>
      <c r="N393" s="8" t="s">
        <v>46</v>
      </c>
      <c r="O393" s="10" t="s">
        <v>37</v>
      </c>
      <c r="P393" s="10" t="s">
        <v>38</v>
      </c>
      <c r="Q393" s="11">
        <v>0.48</v>
      </c>
      <c r="R393" s="8" t="s">
        <v>60</v>
      </c>
      <c r="S393" s="29">
        <f>AVERAGE(11.3,11)</f>
        <v>11.15</v>
      </c>
      <c r="T393" s="79">
        <f t="shared" si="122"/>
        <v>9.7642891500000009E-3</v>
      </c>
      <c r="U393" s="22">
        <v>8</v>
      </c>
      <c r="V393" s="22">
        <v>49</v>
      </c>
      <c r="W393" s="10">
        <f t="shared" si="111"/>
        <v>0.85521133347722145</v>
      </c>
      <c r="X393" s="22">
        <v>6</v>
      </c>
      <c r="Y393" s="22">
        <v>2</v>
      </c>
      <c r="Z393" s="10">
        <f t="shared" si="112"/>
        <v>3.4906585039886591E-2</v>
      </c>
      <c r="AA393" s="10">
        <f t="shared" si="113"/>
        <v>6.2470736219971821</v>
      </c>
      <c r="AB393" s="10">
        <f t="shared" si="114"/>
        <v>20.278753762803767</v>
      </c>
      <c r="AC393" s="10">
        <f t="shared" si="115"/>
        <v>2.5348442203504709</v>
      </c>
      <c r="AD393" s="10">
        <f t="shared" si="119"/>
        <v>10.139376881401883</v>
      </c>
      <c r="AE393" s="65"/>
      <c r="AF393" s="10">
        <f t="shared" si="120"/>
        <v>37.016317618577794</v>
      </c>
      <c r="AG393" s="8">
        <f t="shared" si="116"/>
        <v>7.2181819356226704</v>
      </c>
      <c r="AH393" s="10">
        <f t="shared" si="117"/>
        <v>18.508158809288897</v>
      </c>
      <c r="AI393" s="63"/>
      <c r="AJ393" s="10">
        <f t="shared" si="121"/>
        <v>35.769699999999986</v>
      </c>
      <c r="AK393" s="8"/>
      <c r="AL393" s="8">
        <f t="shared" si="118"/>
        <v>17.884849999999993</v>
      </c>
    </row>
    <row r="394" spans="1:38">
      <c r="A394" s="18">
        <v>41466</v>
      </c>
      <c r="B394" s="19" t="s">
        <v>119</v>
      </c>
      <c r="C394" s="12">
        <v>50.9</v>
      </c>
      <c r="D394" s="19" t="s">
        <v>80</v>
      </c>
      <c r="E394" s="8">
        <v>8.4099900000000005</v>
      </c>
      <c r="F394" s="8">
        <v>83.314719999999994</v>
      </c>
      <c r="G394" s="22">
        <v>50</v>
      </c>
      <c r="H394" s="22">
        <v>-15</v>
      </c>
      <c r="I394" s="10">
        <f t="shared" si="107"/>
        <v>-6.61659150558995</v>
      </c>
      <c r="J394" s="10">
        <f t="shared" si="108"/>
        <v>-0.11548130703203342</v>
      </c>
      <c r="K394" s="10">
        <f t="shared" si="110"/>
        <v>21.140809612582899</v>
      </c>
      <c r="L394" s="22">
        <v>231</v>
      </c>
      <c r="M394" s="22" t="s">
        <v>39</v>
      </c>
      <c r="N394" s="8" t="s">
        <v>69</v>
      </c>
      <c r="O394" s="10" t="s">
        <v>65</v>
      </c>
      <c r="P394" s="10" t="s">
        <v>70</v>
      </c>
      <c r="Q394" s="8">
        <v>0.37</v>
      </c>
      <c r="R394" s="8" t="s">
        <v>71</v>
      </c>
      <c r="S394" s="29">
        <f>AVERAGE(23.4,21.6)</f>
        <v>22.5</v>
      </c>
      <c r="T394" s="79">
        <f t="shared" si="122"/>
        <v>3.9760875000000001E-2</v>
      </c>
      <c r="U394" s="22">
        <v>20</v>
      </c>
      <c r="V394" s="22">
        <v>64</v>
      </c>
      <c r="W394" s="10">
        <f t="shared" si="111"/>
        <v>1.1170107212763709</v>
      </c>
      <c r="X394" s="22">
        <v>8</v>
      </c>
      <c r="Y394" s="22">
        <v>5</v>
      </c>
      <c r="Z394" s="10">
        <f t="shared" si="112"/>
        <v>8.7266462599716474E-2</v>
      </c>
      <c r="AA394" s="10">
        <f t="shared" si="113"/>
        <v>18.673126867964605</v>
      </c>
      <c r="AB394" s="10">
        <f t="shared" si="114"/>
        <v>166.34835132283612</v>
      </c>
      <c r="AC394" s="10">
        <f t="shared" si="115"/>
        <v>20.793543915354515</v>
      </c>
      <c r="AD394" s="10">
        <f t="shared" si="119"/>
        <v>83.174175661418062</v>
      </c>
      <c r="AE394" s="65"/>
      <c r="AF394" s="10">
        <f t="shared" si="120"/>
        <v>162.39594048560971</v>
      </c>
      <c r="AG394" s="8">
        <f t="shared" si="116"/>
        <v>31.667208394693894</v>
      </c>
      <c r="AH394" s="10">
        <f t="shared" si="117"/>
        <v>81.197970242804857</v>
      </c>
      <c r="AI394" s="63"/>
      <c r="AJ394" s="10">
        <f t="shared" si="121"/>
        <v>239.4795</v>
      </c>
      <c r="AK394" s="8"/>
      <c r="AL394" s="8">
        <f t="shared" si="118"/>
        <v>119.73975</v>
      </c>
    </row>
    <row r="395" spans="1:38">
      <c r="A395" s="18">
        <v>41466</v>
      </c>
      <c r="B395" s="19" t="s">
        <v>119</v>
      </c>
      <c r="C395" s="12">
        <v>50.9</v>
      </c>
      <c r="D395" s="19" t="s">
        <v>80</v>
      </c>
      <c r="E395" s="8">
        <v>8.4099900000000005</v>
      </c>
      <c r="F395" s="8">
        <v>83.314719999999994</v>
      </c>
      <c r="G395" s="22">
        <v>50</v>
      </c>
      <c r="H395" s="22">
        <v>-15</v>
      </c>
      <c r="I395" s="10">
        <f t="shared" si="107"/>
        <v>-6.61659150558995</v>
      </c>
      <c r="J395" s="10">
        <f t="shared" si="108"/>
        <v>-0.11548130703203342</v>
      </c>
      <c r="K395" s="10">
        <f t="shared" si="110"/>
        <v>21.140809612582899</v>
      </c>
      <c r="L395" s="22">
        <v>302</v>
      </c>
      <c r="M395" s="22" t="s">
        <v>39</v>
      </c>
      <c r="N395" s="8" t="s">
        <v>69</v>
      </c>
      <c r="O395" s="10" t="s">
        <v>65</v>
      </c>
      <c r="P395" s="10" t="s">
        <v>70</v>
      </c>
      <c r="Q395" s="8">
        <v>0.37</v>
      </c>
      <c r="R395" s="8" t="s">
        <v>71</v>
      </c>
      <c r="S395" s="29">
        <f>AVERAGE(26.6,29.3)</f>
        <v>27.950000000000003</v>
      </c>
      <c r="T395" s="79">
        <f t="shared" si="122"/>
        <v>6.1355644350000023E-2</v>
      </c>
      <c r="U395" s="22">
        <v>14</v>
      </c>
      <c r="V395" s="22">
        <v>65</v>
      </c>
      <c r="W395" s="10">
        <f t="shared" si="111"/>
        <v>1.1344640137963142</v>
      </c>
      <c r="X395" s="22">
        <v>6</v>
      </c>
      <c r="Y395" s="22">
        <v>0</v>
      </c>
      <c r="Z395" s="10">
        <f t="shared" si="112"/>
        <v>0</v>
      </c>
      <c r="AA395" s="10">
        <f t="shared" si="113"/>
        <v>12.688309018513099</v>
      </c>
      <c r="AB395" s="10">
        <f t="shared" si="114"/>
        <v>173.92766686338533</v>
      </c>
      <c r="AC395" s="10">
        <f t="shared" si="115"/>
        <v>21.740958357923166</v>
      </c>
      <c r="AD395" s="10">
        <f t="shared" si="119"/>
        <v>86.963833431692663</v>
      </c>
      <c r="AE395" s="65"/>
      <c r="AF395" s="10">
        <f t="shared" si="120"/>
        <v>275.59698332953002</v>
      </c>
      <c r="AG395" s="8">
        <f t="shared" si="116"/>
        <v>53.741411749258354</v>
      </c>
      <c r="AH395" s="10">
        <f t="shared" si="117"/>
        <v>137.79849166476501</v>
      </c>
      <c r="AI395" s="63"/>
      <c r="AJ395" s="10">
        <f t="shared" si="121"/>
        <v>405.05050000000017</v>
      </c>
      <c r="AK395" s="8"/>
      <c r="AL395" s="8">
        <f t="shared" si="118"/>
        <v>202.52525000000009</v>
      </c>
    </row>
    <row r="396" spans="1:38">
      <c r="A396" s="18">
        <v>41466</v>
      </c>
      <c r="B396" s="19" t="s">
        <v>119</v>
      </c>
      <c r="C396" s="12">
        <v>50.9</v>
      </c>
      <c r="D396" s="19" t="s">
        <v>80</v>
      </c>
      <c r="E396" s="8">
        <v>8.4099900000000005</v>
      </c>
      <c r="F396" s="8">
        <v>83.314719999999994</v>
      </c>
      <c r="G396" s="22">
        <v>50</v>
      </c>
      <c r="H396" s="22">
        <v>-15</v>
      </c>
      <c r="I396" s="10">
        <f t="shared" si="107"/>
        <v>-6.61659150558995</v>
      </c>
      <c r="J396" s="10">
        <f t="shared" si="108"/>
        <v>-0.11548130703203342</v>
      </c>
      <c r="K396" s="10">
        <f t="shared" si="110"/>
        <v>21.140809612582899</v>
      </c>
      <c r="L396" s="22">
        <v>233</v>
      </c>
      <c r="M396" s="22" t="s">
        <v>39</v>
      </c>
      <c r="N396" s="8" t="s">
        <v>69</v>
      </c>
      <c r="O396" s="10" t="s">
        <v>65</v>
      </c>
      <c r="P396" s="10" t="s">
        <v>70</v>
      </c>
      <c r="Q396" s="8">
        <v>0.37</v>
      </c>
      <c r="R396" s="8" t="s">
        <v>71</v>
      </c>
      <c r="S396" s="29">
        <f>AVERAGE(7,6.5)</f>
        <v>6.75</v>
      </c>
      <c r="T396" s="79">
        <f t="shared" si="122"/>
        <v>3.57847875E-3</v>
      </c>
      <c r="U396" s="22">
        <v>8</v>
      </c>
      <c r="V396" s="22">
        <v>43</v>
      </c>
      <c r="W396" s="10">
        <f t="shared" si="111"/>
        <v>0.75049157835756175</v>
      </c>
      <c r="X396" s="22">
        <v>6</v>
      </c>
      <c r="Y396" s="22">
        <v>0</v>
      </c>
      <c r="Z396" s="10">
        <f t="shared" si="112"/>
        <v>0</v>
      </c>
      <c r="AA396" s="10">
        <f t="shared" si="113"/>
        <v>5.4559868804999878</v>
      </c>
      <c r="AB396" s="10">
        <f t="shared" si="114"/>
        <v>5.4415591345934642</v>
      </c>
      <c r="AC396" s="10">
        <f t="shared" si="115"/>
        <v>0.68019489182418302</v>
      </c>
      <c r="AD396" s="10">
        <f t="shared" si="119"/>
        <v>2.7207795672967321</v>
      </c>
      <c r="AE396" s="65"/>
      <c r="AF396" s="10">
        <f t="shared" si="120"/>
        <v>8.2217275962869074</v>
      </c>
      <c r="AG396" s="8">
        <f t="shared" si="116"/>
        <v>1.603236881275947</v>
      </c>
      <c r="AH396" s="10">
        <f t="shared" si="117"/>
        <v>4.1108637981434537</v>
      </c>
      <c r="AI396" s="63"/>
      <c r="AJ396" s="10">
        <f t="shared" si="121"/>
        <v>8.0805000000000042</v>
      </c>
      <c r="AK396" s="8"/>
      <c r="AL396" s="8">
        <f t="shared" si="118"/>
        <v>4.0402500000000021</v>
      </c>
    </row>
    <row r="397" spans="1:38">
      <c r="A397" s="18">
        <v>41466</v>
      </c>
      <c r="B397" s="19" t="s">
        <v>119</v>
      </c>
      <c r="C397" s="12">
        <v>50.9</v>
      </c>
      <c r="D397" s="19" t="s">
        <v>80</v>
      </c>
      <c r="E397" s="8">
        <v>8.4099900000000005</v>
      </c>
      <c r="F397" s="8">
        <v>83.314719999999994</v>
      </c>
      <c r="G397" s="22">
        <v>50</v>
      </c>
      <c r="H397" s="22">
        <v>-15</v>
      </c>
      <c r="I397" s="10">
        <f t="shared" si="107"/>
        <v>-6.61659150558995</v>
      </c>
      <c r="J397" s="10">
        <f t="shared" si="108"/>
        <v>-0.11548130703203342</v>
      </c>
      <c r="K397" s="10">
        <f t="shared" si="110"/>
        <v>21.140809612582899</v>
      </c>
      <c r="L397" s="22">
        <v>256</v>
      </c>
      <c r="M397" s="22" t="s">
        <v>36</v>
      </c>
      <c r="N397" s="8" t="s">
        <v>46</v>
      </c>
      <c r="O397" s="10" t="s">
        <v>37</v>
      </c>
      <c r="P397" s="10" t="s">
        <v>38</v>
      </c>
      <c r="Q397" s="11">
        <v>0.48</v>
      </c>
      <c r="R397" s="8" t="s">
        <v>60</v>
      </c>
      <c r="S397" s="29">
        <f>AVERAGE(19.1,21)</f>
        <v>20.05</v>
      </c>
      <c r="T397" s="79">
        <f t="shared" si="122"/>
        <v>3.1573276350000005E-2</v>
      </c>
      <c r="U397" s="22">
        <v>7</v>
      </c>
      <c r="V397" s="22">
        <v>44</v>
      </c>
      <c r="W397" s="10">
        <f t="shared" si="111"/>
        <v>0.76794487087750496</v>
      </c>
      <c r="X397" s="22">
        <v>5</v>
      </c>
      <c r="Y397" s="22">
        <v>20</v>
      </c>
      <c r="Z397" s="10">
        <f t="shared" si="112"/>
        <v>0.3490658503988659</v>
      </c>
      <c r="AA397" s="10">
        <f t="shared" si="113"/>
        <v>6.5727093098413238</v>
      </c>
      <c r="AB397" s="10">
        <f t="shared" si="114"/>
        <v>64.103725906343655</v>
      </c>
      <c r="AC397" s="10">
        <f t="shared" si="115"/>
        <v>8.0129657382929569</v>
      </c>
      <c r="AD397" s="10">
        <f t="shared" si="119"/>
        <v>32.051862953171828</v>
      </c>
      <c r="AE397" s="65"/>
      <c r="AF397" s="10">
        <f t="shared" si="120"/>
        <v>158.69252985649024</v>
      </c>
      <c r="AG397" s="8">
        <f t="shared" si="116"/>
        <v>30.945043322015596</v>
      </c>
      <c r="AH397" s="10">
        <f t="shared" si="117"/>
        <v>79.34626492824512</v>
      </c>
      <c r="AI397" s="63"/>
      <c r="AJ397" s="10">
        <f t="shared" si="121"/>
        <v>179.37119999999999</v>
      </c>
      <c r="AK397" s="8"/>
      <c r="AL397" s="8">
        <f t="shared" si="118"/>
        <v>89.685599999999994</v>
      </c>
    </row>
    <row r="398" spans="1:38">
      <c r="A398" s="18">
        <v>41464</v>
      </c>
      <c r="B398" s="19" t="s">
        <v>119</v>
      </c>
      <c r="C398" s="27">
        <v>50.11</v>
      </c>
      <c r="D398" s="9" t="s">
        <v>80</v>
      </c>
      <c r="E398" s="8">
        <v>8.41099</v>
      </c>
      <c r="F398" s="8">
        <v>83.314139999999995</v>
      </c>
      <c r="G398" s="22">
        <v>50</v>
      </c>
      <c r="H398" s="22">
        <v>8</v>
      </c>
      <c r="I398" s="10">
        <f t="shared" si="107"/>
        <v>12.473321948616089</v>
      </c>
      <c r="J398" s="10">
        <f t="shared" si="108"/>
        <v>0.21770053666462572</v>
      </c>
      <c r="K398" s="10">
        <v>21</v>
      </c>
      <c r="L398" s="22">
        <v>1882</v>
      </c>
      <c r="M398" s="31" t="s">
        <v>36</v>
      </c>
      <c r="N398" s="8" t="s">
        <v>46</v>
      </c>
      <c r="O398" s="10" t="s">
        <v>37</v>
      </c>
      <c r="P398" s="10" t="s">
        <v>38</v>
      </c>
      <c r="Q398" s="11">
        <v>0.48</v>
      </c>
      <c r="R398" s="8" t="s">
        <v>60</v>
      </c>
      <c r="S398" s="29">
        <f>AVERAGE(6.8,7.4)</f>
        <v>7.1</v>
      </c>
      <c r="T398" s="79">
        <f t="shared" si="122"/>
        <v>3.9592014E-3</v>
      </c>
      <c r="U398" s="22">
        <v>6</v>
      </c>
      <c r="V398" s="22">
        <v>30</v>
      </c>
      <c r="W398" s="10">
        <f t="shared" ref="W398:W429" si="123">RADIANS(V398)</f>
        <v>0.52359877559829882</v>
      </c>
      <c r="X398" s="22">
        <v>5</v>
      </c>
      <c r="Y398" s="22">
        <v>18</v>
      </c>
      <c r="Z398" s="10">
        <f t="shared" ref="Z398:Z429" si="124">RADIANS(Y398)</f>
        <v>0.31415926535897931</v>
      </c>
      <c r="AA398" s="10">
        <f t="shared" ref="AA398:AA419" si="125">(SIN(W398)*U398)+(SIN(Z398)*X426)</f>
        <v>4.8541019662496838</v>
      </c>
      <c r="AB398" s="10">
        <f t="shared" ref="AB398:AB429" si="126">0.0776*(Q398*S398^2*AA398)^0.94</f>
        <v>6.8475709568295242</v>
      </c>
      <c r="AC398" s="10">
        <f t="shared" si="115"/>
        <v>0.85594636960369053</v>
      </c>
      <c r="AD398" s="10">
        <f t="shared" si="119"/>
        <v>3.4237854784147621</v>
      </c>
      <c r="AE398" s="65"/>
      <c r="AF398" s="10">
        <f t="shared" si="120"/>
        <v>12.081748823164355</v>
      </c>
      <c r="AG398" s="8">
        <f t="shared" si="116"/>
        <v>2.3559410205170495</v>
      </c>
      <c r="AH398" s="10">
        <f t="shared" si="117"/>
        <v>6.0408744115821777</v>
      </c>
      <c r="AI398" s="63"/>
      <c r="AJ398" s="10">
        <f t="shared" si="121"/>
        <v>9.2340999999999944</v>
      </c>
      <c r="AK398" s="8"/>
      <c r="AL398" s="8">
        <f t="shared" si="118"/>
        <v>4.6170499999999972</v>
      </c>
    </row>
    <row r="399" spans="1:38">
      <c r="A399" s="18">
        <v>41464</v>
      </c>
      <c r="B399" s="19" t="s">
        <v>119</v>
      </c>
      <c r="C399" s="27">
        <v>50.11</v>
      </c>
      <c r="D399" s="19" t="s">
        <v>80</v>
      </c>
      <c r="E399" s="8">
        <v>8.41099</v>
      </c>
      <c r="F399" s="8">
        <v>83.314139999999995</v>
      </c>
      <c r="G399" s="22">
        <v>50</v>
      </c>
      <c r="H399" s="22">
        <v>8</v>
      </c>
      <c r="I399" s="10">
        <f t="shared" si="107"/>
        <v>12.473321948616089</v>
      </c>
      <c r="J399" s="10">
        <f t="shared" si="108"/>
        <v>0.21770053666462572</v>
      </c>
      <c r="K399" s="10">
        <v>21</v>
      </c>
      <c r="L399" s="22">
        <v>1878</v>
      </c>
      <c r="M399" s="31" t="s">
        <v>122</v>
      </c>
      <c r="N399" s="8" t="s">
        <v>123</v>
      </c>
      <c r="O399" s="10" t="s">
        <v>99</v>
      </c>
      <c r="P399" s="10" t="s">
        <v>99</v>
      </c>
      <c r="Q399" s="22">
        <v>0.69</v>
      </c>
      <c r="R399" s="22" t="s">
        <v>190</v>
      </c>
      <c r="S399" s="29">
        <f>AVERAGE(5.7,5.5)</f>
        <v>5.6</v>
      </c>
      <c r="T399" s="79">
        <f t="shared" si="122"/>
        <v>2.4630143999999996E-3</v>
      </c>
      <c r="U399" s="22">
        <v>8</v>
      </c>
      <c r="V399" s="22">
        <v>55</v>
      </c>
      <c r="W399" s="10">
        <f t="shared" si="123"/>
        <v>0.95993108859688125</v>
      </c>
      <c r="X399" s="22">
        <v>5</v>
      </c>
      <c r="Y399" s="22">
        <v>18</v>
      </c>
      <c r="Z399" s="10">
        <f t="shared" si="124"/>
        <v>0.31415926535897931</v>
      </c>
      <c r="AA399" s="10">
        <f t="shared" si="125"/>
        <v>9.0253523093115131</v>
      </c>
      <c r="AB399" s="10">
        <f t="shared" si="126"/>
        <v>11.043574653554717</v>
      </c>
      <c r="AC399" s="10">
        <f t="shared" si="115"/>
        <v>1.3804468316943397</v>
      </c>
      <c r="AD399" s="10">
        <f t="shared" si="119"/>
        <v>5.5217873267773587</v>
      </c>
      <c r="AE399" s="65"/>
      <c r="AF399" s="10">
        <f t="shared" si="120"/>
        <v>9.695851715107052</v>
      </c>
      <c r="AG399" s="8">
        <f t="shared" si="116"/>
        <v>1.8906910844458753</v>
      </c>
      <c r="AH399" s="10">
        <f t="shared" si="117"/>
        <v>4.847925857553526</v>
      </c>
      <c r="AI399" s="63"/>
      <c r="AJ399" s="10">
        <f t="shared" si="121"/>
        <v>5.5665999999999976</v>
      </c>
      <c r="AK399" s="8"/>
      <c r="AL399" s="8">
        <f t="shared" si="118"/>
        <v>2.7832999999999988</v>
      </c>
    </row>
    <row r="400" spans="1:38">
      <c r="A400" s="18">
        <v>41464</v>
      </c>
      <c r="B400" s="19" t="s">
        <v>119</v>
      </c>
      <c r="C400" s="27">
        <v>50.11</v>
      </c>
      <c r="D400" s="19" t="s">
        <v>80</v>
      </c>
      <c r="E400" s="8">
        <v>8.41099</v>
      </c>
      <c r="F400" s="8">
        <v>83.314139999999995</v>
      </c>
      <c r="G400" s="22">
        <v>50</v>
      </c>
      <c r="H400" s="22">
        <v>8</v>
      </c>
      <c r="I400" s="10">
        <f t="shared" si="107"/>
        <v>12.473321948616089</v>
      </c>
      <c r="J400" s="10">
        <f t="shared" si="108"/>
        <v>0.21770053666462572</v>
      </c>
      <c r="K400" s="10">
        <v>21</v>
      </c>
      <c r="L400" s="22">
        <v>1879</v>
      </c>
      <c r="M400" s="31" t="s">
        <v>54</v>
      </c>
      <c r="N400" s="8" t="s">
        <v>55</v>
      </c>
      <c r="O400" s="10" t="s">
        <v>56</v>
      </c>
      <c r="P400" s="10" t="s">
        <v>57</v>
      </c>
      <c r="Q400" s="11">
        <v>0.315</v>
      </c>
      <c r="R400" s="12" t="s">
        <v>66</v>
      </c>
      <c r="S400" s="29">
        <f>AVERAGE(10.9,11.2)</f>
        <v>11.05</v>
      </c>
      <c r="T400" s="79">
        <f t="shared" si="122"/>
        <v>9.5899303500000012E-3</v>
      </c>
      <c r="U400" s="22">
        <v>9</v>
      </c>
      <c r="V400" s="22">
        <v>50</v>
      </c>
      <c r="W400" s="10">
        <f t="shared" si="123"/>
        <v>0.87266462599716477</v>
      </c>
      <c r="X400" s="22">
        <v>6</v>
      </c>
      <c r="Y400" s="22">
        <v>4</v>
      </c>
      <c r="Z400" s="10">
        <f t="shared" si="124"/>
        <v>6.9813170079773182E-2</v>
      </c>
      <c r="AA400" s="10">
        <f t="shared" si="125"/>
        <v>7.2431823567914284</v>
      </c>
      <c r="AB400" s="10">
        <f t="shared" si="126"/>
        <v>15.421562511439603</v>
      </c>
      <c r="AC400" s="10">
        <f t="shared" si="115"/>
        <v>1.9276953139299504</v>
      </c>
      <c r="AD400" s="10">
        <f t="shared" si="119"/>
        <v>7.7107812557198017</v>
      </c>
      <c r="AE400" s="65"/>
      <c r="AF400" s="10">
        <f t="shared" si="120"/>
        <v>23.753501938006259</v>
      </c>
      <c r="AG400" s="8">
        <f t="shared" si="116"/>
        <v>4.631932877911221</v>
      </c>
      <c r="AH400" s="10">
        <f t="shared" si="117"/>
        <v>11.87675096900313</v>
      </c>
      <c r="AI400" s="63"/>
      <c r="AJ400" s="10">
        <f t="shared" si="121"/>
        <v>34.822200000000009</v>
      </c>
      <c r="AK400" s="8"/>
      <c r="AL400" s="8">
        <f t="shared" si="118"/>
        <v>17.411100000000005</v>
      </c>
    </row>
    <row r="401" spans="1:38">
      <c r="A401" s="18">
        <v>41464</v>
      </c>
      <c r="B401" s="19" t="s">
        <v>119</v>
      </c>
      <c r="C401" s="27">
        <v>50.11</v>
      </c>
      <c r="D401" s="19" t="s">
        <v>80</v>
      </c>
      <c r="E401" s="8">
        <v>8.41099</v>
      </c>
      <c r="F401" s="8">
        <v>83.314139999999995</v>
      </c>
      <c r="G401" s="22">
        <v>50</v>
      </c>
      <c r="H401" s="22">
        <v>8</v>
      </c>
      <c r="I401" s="10">
        <f t="shared" si="107"/>
        <v>12.473321948616089</v>
      </c>
      <c r="J401" s="10">
        <f t="shared" si="108"/>
        <v>0.21770053666462572</v>
      </c>
      <c r="K401" s="10">
        <v>21</v>
      </c>
      <c r="L401" s="22">
        <v>1880</v>
      </c>
      <c r="M401" s="49" t="s">
        <v>97</v>
      </c>
      <c r="N401" s="22" t="s">
        <v>99</v>
      </c>
      <c r="O401" s="10" t="s">
        <v>99</v>
      </c>
      <c r="P401" s="10" t="s">
        <v>99</v>
      </c>
      <c r="Q401" s="22">
        <v>0.57999999999999996</v>
      </c>
      <c r="R401" s="22" t="s">
        <v>103</v>
      </c>
      <c r="S401" s="29">
        <f>AVERAGE(19,18.8)</f>
        <v>18.899999999999999</v>
      </c>
      <c r="T401" s="79">
        <f t="shared" si="122"/>
        <v>2.8055273399999994E-2</v>
      </c>
      <c r="U401" s="22">
        <v>9</v>
      </c>
      <c r="V401" s="22">
        <v>60</v>
      </c>
      <c r="W401" s="10">
        <f t="shared" si="123"/>
        <v>1.0471975511965976</v>
      </c>
      <c r="X401" s="22">
        <v>5</v>
      </c>
      <c r="Y401" s="22">
        <v>10</v>
      </c>
      <c r="Z401" s="10">
        <f t="shared" si="124"/>
        <v>0.17453292519943295</v>
      </c>
      <c r="AA401" s="10">
        <f t="shared" si="125"/>
        <v>9.0097658777284586</v>
      </c>
      <c r="AB401" s="10">
        <f t="shared" si="126"/>
        <v>92.185565153630108</v>
      </c>
      <c r="AC401" s="10">
        <f t="shared" si="115"/>
        <v>11.523195644203764</v>
      </c>
      <c r="AD401" s="10">
        <f t="shared" si="119"/>
        <v>46.092782576815054</v>
      </c>
      <c r="AE401" s="65"/>
      <c r="AF401" s="10">
        <f t="shared" si="120"/>
        <v>165.76097255791129</v>
      </c>
      <c r="AG401" s="8">
        <f t="shared" si="116"/>
        <v>32.323389648792705</v>
      </c>
      <c r="AH401" s="10">
        <f t="shared" si="117"/>
        <v>82.880486278955644</v>
      </c>
      <c r="AI401" s="63"/>
      <c r="AJ401" s="10">
        <f t="shared" si="121"/>
        <v>154.22069999999994</v>
      </c>
      <c r="AK401" s="8"/>
      <c r="AL401" s="8">
        <f t="shared" si="118"/>
        <v>77.110349999999968</v>
      </c>
    </row>
    <row r="402" spans="1:38">
      <c r="A402" s="18">
        <v>41464</v>
      </c>
      <c r="B402" s="19" t="s">
        <v>119</v>
      </c>
      <c r="C402" s="27">
        <v>50.11</v>
      </c>
      <c r="D402" s="19" t="s">
        <v>80</v>
      </c>
      <c r="E402" s="8">
        <v>8.41099</v>
      </c>
      <c r="F402" s="8">
        <v>83.314139999999995</v>
      </c>
      <c r="G402" s="22">
        <v>50</v>
      </c>
      <c r="H402" s="22">
        <v>8</v>
      </c>
      <c r="I402" s="10">
        <f t="shared" si="107"/>
        <v>12.473321948616089</v>
      </c>
      <c r="J402" s="10">
        <f t="shared" si="108"/>
        <v>0.21770053666462572</v>
      </c>
      <c r="K402" s="10">
        <v>21</v>
      </c>
      <c r="L402" s="22">
        <v>1877</v>
      </c>
      <c r="M402" s="31" t="s">
        <v>36</v>
      </c>
      <c r="N402" s="8" t="s">
        <v>46</v>
      </c>
      <c r="O402" s="10" t="s">
        <v>37</v>
      </c>
      <c r="P402" s="10" t="s">
        <v>38</v>
      </c>
      <c r="Q402" s="11">
        <v>0.48</v>
      </c>
      <c r="R402" s="8" t="s">
        <v>60</v>
      </c>
      <c r="S402" s="29">
        <f>AVERAGE(7.9,8.7)</f>
        <v>8.3000000000000007</v>
      </c>
      <c r="T402" s="79">
        <f t="shared" si="122"/>
        <v>5.4106206000000016E-3</v>
      </c>
      <c r="U402" s="22">
        <v>6</v>
      </c>
      <c r="V402" s="22">
        <v>43</v>
      </c>
      <c r="W402" s="10">
        <f t="shared" si="123"/>
        <v>0.75049157835756175</v>
      </c>
      <c r="X402" s="22">
        <v>5</v>
      </c>
      <c r="Y402" s="22">
        <v>16</v>
      </c>
      <c r="Z402" s="10">
        <f t="shared" si="124"/>
        <v>0.27925268031909273</v>
      </c>
      <c r="AA402" s="10">
        <f t="shared" si="125"/>
        <v>5.4701769394599866</v>
      </c>
      <c r="AB402" s="10">
        <f t="shared" si="126"/>
        <v>10.2758224074311</v>
      </c>
      <c r="AC402" s="10">
        <f t="shared" si="115"/>
        <v>1.2844778009288875</v>
      </c>
      <c r="AD402" s="10">
        <f t="shared" si="119"/>
        <v>5.1379112037155501</v>
      </c>
      <c r="AE402" s="65"/>
      <c r="AF402" s="10">
        <f t="shared" si="120"/>
        <v>17.777787565803447</v>
      </c>
      <c r="AG402" s="8">
        <f t="shared" si="116"/>
        <v>3.4666685753316724</v>
      </c>
      <c r="AH402" s="10">
        <f t="shared" si="117"/>
        <v>8.8888937829017234</v>
      </c>
      <c r="AI402" s="63"/>
      <c r="AJ402" s="10">
        <f t="shared" si="121"/>
        <v>14.5657</v>
      </c>
      <c r="AK402" s="8"/>
      <c r="AL402" s="8">
        <f t="shared" si="118"/>
        <v>7.2828499999999998</v>
      </c>
    </row>
    <row r="403" spans="1:38">
      <c r="A403" s="18">
        <v>41464</v>
      </c>
      <c r="B403" s="19" t="s">
        <v>119</v>
      </c>
      <c r="C403" s="27">
        <v>50.11</v>
      </c>
      <c r="D403" s="19" t="s">
        <v>80</v>
      </c>
      <c r="E403" s="8">
        <v>8.41099</v>
      </c>
      <c r="F403" s="8">
        <v>83.314139999999995</v>
      </c>
      <c r="G403" s="22">
        <v>50</v>
      </c>
      <c r="H403" s="22">
        <v>8</v>
      </c>
      <c r="I403" s="10">
        <f t="shared" si="107"/>
        <v>12.473321948616089</v>
      </c>
      <c r="J403" s="10">
        <f t="shared" si="108"/>
        <v>0.21770053666462572</v>
      </c>
      <c r="K403" s="10">
        <v>21</v>
      </c>
      <c r="L403" s="22">
        <v>1886</v>
      </c>
      <c r="M403" s="31" t="s">
        <v>39</v>
      </c>
      <c r="N403" s="8" t="s">
        <v>69</v>
      </c>
      <c r="O403" s="10" t="s">
        <v>65</v>
      </c>
      <c r="P403" s="10" t="s">
        <v>70</v>
      </c>
      <c r="Q403" s="8">
        <v>0.37</v>
      </c>
      <c r="R403" s="8" t="s">
        <v>71</v>
      </c>
      <c r="S403" s="29">
        <f>AVERAGE(7,6.6)</f>
        <v>6.8</v>
      </c>
      <c r="T403" s="79">
        <f t="shared" si="122"/>
        <v>3.6316895999999998E-3</v>
      </c>
      <c r="U403" s="22">
        <v>7</v>
      </c>
      <c r="V403" s="22">
        <v>53</v>
      </c>
      <c r="W403" s="10">
        <f t="shared" si="123"/>
        <v>0.92502450355699462</v>
      </c>
      <c r="X403" s="22">
        <v>6</v>
      </c>
      <c r="Y403" s="22">
        <v>14</v>
      </c>
      <c r="Z403" s="10">
        <f t="shared" si="124"/>
        <v>0.24434609527920614</v>
      </c>
      <c r="AA403" s="10">
        <f t="shared" si="125"/>
        <v>6.8000580483293884</v>
      </c>
      <c r="AB403" s="10">
        <f t="shared" si="126"/>
        <v>6.7865641812856694</v>
      </c>
      <c r="AC403" s="10">
        <f t="shared" si="115"/>
        <v>0.84832052266070868</v>
      </c>
      <c r="AD403" s="10">
        <f t="shared" si="119"/>
        <v>3.3932820906428347</v>
      </c>
      <c r="AE403" s="65"/>
      <c r="AF403" s="10">
        <f t="shared" si="120"/>
        <v>8.3725731297469217</v>
      </c>
      <c r="AG403" s="8">
        <f t="shared" si="116"/>
        <v>1.6326517603006498</v>
      </c>
      <c r="AH403" s="10">
        <f t="shared" si="117"/>
        <v>4.1862865648734608</v>
      </c>
      <c r="AI403" s="63"/>
      <c r="AJ403" s="10">
        <f t="shared" si="121"/>
        <v>8.2341999999999977</v>
      </c>
      <c r="AK403" s="8"/>
      <c r="AL403" s="8">
        <f t="shared" si="118"/>
        <v>4.1170999999999989</v>
      </c>
    </row>
    <row r="404" spans="1:38">
      <c r="A404" s="18">
        <v>41464</v>
      </c>
      <c r="B404" s="19" t="s">
        <v>119</v>
      </c>
      <c r="C404" s="27">
        <v>50.11</v>
      </c>
      <c r="D404" s="19" t="s">
        <v>80</v>
      </c>
      <c r="E404" s="8">
        <v>8.41099</v>
      </c>
      <c r="F404" s="8">
        <v>83.314139999999995</v>
      </c>
      <c r="G404" s="22">
        <v>50</v>
      </c>
      <c r="H404" s="22">
        <v>8</v>
      </c>
      <c r="I404" s="10">
        <f t="shared" si="107"/>
        <v>12.473321948616089</v>
      </c>
      <c r="J404" s="10">
        <f t="shared" si="108"/>
        <v>0.21770053666462572</v>
      </c>
      <c r="K404" s="10">
        <v>21</v>
      </c>
      <c r="L404" s="22">
        <v>1876</v>
      </c>
      <c r="M404" s="31" t="s">
        <v>54</v>
      </c>
      <c r="N404" s="8" t="s">
        <v>55</v>
      </c>
      <c r="O404" s="10" t="s">
        <v>56</v>
      </c>
      <c r="P404" s="10" t="s">
        <v>57</v>
      </c>
      <c r="Q404" s="11">
        <v>0.315</v>
      </c>
      <c r="R404" s="12" t="s">
        <v>66</v>
      </c>
      <c r="S404" s="29">
        <f>AVERAGE(25,24)</f>
        <v>24.5</v>
      </c>
      <c r="T404" s="79">
        <f t="shared" si="122"/>
        <v>4.7143635000000003E-2</v>
      </c>
      <c r="U404" s="22">
        <v>18</v>
      </c>
      <c r="V404" s="22">
        <v>70</v>
      </c>
      <c r="W404" s="10">
        <f t="shared" si="123"/>
        <v>1.2217304763960306</v>
      </c>
      <c r="X404" s="22">
        <v>5</v>
      </c>
      <c r="Y404" s="22">
        <v>13</v>
      </c>
      <c r="Z404" s="10">
        <f t="shared" si="124"/>
        <v>0.22689280275926285</v>
      </c>
      <c r="AA404" s="10">
        <f t="shared" si="125"/>
        <v>18.039222445865676</v>
      </c>
      <c r="AB404" s="10">
        <f t="shared" si="126"/>
        <v>162.46156240896144</v>
      </c>
      <c r="AC404" s="10">
        <f t="shared" si="115"/>
        <v>20.30769530112018</v>
      </c>
      <c r="AD404" s="10">
        <f t="shared" si="119"/>
        <v>81.230781204480721</v>
      </c>
      <c r="AE404" s="65"/>
      <c r="AF404" s="10">
        <f t="shared" si="120"/>
        <v>170.28555713162427</v>
      </c>
      <c r="AG404" s="8">
        <f t="shared" si="116"/>
        <v>33.205683640666734</v>
      </c>
      <c r="AH404" s="10">
        <f t="shared" si="117"/>
        <v>85.142778565812137</v>
      </c>
      <c r="AI404" s="63"/>
      <c r="AJ404" s="10">
        <f t="shared" si="121"/>
        <v>295.13350000000003</v>
      </c>
      <c r="AK404" s="8"/>
      <c r="AL404" s="8">
        <f t="shared" si="118"/>
        <v>147.56675000000001</v>
      </c>
    </row>
    <row r="405" spans="1:38">
      <c r="A405" s="18">
        <v>41464</v>
      </c>
      <c r="B405" s="19" t="s">
        <v>119</v>
      </c>
      <c r="C405" s="27">
        <v>50.11</v>
      </c>
      <c r="D405" s="19" t="s">
        <v>80</v>
      </c>
      <c r="E405" s="8">
        <v>8.41099</v>
      </c>
      <c r="F405" s="8">
        <v>83.314139999999995</v>
      </c>
      <c r="G405" s="22">
        <v>50</v>
      </c>
      <c r="H405" s="22">
        <v>8</v>
      </c>
      <c r="I405" s="10">
        <f t="shared" si="107"/>
        <v>12.473321948616089</v>
      </c>
      <c r="J405" s="10">
        <f t="shared" si="108"/>
        <v>0.21770053666462572</v>
      </c>
      <c r="K405" s="10">
        <v>21</v>
      </c>
      <c r="L405" s="22">
        <v>1875</v>
      </c>
      <c r="M405" s="49" t="s">
        <v>97</v>
      </c>
      <c r="N405" s="22" t="s">
        <v>99</v>
      </c>
      <c r="O405" s="10" t="s">
        <v>99</v>
      </c>
      <c r="P405" s="10" t="s">
        <v>99</v>
      </c>
      <c r="Q405" s="22">
        <v>0.57999999999999996</v>
      </c>
      <c r="R405" s="22" t="s">
        <v>103</v>
      </c>
      <c r="S405" s="29">
        <f>AVERAGE(16.1,17)</f>
        <v>16.55</v>
      </c>
      <c r="T405" s="79">
        <f t="shared" si="122"/>
        <v>2.1512302350000005E-2</v>
      </c>
      <c r="U405" s="22">
        <v>12</v>
      </c>
      <c r="V405" s="22">
        <v>70</v>
      </c>
      <c r="W405" s="10">
        <f t="shared" si="123"/>
        <v>1.2217304763960306</v>
      </c>
      <c r="X405" s="22">
        <v>5</v>
      </c>
      <c r="Y405" s="22">
        <v>15</v>
      </c>
      <c r="Z405" s="10">
        <f t="shared" si="124"/>
        <v>0.26179938779914941</v>
      </c>
      <c r="AA405" s="10">
        <f t="shared" si="125"/>
        <v>12.570406674943502</v>
      </c>
      <c r="AB405" s="10">
        <f t="shared" si="126"/>
        <v>98.222874598945339</v>
      </c>
      <c r="AC405" s="10">
        <f t="shared" si="115"/>
        <v>12.277859324868167</v>
      </c>
      <c r="AD405" s="10">
        <f t="shared" si="119"/>
        <v>49.111437299472669</v>
      </c>
      <c r="AE405" s="65"/>
      <c r="AF405" s="10">
        <f t="shared" si="120"/>
        <v>119.35795848181371</v>
      </c>
      <c r="AG405" s="8">
        <f t="shared" si="116"/>
        <v>23.274801903953673</v>
      </c>
      <c r="AH405" s="10">
        <f t="shared" si="117"/>
        <v>59.678979240906855</v>
      </c>
      <c r="AI405" s="63"/>
      <c r="AJ405" s="10">
        <f t="shared" si="121"/>
        <v>108.91270000000002</v>
      </c>
      <c r="AK405" s="8"/>
      <c r="AL405" s="8">
        <f t="shared" si="118"/>
        <v>54.456350000000008</v>
      </c>
    </row>
    <row r="406" spans="1:38">
      <c r="A406" s="18">
        <v>41464</v>
      </c>
      <c r="B406" s="19" t="s">
        <v>119</v>
      </c>
      <c r="C406" s="27">
        <v>50.11</v>
      </c>
      <c r="D406" s="19" t="s">
        <v>80</v>
      </c>
      <c r="E406" s="8">
        <v>8.41099</v>
      </c>
      <c r="F406" s="8">
        <v>83.314139999999995</v>
      </c>
      <c r="G406" s="22">
        <v>50</v>
      </c>
      <c r="H406" s="22">
        <v>8</v>
      </c>
      <c r="I406" s="10">
        <f t="shared" si="107"/>
        <v>12.473321948616089</v>
      </c>
      <c r="J406" s="10">
        <f t="shared" si="108"/>
        <v>0.21770053666462572</v>
      </c>
      <c r="K406" s="10">
        <v>21</v>
      </c>
      <c r="L406" s="22">
        <v>1874</v>
      </c>
      <c r="M406" s="31" t="s">
        <v>96</v>
      </c>
      <c r="N406" s="8" t="s">
        <v>69</v>
      </c>
      <c r="O406" s="58" t="s">
        <v>65</v>
      </c>
      <c r="P406" s="10" t="s">
        <v>102</v>
      </c>
      <c r="Q406" s="22">
        <v>0.48</v>
      </c>
      <c r="R406" s="22" t="s">
        <v>190</v>
      </c>
      <c r="S406" s="29">
        <f>AVERAGE(11.4,12)</f>
        <v>11.7</v>
      </c>
      <c r="T406" s="79">
        <f t="shared" si="122"/>
        <v>1.0751340599999999E-2</v>
      </c>
      <c r="U406" s="22">
        <v>8</v>
      </c>
      <c r="V406" s="22">
        <v>64</v>
      </c>
      <c r="W406" s="10">
        <f t="shared" si="123"/>
        <v>1.1170107212763709</v>
      </c>
      <c r="X406" s="22">
        <v>5</v>
      </c>
      <c r="Y406" s="22">
        <v>14</v>
      </c>
      <c r="Z406" s="10">
        <f t="shared" si="124"/>
        <v>0.24434609527920614</v>
      </c>
      <c r="AA406" s="10">
        <f t="shared" si="125"/>
        <v>8.3999618483916745</v>
      </c>
      <c r="AB406" s="10">
        <f t="shared" si="126"/>
        <v>29.325037706843954</v>
      </c>
      <c r="AC406" s="10">
        <f t="shared" si="115"/>
        <v>3.6656297133554943</v>
      </c>
      <c r="AD406" s="10">
        <f t="shared" si="119"/>
        <v>14.662518853421977</v>
      </c>
      <c r="AE406" s="65"/>
      <c r="AF406" s="10">
        <f t="shared" si="120"/>
        <v>41.727736116137024</v>
      </c>
      <c r="AG406" s="8">
        <f t="shared" si="116"/>
        <v>8.1369085426467205</v>
      </c>
      <c r="AH406" s="10">
        <f t="shared" si="117"/>
        <v>20.863868058068512</v>
      </c>
      <c r="AI406" s="63"/>
      <c r="AJ406" s="10">
        <f t="shared" si="121"/>
        <v>41.245499999999993</v>
      </c>
      <c r="AK406" s="8"/>
      <c r="AL406" s="8">
        <f t="shared" si="118"/>
        <v>20.622749999999996</v>
      </c>
    </row>
    <row r="407" spans="1:38">
      <c r="A407" s="18">
        <v>41464</v>
      </c>
      <c r="B407" s="19" t="s">
        <v>119</v>
      </c>
      <c r="C407" s="27">
        <v>50.11</v>
      </c>
      <c r="D407" s="19" t="s">
        <v>80</v>
      </c>
      <c r="E407" s="8">
        <v>8.41099</v>
      </c>
      <c r="F407" s="8">
        <v>83.314139999999995</v>
      </c>
      <c r="G407" s="22">
        <v>50</v>
      </c>
      <c r="H407" s="22">
        <v>8</v>
      </c>
      <c r="I407" s="10">
        <f t="shared" si="107"/>
        <v>12.473321948616089</v>
      </c>
      <c r="J407" s="10">
        <f t="shared" si="108"/>
        <v>0.21770053666462572</v>
      </c>
      <c r="K407" s="10">
        <v>21</v>
      </c>
      <c r="L407" s="22">
        <v>1873</v>
      </c>
      <c r="M407" s="31" t="s">
        <v>36</v>
      </c>
      <c r="N407" s="8" t="s">
        <v>46</v>
      </c>
      <c r="O407" s="10" t="s">
        <v>37</v>
      </c>
      <c r="P407" s="10" t="s">
        <v>38</v>
      </c>
      <c r="Q407" s="11">
        <v>0.48</v>
      </c>
      <c r="R407" s="8" t="s">
        <v>60</v>
      </c>
      <c r="S407" s="29">
        <f>AVERAGE(14.2,15.8)</f>
        <v>15</v>
      </c>
      <c r="T407" s="79">
        <f t="shared" si="122"/>
        <v>1.76715E-2</v>
      </c>
      <c r="U407" s="22">
        <v>8</v>
      </c>
      <c r="V407" s="22">
        <v>45</v>
      </c>
      <c r="W407" s="10">
        <f t="shared" si="123"/>
        <v>0.78539816339744828</v>
      </c>
      <c r="X407" s="22">
        <v>6</v>
      </c>
      <c r="Y407" s="22">
        <v>6</v>
      </c>
      <c r="Z407" s="10">
        <f t="shared" si="124"/>
        <v>0.10471975511965978</v>
      </c>
      <c r="AA407" s="10">
        <f t="shared" si="125"/>
        <v>6.2840250290983004</v>
      </c>
      <c r="AB407" s="10">
        <f t="shared" si="126"/>
        <v>35.614240177920991</v>
      </c>
      <c r="AC407" s="10">
        <f t="shared" si="115"/>
        <v>4.4517800222401238</v>
      </c>
      <c r="AD407" s="10">
        <f t="shared" si="119"/>
        <v>17.807120088960495</v>
      </c>
      <c r="AE407" s="65"/>
      <c r="AF407" s="10">
        <f t="shared" si="120"/>
        <v>77.397761628684378</v>
      </c>
      <c r="AG407" s="8">
        <f t="shared" si="116"/>
        <v>15.092563517593454</v>
      </c>
      <c r="AH407" s="10">
        <f t="shared" si="117"/>
        <v>38.698880814342189</v>
      </c>
      <c r="AI407" s="63"/>
      <c r="AJ407" s="10">
        <f t="shared" si="121"/>
        <v>83.501999999999995</v>
      </c>
      <c r="AK407" s="8"/>
      <c r="AL407" s="8">
        <f t="shared" si="118"/>
        <v>41.750999999999998</v>
      </c>
    </row>
    <row r="408" spans="1:38">
      <c r="A408" s="18">
        <v>41464</v>
      </c>
      <c r="B408" s="19" t="s">
        <v>119</v>
      </c>
      <c r="C408" s="27">
        <v>50.11</v>
      </c>
      <c r="D408" s="19" t="s">
        <v>80</v>
      </c>
      <c r="E408" s="8">
        <v>8.41099</v>
      </c>
      <c r="F408" s="8">
        <v>83.314139999999995</v>
      </c>
      <c r="G408" s="22">
        <v>50</v>
      </c>
      <c r="H408" s="22">
        <v>8</v>
      </c>
      <c r="I408" s="10">
        <f t="shared" si="107"/>
        <v>12.473321948616089</v>
      </c>
      <c r="J408" s="10">
        <f t="shared" si="108"/>
        <v>0.21770053666462572</v>
      </c>
      <c r="K408" s="10">
        <v>21</v>
      </c>
      <c r="L408" s="22">
        <v>1871</v>
      </c>
      <c r="M408" s="31" t="s">
        <v>39</v>
      </c>
      <c r="N408" s="8" t="s">
        <v>69</v>
      </c>
      <c r="O408" s="10" t="s">
        <v>65</v>
      </c>
      <c r="P408" s="10" t="s">
        <v>70</v>
      </c>
      <c r="Q408" s="8">
        <v>0.37</v>
      </c>
      <c r="R408" s="8" t="s">
        <v>71</v>
      </c>
      <c r="S408" s="29">
        <f>AVERAGE(10.4,9.5)</f>
        <v>9.9499999999999993</v>
      </c>
      <c r="T408" s="79">
        <f t="shared" si="122"/>
        <v>7.7756563499999992E-3</v>
      </c>
      <c r="U408" s="22">
        <v>9</v>
      </c>
      <c r="V408" s="22">
        <v>50</v>
      </c>
      <c r="W408" s="10">
        <f t="shared" si="123"/>
        <v>0.87266462599716477</v>
      </c>
      <c r="X408" s="22">
        <v>5</v>
      </c>
      <c r="Y408" s="22">
        <v>8</v>
      </c>
      <c r="Z408" s="10">
        <f t="shared" si="124"/>
        <v>0.13962634015954636</v>
      </c>
      <c r="AA408" s="10">
        <f t="shared" si="125"/>
        <v>7.5902654928711293</v>
      </c>
      <c r="AB408" s="10">
        <f t="shared" si="126"/>
        <v>15.392894138461799</v>
      </c>
      <c r="AC408" s="10">
        <f t="shared" si="115"/>
        <v>1.9241117673077248</v>
      </c>
      <c r="AD408" s="10">
        <f t="shared" si="119"/>
        <v>7.6964470692308993</v>
      </c>
      <c r="AE408" s="65"/>
      <c r="AF408" s="10">
        <f t="shared" si="120"/>
        <v>21.495634163999643</v>
      </c>
      <c r="AG408" s="8">
        <f t="shared" si="116"/>
        <v>4.1916486619799302</v>
      </c>
      <c r="AH408" s="10">
        <f t="shared" si="117"/>
        <v>10.747817081999822</v>
      </c>
      <c r="AI408" s="63"/>
      <c r="AJ408" s="10">
        <f t="shared" si="121"/>
        <v>25.376499999999979</v>
      </c>
      <c r="AK408" s="8"/>
      <c r="AL408" s="8">
        <f t="shared" si="118"/>
        <v>12.688249999999989</v>
      </c>
    </row>
    <row r="409" spans="1:38">
      <c r="A409" s="18">
        <v>41464</v>
      </c>
      <c r="B409" s="19" t="s">
        <v>119</v>
      </c>
      <c r="C409" s="27">
        <v>50.11</v>
      </c>
      <c r="D409" s="19" t="s">
        <v>80</v>
      </c>
      <c r="E409" s="8">
        <v>8.41099</v>
      </c>
      <c r="F409" s="8">
        <v>83.314139999999995</v>
      </c>
      <c r="G409" s="22">
        <v>50</v>
      </c>
      <c r="H409" s="22">
        <v>8</v>
      </c>
      <c r="I409" s="10">
        <f t="shared" si="107"/>
        <v>12.473321948616089</v>
      </c>
      <c r="J409" s="10">
        <f t="shared" si="108"/>
        <v>0.21770053666462572</v>
      </c>
      <c r="K409" s="10">
        <v>21</v>
      </c>
      <c r="L409" s="22">
        <v>1872</v>
      </c>
      <c r="M409" s="31" t="s">
        <v>54</v>
      </c>
      <c r="N409" s="8" t="s">
        <v>55</v>
      </c>
      <c r="O409" s="10" t="s">
        <v>56</v>
      </c>
      <c r="P409" s="10" t="s">
        <v>57</v>
      </c>
      <c r="Q409" s="11">
        <v>0.315</v>
      </c>
      <c r="R409" s="12" t="s">
        <v>66</v>
      </c>
      <c r="S409" s="29">
        <f>AVERAGE(12.5,14)</f>
        <v>13.25</v>
      </c>
      <c r="T409" s="79">
        <f t="shared" si="122"/>
        <v>1.378867875E-2</v>
      </c>
      <c r="U409" s="22">
        <v>11</v>
      </c>
      <c r="V409" s="22">
        <v>68</v>
      </c>
      <c r="W409" s="10">
        <f t="shared" si="123"/>
        <v>1.1868238913561442</v>
      </c>
      <c r="X409" s="22">
        <v>6</v>
      </c>
      <c r="Y409" s="22">
        <v>5</v>
      </c>
      <c r="Z409" s="10">
        <f t="shared" si="124"/>
        <v>8.7266462599716474E-2</v>
      </c>
      <c r="AA409" s="10">
        <f t="shared" si="125"/>
        <v>10.634801113972951</v>
      </c>
      <c r="AB409" s="10">
        <f t="shared" si="126"/>
        <v>31.12899523721639</v>
      </c>
      <c r="AC409" s="10">
        <f t="shared" si="115"/>
        <v>3.8911244046520488</v>
      </c>
      <c r="AD409" s="10">
        <f t="shared" si="119"/>
        <v>15.564497618608195</v>
      </c>
      <c r="AE409" s="65"/>
      <c r="AF409" s="10">
        <f t="shared" si="120"/>
        <v>37.317342239820455</v>
      </c>
      <c r="AG409" s="8">
        <f t="shared" si="116"/>
        <v>7.276881736764989</v>
      </c>
      <c r="AH409" s="10">
        <f t="shared" si="117"/>
        <v>18.658671119910228</v>
      </c>
      <c r="AI409" s="63"/>
      <c r="AJ409" s="10">
        <f t="shared" si="121"/>
        <v>59.085999999999984</v>
      </c>
      <c r="AK409" s="8"/>
      <c r="AL409" s="8">
        <f t="shared" si="118"/>
        <v>29.542999999999992</v>
      </c>
    </row>
    <row r="410" spans="1:38">
      <c r="A410" s="18">
        <v>41464</v>
      </c>
      <c r="B410" s="19" t="s">
        <v>119</v>
      </c>
      <c r="C410" s="27">
        <v>50.11</v>
      </c>
      <c r="D410" s="19" t="s">
        <v>80</v>
      </c>
      <c r="E410" s="8">
        <v>8.41099</v>
      </c>
      <c r="F410" s="8">
        <v>83.314139999999995</v>
      </c>
      <c r="G410" s="22">
        <v>50</v>
      </c>
      <c r="H410" s="22">
        <v>8</v>
      </c>
      <c r="I410" s="10">
        <f t="shared" ref="I410:I472" si="127">1/TAN(H410/100)</f>
        <v>12.473321948616089</v>
      </c>
      <c r="J410" s="10">
        <f t="shared" ref="J410:J472" si="128">RADIANS(I410)</f>
        <v>0.21770053666462572</v>
      </c>
      <c r="K410" s="10">
        <v>21</v>
      </c>
      <c r="L410" s="22">
        <v>1870</v>
      </c>
      <c r="M410" s="31" t="s">
        <v>39</v>
      </c>
      <c r="N410" s="8" t="s">
        <v>69</v>
      </c>
      <c r="O410" s="10" t="s">
        <v>65</v>
      </c>
      <c r="P410" s="10" t="s">
        <v>70</v>
      </c>
      <c r="Q410" s="8">
        <v>0.37</v>
      </c>
      <c r="R410" s="8" t="s">
        <v>71</v>
      </c>
      <c r="S410" s="29">
        <f>AVERAGE(11,10.8)</f>
        <v>10.9</v>
      </c>
      <c r="T410" s="79">
        <f t="shared" si="122"/>
        <v>9.3313374000000004E-3</v>
      </c>
      <c r="U410" s="22">
        <v>11</v>
      </c>
      <c r="V410" s="22">
        <v>45</v>
      </c>
      <c r="W410" s="10">
        <f t="shared" si="123"/>
        <v>0.78539816339744828</v>
      </c>
      <c r="X410" s="22">
        <v>7</v>
      </c>
      <c r="Y410" s="22">
        <v>3</v>
      </c>
      <c r="Z410" s="10">
        <f t="shared" si="124"/>
        <v>5.235987755982989E-2</v>
      </c>
      <c r="AA410" s="10">
        <f t="shared" si="125"/>
        <v>8.0921903305096841</v>
      </c>
      <c r="AB410" s="10">
        <f t="shared" si="126"/>
        <v>19.405073034092634</v>
      </c>
      <c r="AC410" s="10">
        <f t="shared" si="115"/>
        <v>2.4256341292615793</v>
      </c>
      <c r="AD410" s="10">
        <f t="shared" si="119"/>
        <v>9.7025365170463171</v>
      </c>
      <c r="AE410" s="65"/>
      <c r="AF410" s="10">
        <f t="shared" si="120"/>
        <v>26.968119727139296</v>
      </c>
      <c r="AG410" s="8">
        <f t="shared" si="116"/>
        <v>5.2587833467921632</v>
      </c>
      <c r="AH410" s="10">
        <f t="shared" si="117"/>
        <v>13.484059863569648</v>
      </c>
      <c r="AI410" s="63"/>
      <c r="AJ410" s="10">
        <f t="shared" si="121"/>
        <v>33.428699999999992</v>
      </c>
      <c r="AK410" s="8"/>
      <c r="AL410" s="8">
        <f t="shared" si="118"/>
        <v>16.714349999999996</v>
      </c>
    </row>
    <row r="411" spans="1:38">
      <c r="A411" s="18">
        <v>41464</v>
      </c>
      <c r="B411" s="19" t="s">
        <v>119</v>
      </c>
      <c r="C411" s="27">
        <v>50.11</v>
      </c>
      <c r="D411" s="19" t="s">
        <v>80</v>
      </c>
      <c r="E411" s="8">
        <v>8.41099</v>
      </c>
      <c r="F411" s="8">
        <v>83.314139999999995</v>
      </c>
      <c r="G411" s="22">
        <v>50</v>
      </c>
      <c r="H411" s="22">
        <v>8</v>
      </c>
      <c r="I411" s="10">
        <f t="shared" si="127"/>
        <v>12.473321948616089</v>
      </c>
      <c r="J411" s="10">
        <f t="shared" si="128"/>
        <v>0.21770053666462572</v>
      </c>
      <c r="K411" s="10">
        <v>21</v>
      </c>
      <c r="L411" s="22">
        <v>1861</v>
      </c>
      <c r="M411" s="31" t="s">
        <v>36</v>
      </c>
      <c r="N411" s="8" t="s">
        <v>46</v>
      </c>
      <c r="O411" s="10" t="s">
        <v>37</v>
      </c>
      <c r="P411" s="10" t="s">
        <v>38</v>
      </c>
      <c r="Q411" s="11">
        <v>0.48</v>
      </c>
      <c r="R411" s="8" t="s">
        <v>60</v>
      </c>
      <c r="S411" s="29">
        <f>AVERAGE(20.3,20.6)</f>
        <v>20.450000000000003</v>
      </c>
      <c r="T411" s="79">
        <f t="shared" si="122"/>
        <v>3.2845624350000012E-2</v>
      </c>
      <c r="U411" s="22">
        <v>10</v>
      </c>
      <c r="V411" s="22">
        <v>45</v>
      </c>
      <c r="W411" s="10">
        <f t="shared" si="123"/>
        <v>0.78539816339744828</v>
      </c>
      <c r="X411" s="22">
        <v>6</v>
      </c>
      <c r="Y411" s="22">
        <v>3</v>
      </c>
      <c r="Z411" s="10">
        <f t="shared" si="124"/>
        <v>5.235987755982989E-2</v>
      </c>
      <c r="AA411" s="10">
        <f t="shared" si="125"/>
        <v>7.3327475930801942</v>
      </c>
      <c r="AB411" s="10">
        <f t="shared" si="126"/>
        <v>73.736521063091473</v>
      </c>
      <c r="AC411" s="10">
        <f t="shared" si="115"/>
        <v>9.2170651328864341</v>
      </c>
      <c r="AD411" s="10">
        <f t="shared" si="119"/>
        <v>36.868260531545737</v>
      </c>
      <c r="AE411" s="65"/>
      <c r="AF411" s="10">
        <f t="shared" si="120"/>
        <v>166.60288601699835</v>
      </c>
      <c r="AG411" s="8">
        <f t="shared" si="116"/>
        <v>32.487562773314679</v>
      </c>
      <c r="AH411" s="10">
        <f t="shared" si="117"/>
        <v>83.301443008499177</v>
      </c>
      <c r="AI411" s="63"/>
      <c r="AJ411" s="10">
        <f t="shared" si="121"/>
        <v>188.57800000000003</v>
      </c>
      <c r="AK411" s="8"/>
      <c r="AL411" s="8">
        <f t="shared" si="118"/>
        <v>94.289000000000016</v>
      </c>
    </row>
    <row r="412" spans="1:38">
      <c r="A412" s="18">
        <v>41464</v>
      </c>
      <c r="B412" s="19" t="s">
        <v>119</v>
      </c>
      <c r="C412" s="27">
        <v>50.11</v>
      </c>
      <c r="D412" s="19" t="s">
        <v>80</v>
      </c>
      <c r="E412" s="8">
        <v>8.41099</v>
      </c>
      <c r="F412" s="8">
        <v>83.314139999999995</v>
      </c>
      <c r="G412" s="22">
        <v>50</v>
      </c>
      <c r="H412" s="22">
        <v>8</v>
      </c>
      <c r="I412" s="10">
        <f t="shared" si="127"/>
        <v>12.473321948616089</v>
      </c>
      <c r="J412" s="10">
        <f t="shared" si="128"/>
        <v>0.21770053666462572</v>
      </c>
      <c r="K412" s="10">
        <v>21</v>
      </c>
      <c r="L412" s="22">
        <v>1867</v>
      </c>
      <c r="M412" s="31" t="s">
        <v>36</v>
      </c>
      <c r="N412" s="8" t="s">
        <v>46</v>
      </c>
      <c r="O412" s="10" t="s">
        <v>37</v>
      </c>
      <c r="P412" s="10" t="s">
        <v>38</v>
      </c>
      <c r="Q412" s="11">
        <v>0.48</v>
      </c>
      <c r="R412" s="8" t="s">
        <v>60</v>
      </c>
      <c r="S412" s="29">
        <f>AVERAGE(14,15.5)</f>
        <v>14.75</v>
      </c>
      <c r="T412" s="79">
        <f t="shared" si="122"/>
        <v>1.708735875E-2</v>
      </c>
      <c r="U412" s="22">
        <v>11</v>
      </c>
      <c r="V412" s="22">
        <v>51</v>
      </c>
      <c r="W412" s="10">
        <f t="shared" si="123"/>
        <v>0.89011791851710809</v>
      </c>
      <c r="X412" s="22">
        <v>6</v>
      </c>
      <c r="Y412" s="22">
        <v>4</v>
      </c>
      <c r="Z412" s="10">
        <f t="shared" si="124"/>
        <v>6.9813170079773182E-2</v>
      </c>
      <c r="AA412" s="10">
        <f t="shared" si="125"/>
        <v>8.8973879447473081</v>
      </c>
      <c r="AB412" s="10">
        <f t="shared" si="126"/>
        <v>47.848051636428387</v>
      </c>
      <c r="AC412" s="10">
        <f t="shared" si="115"/>
        <v>5.9810064545535484</v>
      </c>
      <c r="AD412" s="10">
        <f t="shared" si="119"/>
        <v>23.924025818214194</v>
      </c>
      <c r="AE412" s="65"/>
      <c r="AF412" s="10">
        <f t="shared" si="120"/>
        <v>74.233929934351352</v>
      </c>
      <c r="AG412" s="8">
        <f t="shared" si="116"/>
        <v>14.475616337198515</v>
      </c>
      <c r="AH412" s="10">
        <f t="shared" si="117"/>
        <v>37.116964967175676</v>
      </c>
      <c r="AI412" s="63"/>
      <c r="AJ412" s="10">
        <f t="shared" si="121"/>
        <v>79.736499999999992</v>
      </c>
      <c r="AK412" s="8"/>
      <c r="AL412" s="8">
        <f t="shared" si="118"/>
        <v>39.868249999999996</v>
      </c>
    </row>
    <row r="413" spans="1:38">
      <c r="A413" s="18">
        <v>41464</v>
      </c>
      <c r="B413" s="19" t="s">
        <v>119</v>
      </c>
      <c r="C413" s="27">
        <v>50.11</v>
      </c>
      <c r="D413" s="19" t="s">
        <v>80</v>
      </c>
      <c r="E413" s="8">
        <v>8.41099</v>
      </c>
      <c r="F413" s="8">
        <v>83.314139999999995</v>
      </c>
      <c r="G413" s="22">
        <v>50</v>
      </c>
      <c r="H413" s="22">
        <v>8</v>
      </c>
      <c r="I413" s="10">
        <f t="shared" si="127"/>
        <v>12.473321948616089</v>
      </c>
      <c r="J413" s="10">
        <f t="shared" si="128"/>
        <v>0.21770053666462572</v>
      </c>
      <c r="K413" s="10">
        <v>21</v>
      </c>
      <c r="L413" s="22">
        <v>1866</v>
      </c>
      <c r="M413" s="31" t="s">
        <v>39</v>
      </c>
      <c r="N413" s="8" t="s">
        <v>69</v>
      </c>
      <c r="O413" s="10" t="s">
        <v>65</v>
      </c>
      <c r="P413" s="10" t="s">
        <v>70</v>
      </c>
      <c r="Q413" s="8">
        <v>0.37</v>
      </c>
      <c r="R413" s="8" t="s">
        <v>71</v>
      </c>
      <c r="S413" s="29">
        <f>AVERAGE(7.6,7.9)</f>
        <v>7.75</v>
      </c>
      <c r="T413" s="79">
        <f t="shared" si="122"/>
        <v>4.7173087500000004E-3</v>
      </c>
      <c r="U413" s="22">
        <v>10</v>
      </c>
      <c r="V413" s="22">
        <v>45</v>
      </c>
      <c r="W413" s="10">
        <f t="shared" si="123"/>
        <v>0.78539816339744828</v>
      </c>
      <c r="X413" s="22">
        <v>7</v>
      </c>
      <c r="Y413" s="22">
        <v>5</v>
      </c>
      <c r="Z413" s="10">
        <f t="shared" si="124"/>
        <v>8.7266462599716474E-2</v>
      </c>
      <c r="AA413" s="10">
        <f t="shared" si="125"/>
        <v>7.5068465256037653</v>
      </c>
      <c r="AB413" s="10">
        <f t="shared" si="126"/>
        <v>9.5233254763348594</v>
      </c>
      <c r="AC413" s="10">
        <f t="shared" si="115"/>
        <v>1.1904156845418574</v>
      </c>
      <c r="AD413" s="10">
        <f t="shared" si="119"/>
        <v>4.7616627381674297</v>
      </c>
      <c r="AE413" s="65"/>
      <c r="AF413" s="10">
        <f t="shared" si="120"/>
        <v>11.563707162193852</v>
      </c>
      <c r="AG413" s="8">
        <f t="shared" si="116"/>
        <v>2.2549228966278014</v>
      </c>
      <c r="AH413" s="10">
        <f t="shared" si="117"/>
        <v>5.781853581096926</v>
      </c>
      <c r="AI413" s="63"/>
      <c r="AJ413" s="10">
        <f t="shared" si="121"/>
        <v>11.857499999999995</v>
      </c>
      <c r="AK413" s="8"/>
      <c r="AL413" s="8">
        <f t="shared" si="118"/>
        <v>5.9287499999999973</v>
      </c>
    </row>
    <row r="414" spans="1:38">
      <c r="A414" s="18">
        <v>41464</v>
      </c>
      <c r="B414" s="19" t="s">
        <v>119</v>
      </c>
      <c r="C414" s="27">
        <v>50.11</v>
      </c>
      <c r="D414" s="19" t="s">
        <v>80</v>
      </c>
      <c r="E414" s="8">
        <v>8.41099</v>
      </c>
      <c r="F414" s="8">
        <v>83.314139999999995</v>
      </c>
      <c r="G414" s="22">
        <v>50</v>
      </c>
      <c r="H414" s="22">
        <v>8</v>
      </c>
      <c r="I414" s="10">
        <f t="shared" si="127"/>
        <v>12.473321948616089</v>
      </c>
      <c r="J414" s="10">
        <f t="shared" si="128"/>
        <v>0.21770053666462572</v>
      </c>
      <c r="K414" s="10">
        <v>21</v>
      </c>
      <c r="L414" s="22">
        <v>1868</v>
      </c>
      <c r="M414" s="49" t="s">
        <v>97</v>
      </c>
      <c r="N414" s="22" t="s">
        <v>99</v>
      </c>
      <c r="O414" s="10" t="s">
        <v>99</v>
      </c>
      <c r="P414" s="10" t="s">
        <v>99</v>
      </c>
      <c r="Q414" s="22">
        <v>0.57999999999999996</v>
      </c>
      <c r="R414" s="22" t="s">
        <v>103</v>
      </c>
      <c r="S414" s="29">
        <f>AVERAGE(11.6,14.3)</f>
        <v>12.95</v>
      </c>
      <c r="T414" s="79">
        <f t="shared" si="122"/>
        <v>1.3171354349999999E-2</v>
      </c>
      <c r="U414" s="22">
        <v>18</v>
      </c>
      <c r="V414" s="22">
        <v>57</v>
      </c>
      <c r="W414" s="10">
        <f t="shared" si="123"/>
        <v>0.99483767363676789</v>
      </c>
      <c r="X414" s="22">
        <v>8</v>
      </c>
      <c r="Y414" s="22">
        <v>2</v>
      </c>
      <c r="Z414" s="10">
        <f t="shared" si="124"/>
        <v>3.4906585039886591E-2</v>
      </c>
      <c r="AA414" s="10">
        <f t="shared" si="125"/>
        <v>15.34036669993514</v>
      </c>
      <c r="AB414" s="10">
        <f t="shared" si="126"/>
        <v>74.685586629677374</v>
      </c>
      <c r="AC414" s="10">
        <f t="shared" si="115"/>
        <v>9.3356983287096718</v>
      </c>
      <c r="AD414" s="10">
        <f t="shared" si="119"/>
        <v>37.342793314838687</v>
      </c>
      <c r="AE414" s="65"/>
      <c r="AF414" s="10">
        <f t="shared" si="120"/>
        <v>64.906896176994707</v>
      </c>
      <c r="AG414" s="8">
        <f t="shared" si="116"/>
        <v>12.656844754513969</v>
      </c>
      <c r="AH414" s="10">
        <f t="shared" si="117"/>
        <v>32.453448088497353</v>
      </c>
      <c r="AI414" s="63"/>
      <c r="AJ414" s="10">
        <f t="shared" si="121"/>
        <v>55.355499999999992</v>
      </c>
      <c r="AK414" s="8"/>
      <c r="AL414" s="8">
        <f t="shared" si="118"/>
        <v>27.677749999999996</v>
      </c>
    </row>
    <row r="415" spans="1:38">
      <c r="A415" s="18">
        <v>41464</v>
      </c>
      <c r="B415" s="19" t="s">
        <v>119</v>
      </c>
      <c r="C415" s="27">
        <v>50.11</v>
      </c>
      <c r="D415" s="19" t="s">
        <v>80</v>
      </c>
      <c r="E415" s="8">
        <v>8.41099</v>
      </c>
      <c r="F415" s="8">
        <v>83.314139999999995</v>
      </c>
      <c r="G415" s="22">
        <v>50</v>
      </c>
      <c r="H415" s="22">
        <v>8</v>
      </c>
      <c r="I415" s="10">
        <f t="shared" si="127"/>
        <v>12.473321948616089</v>
      </c>
      <c r="J415" s="10">
        <f t="shared" si="128"/>
        <v>0.21770053666462572</v>
      </c>
      <c r="K415" s="10">
        <v>21</v>
      </c>
      <c r="L415" s="22">
        <v>1865</v>
      </c>
      <c r="M415" s="31" t="s">
        <v>39</v>
      </c>
      <c r="N415" s="8" t="s">
        <v>69</v>
      </c>
      <c r="O415" s="10" t="s">
        <v>65</v>
      </c>
      <c r="P415" s="10" t="s">
        <v>70</v>
      </c>
      <c r="Q415" s="8">
        <v>0.37</v>
      </c>
      <c r="R415" s="8" t="s">
        <v>71</v>
      </c>
      <c r="S415" s="29">
        <f>AVERAGE(11.2,11.5)</f>
        <v>11.35</v>
      </c>
      <c r="T415" s="79">
        <f t="shared" si="122"/>
        <v>1.0117719149999999E-2</v>
      </c>
      <c r="U415" s="22">
        <v>8</v>
      </c>
      <c r="V415" s="22">
        <v>42</v>
      </c>
      <c r="W415" s="10">
        <f t="shared" si="123"/>
        <v>0.73303828583761843</v>
      </c>
      <c r="X415" s="22">
        <v>6</v>
      </c>
      <c r="Y415" s="22">
        <v>3</v>
      </c>
      <c r="Z415" s="10">
        <f t="shared" si="124"/>
        <v>5.235987755982989E-2</v>
      </c>
      <c r="AA415" s="10">
        <f t="shared" si="125"/>
        <v>5.6147246320855855</v>
      </c>
      <c r="AB415" s="10">
        <f t="shared" si="126"/>
        <v>14.850200437375664</v>
      </c>
      <c r="AC415" s="10">
        <f t="shared" si="115"/>
        <v>1.856275054671958</v>
      </c>
      <c r="AD415" s="10">
        <f t="shared" si="119"/>
        <v>7.4251002186878319</v>
      </c>
      <c r="AE415" s="65"/>
      <c r="AF415" s="10">
        <f t="shared" si="120"/>
        <v>29.823936305968886</v>
      </c>
      <c r="AG415" s="8">
        <f t="shared" si="116"/>
        <v>5.8156675796639332</v>
      </c>
      <c r="AH415" s="10">
        <f t="shared" si="117"/>
        <v>14.911968152984443</v>
      </c>
      <c r="AI415" s="63"/>
      <c r="AJ415" s="10">
        <f t="shared" si="121"/>
        <v>37.709099999999992</v>
      </c>
      <c r="AK415" s="8"/>
      <c r="AL415" s="8">
        <f t="shared" si="118"/>
        <v>18.854549999999996</v>
      </c>
    </row>
    <row r="416" spans="1:38">
      <c r="A416" s="18">
        <v>41464</v>
      </c>
      <c r="B416" s="19" t="s">
        <v>119</v>
      </c>
      <c r="C416" s="27">
        <v>50.11</v>
      </c>
      <c r="D416" s="19" t="s">
        <v>80</v>
      </c>
      <c r="E416" s="8">
        <v>8.41099</v>
      </c>
      <c r="F416" s="8">
        <v>83.314139999999995</v>
      </c>
      <c r="G416" s="22">
        <v>50</v>
      </c>
      <c r="H416" s="22">
        <v>8</v>
      </c>
      <c r="I416" s="10">
        <f t="shared" si="127"/>
        <v>12.473321948616089</v>
      </c>
      <c r="J416" s="10">
        <f t="shared" si="128"/>
        <v>0.21770053666462572</v>
      </c>
      <c r="K416" s="10">
        <v>21</v>
      </c>
      <c r="L416" s="22">
        <v>1864</v>
      </c>
      <c r="M416" s="31" t="s">
        <v>39</v>
      </c>
      <c r="N416" s="8" t="s">
        <v>69</v>
      </c>
      <c r="O416" s="10" t="s">
        <v>65</v>
      </c>
      <c r="P416" s="10" t="s">
        <v>70</v>
      </c>
      <c r="Q416" s="8">
        <v>0.37</v>
      </c>
      <c r="R416" s="8" t="s">
        <v>71</v>
      </c>
      <c r="S416" s="29">
        <f>AVERAGE(6,6.3)</f>
        <v>6.15</v>
      </c>
      <c r="T416" s="79">
        <f t="shared" si="122"/>
        <v>2.9705791500000004E-3</v>
      </c>
      <c r="U416" s="22">
        <v>8</v>
      </c>
      <c r="V416" s="22">
        <v>48</v>
      </c>
      <c r="W416" s="10">
        <f t="shared" si="123"/>
        <v>0.83775804095727824</v>
      </c>
      <c r="X416" s="22">
        <v>7</v>
      </c>
      <c r="Y416" s="22">
        <v>12</v>
      </c>
      <c r="Z416" s="10">
        <f t="shared" si="124"/>
        <v>0.20943951023931956</v>
      </c>
      <c r="AA416" s="10">
        <f t="shared" si="125"/>
        <v>7.1926287487257099</v>
      </c>
      <c r="AB416" s="10">
        <f t="shared" si="126"/>
        <v>5.9228528832901217</v>
      </c>
      <c r="AC416" s="10">
        <f t="shared" si="115"/>
        <v>0.74035661041126521</v>
      </c>
      <c r="AD416" s="10">
        <f t="shared" si="119"/>
        <v>2.9614264416450609</v>
      </c>
      <c r="AE416" s="65"/>
      <c r="AF416" s="10">
        <f t="shared" si="120"/>
        <v>6.5397895245687545</v>
      </c>
      <c r="AG416" s="8">
        <f t="shared" si="116"/>
        <v>1.2752589572909072</v>
      </c>
      <c r="AH416" s="10">
        <f t="shared" si="117"/>
        <v>3.2698947622843773</v>
      </c>
      <c r="AI416" s="63"/>
      <c r="AJ416" s="10">
        <f t="shared" si="121"/>
        <v>6.5247000000000028</v>
      </c>
      <c r="AK416" s="8"/>
      <c r="AL416" s="8">
        <f t="shared" si="118"/>
        <v>3.2623500000000014</v>
      </c>
    </row>
    <row r="417" spans="1:38">
      <c r="A417" s="18">
        <v>41464</v>
      </c>
      <c r="B417" s="19" t="s">
        <v>119</v>
      </c>
      <c r="C417" s="27">
        <v>50.11</v>
      </c>
      <c r="D417" s="19" t="s">
        <v>80</v>
      </c>
      <c r="E417" s="8">
        <v>8.41099</v>
      </c>
      <c r="F417" s="8">
        <v>83.314139999999995</v>
      </c>
      <c r="G417" s="22">
        <v>50</v>
      </c>
      <c r="H417" s="22">
        <v>8</v>
      </c>
      <c r="I417" s="10">
        <f t="shared" si="127"/>
        <v>12.473321948616089</v>
      </c>
      <c r="J417" s="10">
        <f t="shared" si="128"/>
        <v>0.21770053666462572</v>
      </c>
      <c r="K417" s="10">
        <v>21</v>
      </c>
      <c r="L417" s="22">
        <v>1861</v>
      </c>
      <c r="M417" s="31" t="s">
        <v>36</v>
      </c>
      <c r="N417" s="8" t="s">
        <v>46</v>
      </c>
      <c r="O417" s="10" t="s">
        <v>37</v>
      </c>
      <c r="P417" s="10" t="s">
        <v>38</v>
      </c>
      <c r="Q417" s="11">
        <v>0.48</v>
      </c>
      <c r="R417" s="8" t="s">
        <v>60</v>
      </c>
      <c r="S417" s="29">
        <f>AVERAGE(12.7,12.5)</f>
        <v>12.6</v>
      </c>
      <c r="T417" s="79">
        <f t="shared" si="122"/>
        <v>1.2469010399999999E-2</v>
      </c>
      <c r="U417" s="22">
        <v>7</v>
      </c>
      <c r="V417" s="22">
        <v>42</v>
      </c>
      <c r="W417" s="10">
        <f t="shared" si="123"/>
        <v>0.73303828583761843</v>
      </c>
      <c r="X417" s="22">
        <v>6</v>
      </c>
      <c r="Y417" s="22">
        <v>15</v>
      </c>
      <c r="Z417" s="10">
        <f t="shared" si="124"/>
        <v>0.26179938779914941</v>
      </c>
      <c r="AA417" s="10">
        <f t="shared" si="125"/>
        <v>6.2368285151271321</v>
      </c>
      <c r="AB417" s="10">
        <f t="shared" si="126"/>
        <v>25.479510722985907</v>
      </c>
      <c r="AC417" s="10">
        <f t="shared" si="115"/>
        <v>3.1849388403732384</v>
      </c>
      <c r="AD417" s="10">
        <f t="shared" si="119"/>
        <v>12.739755361492954</v>
      </c>
      <c r="AE417" s="65"/>
      <c r="AF417" s="10">
        <f t="shared" si="120"/>
        <v>50.176905796771216</v>
      </c>
      <c r="AG417" s="8">
        <f t="shared" si="116"/>
        <v>9.7844966303703877</v>
      </c>
      <c r="AH417" s="10">
        <f t="shared" si="117"/>
        <v>25.088452898385608</v>
      </c>
      <c r="AI417" s="63"/>
      <c r="AJ417" s="10">
        <f t="shared" si="121"/>
        <v>51.171599999999998</v>
      </c>
      <c r="AK417" s="8"/>
      <c r="AL417" s="8">
        <f t="shared" si="118"/>
        <v>25.585799999999999</v>
      </c>
    </row>
    <row r="418" spans="1:38">
      <c r="A418" s="18">
        <v>41464</v>
      </c>
      <c r="B418" s="19" t="s">
        <v>119</v>
      </c>
      <c r="C418" s="27">
        <v>50.11</v>
      </c>
      <c r="D418" s="19" t="s">
        <v>80</v>
      </c>
      <c r="E418" s="8">
        <v>8.41099</v>
      </c>
      <c r="F418" s="8">
        <v>83.314139999999995</v>
      </c>
      <c r="G418" s="22">
        <v>50</v>
      </c>
      <c r="H418" s="22">
        <v>8</v>
      </c>
      <c r="I418" s="10">
        <f t="shared" si="127"/>
        <v>12.473321948616089</v>
      </c>
      <c r="J418" s="10">
        <f t="shared" si="128"/>
        <v>0.21770053666462572</v>
      </c>
      <c r="K418" s="10">
        <v>21</v>
      </c>
      <c r="L418" s="22">
        <v>1862</v>
      </c>
      <c r="M418" s="31" t="s">
        <v>124</v>
      </c>
      <c r="N418" s="8" t="s">
        <v>167</v>
      </c>
      <c r="O418" s="10" t="s">
        <v>188</v>
      </c>
      <c r="P418" s="10" t="s">
        <v>189</v>
      </c>
      <c r="Q418" s="22">
        <v>0.47</v>
      </c>
      <c r="R418" s="22" t="s">
        <v>190</v>
      </c>
      <c r="S418" s="29">
        <f>AVERAGE(6,5.9)</f>
        <v>5.95</v>
      </c>
      <c r="T418" s="79">
        <f t="shared" si="122"/>
        <v>2.7805123500000005E-3</v>
      </c>
      <c r="U418" s="22">
        <v>8</v>
      </c>
      <c r="V418" s="22">
        <v>44</v>
      </c>
      <c r="W418" s="10">
        <f t="shared" si="123"/>
        <v>0.76794487087750496</v>
      </c>
      <c r="X418" s="22">
        <v>5</v>
      </c>
      <c r="Y418" s="22">
        <v>6</v>
      </c>
      <c r="Z418" s="10">
        <f t="shared" si="124"/>
        <v>0.10471975511965978</v>
      </c>
      <c r="AA418" s="10">
        <f t="shared" si="125"/>
        <v>6.079909280010245</v>
      </c>
      <c r="AB418" s="10">
        <f t="shared" si="126"/>
        <v>5.9509852856827257</v>
      </c>
      <c r="AC418" s="10">
        <f t="shared" si="115"/>
        <v>0.74387316071034071</v>
      </c>
      <c r="AD418" s="10">
        <f t="shared" si="119"/>
        <v>2.9754926428413628</v>
      </c>
      <c r="AE418" s="65"/>
      <c r="AF418" s="10">
        <f t="shared" si="120"/>
        <v>7.6604270203486537</v>
      </c>
      <c r="AG418" s="8">
        <f t="shared" si="116"/>
        <v>1.4937832689679875</v>
      </c>
      <c r="AH418" s="10">
        <f t="shared" si="117"/>
        <v>3.8302135101743269</v>
      </c>
      <c r="AI418" s="63"/>
      <c r="AJ418" s="10">
        <f t="shared" si="121"/>
        <v>6.1245000000000012</v>
      </c>
      <c r="AK418" s="8"/>
      <c r="AL418" s="8">
        <f t="shared" si="118"/>
        <v>3.0622500000000006</v>
      </c>
    </row>
    <row r="419" spans="1:38">
      <c r="A419" s="18">
        <v>41464</v>
      </c>
      <c r="B419" s="19" t="s">
        <v>119</v>
      </c>
      <c r="C419" s="27">
        <v>50.11</v>
      </c>
      <c r="D419" s="19" t="s">
        <v>80</v>
      </c>
      <c r="E419" s="8">
        <v>8.41099</v>
      </c>
      <c r="F419" s="8">
        <v>83.314139999999995</v>
      </c>
      <c r="G419" s="22">
        <v>50</v>
      </c>
      <c r="H419" s="22">
        <v>8</v>
      </c>
      <c r="I419" s="10">
        <f t="shared" si="127"/>
        <v>12.473321948616089</v>
      </c>
      <c r="J419" s="10">
        <f t="shared" si="128"/>
        <v>0.21770053666462572</v>
      </c>
      <c r="K419" s="10">
        <v>21</v>
      </c>
      <c r="L419" s="22">
        <v>1863</v>
      </c>
      <c r="M419" s="31" t="s">
        <v>124</v>
      </c>
      <c r="N419" s="8" t="s">
        <v>167</v>
      </c>
      <c r="O419" s="10" t="s">
        <v>188</v>
      </c>
      <c r="P419" s="10" t="s">
        <v>189</v>
      </c>
      <c r="Q419" s="22">
        <v>0.47</v>
      </c>
      <c r="R419" s="22" t="s">
        <v>190</v>
      </c>
      <c r="S419" s="29">
        <f>AVERAGE(5.8,5.7)</f>
        <v>5.75</v>
      </c>
      <c r="T419" s="79">
        <f t="shared" si="122"/>
        <v>2.59672875E-3</v>
      </c>
      <c r="U419" s="22">
        <v>8</v>
      </c>
      <c r="V419" s="22">
        <v>44</v>
      </c>
      <c r="W419" s="10">
        <f t="shared" si="123"/>
        <v>0.76794487087750496</v>
      </c>
      <c r="X419" s="22">
        <v>5</v>
      </c>
      <c r="Y419" s="22">
        <v>6</v>
      </c>
      <c r="Z419" s="10">
        <f t="shared" si="124"/>
        <v>0.10471975511965978</v>
      </c>
      <c r="AA419" s="10">
        <f t="shared" si="125"/>
        <v>6.1844377432778987</v>
      </c>
      <c r="AB419" s="10">
        <f t="shared" si="126"/>
        <v>5.6706320008549067</v>
      </c>
      <c r="AC419" s="10">
        <f t="shared" si="115"/>
        <v>0.70882900010686334</v>
      </c>
      <c r="AD419" s="10">
        <f t="shared" si="119"/>
        <v>2.8353160004274534</v>
      </c>
      <c r="AE419" s="65"/>
      <c r="AF419" s="10">
        <f t="shared" si="120"/>
        <v>7.0452885041444722</v>
      </c>
      <c r="AG419" s="8">
        <f t="shared" si="116"/>
        <v>1.3738312583081722</v>
      </c>
      <c r="AH419" s="10">
        <f t="shared" si="117"/>
        <v>3.5226442520722361</v>
      </c>
      <c r="AI419" s="63"/>
      <c r="AJ419" s="10">
        <f t="shared" si="121"/>
        <v>5.7834999999999965</v>
      </c>
      <c r="AK419" s="8"/>
      <c r="AL419" s="8">
        <f t="shared" si="118"/>
        <v>2.8917499999999983</v>
      </c>
    </row>
    <row r="420" spans="1:38">
      <c r="A420" s="18">
        <v>41464</v>
      </c>
      <c r="B420" s="19" t="s">
        <v>119</v>
      </c>
      <c r="C420" s="27">
        <v>50.11</v>
      </c>
      <c r="D420" s="19" t="s">
        <v>80</v>
      </c>
      <c r="E420" s="8">
        <v>8.41099</v>
      </c>
      <c r="F420" s="8">
        <v>83.314139999999995</v>
      </c>
      <c r="G420" s="22">
        <v>50</v>
      </c>
      <c r="H420" s="22">
        <v>8</v>
      </c>
      <c r="I420" s="10">
        <f t="shared" si="127"/>
        <v>12.473321948616089</v>
      </c>
      <c r="J420" s="10">
        <f t="shared" si="128"/>
        <v>0.21770053666462572</v>
      </c>
      <c r="K420" s="10">
        <v>21</v>
      </c>
      <c r="L420" s="22">
        <v>1860</v>
      </c>
      <c r="M420" s="31" t="s">
        <v>36</v>
      </c>
      <c r="N420" s="8" t="s">
        <v>46</v>
      </c>
      <c r="O420" s="10" t="s">
        <v>37</v>
      </c>
      <c r="P420" s="10" t="s">
        <v>38</v>
      </c>
      <c r="Q420" s="11">
        <v>0.48</v>
      </c>
      <c r="R420" s="8" t="s">
        <v>60</v>
      </c>
      <c r="S420" s="29">
        <f>AVERAGE(8.4,7.7)</f>
        <v>8.0500000000000007</v>
      </c>
      <c r="T420" s="79">
        <f t="shared" si="122"/>
        <v>5.0895883500000011E-3</v>
      </c>
      <c r="U420" s="22">
        <v>10</v>
      </c>
      <c r="V420" s="22">
        <v>30</v>
      </c>
      <c r="W420" s="10">
        <f t="shared" si="123"/>
        <v>0.52359877559829882</v>
      </c>
      <c r="X420" s="22">
        <v>6</v>
      </c>
      <c r="Y420" s="22">
        <v>5</v>
      </c>
      <c r="Z420" s="10">
        <f t="shared" si="124"/>
        <v>8.7266462599716474E-2</v>
      </c>
      <c r="AA420" s="10">
        <f t="shared" ref="AA420:AA447" si="129">(SIN(W420)*U420)+(SIN(Z420)*X420)</f>
        <v>5.5229344564859479</v>
      </c>
      <c r="AB420" s="10">
        <f t="shared" si="126"/>
        <v>9.7895884668447728</v>
      </c>
      <c r="AC420" s="10">
        <f t="shared" si="115"/>
        <v>1.2236985583555966</v>
      </c>
      <c r="AD420" s="10">
        <f t="shared" si="119"/>
        <v>4.8947942334223864</v>
      </c>
      <c r="AE420" s="65"/>
      <c r="AF420" s="10">
        <f t="shared" si="120"/>
        <v>16.480429790762642</v>
      </c>
      <c r="AG420" s="8">
        <f t="shared" si="116"/>
        <v>3.2136838091987152</v>
      </c>
      <c r="AH420" s="10">
        <f t="shared" si="117"/>
        <v>8.240214895381321</v>
      </c>
      <c r="AI420" s="63"/>
      <c r="AJ420" s="10">
        <f t="shared" si="121"/>
        <v>13.279200000000003</v>
      </c>
      <c r="AK420" s="8"/>
      <c r="AL420" s="8">
        <f t="shared" si="118"/>
        <v>6.6396000000000015</v>
      </c>
    </row>
    <row r="421" spans="1:38">
      <c r="A421" s="18">
        <v>41464</v>
      </c>
      <c r="B421" s="19" t="s">
        <v>119</v>
      </c>
      <c r="C421" s="27">
        <v>50.11</v>
      </c>
      <c r="D421" s="19" t="s">
        <v>80</v>
      </c>
      <c r="E421" s="8">
        <v>8.41099</v>
      </c>
      <c r="F421" s="8">
        <v>83.314139999999995</v>
      </c>
      <c r="G421" s="22">
        <v>50</v>
      </c>
      <c r="H421" s="22">
        <v>8</v>
      </c>
      <c r="I421" s="10">
        <f t="shared" si="127"/>
        <v>12.473321948616089</v>
      </c>
      <c r="J421" s="10">
        <f t="shared" si="128"/>
        <v>0.21770053666462572</v>
      </c>
      <c r="K421" s="10">
        <v>21</v>
      </c>
      <c r="L421" s="22">
        <v>1859</v>
      </c>
      <c r="M421" s="31" t="s">
        <v>191</v>
      </c>
      <c r="N421" s="8" t="s">
        <v>46</v>
      </c>
      <c r="O421" s="10" t="s">
        <v>192</v>
      </c>
      <c r="P421" s="10" t="s">
        <v>193</v>
      </c>
      <c r="Q421" s="23">
        <v>0.14000000000000001</v>
      </c>
      <c r="R421" s="22" t="s">
        <v>90</v>
      </c>
      <c r="S421" s="29">
        <f>AVERAGE(36.7,39.5)</f>
        <v>38.1</v>
      </c>
      <c r="T421" s="79">
        <f t="shared" si="122"/>
        <v>0.11400944940000002</v>
      </c>
      <c r="U421" s="22">
        <v>16</v>
      </c>
      <c r="V421" s="22">
        <v>70</v>
      </c>
      <c r="W421" s="10">
        <f t="shared" si="123"/>
        <v>1.2217304763960306</v>
      </c>
      <c r="X421" s="22">
        <v>5</v>
      </c>
      <c r="Y421" s="22">
        <v>3</v>
      </c>
      <c r="Z421" s="10">
        <f t="shared" si="124"/>
        <v>5.235987755982989E-2</v>
      </c>
      <c r="AA421" s="10">
        <f t="shared" si="129"/>
        <v>15.296761713789252</v>
      </c>
      <c r="AB421" s="10">
        <f t="shared" si="126"/>
        <v>148.89652442288173</v>
      </c>
      <c r="AC421" s="10">
        <f t="shared" si="115"/>
        <v>18.612065552860216</v>
      </c>
      <c r="AD421" s="10">
        <f t="shared" si="119"/>
        <v>74.448262211440863</v>
      </c>
      <c r="AE421" s="65"/>
      <c r="AF421" s="10">
        <f t="shared" si="120"/>
        <v>219.21217694948308</v>
      </c>
      <c r="AG421" s="8">
        <f t="shared" si="116"/>
        <v>42.746374505149205</v>
      </c>
      <c r="AH421" s="10">
        <f t="shared" si="117"/>
        <v>109.60608847474154</v>
      </c>
      <c r="AI421" s="63"/>
      <c r="AJ421" s="10">
        <f t="shared" si="121"/>
        <v>830.57910000000015</v>
      </c>
      <c r="AK421" s="8"/>
      <c r="AL421" s="8">
        <f t="shared" si="118"/>
        <v>415.28955000000008</v>
      </c>
    </row>
    <row r="422" spans="1:38">
      <c r="A422" s="18">
        <v>41464</v>
      </c>
      <c r="B422" s="19" t="s">
        <v>119</v>
      </c>
      <c r="C422" s="27">
        <v>50.11</v>
      </c>
      <c r="D422" s="19" t="s">
        <v>80</v>
      </c>
      <c r="E422" s="8">
        <v>8.41099</v>
      </c>
      <c r="F422" s="8">
        <v>83.314139999999995</v>
      </c>
      <c r="G422" s="22">
        <v>50</v>
      </c>
      <c r="H422" s="22">
        <v>8</v>
      </c>
      <c r="I422" s="10">
        <f t="shared" si="127"/>
        <v>12.473321948616089</v>
      </c>
      <c r="J422" s="10">
        <f t="shared" si="128"/>
        <v>0.21770053666462572</v>
      </c>
      <c r="K422" s="10">
        <v>21</v>
      </c>
      <c r="L422" s="22">
        <v>1857</v>
      </c>
      <c r="M422" s="31" t="s">
        <v>54</v>
      </c>
      <c r="N422" s="7" t="s">
        <v>55</v>
      </c>
      <c r="O422" s="33" t="s">
        <v>56</v>
      </c>
      <c r="P422" s="33" t="s">
        <v>57</v>
      </c>
      <c r="Q422" s="38">
        <v>0.315</v>
      </c>
      <c r="R422" s="7" t="s">
        <v>66</v>
      </c>
      <c r="S422" s="29">
        <f>AVERAGE(14.5,14.2)</f>
        <v>14.35</v>
      </c>
      <c r="T422" s="79">
        <f t="shared" si="122"/>
        <v>1.6173153150000001E-2</v>
      </c>
      <c r="U422" s="22">
        <v>13</v>
      </c>
      <c r="V422" s="22">
        <v>69</v>
      </c>
      <c r="W422" s="10">
        <f t="shared" si="123"/>
        <v>1.2042771838760873</v>
      </c>
      <c r="X422" s="22">
        <v>5</v>
      </c>
      <c r="Y422" s="22">
        <v>15</v>
      </c>
      <c r="Z422" s="10">
        <f t="shared" si="124"/>
        <v>0.26179938779914941</v>
      </c>
      <c r="AA422" s="10">
        <f t="shared" si="129"/>
        <v>13.430640769976225</v>
      </c>
      <c r="AB422" s="10">
        <f t="shared" si="126"/>
        <v>45.036656892047169</v>
      </c>
      <c r="AC422" s="10">
        <f t="shared" si="115"/>
        <v>5.6295821115058962</v>
      </c>
      <c r="AD422" s="10">
        <f t="shared" si="119"/>
        <v>22.518328446023585</v>
      </c>
      <c r="AE422" s="65"/>
      <c r="AF422" s="10">
        <f t="shared" si="120"/>
        <v>45.499951076032211</v>
      </c>
      <c r="AG422" s="8">
        <f t="shared" si="116"/>
        <v>8.872490459826281</v>
      </c>
      <c r="AH422" s="10">
        <f t="shared" si="117"/>
        <v>22.749975538016106</v>
      </c>
      <c r="AI422" s="63"/>
      <c r="AJ422" s="10">
        <f t="shared" si="121"/>
        <v>73.904099999999985</v>
      </c>
      <c r="AK422" s="8"/>
      <c r="AL422" s="8">
        <f t="shared" si="118"/>
        <v>36.952049999999993</v>
      </c>
    </row>
    <row r="423" spans="1:38">
      <c r="A423" s="18">
        <v>41464</v>
      </c>
      <c r="B423" s="19" t="s">
        <v>119</v>
      </c>
      <c r="C423" s="27">
        <v>50.11</v>
      </c>
      <c r="D423" s="19" t="s">
        <v>80</v>
      </c>
      <c r="E423" s="8">
        <v>8.41099</v>
      </c>
      <c r="F423" s="8">
        <v>83.314139999999995</v>
      </c>
      <c r="G423" s="22">
        <v>50</v>
      </c>
      <c r="H423" s="22">
        <v>8</v>
      </c>
      <c r="I423" s="10">
        <f t="shared" si="127"/>
        <v>12.473321948616089</v>
      </c>
      <c r="J423" s="10">
        <f t="shared" si="128"/>
        <v>0.21770053666462572</v>
      </c>
      <c r="K423" s="10">
        <v>21</v>
      </c>
      <c r="L423" s="22">
        <v>1858</v>
      </c>
      <c r="M423" s="31" t="s">
        <v>54</v>
      </c>
      <c r="N423" s="7" t="s">
        <v>55</v>
      </c>
      <c r="O423" s="33" t="s">
        <v>56</v>
      </c>
      <c r="P423" s="33" t="s">
        <v>57</v>
      </c>
      <c r="Q423" s="38">
        <v>0.315</v>
      </c>
      <c r="R423" s="7" t="s">
        <v>66</v>
      </c>
      <c r="S423" s="29">
        <f>AVERAGE(8.4,7.7)</f>
        <v>8.0500000000000007</v>
      </c>
      <c r="T423" s="79">
        <f t="shared" si="122"/>
        <v>5.0895883500000011E-3</v>
      </c>
      <c r="U423" s="22">
        <v>10</v>
      </c>
      <c r="V423" s="22">
        <v>40</v>
      </c>
      <c r="W423" s="10">
        <f t="shared" si="123"/>
        <v>0.69813170079773179</v>
      </c>
      <c r="X423" s="22">
        <v>10</v>
      </c>
      <c r="Y423" s="22">
        <v>10</v>
      </c>
      <c r="Z423" s="10">
        <f t="shared" si="124"/>
        <v>0.17453292519943295</v>
      </c>
      <c r="AA423" s="10">
        <f t="shared" si="129"/>
        <v>8.164357873534696</v>
      </c>
      <c r="AB423" s="10">
        <f t="shared" si="126"/>
        <v>9.5142948921017041</v>
      </c>
      <c r="AC423" s="10">
        <f t="shared" si="115"/>
        <v>1.189286861512713</v>
      </c>
      <c r="AD423" s="10">
        <f t="shared" si="119"/>
        <v>4.757147446050852</v>
      </c>
      <c r="AE423" s="65"/>
      <c r="AF423" s="10">
        <f t="shared" si="120"/>
        <v>10.815282050187985</v>
      </c>
      <c r="AG423" s="8">
        <f t="shared" si="116"/>
        <v>2.1089799997866572</v>
      </c>
      <c r="AH423" s="10">
        <f t="shared" si="117"/>
        <v>5.4076410250939926</v>
      </c>
      <c r="AI423" s="63"/>
      <c r="AJ423" s="10">
        <f t="shared" si="121"/>
        <v>13.279200000000003</v>
      </c>
      <c r="AK423" s="8"/>
      <c r="AL423" s="8">
        <f t="shared" si="118"/>
        <v>6.6396000000000015</v>
      </c>
    </row>
    <row r="424" spans="1:38">
      <c r="A424" s="18">
        <v>41464</v>
      </c>
      <c r="B424" s="19" t="s">
        <v>119</v>
      </c>
      <c r="C424" s="27">
        <v>50.11</v>
      </c>
      <c r="D424" s="19" t="s">
        <v>80</v>
      </c>
      <c r="E424" s="8">
        <v>8.41099</v>
      </c>
      <c r="F424" s="8">
        <v>83.314139999999995</v>
      </c>
      <c r="G424" s="22">
        <v>50</v>
      </c>
      <c r="H424" s="22">
        <v>8</v>
      </c>
      <c r="I424" s="10">
        <f t="shared" si="127"/>
        <v>12.473321948616089</v>
      </c>
      <c r="J424" s="10">
        <f t="shared" si="128"/>
        <v>0.21770053666462572</v>
      </c>
      <c r="K424" s="10">
        <v>21</v>
      </c>
      <c r="L424" s="22">
        <v>1856</v>
      </c>
      <c r="M424" s="31" t="s">
        <v>96</v>
      </c>
      <c r="N424" s="8" t="s">
        <v>69</v>
      </c>
      <c r="O424" s="58" t="s">
        <v>65</v>
      </c>
      <c r="P424" s="10" t="s">
        <v>102</v>
      </c>
      <c r="Q424" s="22">
        <v>0.48</v>
      </c>
      <c r="R424" s="22" t="s">
        <v>190</v>
      </c>
      <c r="S424" s="29">
        <f>AVERAGE(26.5,24.4)</f>
        <v>25.45</v>
      </c>
      <c r="T424" s="79">
        <f t="shared" si="122"/>
        <v>5.087055435E-2</v>
      </c>
      <c r="U424" s="22">
        <v>11</v>
      </c>
      <c r="V424" s="22">
        <v>50</v>
      </c>
      <c r="W424" s="10">
        <f t="shared" si="123"/>
        <v>0.87266462599716477</v>
      </c>
      <c r="X424" s="22">
        <v>9</v>
      </c>
      <c r="Y424" s="22">
        <v>8</v>
      </c>
      <c r="Z424" s="10">
        <f t="shared" si="124"/>
        <v>0.13962634015954636</v>
      </c>
      <c r="AA424" s="10">
        <f t="shared" si="129"/>
        <v>9.6790467829493458</v>
      </c>
      <c r="AB424" s="10">
        <f t="shared" si="126"/>
        <v>144.41229072386199</v>
      </c>
      <c r="AC424" s="10">
        <f t="shared" si="115"/>
        <v>18.051536340482748</v>
      </c>
      <c r="AD424" s="10">
        <f t="shared" si="119"/>
        <v>72.206145361930993</v>
      </c>
      <c r="AE424" s="65"/>
      <c r="AF424" s="10">
        <f t="shared" si="120"/>
        <v>284.71481038909093</v>
      </c>
      <c r="AG424" s="8">
        <f t="shared" si="116"/>
        <v>55.519388025872736</v>
      </c>
      <c r="AH424" s="10">
        <f t="shared" si="117"/>
        <v>142.35740519454546</v>
      </c>
      <c r="AI424" s="63"/>
      <c r="AJ424" s="10">
        <f t="shared" si="121"/>
        <v>323.64300000000003</v>
      </c>
      <c r="AK424" s="8"/>
      <c r="AL424" s="8">
        <f t="shared" si="118"/>
        <v>161.82150000000001</v>
      </c>
    </row>
    <row r="425" spans="1:38">
      <c r="A425" s="18">
        <v>41464</v>
      </c>
      <c r="B425" s="19" t="s">
        <v>119</v>
      </c>
      <c r="C425" s="27">
        <v>50.11</v>
      </c>
      <c r="D425" s="19" t="s">
        <v>80</v>
      </c>
      <c r="E425" s="8">
        <v>8.41099</v>
      </c>
      <c r="F425" s="8">
        <v>83.314139999999995</v>
      </c>
      <c r="G425" s="22">
        <v>50</v>
      </c>
      <c r="H425" s="22">
        <v>8</v>
      </c>
      <c r="I425" s="10">
        <f t="shared" si="127"/>
        <v>12.473321948616089</v>
      </c>
      <c r="J425" s="10">
        <f t="shared" si="128"/>
        <v>0.21770053666462572</v>
      </c>
      <c r="K425" s="10">
        <v>21</v>
      </c>
      <c r="L425" s="22">
        <v>1855</v>
      </c>
      <c r="M425" s="31" t="s">
        <v>96</v>
      </c>
      <c r="N425" s="8" t="s">
        <v>69</v>
      </c>
      <c r="O425" s="58" t="s">
        <v>65</v>
      </c>
      <c r="P425" s="10" t="s">
        <v>102</v>
      </c>
      <c r="Q425" s="22">
        <v>0.48</v>
      </c>
      <c r="R425" s="22" t="s">
        <v>190</v>
      </c>
      <c r="S425" s="29">
        <f>AVERAGE(13.5,13.1)</f>
        <v>13.3</v>
      </c>
      <c r="T425" s="79">
        <f t="shared" si="122"/>
        <v>1.3892940600000002E-2</v>
      </c>
      <c r="U425" s="22">
        <v>11</v>
      </c>
      <c r="V425" s="22">
        <v>50</v>
      </c>
      <c r="W425" s="10">
        <f t="shared" si="123"/>
        <v>0.87266462599716477</v>
      </c>
      <c r="X425" s="22">
        <v>8</v>
      </c>
      <c r="Y425" s="22">
        <v>13</v>
      </c>
      <c r="Z425" s="10">
        <f t="shared" si="124"/>
        <v>0.22689280275926285</v>
      </c>
      <c r="AA425" s="10">
        <f t="shared" si="129"/>
        <v>10.226097309059679</v>
      </c>
      <c r="AB425" s="10">
        <f t="shared" si="126"/>
        <v>44.894888283406871</v>
      </c>
      <c r="AC425" s="10">
        <f t="shared" si="115"/>
        <v>5.6118610354258589</v>
      </c>
      <c r="AD425" s="10">
        <f t="shared" si="119"/>
        <v>22.447444141703436</v>
      </c>
      <c r="AE425" s="65"/>
      <c r="AF425" s="10">
        <f t="shared" si="120"/>
        <v>57.399657411396788</v>
      </c>
      <c r="AG425" s="8">
        <f t="shared" si="116"/>
        <v>11.192933195222373</v>
      </c>
      <c r="AH425" s="10">
        <f t="shared" si="117"/>
        <v>28.699828705698394</v>
      </c>
      <c r="AI425" s="63"/>
      <c r="AJ425" s="10">
        <f t="shared" si="121"/>
        <v>59.720700000000008</v>
      </c>
      <c r="AK425" s="8"/>
      <c r="AL425" s="8">
        <f t="shared" si="118"/>
        <v>29.860350000000004</v>
      </c>
    </row>
    <row r="426" spans="1:38">
      <c r="A426" s="18">
        <v>41464</v>
      </c>
      <c r="B426" s="19" t="s">
        <v>119</v>
      </c>
      <c r="C426" s="27">
        <v>50.11</v>
      </c>
      <c r="D426" s="19" t="s">
        <v>80</v>
      </c>
      <c r="E426" s="8">
        <v>8.41099</v>
      </c>
      <c r="F426" s="8">
        <v>83.314139999999995</v>
      </c>
      <c r="G426" s="22">
        <v>50</v>
      </c>
      <c r="H426" s="22">
        <v>8</v>
      </c>
      <c r="I426" s="10">
        <f t="shared" si="127"/>
        <v>12.473321948616089</v>
      </c>
      <c r="J426" s="10">
        <f t="shared" si="128"/>
        <v>0.21770053666462572</v>
      </c>
      <c r="K426" s="10">
        <v>21</v>
      </c>
      <c r="L426" s="22">
        <v>1854</v>
      </c>
      <c r="M426" s="31" t="s">
        <v>39</v>
      </c>
      <c r="N426" s="8" t="s">
        <v>69</v>
      </c>
      <c r="O426" s="10" t="s">
        <v>65</v>
      </c>
      <c r="P426" s="10" t="s">
        <v>70</v>
      </c>
      <c r="Q426" s="8">
        <v>0.37</v>
      </c>
      <c r="R426" s="8" t="s">
        <v>71</v>
      </c>
      <c r="S426" s="29">
        <f>AVERAGE(7.8,9)</f>
        <v>8.4</v>
      </c>
      <c r="T426" s="79">
        <f t="shared" si="122"/>
        <v>5.5417824000000004E-3</v>
      </c>
      <c r="U426" s="22">
        <v>9</v>
      </c>
      <c r="V426" s="22">
        <v>58</v>
      </c>
      <c r="W426" s="10">
        <f t="shared" si="123"/>
        <v>1.0122909661567112</v>
      </c>
      <c r="X426" s="22">
        <v>6</v>
      </c>
      <c r="Y426" s="22">
        <v>15</v>
      </c>
      <c r="Z426" s="10">
        <f t="shared" si="124"/>
        <v>0.26179938779914941</v>
      </c>
      <c r="AA426" s="10">
        <f t="shared" si="129"/>
        <v>9.1853471360229584</v>
      </c>
      <c r="AB426" s="10">
        <f t="shared" si="126"/>
        <v>13.394491753895108</v>
      </c>
      <c r="AC426" s="10">
        <f t="shared" si="115"/>
        <v>1.6743114692368886</v>
      </c>
      <c r="AD426" s="10">
        <f t="shared" si="119"/>
        <v>6.6972458769475542</v>
      </c>
      <c r="AE426" s="65"/>
      <c r="AF426" s="10">
        <f t="shared" si="120"/>
        <v>14.116647861656185</v>
      </c>
      <c r="AG426" s="8">
        <f t="shared" si="116"/>
        <v>2.752746333022956</v>
      </c>
      <c r="AH426" s="10">
        <f t="shared" si="117"/>
        <v>7.0583239308280925</v>
      </c>
      <c r="AI426" s="63"/>
      <c r="AJ426" s="10">
        <f t="shared" si="121"/>
        <v>15.106199999999987</v>
      </c>
      <c r="AK426" s="8"/>
      <c r="AL426" s="8">
        <f t="shared" si="118"/>
        <v>7.5530999999999935</v>
      </c>
    </row>
    <row r="427" spans="1:38">
      <c r="A427" s="18">
        <v>41464</v>
      </c>
      <c r="B427" s="19" t="s">
        <v>119</v>
      </c>
      <c r="C427" s="27">
        <v>50.11</v>
      </c>
      <c r="D427" s="19" t="s">
        <v>80</v>
      </c>
      <c r="E427" s="8">
        <v>8.41099</v>
      </c>
      <c r="F427" s="8">
        <v>83.314139999999995</v>
      </c>
      <c r="G427" s="22">
        <v>50</v>
      </c>
      <c r="H427" s="22">
        <v>8</v>
      </c>
      <c r="I427" s="10">
        <f t="shared" si="127"/>
        <v>12.473321948616089</v>
      </c>
      <c r="J427" s="10">
        <f t="shared" si="128"/>
        <v>0.21770053666462572</v>
      </c>
      <c r="K427" s="10">
        <v>21</v>
      </c>
      <c r="L427" s="22">
        <v>1853</v>
      </c>
      <c r="M427" s="31" t="s">
        <v>36</v>
      </c>
      <c r="N427" s="8" t="s">
        <v>46</v>
      </c>
      <c r="O427" s="10" t="s">
        <v>37</v>
      </c>
      <c r="P427" s="10" t="s">
        <v>38</v>
      </c>
      <c r="Q427" s="11">
        <v>0.48</v>
      </c>
      <c r="R427" s="8" t="s">
        <v>60</v>
      </c>
      <c r="S427" s="29">
        <f>AVERAGE(15.5,14.5)</f>
        <v>15</v>
      </c>
      <c r="T427" s="79">
        <f t="shared" si="122"/>
        <v>1.76715E-2</v>
      </c>
      <c r="U427" s="22">
        <v>7</v>
      </c>
      <c r="V427" s="22">
        <v>45</v>
      </c>
      <c r="W427" s="10">
        <f t="shared" si="123"/>
        <v>0.78539816339744828</v>
      </c>
      <c r="X427" s="22">
        <v>8</v>
      </c>
      <c r="Y427" s="22">
        <v>15</v>
      </c>
      <c r="Z427" s="10">
        <f t="shared" si="124"/>
        <v>0.26179938779914941</v>
      </c>
      <c r="AA427" s="10">
        <f t="shared" si="129"/>
        <v>7.0202998291259977</v>
      </c>
      <c r="AB427" s="10">
        <f t="shared" si="126"/>
        <v>39.523406809635638</v>
      </c>
      <c r="AC427" s="10">
        <f t="shared" si="115"/>
        <v>4.9404258512044548</v>
      </c>
      <c r="AD427" s="10">
        <f t="shared" si="119"/>
        <v>19.761703404817819</v>
      </c>
      <c r="AE427" s="65"/>
      <c r="AF427" s="10">
        <f t="shared" si="120"/>
        <v>77.397761628684378</v>
      </c>
      <c r="AG427" s="8">
        <f t="shared" si="116"/>
        <v>15.092563517593454</v>
      </c>
      <c r="AH427" s="10">
        <f t="shared" si="117"/>
        <v>38.698880814342189</v>
      </c>
      <c r="AI427" s="63"/>
      <c r="AJ427" s="10">
        <f t="shared" si="121"/>
        <v>83.501999999999995</v>
      </c>
      <c r="AK427" s="8"/>
      <c r="AL427" s="8">
        <f t="shared" si="118"/>
        <v>41.750999999999998</v>
      </c>
    </row>
    <row r="428" spans="1:38">
      <c r="A428" s="18">
        <v>41464</v>
      </c>
      <c r="B428" s="19" t="s">
        <v>119</v>
      </c>
      <c r="C428" s="27">
        <v>50.11</v>
      </c>
      <c r="D428" s="19" t="s">
        <v>80</v>
      </c>
      <c r="E428" s="8">
        <v>8.41099</v>
      </c>
      <c r="F428" s="8">
        <v>83.314139999999995</v>
      </c>
      <c r="G428" s="22">
        <v>50</v>
      </c>
      <c r="H428" s="22">
        <v>8</v>
      </c>
      <c r="I428" s="10">
        <f t="shared" si="127"/>
        <v>12.473321948616089</v>
      </c>
      <c r="J428" s="10">
        <f t="shared" si="128"/>
        <v>0.21770053666462572</v>
      </c>
      <c r="K428" s="10">
        <v>21</v>
      </c>
      <c r="L428" s="22">
        <v>1852</v>
      </c>
      <c r="M428" s="31" t="s">
        <v>54</v>
      </c>
      <c r="N428" s="7" t="s">
        <v>55</v>
      </c>
      <c r="O428" s="33" t="s">
        <v>56</v>
      </c>
      <c r="P428" s="33" t="s">
        <v>57</v>
      </c>
      <c r="Q428" s="38">
        <v>0.315</v>
      </c>
      <c r="R428" s="7" t="s">
        <v>66</v>
      </c>
      <c r="S428" s="29">
        <f>AVERAGE(16.4,20.9)</f>
        <v>18.649999999999999</v>
      </c>
      <c r="T428" s="79">
        <f t="shared" si="122"/>
        <v>2.7317979149999998E-2</v>
      </c>
      <c r="U428" s="22">
        <v>15</v>
      </c>
      <c r="V428" s="22">
        <v>78</v>
      </c>
      <c r="W428" s="10">
        <f t="shared" si="123"/>
        <v>1.3613568165555769</v>
      </c>
      <c r="X428" s="22">
        <v>5</v>
      </c>
      <c r="Y428" s="22">
        <v>15</v>
      </c>
      <c r="Z428" s="10">
        <f t="shared" si="124"/>
        <v>0.26179938779914941</v>
      </c>
      <c r="AA428" s="10">
        <f t="shared" si="129"/>
        <v>15.966309236519688</v>
      </c>
      <c r="AB428" s="10">
        <f t="shared" si="126"/>
        <v>86.728556488326305</v>
      </c>
      <c r="AC428" s="10">
        <f t="shared" si="115"/>
        <v>10.841069561040788</v>
      </c>
      <c r="AD428" s="10">
        <f t="shared" si="119"/>
        <v>43.364278244163152</v>
      </c>
      <c r="AE428" s="65"/>
      <c r="AF428" s="10">
        <f t="shared" si="120"/>
        <v>87.113619233842542</v>
      </c>
      <c r="AG428" s="8">
        <f t="shared" si="116"/>
        <v>16.987155750599296</v>
      </c>
      <c r="AH428" s="10">
        <f t="shared" si="117"/>
        <v>43.556809616921271</v>
      </c>
      <c r="AI428" s="63"/>
      <c r="AJ428" s="10">
        <f t="shared" si="121"/>
        <v>149.01219999999992</v>
      </c>
      <c r="AK428" s="8"/>
      <c r="AL428" s="8">
        <f t="shared" si="118"/>
        <v>74.506099999999961</v>
      </c>
    </row>
    <row r="429" spans="1:38">
      <c r="A429" s="18">
        <v>41464</v>
      </c>
      <c r="B429" s="19" t="s">
        <v>119</v>
      </c>
      <c r="C429" s="27">
        <v>50.11</v>
      </c>
      <c r="D429" s="19" t="s">
        <v>80</v>
      </c>
      <c r="E429" s="8">
        <v>8.41099</v>
      </c>
      <c r="F429" s="8">
        <v>83.314139999999995</v>
      </c>
      <c r="G429" s="22">
        <v>50</v>
      </c>
      <c r="H429" s="22">
        <v>8</v>
      </c>
      <c r="I429" s="10">
        <f t="shared" si="127"/>
        <v>12.473321948616089</v>
      </c>
      <c r="J429" s="10">
        <f t="shared" si="128"/>
        <v>0.21770053666462572</v>
      </c>
      <c r="K429" s="10">
        <v>21</v>
      </c>
      <c r="L429" s="22">
        <v>1851</v>
      </c>
      <c r="M429" s="31" t="s">
        <v>39</v>
      </c>
      <c r="N429" s="8" t="s">
        <v>69</v>
      </c>
      <c r="O429" s="10" t="s">
        <v>65</v>
      </c>
      <c r="P429" s="10" t="s">
        <v>70</v>
      </c>
      <c r="Q429" s="8">
        <v>0.37</v>
      </c>
      <c r="R429" s="8" t="s">
        <v>71</v>
      </c>
      <c r="S429" s="29">
        <f>AVERAGE(7.1,6.9)</f>
        <v>7</v>
      </c>
      <c r="T429" s="79">
        <f t="shared" si="122"/>
        <v>3.8484600000000002E-3</v>
      </c>
      <c r="U429" s="22">
        <v>7</v>
      </c>
      <c r="V429" s="22">
        <v>45</v>
      </c>
      <c r="W429" s="10">
        <f t="shared" si="123"/>
        <v>0.78539816339744828</v>
      </c>
      <c r="X429" s="22">
        <v>7</v>
      </c>
      <c r="Y429" s="22">
        <v>25</v>
      </c>
      <c r="Z429" s="10">
        <f t="shared" si="124"/>
        <v>0.43633231299858238</v>
      </c>
      <c r="AA429" s="10">
        <f t="shared" si="129"/>
        <v>7.9080753004907276</v>
      </c>
      <c r="AB429" s="10">
        <f t="shared" si="126"/>
        <v>8.2592803015696816</v>
      </c>
      <c r="AC429" s="10">
        <f t="shared" si="115"/>
        <v>1.0324100376962102</v>
      </c>
      <c r="AD429" s="10">
        <f t="shared" si="119"/>
        <v>4.1296401507848408</v>
      </c>
      <c r="AE429" s="65"/>
      <c r="AF429" s="10">
        <f t="shared" si="120"/>
        <v>8.9927555754854769</v>
      </c>
      <c r="AG429" s="8">
        <f t="shared" si="116"/>
        <v>1.753587337219668</v>
      </c>
      <c r="AH429" s="10">
        <f t="shared" si="117"/>
        <v>4.4963777877427384</v>
      </c>
      <c r="AI429" s="63"/>
      <c r="AJ429" s="10">
        <f t="shared" si="121"/>
        <v>8.8859999999999992</v>
      </c>
      <c r="AK429" s="8"/>
      <c r="AL429" s="8">
        <f t="shared" si="118"/>
        <v>4.4429999999999996</v>
      </c>
    </row>
    <row r="430" spans="1:38">
      <c r="A430" s="18">
        <v>41464</v>
      </c>
      <c r="B430" s="19" t="s">
        <v>119</v>
      </c>
      <c r="C430" s="27">
        <v>50.11</v>
      </c>
      <c r="D430" s="19" t="s">
        <v>80</v>
      </c>
      <c r="E430" s="8">
        <v>8.41099</v>
      </c>
      <c r="F430" s="8">
        <v>83.314139999999995</v>
      </c>
      <c r="G430" s="22">
        <v>50</v>
      </c>
      <c r="H430" s="22">
        <v>8</v>
      </c>
      <c r="I430" s="10">
        <f t="shared" si="127"/>
        <v>12.473321948616089</v>
      </c>
      <c r="J430" s="10">
        <f t="shared" si="128"/>
        <v>0.21770053666462572</v>
      </c>
      <c r="K430" s="10">
        <v>21</v>
      </c>
      <c r="L430" s="22">
        <v>1850</v>
      </c>
      <c r="M430" s="31" t="s">
        <v>54</v>
      </c>
      <c r="N430" s="7" t="s">
        <v>55</v>
      </c>
      <c r="O430" s="33" t="s">
        <v>56</v>
      </c>
      <c r="P430" s="33" t="s">
        <v>57</v>
      </c>
      <c r="Q430" s="38">
        <v>0.315</v>
      </c>
      <c r="R430" s="7" t="s">
        <v>66</v>
      </c>
      <c r="S430" s="29">
        <f>AVERAGE(17.5,21.6)</f>
        <v>19.55</v>
      </c>
      <c r="T430" s="79">
        <f t="shared" si="122"/>
        <v>3.0018184350000005E-2</v>
      </c>
      <c r="U430" s="22">
        <v>17</v>
      </c>
      <c r="V430" s="22">
        <v>80</v>
      </c>
      <c r="W430" s="10">
        <f t="shared" ref="W430:W447" si="130">RADIANS(V430)</f>
        <v>1.3962634015954636</v>
      </c>
      <c r="X430" s="22">
        <v>5</v>
      </c>
      <c r="Y430" s="22">
        <v>5</v>
      </c>
      <c r="Z430" s="10">
        <f t="shared" ref="Z430:Z447" si="131">RADIANS(Y430)</f>
        <v>8.7266462599716474E-2</v>
      </c>
      <c r="AA430" s="10">
        <f t="shared" si="129"/>
        <v>17.177510514945826</v>
      </c>
      <c r="AB430" s="10">
        <f t="shared" ref="AB430:AB447" si="132">0.0776*(Q430*S430^2*AA430)^0.94</f>
        <v>101.50610505571457</v>
      </c>
      <c r="AC430" s="10">
        <f t="shared" si="115"/>
        <v>12.688263131964321</v>
      </c>
      <c r="AD430" s="10">
        <f t="shared" si="119"/>
        <v>50.753052527857285</v>
      </c>
      <c r="AE430" s="65"/>
      <c r="AF430" s="10">
        <f t="shared" si="120"/>
        <v>97.857703182128091</v>
      </c>
      <c r="AG430" s="8">
        <f t="shared" si="116"/>
        <v>19.08225212051498</v>
      </c>
      <c r="AH430" s="10">
        <f t="shared" si="117"/>
        <v>48.928851591064046</v>
      </c>
      <c r="AI430" s="63"/>
      <c r="AJ430" s="10">
        <f t="shared" si="121"/>
        <v>168.19570000000002</v>
      </c>
      <c r="AK430" s="8"/>
      <c r="AL430" s="8">
        <f t="shared" si="118"/>
        <v>84.097850000000008</v>
      </c>
    </row>
    <row r="431" spans="1:38">
      <c r="A431" s="18">
        <v>41464</v>
      </c>
      <c r="B431" s="19" t="s">
        <v>119</v>
      </c>
      <c r="C431" s="27">
        <v>50.11</v>
      </c>
      <c r="D431" s="19" t="s">
        <v>80</v>
      </c>
      <c r="E431" s="8">
        <v>8.41099</v>
      </c>
      <c r="F431" s="8">
        <v>83.314139999999995</v>
      </c>
      <c r="G431" s="22">
        <v>50</v>
      </c>
      <c r="H431" s="22">
        <v>8</v>
      </c>
      <c r="I431" s="10">
        <f t="shared" si="127"/>
        <v>12.473321948616089</v>
      </c>
      <c r="J431" s="10">
        <f t="shared" si="128"/>
        <v>0.21770053666462572</v>
      </c>
      <c r="K431" s="10">
        <v>21</v>
      </c>
      <c r="L431" s="22">
        <v>1847</v>
      </c>
      <c r="M431" s="31" t="s">
        <v>36</v>
      </c>
      <c r="N431" s="8" t="s">
        <v>46</v>
      </c>
      <c r="O431" s="10" t="s">
        <v>37</v>
      </c>
      <c r="P431" s="10" t="s">
        <v>38</v>
      </c>
      <c r="Q431" s="11">
        <v>0.48</v>
      </c>
      <c r="R431" s="8" t="s">
        <v>60</v>
      </c>
      <c r="S431" s="29">
        <f>AVERAGE(16,15.1)</f>
        <v>15.55</v>
      </c>
      <c r="T431" s="79">
        <f t="shared" si="122"/>
        <v>1.899116835E-2</v>
      </c>
      <c r="U431" s="22">
        <v>6</v>
      </c>
      <c r="V431" s="22">
        <v>35</v>
      </c>
      <c r="W431" s="10">
        <f t="shared" si="130"/>
        <v>0.6108652381980153</v>
      </c>
      <c r="X431" s="22">
        <v>5</v>
      </c>
      <c r="Y431" s="22">
        <v>15</v>
      </c>
      <c r="Z431" s="10">
        <f t="shared" si="131"/>
        <v>0.26179938779914941</v>
      </c>
      <c r="AA431" s="10">
        <f t="shared" si="129"/>
        <v>4.73555384361888</v>
      </c>
      <c r="AB431" s="10">
        <f t="shared" si="132"/>
        <v>29.209905780521179</v>
      </c>
      <c r="AC431" s="10">
        <f t="shared" si="115"/>
        <v>3.6512382225651474</v>
      </c>
      <c r="AD431" s="10">
        <f t="shared" si="119"/>
        <v>14.60495289026059</v>
      </c>
      <c r="AE431" s="65"/>
      <c r="AF431" s="10">
        <f t="shared" si="120"/>
        <v>84.63431706020603</v>
      </c>
      <c r="AG431" s="8">
        <f t="shared" si="116"/>
        <v>16.503691826740177</v>
      </c>
      <c r="AH431" s="10">
        <f t="shared" si="117"/>
        <v>42.317158530103015</v>
      </c>
      <c r="AI431" s="63"/>
      <c r="AJ431" s="10">
        <f t="shared" si="121"/>
        <v>92.111699999999999</v>
      </c>
      <c r="AK431" s="8"/>
      <c r="AL431" s="8">
        <f t="shared" si="118"/>
        <v>46.05585</v>
      </c>
    </row>
    <row r="432" spans="1:38">
      <c r="A432" s="18">
        <v>41464</v>
      </c>
      <c r="B432" s="19" t="s">
        <v>119</v>
      </c>
      <c r="C432" s="27">
        <v>50.11</v>
      </c>
      <c r="D432" s="19" t="s">
        <v>80</v>
      </c>
      <c r="E432" s="8">
        <v>8.41099</v>
      </c>
      <c r="F432" s="8">
        <v>83.314139999999995</v>
      </c>
      <c r="G432" s="22">
        <v>50</v>
      </c>
      <c r="H432" s="22">
        <v>8</v>
      </c>
      <c r="I432" s="10">
        <f t="shared" si="127"/>
        <v>12.473321948616089</v>
      </c>
      <c r="J432" s="10">
        <f t="shared" si="128"/>
        <v>0.21770053666462572</v>
      </c>
      <c r="K432" s="10">
        <v>21</v>
      </c>
      <c r="L432" s="22">
        <v>1848</v>
      </c>
      <c r="M432" s="49" t="s">
        <v>97</v>
      </c>
      <c r="N432" s="22" t="s">
        <v>99</v>
      </c>
      <c r="O432" s="10" t="s">
        <v>99</v>
      </c>
      <c r="P432" s="10" t="s">
        <v>99</v>
      </c>
      <c r="Q432" s="22">
        <v>0.57999999999999996</v>
      </c>
      <c r="R432" s="22" t="s">
        <v>103</v>
      </c>
      <c r="S432" s="29">
        <f>AVERAGE(20.1,17.5)</f>
        <v>18.8</v>
      </c>
      <c r="T432" s="79">
        <f t="shared" si="122"/>
        <v>2.7759177600000004E-2</v>
      </c>
      <c r="U432" s="22">
        <v>10</v>
      </c>
      <c r="V432" s="22">
        <v>48</v>
      </c>
      <c r="W432" s="10">
        <f t="shared" si="130"/>
        <v>0.83775804095727824</v>
      </c>
      <c r="X432" s="22">
        <v>5</v>
      </c>
      <c r="Y432" s="22">
        <v>15</v>
      </c>
      <c r="Z432" s="10">
        <f t="shared" si="131"/>
        <v>0.26179938779914941</v>
      </c>
      <c r="AA432" s="10">
        <f t="shared" si="129"/>
        <v>8.7255434802865466</v>
      </c>
      <c r="AB432" s="10">
        <f t="shared" si="132"/>
        <v>88.56165617308406</v>
      </c>
      <c r="AC432" s="10">
        <f t="shared" si="115"/>
        <v>11.070207021635508</v>
      </c>
      <c r="AD432" s="10">
        <f t="shared" si="119"/>
        <v>44.28082808654203</v>
      </c>
      <c r="AE432" s="65"/>
      <c r="AF432" s="10">
        <f t="shared" si="120"/>
        <v>163.60414741559043</v>
      </c>
      <c r="AG432" s="8">
        <f t="shared" si="116"/>
        <v>31.902808746040137</v>
      </c>
      <c r="AH432" s="10">
        <f t="shared" si="117"/>
        <v>81.802073707795216</v>
      </c>
      <c r="AI432" s="63"/>
      <c r="AJ432" s="10">
        <f t="shared" si="121"/>
        <v>152.12620000000001</v>
      </c>
      <c r="AK432" s="8"/>
      <c r="AL432" s="8">
        <f t="shared" si="118"/>
        <v>76.063100000000006</v>
      </c>
    </row>
    <row r="433" spans="1:38">
      <c r="A433" s="18">
        <v>41464</v>
      </c>
      <c r="B433" s="19" t="s">
        <v>119</v>
      </c>
      <c r="C433" s="27">
        <v>50.11</v>
      </c>
      <c r="D433" s="19" t="s">
        <v>80</v>
      </c>
      <c r="E433" s="8">
        <v>8.41099</v>
      </c>
      <c r="F433" s="8">
        <v>83.314139999999995</v>
      </c>
      <c r="G433" s="22">
        <v>50</v>
      </c>
      <c r="H433" s="22">
        <v>8</v>
      </c>
      <c r="I433" s="10">
        <f t="shared" si="127"/>
        <v>12.473321948616089</v>
      </c>
      <c r="J433" s="10">
        <f t="shared" si="128"/>
        <v>0.21770053666462572</v>
      </c>
      <c r="K433" s="10">
        <v>21</v>
      </c>
      <c r="L433" s="22">
        <v>1849</v>
      </c>
      <c r="M433" s="49" t="s">
        <v>97</v>
      </c>
      <c r="N433" s="22" t="s">
        <v>99</v>
      </c>
      <c r="O433" s="10" t="s">
        <v>99</v>
      </c>
      <c r="P433" s="10" t="s">
        <v>99</v>
      </c>
      <c r="Q433" s="22">
        <v>0.57999999999999996</v>
      </c>
      <c r="R433" s="22" t="s">
        <v>103</v>
      </c>
      <c r="S433" s="29">
        <f>AVERAGE(22.7,26.7)</f>
        <v>24.7</v>
      </c>
      <c r="T433" s="79">
        <f t="shared" si="122"/>
        <v>4.7916468599999998E-2</v>
      </c>
      <c r="U433" s="22">
        <v>9</v>
      </c>
      <c r="V433" s="22">
        <v>40</v>
      </c>
      <c r="W433" s="10">
        <f t="shared" si="130"/>
        <v>0.69813170079773179</v>
      </c>
      <c r="X433" s="22">
        <v>5</v>
      </c>
      <c r="Y433" s="22">
        <v>15</v>
      </c>
      <c r="Z433" s="10">
        <f t="shared" si="131"/>
        <v>0.26179938779914941</v>
      </c>
      <c r="AA433" s="10">
        <f t="shared" si="129"/>
        <v>7.0791837126914574</v>
      </c>
      <c r="AB433" s="10">
        <f t="shared" si="132"/>
        <v>121.54539217888087</v>
      </c>
      <c r="AC433" s="10">
        <f t="shared" si="115"/>
        <v>15.193174022360109</v>
      </c>
      <c r="AD433" s="10">
        <f t="shared" si="119"/>
        <v>60.772696089440437</v>
      </c>
      <c r="AE433" s="65"/>
      <c r="AF433" s="10">
        <f t="shared" si="120"/>
        <v>319.82682993777797</v>
      </c>
      <c r="AG433" s="8">
        <f t="shared" si="116"/>
        <v>62.366231837866707</v>
      </c>
      <c r="AH433" s="10">
        <f t="shared" si="117"/>
        <v>159.91341496888899</v>
      </c>
      <c r="AI433" s="63"/>
      <c r="AJ433" s="10">
        <f t="shared" si="121"/>
        <v>301.02449999999988</v>
      </c>
      <c r="AK433" s="8"/>
      <c r="AL433" s="8">
        <f t="shared" si="118"/>
        <v>150.51224999999994</v>
      </c>
    </row>
    <row r="434" spans="1:38">
      <c r="A434" s="18">
        <v>41464</v>
      </c>
      <c r="B434" s="19" t="s">
        <v>119</v>
      </c>
      <c r="C434" s="27">
        <v>50.11</v>
      </c>
      <c r="D434" s="19" t="s">
        <v>80</v>
      </c>
      <c r="E434" s="8">
        <v>8.41099</v>
      </c>
      <c r="F434" s="8">
        <v>83.314139999999995</v>
      </c>
      <c r="G434" s="22">
        <v>50</v>
      </c>
      <c r="H434" s="22">
        <v>8</v>
      </c>
      <c r="I434" s="10">
        <f t="shared" si="127"/>
        <v>12.473321948616089</v>
      </c>
      <c r="J434" s="10">
        <f t="shared" si="128"/>
        <v>0.21770053666462572</v>
      </c>
      <c r="K434" s="10">
        <v>21</v>
      </c>
      <c r="L434" s="22">
        <v>1846</v>
      </c>
      <c r="M434" s="31" t="s">
        <v>54</v>
      </c>
      <c r="N434" s="7" t="s">
        <v>55</v>
      </c>
      <c r="O434" s="33" t="s">
        <v>56</v>
      </c>
      <c r="P434" s="33" t="s">
        <v>57</v>
      </c>
      <c r="Q434" s="38">
        <v>0.315</v>
      </c>
      <c r="R434" s="7" t="s">
        <v>66</v>
      </c>
      <c r="S434" s="29">
        <f>AVERAGE(15.9,14.1)</f>
        <v>15</v>
      </c>
      <c r="T434" s="79">
        <f t="shared" si="122"/>
        <v>1.76715E-2</v>
      </c>
      <c r="U434" s="22">
        <v>10</v>
      </c>
      <c r="V434" s="22">
        <v>64</v>
      </c>
      <c r="W434" s="10">
        <f t="shared" si="130"/>
        <v>1.1170107212763709</v>
      </c>
      <c r="X434" s="22">
        <v>5</v>
      </c>
      <c r="Y434" s="22">
        <v>13</v>
      </c>
      <c r="Z434" s="10">
        <f t="shared" si="131"/>
        <v>0.22689280275926285</v>
      </c>
      <c r="AA434" s="10">
        <f t="shared" si="129"/>
        <v>10.112695734710995</v>
      </c>
      <c r="AB434" s="10">
        <f t="shared" si="132"/>
        <v>37.488678629220722</v>
      </c>
      <c r="AC434" s="10">
        <f t="shared" si="115"/>
        <v>4.6860848286525902</v>
      </c>
      <c r="AD434" s="10">
        <f t="shared" si="119"/>
        <v>18.744339314610361</v>
      </c>
      <c r="AE434" s="65"/>
      <c r="AF434" s="10">
        <f t="shared" si="120"/>
        <v>50.792281068824124</v>
      </c>
      <c r="AG434" s="8">
        <f t="shared" si="116"/>
        <v>9.9044948084207043</v>
      </c>
      <c r="AH434" s="10">
        <f t="shared" si="117"/>
        <v>25.396140534412062</v>
      </c>
      <c r="AI434" s="63"/>
      <c r="AJ434" s="10">
        <f t="shared" si="121"/>
        <v>83.501999999999995</v>
      </c>
      <c r="AK434" s="8"/>
      <c r="AL434" s="8">
        <f t="shared" si="118"/>
        <v>41.750999999999998</v>
      </c>
    </row>
    <row r="435" spans="1:38">
      <c r="A435" s="18">
        <v>41464</v>
      </c>
      <c r="B435" s="19" t="s">
        <v>119</v>
      </c>
      <c r="C435" s="27">
        <v>50.11</v>
      </c>
      <c r="D435" s="19" t="s">
        <v>80</v>
      </c>
      <c r="E435" s="8">
        <v>8.41099</v>
      </c>
      <c r="F435" s="8">
        <v>83.314139999999995</v>
      </c>
      <c r="G435" s="22">
        <v>50</v>
      </c>
      <c r="H435" s="22">
        <v>8</v>
      </c>
      <c r="I435" s="10">
        <f t="shared" si="127"/>
        <v>12.473321948616089</v>
      </c>
      <c r="J435" s="10">
        <f t="shared" si="128"/>
        <v>0.21770053666462572</v>
      </c>
      <c r="K435" s="10">
        <v>21</v>
      </c>
      <c r="L435" s="22">
        <v>1844</v>
      </c>
      <c r="M435" s="31" t="s">
        <v>39</v>
      </c>
      <c r="N435" s="8" t="s">
        <v>69</v>
      </c>
      <c r="O435" s="10" t="s">
        <v>65</v>
      </c>
      <c r="P435" s="10" t="s">
        <v>70</v>
      </c>
      <c r="Q435" s="8">
        <v>0.37</v>
      </c>
      <c r="R435" s="8" t="s">
        <v>71</v>
      </c>
      <c r="S435" s="29">
        <f>AVERAGE(8.7,8.9)</f>
        <v>8.8000000000000007</v>
      </c>
      <c r="T435" s="79">
        <f t="shared" si="122"/>
        <v>6.0821376000000016E-3</v>
      </c>
      <c r="U435" s="22">
        <v>8</v>
      </c>
      <c r="V435" s="22">
        <v>42</v>
      </c>
      <c r="W435" s="10">
        <f t="shared" si="130"/>
        <v>0.73303828583761843</v>
      </c>
      <c r="X435" s="22">
        <v>6</v>
      </c>
      <c r="Y435" s="22">
        <v>13</v>
      </c>
      <c r="Z435" s="10">
        <f t="shared" si="131"/>
        <v>0.22689280275926285</v>
      </c>
      <c r="AA435" s="10">
        <f t="shared" si="129"/>
        <v>6.702751176934056</v>
      </c>
      <c r="AB435" s="10">
        <f t="shared" si="132"/>
        <v>10.871179764745778</v>
      </c>
      <c r="AC435" s="10">
        <f t="shared" si="115"/>
        <v>1.3588974705932222</v>
      </c>
      <c r="AD435" s="10">
        <f t="shared" si="119"/>
        <v>5.4355898823728888</v>
      </c>
      <c r="AE435" s="65"/>
      <c r="AF435" s="10">
        <f t="shared" si="120"/>
        <v>15.843304582086819</v>
      </c>
      <c r="AG435" s="8">
        <f t="shared" si="116"/>
        <v>3.08944439350693</v>
      </c>
      <c r="AH435" s="10">
        <f t="shared" si="117"/>
        <v>7.9216522910434097</v>
      </c>
      <c r="AI435" s="63"/>
      <c r="AJ435" s="10">
        <f t="shared" si="121"/>
        <v>17.416199999999996</v>
      </c>
      <c r="AK435" s="8"/>
      <c r="AL435" s="8">
        <f t="shared" si="118"/>
        <v>8.7080999999999982</v>
      </c>
    </row>
    <row r="436" spans="1:38">
      <c r="A436" s="18">
        <v>41464</v>
      </c>
      <c r="B436" s="19" t="s">
        <v>119</v>
      </c>
      <c r="C436" s="27">
        <v>50.11</v>
      </c>
      <c r="D436" s="19" t="s">
        <v>80</v>
      </c>
      <c r="E436" s="8">
        <v>8.41099</v>
      </c>
      <c r="F436" s="8">
        <v>83.314139999999995</v>
      </c>
      <c r="G436" s="22">
        <v>50</v>
      </c>
      <c r="H436" s="22">
        <v>8</v>
      </c>
      <c r="I436" s="10">
        <f t="shared" si="127"/>
        <v>12.473321948616089</v>
      </c>
      <c r="J436" s="10">
        <f t="shared" si="128"/>
        <v>0.21770053666462572</v>
      </c>
      <c r="K436" s="10">
        <v>21</v>
      </c>
      <c r="L436" s="22">
        <v>1845</v>
      </c>
      <c r="M436" s="22" t="s">
        <v>220</v>
      </c>
      <c r="N436" s="8" t="s">
        <v>46</v>
      </c>
      <c r="O436" s="52" t="s">
        <v>214</v>
      </c>
      <c r="P436" s="52" t="s">
        <v>215</v>
      </c>
      <c r="Q436" s="60">
        <v>0.35</v>
      </c>
      <c r="R436" s="60" t="s">
        <v>190</v>
      </c>
      <c r="S436" s="29">
        <f>AVERAGE(10.8,11.2)</f>
        <v>11</v>
      </c>
      <c r="T436" s="79">
        <f t="shared" si="122"/>
        <v>9.5033400000000007E-3</v>
      </c>
      <c r="U436" s="22">
        <v>11</v>
      </c>
      <c r="V436" s="22">
        <v>50</v>
      </c>
      <c r="W436" s="10">
        <f t="shared" si="130"/>
        <v>0.87266462599716477</v>
      </c>
      <c r="X436" s="22">
        <v>5</v>
      </c>
      <c r="Y436" s="22">
        <v>10</v>
      </c>
      <c r="Z436" s="10">
        <f t="shared" si="131"/>
        <v>0.17453292519943295</v>
      </c>
      <c r="AA436" s="10">
        <f t="shared" si="129"/>
        <v>9.29472976264341</v>
      </c>
      <c r="AB436" s="10">
        <f t="shared" si="132"/>
        <v>21.342559089698554</v>
      </c>
      <c r="AC436" s="10">
        <f t="shared" si="115"/>
        <v>2.6678198862123192</v>
      </c>
      <c r="AD436" s="10">
        <f t="shared" si="119"/>
        <v>10.671279544849277</v>
      </c>
      <c r="AE436" s="65"/>
      <c r="AF436" s="10">
        <f t="shared" si="120"/>
        <v>26.096647762626663</v>
      </c>
      <c r="AG436" s="8">
        <f t="shared" si="116"/>
        <v>5.0888463137121995</v>
      </c>
      <c r="AH436" s="10">
        <f t="shared" si="117"/>
        <v>13.048323881313332</v>
      </c>
      <c r="AI436" s="63"/>
      <c r="AJ436" s="10">
        <f t="shared" si="121"/>
        <v>34.353999999999985</v>
      </c>
      <c r="AK436" s="8"/>
      <c r="AL436" s="8">
        <f t="shared" si="118"/>
        <v>17.176999999999992</v>
      </c>
    </row>
    <row r="437" spans="1:38">
      <c r="A437" s="18">
        <v>41464</v>
      </c>
      <c r="B437" s="19" t="s">
        <v>119</v>
      </c>
      <c r="C437" s="27">
        <v>50.11</v>
      </c>
      <c r="D437" s="19" t="s">
        <v>80</v>
      </c>
      <c r="E437" s="8">
        <v>8.41099</v>
      </c>
      <c r="F437" s="8">
        <v>83.314139999999995</v>
      </c>
      <c r="G437" s="22">
        <v>50</v>
      </c>
      <c r="H437" s="22">
        <v>8</v>
      </c>
      <c r="I437" s="10">
        <f t="shared" si="127"/>
        <v>12.473321948616089</v>
      </c>
      <c r="J437" s="10">
        <f t="shared" si="128"/>
        <v>0.21770053666462572</v>
      </c>
      <c r="K437" s="10">
        <v>21</v>
      </c>
      <c r="L437" s="22">
        <v>1841</v>
      </c>
      <c r="M437" s="49" t="s">
        <v>97</v>
      </c>
      <c r="N437" s="22" t="s">
        <v>99</v>
      </c>
      <c r="O437" s="10" t="s">
        <v>99</v>
      </c>
      <c r="P437" s="10" t="s">
        <v>99</v>
      </c>
      <c r="Q437" s="22">
        <v>0.57999999999999996</v>
      </c>
      <c r="R437" s="22" t="s">
        <v>103</v>
      </c>
      <c r="S437" s="29">
        <f>AVERAGE(6.4,7.1)</f>
        <v>6.75</v>
      </c>
      <c r="T437" s="79">
        <f t="shared" si="122"/>
        <v>3.57847875E-3</v>
      </c>
      <c r="U437" s="22">
        <v>6</v>
      </c>
      <c r="V437" s="22">
        <v>45</v>
      </c>
      <c r="W437" s="10">
        <f t="shared" si="130"/>
        <v>0.78539816339744828</v>
      </c>
      <c r="X437" s="22">
        <v>5</v>
      </c>
      <c r="Y437" s="22">
        <v>20</v>
      </c>
      <c r="Z437" s="10">
        <f t="shared" si="131"/>
        <v>0.3490658503988659</v>
      </c>
      <c r="AA437" s="10">
        <f t="shared" si="129"/>
        <v>5.9527414037476287</v>
      </c>
      <c r="AB437" s="10">
        <f t="shared" si="132"/>
        <v>9.0117497606478931</v>
      </c>
      <c r="AC437" s="10">
        <f t="shared" si="115"/>
        <v>1.1264687200809866</v>
      </c>
      <c r="AD437" s="10">
        <f t="shared" si="119"/>
        <v>4.5058748803239466</v>
      </c>
      <c r="AE437" s="65"/>
      <c r="AF437" s="10">
        <f t="shared" si="120"/>
        <v>12.888113529314612</v>
      </c>
      <c r="AG437" s="8">
        <f t="shared" si="116"/>
        <v>2.5131821382163495</v>
      </c>
      <c r="AH437" s="10">
        <f t="shared" si="117"/>
        <v>6.4440567646573061</v>
      </c>
      <c r="AI437" s="63"/>
      <c r="AJ437" s="10">
        <f t="shared" si="121"/>
        <v>8.0805000000000042</v>
      </c>
      <c r="AK437" s="8"/>
      <c r="AL437" s="8">
        <f t="shared" si="118"/>
        <v>4.0402500000000021</v>
      </c>
    </row>
    <row r="438" spans="1:38">
      <c r="A438" s="18">
        <v>41464</v>
      </c>
      <c r="B438" s="19" t="s">
        <v>119</v>
      </c>
      <c r="C438" s="27">
        <v>50.11</v>
      </c>
      <c r="D438" s="19" t="s">
        <v>80</v>
      </c>
      <c r="E438" s="8">
        <v>8.41099</v>
      </c>
      <c r="F438" s="8">
        <v>83.314139999999995</v>
      </c>
      <c r="G438" s="22">
        <v>50</v>
      </c>
      <c r="H438" s="22">
        <v>8</v>
      </c>
      <c r="I438" s="10">
        <f t="shared" si="127"/>
        <v>12.473321948616089</v>
      </c>
      <c r="J438" s="10">
        <f t="shared" si="128"/>
        <v>0.21770053666462572</v>
      </c>
      <c r="K438" s="10">
        <v>21</v>
      </c>
      <c r="L438" s="22">
        <v>1842</v>
      </c>
      <c r="M438" s="31" t="s">
        <v>130</v>
      </c>
      <c r="N438" s="7" t="s">
        <v>99</v>
      </c>
      <c r="O438" s="33" t="s">
        <v>99</v>
      </c>
      <c r="P438" s="33" t="s">
        <v>99</v>
      </c>
      <c r="Q438" s="7">
        <v>0.57999999999999996</v>
      </c>
      <c r="R438" s="7" t="s">
        <v>103</v>
      </c>
      <c r="S438" s="29">
        <f>AVERAGE(10.7,8.5)</f>
        <v>9.6</v>
      </c>
      <c r="T438" s="79">
        <f t="shared" si="122"/>
        <v>7.2382464000000004E-3</v>
      </c>
      <c r="U438" s="22">
        <v>7</v>
      </c>
      <c r="V438" s="22">
        <v>50</v>
      </c>
      <c r="W438" s="10">
        <f t="shared" si="130"/>
        <v>0.87266462599716477</v>
      </c>
      <c r="X438" s="22">
        <v>6</v>
      </c>
      <c r="Y438" s="22">
        <v>15</v>
      </c>
      <c r="Z438" s="10">
        <f t="shared" si="131"/>
        <v>0.26179938779914941</v>
      </c>
      <c r="AA438" s="10">
        <f t="shared" si="129"/>
        <v>6.9152253724479706</v>
      </c>
      <c r="AB438" s="10">
        <f t="shared" si="132"/>
        <v>20.117402800671577</v>
      </c>
      <c r="AC438" s="10">
        <f t="shared" si="115"/>
        <v>2.5146753500839472</v>
      </c>
      <c r="AD438" s="10">
        <f t="shared" si="119"/>
        <v>10.058701400335789</v>
      </c>
      <c r="AE438" s="65"/>
      <c r="AF438" s="10">
        <f t="shared" si="120"/>
        <v>30.826177627313193</v>
      </c>
      <c r="AG438" s="8">
        <f t="shared" si="116"/>
        <v>6.0111046373260733</v>
      </c>
      <c r="AH438" s="10">
        <f t="shared" si="117"/>
        <v>15.413088813656596</v>
      </c>
      <c r="AI438" s="63"/>
      <c r="AJ438" s="10">
        <f t="shared" si="121"/>
        <v>22.746599999999987</v>
      </c>
      <c r="AK438" s="8"/>
      <c r="AL438" s="8">
        <f t="shared" si="118"/>
        <v>11.373299999999993</v>
      </c>
    </row>
    <row r="439" spans="1:38">
      <c r="A439" s="18">
        <v>41464</v>
      </c>
      <c r="B439" s="19" t="s">
        <v>119</v>
      </c>
      <c r="C439" s="27">
        <v>50.11</v>
      </c>
      <c r="D439" s="19" t="s">
        <v>80</v>
      </c>
      <c r="E439" s="8">
        <v>8.41099</v>
      </c>
      <c r="F439" s="8">
        <v>83.314139999999995</v>
      </c>
      <c r="G439" s="22">
        <v>50</v>
      </c>
      <c r="H439" s="22">
        <v>8</v>
      </c>
      <c r="I439" s="10">
        <f t="shared" si="127"/>
        <v>12.473321948616089</v>
      </c>
      <c r="J439" s="10">
        <f t="shared" si="128"/>
        <v>0.21770053666462572</v>
      </c>
      <c r="K439" s="10">
        <v>21</v>
      </c>
      <c r="L439" s="22">
        <v>1843</v>
      </c>
      <c r="M439" s="49" t="s">
        <v>97</v>
      </c>
      <c r="N439" s="22" t="s">
        <v>99</v>
      </c>
      <c r="O439" s="10" t="s">
        <v>99</v>
      </c>
      <c r="P439" s="10" t="s">
        <v>99</v>
      </c>
      <c r="Q439" s="22">
        <v>0.57999999999999996</v>
      </c>
      <c r="R439" s="22" t="s">
        <v>103</v>
      </c>
      <c r="S439" s="29">
        <f>AVERAGE(9.1,5.8)</f>
        <v>7.4499999999999993</v>
      </c>
      <c r="T439" s="79">
        <f t="shared" si="122"/>
        <v>4.3591663499999997E-3</v>
      </c>
      <c r="U439" s="22">
        <v>8</v>
      </c>
      <c r="V439" s="22">
        <v>43</v>
      </c>
      <c r="W439" s="10">
        <f t="shared" si="130"/>
        <v>0.75049157835756175</v>
      </c>
      <c r="X439" s="22">
        <v>5</v>
      </c>
      <c r="Y439" s="22">
        <v>15</v>
      </c>
      <c r="Z439" s="10">
        <f t="shared" si="131"/>
        <v>0.26179938779914941</v>
      </c>
      <c r="AA439" s="10">
        <f t="shared" si="129"/>
        <v>6.7500821060125915</v>
      </c>
      <c r="AB439" s="10">
        <f t="shared" si="132"/>
        <v>12.209231827247637</v>
      </c>
      <c r="AC439" s="10">
        <f t="shared" si="115"/>
        <v>1.5261539784059546</v>
      </c>
      <c r="AD439" s="10">
        <f t="shared" si="119"/>
        <v>6.1046159136238183</v>
      </c>
      <c r="AE439" s="65"/>
      <c r="AF439" s="10">
        <f t="shared" si="120"/>
        <v>16.440875312749377</v>
      </c>
      <c r="AG439" s="8">
        <f t="shared" si="116"/>
        <v>3.2059706859861286</v>
      </c>
      <c r="AH439" s="10">
        <f t="shared" si="117"/>
        <v>8.2204376563746884</v>
      </c>
      <c r="AI439" s="63"/>
      <c r="AJ439" s="10">
        <f t="shared" si="121"/>
        <v>10.568999999999992</v>
      </c>
      <c r="AK439" s="8"/>
      <c r="AL439" s="8">
        <f t="shared" si="118"/>
        <v>5.284499999999996</v>
      </c>
    </row>
    <row r="440" spans="1:38">
      <c r="A440" s="18">
        <v>41464</v>
      </c>
      <c r="B440" s="19" t="s">
        <v>119</v>
      </c>
      <c r="C440" s="27">
        <v>50.11</v>
      </c>
      <c r="D440" s="19" t="s">
        <v>80</v>
      </c>
      <c r="E440" s="8">
        <v>8.41099</v>
      </c>
      <c r="F440" s="8">
        <v>83.314139999999995</v>
      </c>
      <c r="G440" s="22">
        <v>50</v>
      </c>
      <c r="H440" s="22">
        <v>8</v>
      </c>
      <c r="I440" s="10">
        <f t="shared" si="127"/>
        <v>12.473321948616089</v>
      </c>
      <c r="J440" s="10">
        <f t="shared" si="128"/>
        <v>0.21770053666462572</v>
      </c>
      <c r="K440" s="10">
        <v>21</v>
      </c>
      <c r="L440" s="22">
        <v>1840</v>
      </c>
      <c r="M440" s="49" t="s">
        <v>97</v>
      </c>
      <c r="N440" s="22" t="s">
        <v>99</v>
      </c>
      <c r="O440" s="10" t="s">
        <v>99</v>
      </c>
      <c r="P440" s="10" t="s">
        <v>99</v>
      </c>
      <c r="Q440" s="22">
        <v>0.57999999999999996</v>
      </c>
      <c r="R440" s="22" t="s">
        <v>103</v>
      </c>
      <c r="S440" s="29">
        <f>AVERAGE(8.7,9.2)</f>
        <v>8.9499999999999993</v>
      </c>
      <c r="T440" s="79">
        <f t="shared" si="122"/>
        <v>6.2912503499999994E-3</v>
      </c>
      <c r="U440" s="22">
        <v>12</v>
      </c>
      <c r="V440" s="22">
        <v>58</v>
      </c>
      <c r="W440" s="10">
        <f t="shared" si="130"/>
        <v>1.0122909661567112</v>
      </c>
      <c r="X440" s="22">
        <v>5</v>
      </c>
      <c r="Y440" s="22">
        <v>15</v>
      </c>
      <c r="Z440" s="10">
        <f t="shared" si="131"/>
        <v>0.26179938779914941</v>
      </c>
      <c r="AA440" s="10">
        <f t="shared" si="129"/>
        <v>11.470672379389715</v>
      </c>
      <c r="AB440" s="10">
        <f t="shared" si="132"/>
        <v>28.374282272020448</v>
      </c>
      <c r="AC440" s="10">
        <f t="shared" si="115"/>
        <v>3.546785284002556</v>
      </c>
      <c r="AD440" s="10">
        <f t="shared" si="119"/>
        <v>14.187141136010224</v>
      </c>
      <c r="AE440" s="65"/>
      <c r="AF440" s="10">
        <f t="shared" si="120"/>
        <v>25.899483633296647</v>
      </c>
      <c r="AG440" s="8">
        <f t="shared" si="116"/>
        <v>5.050399308492846</v>
      </c>
      <c r="AH440" s="10">
        <f t="shared" si="117"/>
        <v>12.949741816648324</v>
      </c>
      <c r="AI440" s="63"/>
      <c r="AJ440" s="10">
        <f t="shared" si="121"/>
        <v>18.343499999999992</v>
      </c>
      <c r="AK440" s="8"/>
      <c r="AL440" s="8">
        <f t="shared" si="118"/>
        <v>9.1717499999999959</v>
      </c>
    </row>
    <row r="441" spans="1:38">
      <c r="A441" s="18">
        <v>41464</v>
      </c>
      <c r="B441" s="19" t="s">
        <v>119</v>
      </c>
      <c r="C441" s="27">
        <v>50.11</v>
      </c>
      <c r="D441" s="19" t="s">
        <v>80</v>
      </c>
      <c r="E441" s="8">
        <v>8.41099</v>
      </c>
      <c r="F441" s="8">
        <v>83.314139999999995</v>
      </c>
      <c r="G441" s="22">
        <v>50</v>
      </c>
      <c r="H441" s="22">
        <v>8</v>
      </c>
      <c r="I441" s="10">
        <f t="shared" si="127"/>
        <v>12.473321948616089</v>
      </c>
      <c r="J441" s="10">
        <f t="shared" si="128"/>
        <v>0.21770053666462572</v>
      </c>
      <c r="K441" s="10">
        <v>21</v>
      </c>
      <c r="L441" s="22">
        <v>1839</v>
      </c>
      <c r="M441" s="31" t="s">
        <v>122</v>
      </c>
      <c r="N441" s="8" t="s">
        <v>123</v>
      </c>
      <c r="O441" s="10" t="s">
        <v>99</v>
      </c>
      <c r="P441" s="10" t="s">
        <v>99</v>
      </c>
      <c r="Q441" s="22">
        <v>0.69</v>
      </c>
      <c r="R441" s="22" t="s">
        <v>190</v>
      </c>
      <c r="S441" s="29">
        <f>AVERAGE(11.5,10.5)</f>
        <v>11</v>
      </c>
      <c r="T441" s="79">
        <f t="shared" si="122"/>
        <v>9.5033400000000007E-3</v>
      </c>
      <c r="U441" s="22">
        <v>10</v>
      </c>
      <c r="V441" s="22">
        <v>57</v>
      </c>
      <c r="W441" s="10">
        <f t="shared" si="130"/>
        <v>0.99483767363676789</v>
      </c>
      <c r="X441" s="22">
        <v>5</v>
      </c>
      <c r="Y441" s="22">
        <v>16</v>
      </c>
      <c r="Z441" s="10">
        <f t="shared" si="131"/>
        <v>0.27925268031909273</v>
      </c>
      <c r="AA441" s="10">
        <f t="shared" si="129"/>
        <v>9.7648924585392365</v>
      </c>
      <c r="AB441" s="10">
        <f t="shared" si="132"/>
        <v>42.314141254438418</v>
      </c>
      <c r="AC441" s="10">
        <f t="shared" si="115"/>
        <v>5.2892676568048023</v>
      </c>
      <c r="AD441" s="10">
        <f t="shared" si="119"/>
        <v>21.157070627219209</v>
      </c>
      <c r="AE441" s="65"/>
      <c r="AF441" s="10">
        <f t="shared" si="120"/>
        <v>51.447677017749704</v>
      </c>
      <c r="AG441" s="8">
        <f t="shared" si="116"/>
        <v>10.032297018461193</v>
      </c>
      <c r="AH441" s="10">
        <f t="shared" si="117"/>
        <v>25.723838508874852</v>
      </c>
      <c r="AI441" s="63"/>
      <c r="AJ441" s="10">
        <f t="shared" si="121"/>
        <v>34.353999999999985</v>
      </c>
      <c r="AK441" s="8"/>
      <c r="AL441" s="8">
        <f t="shared" si="118"/>
        <v>17.176999999999992</v>
      </c>
    </row>
    <row r="442" spans="1:38">
      <c r="A442" s="18">
        <v>41464</v>
      </c>
      <c r="B442" s="19" t="s">
        <v>119</v>
      </c>
      <c r="C442" s="27">
        <v>50.11</v>
      </c>
      <c r="D442" s="19" t="s">
        <v>80</v>
      </c>
      <c r="E442" s="8">
        <v>8.41099</v>
      </c>
      <c r="F442" s="8">
        <v>83.314139999999995</v>
      </c>
      <c r="G442" s="22">
        <v>50</v>
      </c>
      <c r="H442" s="22">
        <v>8</v>
      </c>
      <c r="I442" s="10">
        <f t="shared" si="127"/>
        <v>12.473321948616089</v>
      </c>
      <c r="J442" s="10">
        <f t="shared" si="128"/>
        <v>0.21770053666462572</v>
      </c>
      <c r="K442" s="10">
        <v>21</v>
      </c>
      <c r="L442" s="22">
        <v>1838</v>
      </c>
      <c r="M442" s="31" t="s">
        <v>39</v>
      </c>
      <c r="N442" s="8" t="s">
        <v>69</v>
      </c>
      <c r="O442" s="10" t="s">
        <v>65</v>
      </c>
      <c r="P442" s="10" t="s">
        <v>70</v>
      </c>
      <c r="Q442" s="8">
        <v>0.37</v>
      </c>
      <c r="R442" s="8" t="s">
        <v>71</v>
      </c>
      <c r="S442" s="29">
        <f>AVERAGE(9.3,9.2)</f>
        <v>9.25</v>
      </c>
      <c r="T442" s="79">
        <f t="shared" si="122"/>
        <v>6.7200787500000005E-3</v>
      </c>
      <c r="U442" s="22">
        <v>12</v>
      </c>
      <c r="V442" s="22">
        <v>58</v>
      </c>
      <c r="W442" s="10">
        <f t="shared" si="130"/>
        <v>1.0122909661567112</v>
      </c>
      <c r="X442" s="22">
        <v>7</v>
      </c>
      <c r="Y442" s="22">
        <v>17</v>
      </c>
      <c r="Z442" s="10">
        <f t="shared" si="131"/>
        <v>0.29670597283903605</v>
      </c>
      <c r="AA442" s="10">
        <f t="shared" si="129"/>
        <v>12.22317908693627</v>
      </c>
      <c r="AB442" s="10">
        <f t="shared" si="132"/>
        <v>21.002496634060552</v>
      </c>
      <c r="AC442" s="10">
        <f t="shared" si="115"/>
        <v>2.625312079257569</v>
      </c>
      <c r="AD442" s="10">
        <f t="shared" si="119"/>
        <v>10.501248317030276</v>
      </c>
      <c r="AE442" s="65"/>
      <c r="AF442" s="10">
        <f t="shared" si="120"/>
        <v>17.931637762857655</v>
      </c>
      <c r="AG442" s="8">
        <f t="shared" si="116"/>
        <v>3.4966693637572428</v>
      </c>
      <c r="AH442" s="10">
        <f t="shared" si="117"/>
        <v>8.9658188814288273</v>
      </c>
      <c r="AI442" s="63"/>
      <c r="AJ442" s="10">
        <f t="shared" si="121"/>
        <v>20.297999999999988</v>
      </c>
      <c r="AK442" s="8"/>
      <c r="AL442" s="8">
        <f t="shared" si="118"/>
        <v>10.148999999999994</v>
      </c>
    </row>
    <row r="443" spans="1:38">
      <c r="A443" s="18">
        <v>41464</v>
      </c>
      <c r="B443" s="19" t="s">
        <v>119</v>
      </c>
      <c r="C443" s="27">
        <v>50.11</v>
      </c>
      <c r="D443" s="19" t="s">
        <v>80</v>
      </c>
      <c r="E443" s="8">
        <v>8.41099</v>
      </c>
      <c r="F443" s="8">
        <v>83.314139999999995</v>
      </c>
      <c r="G443" s="22">
        <v>50</v>
      </c>
      <c r="H443" s="22">
        <v>8</v>
      </c>
      <c r="I443" s="10">
        <f t="shared" si="127"/>
        <v>12.473321948616089</v>
      </c>
      <c r="J443" s="10">
        <f t="shared" si="128"/>
        <v>0.21770053666462572</v>
      </c>
      <c r="K443" s="10">
        <v>21</v>
      </c>
      <c r="L443" s="22">
        <v>1837</v>
      </c>
      <c r="M443" s="49" t="s">
        <v>97</v>
      </c>
      <c r="N443" s="22" t="s">
        <v>99</v>
      </c>
      <c r="O443" s="10" t="s">
        <v>99</v>
      </c>
      <c r="P443" s="10" t="s">
        <v>99</v>
      </c>
      <c r="Q443" s="22">
        <v>0.57999999999999996</v>
      </c>
      <c r="R443" s="22" t="s">
        <v>103</v>
      </c>
      <c r="S443" s="29">
        <f>AVERAGE(14.6,18.5)</f>
        <v>16.55</v>
      </c>
      <c r="T443" s="79">
        <f t="shared" si="122"/>
        <v>2.1512302350000005E-2</v>
      </c>
      <c r="U443" s="22">
        <v>12</v>
      </c>
      <c r="V443" s="22">
        <v>63</v>
      </c>
      <c r="W443" s="10">
        <f t="shared" si="130"/>
        <v>1.0995574287564276</v>
      </c>
      <c r="X443" s="22">
        <v>5</v>
      </c>
      <c r="Y443" s="22">
        <v>17</v>
      </c>
      <c r="Z443" s="10">
        <f t="shared" si="131"/>
        <v>0.29670597283903605</v>
      </c>
      <c r="AA443" s="10">
        <f t="shared" si="129"/>
        <v>12.153936813874097</v>
      </c>
      <c r="AB443" s="10">
        <f t="shared" si="132"/>
        <v>95.16083133062746</v>
      </c>
      <c r="AC443" s="10">
        <f t="shared" si="115"/>
        <v>11.895103916328432</v>
      </c>
      <c r="AD443" s="10">
        <f t="shared" si="119"/>
        <v>47.58041566531373</v>
      </c>
      <c r="AE443" s="65"/>
      <c r="AF443" s="10">
        <f t="shared" si="120"/>
        <v>119.35795848181371</v>
      </c>
      <c r="AG443" s="8">
        <f t="shared" si="116"/>
        <v>23.274801903953673</v>
      </c>
      <c r="AH443" s="10">
        <f t="shared" si="117"/>
        <v>59.678979240906855</v>
      </c>
      <c r="AI443" s="63"/>
      <c r="AJ443" s="10">
        <f t="shared" si="121"/>
        <v>108.91270000000002</v>
      </c>
      <c r="AK443" s="8"/>
      <c r="AL443" s="8">
        <f t="shared" si="118"/>
        <v>54.456350000000008</v>
      </c>
    </row>
    <row r="444" spans="1:38">
      <c r="A444" s="18">
        <v>41464</v>
      </c>
      <c r="B444" s="19" t="s">
        <v>119</v>
      </c>
      <c r="C444" s="27">
        <v>50.11</v>
      </c>
      <c r="D444" s="19" t="s">
        <v>80</v>
      </c>
      <c r="E444" s="8">
        <v>8.41099</v>
      </c>
      <c r="F444" s="8">
        <v>83.314139999999995</v>
      </c>
      <c r="G444" s="22">
        <v>50</v>
      </c>
      <c r="H444" s="22">
        <v>8</v>
      </c>
      <c r="I444" s="10">
        <f t="shared" si="127"/>
        <v>12.473321948616089</v>
      </c>
      <c r="J444" s="10">
        <f t="shared" si="128"/>
        <v>0.21770053666462572</v>
      </c>
      <c r="K444" s="10">
        <v>21</v>
      </c>
      <c r="L444" s="22">
        <v>1835</v>
      </c>
      <c r="M444" s="49" t="s">
        <v>97</v>
      </c>
      <c r="N444" s="22" t="s">
        <v>99</v>
      </c>
      <c r="O444" s="10" t="s">
        <v>99</v>
      </c>
      <c r="P444" s="10" t="s">
        <v>99</v>
      </c>
      <c r="Q444" s="22">
        <v>0.57999999999999996</v>
      </c>
      <c r="R444" s="22" t="s">
        <v>103</v>
      </c>
      <c r="S444" s="29">
        <f>AVERAGE(29.5,26.3)</f>
        <v>27.9</v>
      </c>
      <c r="T444" s="79">
        <f t="shared" si="122"/>
        <v>6.1136321399999999E-2</v>
      </c>
      <c r="U444" s="22">
        <v>13</v>
      </c>
      <c r="V444" s="22">
        <v>65</v>
      </c>
      <c r="W444" s="10">
        <f t="shared" si="130"/>
        <v>1.1344640137963142</v>
      </c>
      <c r="X444" s="22">
        <v>6</v>
      </c>
      <c r="Y444" s="22">
        <v>19</v>
      </c>
      <c r="Z444" s="10">
        <f t="shared" si="131"/>
        <v>0.33161255787892263</v>
      </c>
      <c r="AA444" s="10">
        <f t="shared" si="129"/>
        <v>13.735410158219389</v>
      </c>
      <c r="AB444" s="10">
        <f t="shared" si="132"/>
        <v>284.96470450927637</v>
      </c>
      <c r="AC444" s="10">
        <f t="shared" si="115"/>
        <v>35.620588063659547</v>
      </c>
      <c r="AD444" s="10">
        <f t="shared" si="119"/>
        <v>142.48235225463819</v>
      </c>
      <c r="AE444" s="65"/>
      <c r="AF444" s="10">
        <f t="shared" si="120"/>
        <v>430.14599698908199</v>
      </c>
      <c r="AG444" s="8">
        <f t="shared" si="116"/>
        <v>83.878469412870999</v>
      </c>
      <c r="AH444" s="10">
        <f t="shared" si="117"/>
        <v>215.072998494541</v>
      </c>
      <c r="AI444" s="63"/>
      <c r="AJ444" s="10">
        <f t="shared" si="121"/>
        <v>403.33169999999996</v>
      </c>
      <c r="AK444" s="8"/>
      <c r="AL444" s="8">
        <f t="shared" si="118"/>
        <v>201.66584999999998</v>
      </c>
    </row>
    <row r="445" spans="1:38">
      <c r="A445" s="18">
        <v>41464</v>
      </c>
      <c r="B445" s="19" t="s">
        <v>119</v>
      </c>
      <c r="C445" s="27">
        <v>50.11</v>
      </c>
      <c r="D445" s="19" t="s">
        <v>80</v>
      </c>
      <c r="E445" s="8">
        <v>8.41099</v>
      </c>
      <c r="F445" s="8">
        <v>83.314139999999995</v>
      </c>
      <c r="G445" s="22">
        <v>50</v>
      </c>
      <c r="H445" s="22">
        <v>8</v>
      </c>
      <c r="I445" s="10">
        <f t="shared" si="127"/>
        <v>12.473321948616089</v>
      </c>
      <c r="J445" s="10">
        <f t="shared" si="128"/>
        <v>0.21770053666462572</v>
      </c>
      <c r="K445" s="10">
        <v>21</v>
      </c>
      <c r="L445" s="22">
        <v>1836</v>
      </c>
      <c r="M445" s="31" t="s">
        <v>47</v>
      </c>
      <c r="N445" s="8" t="s">
        <v>48</v>
      </c>
      <c r="O445" s="10" t="s">
        <v>49</v>
      </c>
      <c r="P445" s="10" t="s">
        <v>50</v>
      </c>
      <c r="Q445" s="20">
        <v>0.75</v>
      </c>
      <c r="R445" s="8" t="s">
        <v>67</v>
      </c>
      <c r="S445" s="29">
        <f>AVERAGE(30.8,34.5)</f>
        <v>32.65</v>
      </c>
      <c r="T445" s="79">
        <f t="shared" si="122"/>
        <v>8.3725407149999986E-2</v>
      </c>
      <c r="U445" s="22">
        <v>10</v>
      </c>
      <c r="V445" s="22">
        <v>63</v>
      </c>
      <c r="W445" s="10">
        <f t="shared" si="130"/>
        <v>1.0995574287564276</v>
      </c>
      <c r="X445" s="22">
        <v>6</v>
      </c>
      <c r="Y445" s="22">
        <v>22</v>
      </c>
      <c r="Z445" s="10">
        <f t="shared" si="131"/>
        <v>0.38397243543875248</v>
      </c>
      <c r="AA445" s="10">
        <f t="shared" si="129"/>
        <v>11.157704802379151</v>
      </c>
      <c r="AB445" s="10">
        <f t="shared" si="132"/>
        <v>401.08837333882002</v>
      </c>
      <c r="AC445" s="10">
        <f t="shared" si="115"/>
        <v>50.136046667352502</v>
      </c>
      <c r="AD445" s="10">
        <f t="shared" si="119"/>
        <v>200.54418666941001</v>
      </c>
      <c r="AE445" s="65"/>
      <c r="AF445" s="10">
        <f t="shared" si="120"/>
        <v>812.68415328828553</v>
      </c>
      <c r="AG445" s="8">
        <f t="shared" si="116"/>
        <v>158.47340989121568</v>
      </c>
      <c r="AH445" s="10">
        <f t="shared" si="117"/>
        <v>406.34207664414276</v>
      </c>
      <c r="AI445" s="63"/>
      <c r="AJ445" s="10">
        <f t="shared" si="121"/>
        <v>583.13819999999987</v>
      </c>
      <c r="AK445" s="8"/>
      <c r="AL445" s="8">
        <f t="shared" si="118"/>
        <v>291.56909999999993</v>
      </c>
    </row>
    <row r="446" spans="1:38">
      <c r="A446" s="18">
        <v>41464</v>
      </c>
      <c r="B446" s="19" t="s">
        <v>119</v>
      </c>
      <c r="C446" s="27">
        <v>50.11</v>
      </c>
      <c r="D446" s="19" t="s">
        <v>80</v>
      </c>
      <c r="E446" s="8">
        <v>8.41099</v>
      </c>
      <c r="F446" s="8">
        <v>83.314139999999995</v>
      </c>
      <c r="G446" s="22">
        <v>50</v>
      </c>
      <c r="H446" s="22">
        <v>8</v>
      </c>
      <c r="I446" s="10">
        <f t="shared" si="127"/>
        <v>12.473321948616089</v>
      </c>
      <c r="J446" s="10">
        <f t="shared" si="128"/>
        <v>0.21770053666462572</v>
      </c>
      <c r="K446" s="10">
        <v>21</v>
      </c>
      <c r="L446" s="22">
        <v>1834</v>
      </c>
      <c r="M446" s="49" t="s">
        <v>97</v>
      </c>
      <c r="N446" s="22" t="s">
        <v>99</v>
      </c>
      <c r="O446" s="10" t="s">
        <v>99</v>
      </c>
      <c r="P446" s="10" t="s">
        <v>99</v>
      </c>
      <c r="Q446" s="22">
        <v>0.57999999999999996</v>
      </c>
      <c r="R446" s="22" t="s">
        <v>103</v>
      </c>
      <c r="S446" s="29">
        <f>AVERAGE(19,15.8)</f>
        <v>17.399999999999999</v>
      </c>
      <c r="T446" s="79">
        <f t="shared" si="122"/>
        <v>2.3778770399999996E-2</v>
      </c>
      <c r="U446" s="22">
        <v>10</v>
      </c>
      <c r="V446" s="22">
        <v>40</v>
      </c>
      <c r="W446" s="10">
        <f t="shared" si="130"/>
        <v>0.69813170079773179</v>
      </c>
      <c r="X446" s="22">
        <v>5</v>
      </c>
      <c r="Y446" s="22">
        <v>25</v>
      </c>
      <c r="Z446" s="10">
        <f t="shared" si="131"/>
        <v>0.43633231299858238</v>
      </c>
      <c r="AA446" s="10">
        <f t="shared" si="129"/>
        <v>8.5409674055688889</v>
      </c>
      <c r="AB446" s="10">
        <f t="shared" si="132"/>
        <v>75.046987312473092</v>
      </c>
      <c r="AC446" s="10">
        <f t="shared" si="115"/>
        <v>9.3808734140591366</v>
      </c>
      <c r="AD446" s="10">
        <f t="shared" si="119"/>
        <v>37.523493656236546</v>
      </c>
      <c r="AE446" s="65"/>
      <c r="AF446" s="10">
        <f t="shared" si="120"/>
        <v>135.11866517413861</v>
      </c>
      <c r="AG446" s="8">
        <f t="shared" si="116"/>
        <v>26.348139708957032</v>
      </c>
      <c r="AH446" s="10">
        <f t="shared" si="117"/>
        <v>67.559332587069306</v>
      </c>
      <c r="AI446" s="63"/>
      <c r="AJ446" s="10">
        <f t="shared" si="121"/>
        <v>124.35719999999996</v>
      </c>
      <c r="AK446" s="8"/>
      <c r="AL446" s="8">
        <f t="shared" si="118"/>
        <v>62.178599999999982</v>
      </c>
    </row>
    <row r="447" spans="1:38">
      <c r="A447" s="18">
        <v>41464</v>
      </c>
      <c r="B447" s="19" t="s">
        <v>119</v>
      </c>
      <c r="C447" s="27">
        <v>50.11</v>
      </c>
      <c r="D447" s="19" t="s">
        <v>80</v>
      </c>
      <c r="E447" s="8">
        <v>8.41099</v>
      </c>
      <c r="F447" s="8">
        <v>83.314139999999995</v>
      </c>
      <c r="G447" s="22">
        <v>50</v>
      </c>
      <c r="H447" s="22">
        <v>8</v>
      </c>
      <c r="I447" s="10">
        <f t="shared" si="127"/>
        <v>12.473321948616089</v>
      </c>
      <c r="J447" s="10">
        <f t="shared" si="128"/>
        <v>0.21770053666462572</v>
      </c>
      <c r="K447" s="10">
        <v>21</v>
      </c>
      <c r="L447" s="22">
        <v>1832</v>
      </c>
      <c r="M447" s="31" t="s">
        <v>122</v>
      </c>
      <c r="N447" s="8" t="s">
        <v>123</v>
      </c>
      <c r="O447" s="10" t="s">
        <v>99</v>
      </c>
      <c r="P447" s="10" t="s">
        <v>99</v>
      </c>
      <c r="Q447" s="22">
        <v>0.69</v>
      </c>
      <c r="R447" s="22" t="s">
        <v>190</v>
      </c>
      <c r="S447" s="29">
        <f>AVERAGE(8.1,7.5)</f>
        <v>7.8</v>
      </c>
      <c r="T447" s="79">
        <f t="shared" si="122"/>
        <v>4.7783736E-3</v>
      </c>
      <c r="U447" s="22">
        <v>8</v>
      </c>
      <c r="V447" s="22">
        <v>58</v>
      </c>
      <c r="W447" s="10">
        <f t="shared" si="130"/>
        <v>1.0122909661567112</v>
      </c>
      <c r="X447" s="22">
        <v>6</v>
      </c>
      <c r="Y447" s="22">
        <v>5</v>
      </c>
      <c r="Z447" s="10">
        <f t="shared" si="131"/>
        <v>8.7266462599716474E-2</v>
      </c>
      <c r="AA447" s="10">
        <f t="shared" si="129"/>
        <v>7.3073192257373565</v>
      </c>
      <c r="AB447" s="10">
        <f t="shared" si="132"/>
        <v>16.883027000950751</v>
      </c>
      <c r="AC447" s="10">
        <f t="shared" ref="AC447:AC509" si="133">AB447*0.125</f>
        <v>2.1103783751188439</v>
      </c>
      <c r="AD447" s="10">
        <f t="shared" si="119"/>
        <v>8.4415135004753754</v>
      </c>
      <c r="AE447" s="65"/>
      <c r="AF447" s="10">
        <f t="shared" si="120"/>
        <v>21.910659920050492</v>
      </c>
      <c r="AG447" s="8">
        <f t="shared" ref="AG447:AG509" si="134">AF447*0.195</f>
        <v>4.2725786844098463</v>
      </c>
      <c r="AH447" s="10">
        <f t="shared" ref="AH447:AH509" si="135">AF447/2</f>
        <v>10.955329960025246</v>
      </c>
      <c r="AI447" s="63"/>
      <c r="AJ447" s="10">
        <f t="shared" si="121"/>
        <v>12.085199999999993</v>
      </c>
      <c r="AK447" s="8"/>
      <c r="AL447" s="8">
        <f t="shared" ref="AL447:AL509" si="136">AJ447/2</f>
        <v>6.0425999999999966</v>
      </c>
    </row>
    <row r="448" spans="1:38">
      <c r="A448" s="18">
        <v>41461</v>
      </c>
      <c r="B448" s="19" t="s">
        <v>34</v>
      </c>
      <c r="C448" s="12">
        <v>100.1</v>
      </c>
      <c r="D448" s="19" t="s">
        <v>80</v>
      </c>
      <c r="E448" s="8">
        <v>8.4108499999999999</v>
      </c>
      <c r="F448" s="8">
        <v>83.313320000000004</v>
      </c>
      <c r="G448" s="22">
        <v>100</v>
      </c>
      <c r="H448" s="8">
        <v>-5</v>
      </c>
      <c r="I448" s="10">
        <f t="shared" si="127"/>
        <v>-19.983330554894014</v>
      </c>
      <c r="J448" s="10">
        <f t="shared" si="128"/>
        <v>-0.34877491369728597</v>
      </c>
      <c r="K448" s="10">
        <v>21</v>
      </c>
      <c r="L448" s="8">
        <v>120</v>
      </c>
      <c r="M448" s="8" t="s">
        <v>96</v>
      </c>
      <c r="N448" s="8" t="s">
        <v>69</v>
      </c>
      <c r="O448" s="58" t="s">
        <v>65</v>
      </c>
      <c r="P448" s="10" t="s">
        <v>102</v>
      </c>
      <c r="Q448" s="22">
        <v>0.48</v>
      </c>
      <c r="R448" s="22" t="s">
        <v>190</v>
      </c>
      <c r="S448" s="12">
        <v>13.4</v>
      </c>
      <c r="T448" s="79">
        <f t="shared" si="122"/>
        <v>1.41026424E-2</v>
      </c>
      <c r="U448" s="8">
        <f>11+2</f>
        <v>13</v>
      </c>
      <c r="V448" s="8">
        <v>65</v>
      </c>
      <c r="W448" s="10">
        <f t="shared" ref="W448:W479" si="137">RADIANS(V448)</f>
        <v>1.1344640137963142</v>
      </c>
      <c r="X448" s="8">
        <v>6</v>
      </c>
      <c r="Y448" s="22">
        <v>15</v>
      </c>
      <c r="Z448" s="10">
        <f t="shared" ref="Z448:Z479" si="138">RADIANS(Y448)</f>
        <v>0.26179938779914941</v>
      </c>
      <c r="AA448" s="10">
        <f t="shared" ref="AA448:AA479" si="139">(SIN(W448)*U448)+(SIN(Z448)*X448)</f>
        <v>13.334915502091574</v>
      </c>
      <c r="AB448" s="10">
        <f t="shared" ref="AB448:AB479" si="140">0.0776*(Q448*S448^2*AA448)^0.94</f>
        <v>58.43544522523645</v>
      </c>
      <c r="AC448" s="10">
        <f t="shared" si="133"/>
        <v>7.3044306531545562</v>
      </c>
      <c r="AD448" s="10">
        <f t="shared" si="119"/>
        <v>29.217722612618225</v>
      </c>
      <c r="AE448" s="65"/>
      <c r="AF448" s="10">
        <f t="shared" si="120"/>
        <v>58.478878084409622</v>
      </c>
      <c r="AG448" s="8">
        <f t="shared" si="134"/>
        <v>11.403381226459876</v>
      </c>
      <c r="AH448" s="10">
        <f t="shared" si="135"/>
        <v>29.239439042204811</v>
      </c>
      <c r="AI448" s="63"/>
      <c r="AJ448" s="10">
        <f t="shared" si="121"/>
        <v>61.001199999999997</v>
      </c>
      <c r="AK448" s="8"/>
      <c r="AL448" s="8">
        <f t="shared" si="136"/>
        <v>30.500599999999999</v>
      </c>
    </row>
    <row r="449" spans="1:38">
      <c r="A449" s="18">
        <v>41461</v>
      </c>
      <c r="B449" s="19" t="s">
        <v>34</v>
      </c>
      <c r="C449" s="12">
        <v>100.1</v>
      </c>
      <c r="D449" s="19" t="s">
        <v>80</v>
      </c>
      <c r="E449" s="8">
        <v>8.4108499999999999</v>
      </c>
      <c r="F449" s="8">
        <v>83.313320000000004</v>
      </c>
      <c r="G449" s="22">
        <v>100</v>
      </c>
      <c r="H449" s="8">
        <v>-5</v>
      </c>
      <c r="I449" s="10">
        <f t="shared" si="127"/>
        <v>-19.983330554894014</v>
      </c>
      <c r="J449" s="10">
        <f t="shared" si="128"/>
        <v>-0.34877491369728597</v>
      </c>
      <c r="K449" s="10">
        <v>21</v>
      </c>
      <c r="L449" s="8">
        <v>121</v>
      </c>
      <c r="M449" s="8" t="s">
        <v>36</v>
      </c>
      <c r="N449" s="8" t="s">
        <v>46</v>
      </c>
      <c r="O449" s="10" t="s">
        <v>37</v>
      </c>
      <c r="P449" s="10" t="s">
        <v>38</v>
      </c>
      <c r="Q449" s="11">
        <v>0.48</v>
      </c>
      <c r="R449" s="8" t="s">
        <v>60</v>
      </c>
      <c r="S449" s="12">
        <v>14.5</v>
      </c>
      <c r="T449" s="79">
        <f t="shared" si="122"/>
        <v>1.6513035000000002E-2</v>
      </c>
      <c r="U449" s="8">
        <v>11</v>
      </c>
      <c r="V449" s="22">
        <v>60</v>
      </c>
      <c r="W449" s="10">
        <f t="shared" si="137"/>
        <v>1.0471975511965976</v>
      </c>
      <c r="X449" s="22">
        <v>5</v>
      </c>
      <c r="Y449" s="22">
        <v>15</v>
      </c>
      <c r="Z449" s="10">
        <f t="shared" si="138"/>
        <v>0.26179938779914941</v>
      </c>
      <c r="AA449" s="10">
        <f t="shared" si="139"/>
        <v>10.820374667141429</v>
      </c>
      <c r="AB449" s="10">
        <f t="shared" si="140"/>
        <v>55.691394107580138</v>
      </c>
      <c r="AC449" s="10">
        <f t="shared" si="133"/>
        <v>6.9614242634475172</v>
      </c>
      <c r="AD449" s="10">
        <f t="shared" si="119"/>
        <v>27.845697053790069</v>
      </c>
      <c r="AE449" s="65"/>
      <c r="AF449" s="10">
        <f t="shared" si="120"/>
        <v>71.147827715254024</v>
      </c>
      <c r="AG449" s="8">
        <f t="shared" si="134"/>
        <v>13.873826404474535</v>
      </c>
      <c r="AH449" s="10">
        <f t="shared" si="135"/>
        <v>35.573913857627012</v>
      </c>
      <c r="AI449" s="63"/>
      <c r="AJ449" s="10">
        <f t="shared" si="121"/>
        <v>76.063500000000005</v>
      </c>
      <c r="AK449" s="8"/>
      <c r="AL449" s="8">
        <f t="shared" si="136"/>
        <v>38.031750000000002</v>
      </c>
    </row>
    <row r="450" spans="1:38">
      <c r="A450" s="18">
        <v>41461</v>
      </c>
      <c r="B450" s="19" t="s">
        <v>34</v>
      </c>
      <c r="C450" s="12">
        <v>100.1</v>
      </c>
      <c r="D450" s="19" t="s">
        <v>80</v>
      </c>
      <c r="E450" s="8">
        <v>8.4108499999999999</v>
      </c>
      <c r="F450" s="8">
        <v>83.313320000000004</v>
      </c>
      <c r="G450" s="22">
        <v>100</v>
      </c>
      <c r="H450" s="8">
        <v>-5</v>
      </c>
      <c r="I450" s="10">
        <f t="shared" si="127"/>
        <v>-19.983330554894014</v>
      </c>
      <c r="J450" s="10">
        <f t="shared" si="128"/>
        <v>-0.34877491369728597</v>
      </c>
      <c r="K450" s="10">
        <v>21</v>
      </c>
      <c r="L450" s="8">
        <v>113</v>
      </c>
      <c r="M450" s="8" t="s">
        <v>54</v>
      </c>
      <c r="N450" s="8" t="s">
        <v>55</v>
      </c>
      <c r="O450" s="10" t="s">
        <v>56</v>
      </c>
      <c r="P450" s="10" t="s">
        <v>57</v>
      </c>
      <c r="Q450" s="11">
        <v>0.315</v>
      </c>
      <c r="R450" s="12" t="s">
        <v>66</v>
      </c>
      <c r="S450" s="29">
        <v>20</v>
      </c>
      <c r="T450" s="79">
        <f t="shared" si="122"/>
        <v>3.1415999999999999E-2</v>
      </c>
      <c r="U450" s="8">
        <v>28</v>
      </c>
      <c r="V450" s="8">
        <v>77</v>
      </c>
      <c r="W450" s="10">
        <f t="shared" si="137"/>
        <v>1.3439035240356338</v>
      </c>
      <c r="X450" s="22">
        <v>5</v>
      </c>
      <c r="Y450" s="22">
        <v>20</v>
      </c>
      <c r="Z450" s="10">
        <f t="shared" si="138"/>
        <v>0.3490658503988659</v>
      </c>
      <c r="AA450" s="10">
        <f t="shared" si="139"/>
        <v>28.99246253061493</v>
      </c>
      <c r="AB450" s="10">
        <f t="shared" si="140"/>
        <v>173.28382744167044</v>
      </c>
      <c r="AC450" s="10">
        <f t="shared" si="133"/>
        <v>21.660478430208805</v>
      </c>
      <c r="AD450" s="10">
        <f t="shared" si="119"/>
        <v>86.64191372083522</v>
      </c>
      <c r="AE450" s="65"/>
      <c r="AF450" s="10">
        <f t="shared" si="120"/>
        <v>103.50333511029237</v>
      </c>
      <c r="AG450" s="8">
        <f t="shared" si="134"/>
        <v>20.183150346507013</v>
      </c>
      <c r="AH450" s="10">
        <f t="shared" si="135"/>
        <v>51.751667555146184</v>
      </c>
      <c r="AI450" s="63"/>
      <c r="AJ450" s="10">
        <f t="shared" si="121"/>
        <v>178.23699999999999</v>
      </c>
      <c r="AK450" s="8"/>
      <c r="AL450" s="8">
        <f t="shared" si="136"/>
        <v>89.118499999999997</v>
      </c>
    </row>
    <row r="451" spans="1:38">
      <c r="A451" s="18">
        <v>41461</v>
      </c>
      <c r="B451" s="19" t="s">
        <v>34</v>
      </c>
      <c r="C451" s="12">
        <v>100.1</v>
      </c>
      <c r="D451" s="19" t="s">
        <v>80</v>
      </c>
      <c r="E451" s="8">
        <v>8.4108499999999999</v>
      </c>
      <c r="F451" s="8">
        <v>83.313320000000004</v>
      </c>
      <c r="G451" s="22">
        <v>100</v>
      </c>
      <c r="H451" s="8">
        <v>-5</v>
      </c>
      <c r="I451" s="10">
        <f t="shared" si="127"/>
        <v>-19.983330554894014</v>
      </c>
      <c r="J451" s="10">
        <f t="shared" si="128"/>
        <v>-0.34877491369728597</v>
      </c>
      <c r="K451" s="10">
        <v>21</v>
      </c>
      <c r="L451" s="22">
        <v>114</v>
      </c>
      <c r="M451" s="22" t="s">
        <v>54</v>
      </c>
      <c r="N451" s="8" t="s">
        <v>55</v>
      </c>
      <c r="O451" s="10" t="s">
        <v>56</v>
      </c>
      <c r="P451" s="10" t="s">
        <v>57</v>
      </c>
      <c r="Q451" s="11">
        <v>0.315</v>
      </c>
      <c r="R451" s="12" t="s">
        <v>66</v>
      </c>
      <c r="S451" s="29">
        <v>17</v>
      </c>
      <c r="T451" s="79">
        <f t="shared" si="122"/>
        <v>2.2698060000000003E-2</v>
      </c>
      <c r="U451" s="8">
        <v>22</v>
      </c>
      <c r="V451" s="22">
        <v>77</v>
      </c>
      <c r="W451" s="10">
        <f t="shared" si="137"/>
        <v>1.3439035240356338</v>
      </c>
      <c r="X451" s="22">
        <v>5</v>
      </c>
      <c r="Y451" s="22">
        <v>20</v>
      </c>
      <c r="Z451" s="10">
        <f t="shared" si="138"/>
        <v>0.3490658503988659</v>
      </c>
      <c r="AA451" s="10">
        <f t="shared" si="139"/>
        <v>23.146242141903517</v>
      </c>
      <c r="AB451" s="10">
        <f t="shared" si="140"/>
        <v>103.30688740379881</v>
      </c>
      <c r="AC451" s="10">
        <f t="shared" si="133"/>
        <v>12.913360925474851</v>
      </c>
      <c r="AD451" s="10">
        <f t="shared" si="119"/>
        <v>51.653443701899405</v>
      </c>
      <c r="AE451" s="65"/>
      <c r="AF451" s="10">
        <f t="shared" si="120"/>
        <v>69.277856736916064</v>
      </c>
      <c r="AG451" s="8">
        <f t="shared" si="134"/>
        <v>13.509182063698633</v>
      </c>
      <c r="AH451" s="10">
        <f t="shared" si="135"/>
        <v>34.638928368458032</v>
      </c>
      <c r="AI451" s="63"/>
      <c r="AJ451" s="10">
        <f t="shared" si="121"/>
        <v>116.95599999999997</v>
      </c>
      <c r="AK451" s="8"/>
      <c r="AL451" s="8">
        <f t="shared" si="136"/>
        <v>58.477999999999987</v>
      </c>
    </row>
    <row r="452" spans="1:38">
      <c r="A452" s="18">
        <v>41461</v>
      </c>
      <c r="B452" s="19" t="s">
        <v>34</v>
      </c>
      <c r="C452" s="12">
        <v>100.1</v>
      </c>
      <c r="D452" s="19" t="s">
        <v>80</v>
      </c>
      <c r="E452" s="8">
        <v>8.4108499999999999</v>
      </c>
      <c r="F452" s="8">
        <v>83.313320000000004</v>
      </c>
      <c r="G452" s="22">
        <v>100</v>
      </c>
      <c r="H452" s="8">
        <v>-5</v>
      </c>
      <c r="I452" s="10">
        <f t="shared" si="127"/>
        <v>-19.983330554894014</v>
      </c>
      <c r="J452" s="10">
        <f t="shared" si="128"/>
        <v>-0.34877491369728597</v>
      </c>
      <c r="K452" s="10">
        <v>21</v>
      </c>
      <c r="L452" s="22">
        <v>115</v>
      </c>
      <c r="M452" s="22" t="s">
        <v>54</v>
      </c>
      <c r="N452" s="8" t="s">
        <v>55</v>
      </c>
      <c r="O452" s="10" t="s">
        <v>56</v>
      </c>
      <c r="P452" s="10" t="s">
        <v>57</v>
      </c>
      <c r="Q452" s="11">
        <v>0.315</v>
      </c>
      <c r="R452" s="12" t="s">
        <v>66</v>
      </c>
      <c r="S452" s="30">
        <v>10</v>
      </c>
      <c r="T452" s="79">
        <f t="shared" si="122"/>
        <v>7.8539999999999999E-3</v>
      </c>
      <c r="U452" s="22">
        <v>17</v>
      </c>
      <c r="V452" s="22">
        <v>70</v>
      </c>
      <c r="W452" s="10">
        <f t="shared" si="137"/>
        <v>1.2217304763960306</v>
      </c>
      <c r="X452" s="22">
        <v>5</v>
      </c>
      <c r="Y452" s="22">
        <v>20</v>
      </c>
      <c r="Z452" s="10">
        <f t="shared" si="138"/>
        <v>0.3490658503988659</v>
      </c>
      <c r="AA452" s="10">
        <f t="shared" si="139"/>
        <v>17.684875269988787</v>
      </c>
      <c r="AB452" s="10">
        <f t="shared" si="140"/>
        <v>29.581454412848348</v>
      </c>
      <c r="AC452" s="10">
        <f t="shared" si="133"/>
        <v>3.6976818016060435</v>
      </c>
      <c r="AD452" s="10">
        <f t="shared" si="119"/>
        <v>14.790727206424174</v>
      </c>
      <c r="AE452" s="65"/>
      <c r="AF452" s="10">
        <f t="shared" si="120"/>
        <v>18.529831412654968</v>
      </c>
      <c r="AG452" s="8">
        <f t="shared" si="134"/>
        <v>3.6133171254677188</v>
      </c>
      <c r="AH452" s="10">
        <f t="shared" si="135"/>
        <v>9.2649157063274838</v>
      </c>
      <c r="AI452" s="63"/>
      <c r="AJ452" s="10">
        <f t="shared" si="121"/>
        <v>25.766999999999996</v>
      </c>
      <c r="AK452" s="8"/>
      <c r="AL452" s="8">
        <f t="shared" si="136"/>
        <v>12.883499999999998</v>
      </c>
    </row>
    <row r="453" spans="1:38">
      <c r="A453" s="18">
        <v>41461</v>
      </c>
      <c r="B453" s="19" t="s">
        <v>34</v>
      </c>
      <c r="C453" s="12">
        <v>100.1</v>
      </c>
      <c r="D453" s="19" t="s">
        <v>80</v>
      </c>
      <c r="E453" s="8">
        <v>8.4108499999999999</v>
      </c>
      <c r="F453" s="8">
        <v>83.313320000000004</v>
      </c>
      <c r="G453" s="22">
        <v>100</v>
      </c>
      <c r="H453" s="8">
        <v>-5</v>
      </c>
      <c r="I453" s="10">
        <f t="shared" si="127"/>
        <v>-19.983330554894014</v>
      </c>
      <c r="J453" s="10">
        <f t="shared" si="128"/>
        <v>-0.34877491369728597</v>
      </c>
      <c r="K453" s="10">
        <v>21</v>
      </c>
      <c r="L453" s="22">
        <v>121</v>
      </c>
      <c r="M453" s="22" t="s">
        <v>39</v>
      </c>
      <c r="N453" s="8" t="s">
        <v>69</v>
      </c>
      <c r="O453" s="10" t="s">
        <v>65</v>
      </c>
      <c r="P453" s="10" t="s">
        <v>70</v>
      </c>
      <c r="Q453" s="8">
        <v>0.37</v>
      </c>
      <c r="R453" s="8" t="s">
        <v>71</v>
      </c>
      <c r="S453" s="30">
        <v>13</v>
      </c>
      <c r="T453" s="79">
        <f t="shared" si="122"/>
        <v>1.327326E-2</v>
      </c>
      <c r="U453" s="8">
        <f>12+3</f>
        <v>15</v>
      </c>
      <c r="V453" s="22">
        <v>60</v>
      </c>
      <c r="W453" s="10">
        <f t="shared" si="137"/>
        <v>1.0471975511965976</v>
      </c>
      <c r="X453" s="22">
        <v>6</v>
      </c>
      <c r="Y453" s="22">
        <v>18</v>
      </c>
      <c r="Z453" s="10">
        <f t="shared" si="138"/>
        <v>0.31415926535897931</v>
      </c>
      <c r="AA453" s="10">
        <f t="shared" si="139"/>
        <v>14.844483023016263</v>
      </c>
      <c r="AB453" s="10">
        <f t="shared" si="140"/>
        <v>47.803095124189227</v>
      </c>
      <c r="AC453" s="10">
        <f t="shared" si="133"/>
        <v>5.9753868905236533</v>
      </c>
      <c r="AD453" s="10">
        <f t="shared" si="119"/>
        <v>23.901547562094613</v>
      </c>
      <c r="AE453" s="65"/>
      <c r="AF453" s="10">
        <f t="shared" si="120"/>
        <v>41.804911334924498</v>
      </c>
      <c r="AG453" s="8">
        <f t="shared" si="134"/>
        <v>8.1519577103102776</v>
      </c>
      <c r="AH453" s="10">
        <f t="shared" si="135"/>
        <v>20.902455667462249</v>
      </c>
      <c r="AI453" s="63"/>
      <c r="AJ453" s="10">
        <f t="shared" si="121"/>
        <v>55.967999999999989</v>
      </c>
      <c r="AK453" s="8"/>
      <c r="AL453" s="8">
        <f t="shared" si="136"/>
        <v>27.983999999999995</v>
      </c>
    </row>
    <row r="454" spans="1:38">
      <c r="A454" s="18">
        <v>41461</v>
      </c>
      <c r="B454" s="19" t="s">
        <v>34</v>
      </c>
      <c r="C454" s="12">
        <v>100.1</v>
      </c>
      <c r="D454" s="19" t="s">
        <v>80</v>
      </c>
      <c r="E454" s="8">
        <v>8.4108499999999999</v>
      </c>
      <c r="F454" s="8">
        <v>83.313320000000004</v>
      </c>
      <c r="G454" s="22">
        <v>100</v>
      </c>
      <c r="H454" s="8">
        <v>-5</v>
      </c>
      <c r="I454" s="10">
        <f t="shared" si="127"/>
        <v>-19.983330554894014</v>
      </c>
      <c r="J454" s="10">
        <f t="shared" si="128"/>
        <v>-0.34877491369728597</v>
      </c>
      <c r="K454" s="10">
        <v>21</v>
      </c>
      <c r="L454" s="22">
        <v>111</v>
      </c>
      <c r="M454" s="22" t="s">
        <v>36</v>
      </c>
      <c r="N454" s="8" t="s">
        <v>46</v>
      </c>
      <c r="O454" s="10" t="s">
        <v>37</v>
      </c>
      <c r="P454" s="10" t="s">
        <v>38</v>
      </c>
      <c r="Q454" s="11">
        <v>0.48</v>
      </c>
      <c r="R454" s="8" t="s">
        <v>60</v>
      </c>
      <c r="S454" s="30">
        <v>7.2</v>
      </c>
      <c r="T454" s="79">
        <f t="shared" si="122"/>
        <v>4.0715136000000008E-3</v>
      </c>
      <c r="U454" s="22">
        <v>12</v>
      </c>
      <c r="V454" s="22">
        <v>45</v>
      </c>
      <c r="W454" s="10">
        <f t="shared" si="137"/>
        <v>0.78539816339744828</v>
      </c>
      <c r="X454" s="22">
        <v>6</v>
      </c>
      <c r="Y454" s="22">
        <v>18</v>
      </c>
      <c r="Z454" s="10">
        <f t="shared" si="138"/>
        <v>0.31415926535897931</v>
      </c>
      <c r="AA454" s="10">
        <f t="shared" si="139"/>
        <v>10.339383340488254</v>
      </c>
      <c r="AB454" s="10">
        <f t="shared" si="140"/>
        <v>14.309963857175511</v>
      </c>
      <c r="AC454" s="10">
        <f t="shared" si="133"/>
        <v>1.7887454821469388</v>
      </c>
      <c r="AD454" s="10">
        <f t="shared" si="119"/>
        <v>7.1549819285877554</v>
      </c>
      <c r="AE454" s="65"/>
      <c r="AF454" s="10">
        <f t="shared" si="120"/>
        <v>12.506099810931609</v>
      </c>
      <c r="AG454" s="8">
        <f t="shared" si="134"/>
        <v>2.4386894631316638</v>
      </c>
      <c r="AH454" s="10">
        <f t="shared" si="135"/>
        <v>6.2530499054658044</v>
      </c>
      <c r="AI454" s="63"/>
      <c r="AJ454" s="10">
        <f t="shared" si="121"/>
        <v>9.5969999999999978</v>
      </c>
      <c r="AK454" s="8"/>
      <c r="AL454" s="8">
        <f t="shared" si="136"/>
        <v>4.7984999999999989</v>
      </c>
    </row>
    <row r="455" spans="1:38">
      <c r="A455" s="18">
        <v>41461</v>
      </c>
      <c r="B455" s="19" t="s">
        <v>34</v>
      </c>
      <c r="C455" s="12">
        <v>100.1</v>
      </c>
      <c r="D455" s="19" t="s">
        <v>80</v>
      </c>
      <c r="E455" s="8">
        <v>8.4108499999999999</v>
      </c>
      <c r="F455" s="8">
        <v>83.313320000000004</v>
      </c>
      <c r="G455" s="22">
        <v>100</v>
      </c>
      <c r="H455" s="8">
        <v>-5</v>
      </c>
      <c r="I455" s="10">
        <f t="shared" si="127"/>
        <v>-19.983330554894014</v>
      </c>
      <c r="J455" s="10">
        <f t="shared" si="128"/>
        <v>-0.34877491369728597</v>
      </c>
      <c r="K455" s="10">
        <v>21</v>
      </c>
      <c r="L455" s="22">
        <v>110</v>
      </c>
      <c r="M455" s="22" t="s">
        <v>39</v>
      </c>
      <c r="N455" s="8" t="s">
        <v>69</v>
      </c>
      <c r="O455" s="10" t="s">
        <v>65</v>
      </c>
      <c r="P455" s="10" t="s">
        <v>70</v>
      </c>
      <c r="Q455" s="8">
        <v>0.37</v>
      </c>
      <c r="R455" s="8" t="s">
        <v>71</v>
      </c>
      <c r="S455" s="30">
        <v>13.8</v>
      </c>
      <c r="T455" s="79">
        <f t="shared" si="122"/>
        <v>1.4957157600000003E-2</v>
      </c>
      <c r="U455" s="22">
        <v>11</v>
      </c>
      <c r="V455" s="22">
        <v>53</v>
      </c>
      <c r="W455" s="10">
        <f t="shared" si="137"/>
        <v>0.92502450355699462</v>
      </c>
      <c r="X455" s="22">
        <v>6</v>
      </c>
      <c r="Y455" s="22">
        <v>18</v>
      </c>
      <c r="Z455" s="10">
        <f t="shared" si="138"/>
        <v>0.31415926535897931</v>
      </c>
      <c r="AA455" s="10">
        <f t="shared" si="139"/>
        <v>10.639092576769906</v>
      </c>
      <c r="AB455" s="10">
        <f t="shared" si="140"/>
        <v>39.10518429631982</v>
      </c>
      <c r="AC455" s="10">
        <f t="shared" si="133"/>
        <v>4.8881480370399775</v>
      </c>
      <c r="AD455" s="10">
        <f t="shared" ref="AD455:AD518" si="141">AB455/2</f>
        <v>19.55259214815991</v>
      </c>
      <c r="AE455" s="65"/>
      <c r="AF455" s="10">
        <f t="shared" ref="AF455:AF518" si="142">Q455*EXP(-1.239+1.98*LN(S455)+0.207*(LN(S455))^2-0.0281*(LN(S455))^3)</f>
        <v>48.497562387194435</v>
      </c>
      <c r="AG455" s="8">
        <f t="shared" si="134"/>
        <v>9.4570246655029155</v>
      </c>
      <c r="AH455" s="10">
        <f t="shared" si="135"/>
        <v>24.248781193597218</v>
      </c>
      <c r="AI455" s="63"/>
      <c r="AJ455" s="10">
        <f t="shared" ref="AJ455:AJ518" si="143">21.297-6.953*S455+0.74*(S455^2)</f>
        <v>66.271200000000022</v>
      </c>
      <c r="AK455" s="8"/>
      <c r="AL455" s="8">
        <f t="shared" si="136"/>
        <v>33.135600000000011</v>
      </c>
    </row>
    <row r="456" spans="1:38">
      <c r="A456" s="18">
        <v>41461</v>
      </c>
      <c r="B456" s="19" t="s">
        <v>34</v>
      </c>
      <c r="C456" s="12">
        <v>100.1</v>
      </c>
      <c r="D456" s="19" t="s">
        <v>80</v>
      </c>
      <c r="E456" s="8">
        <v>8.4108499999999999</v>
      </c>
      <c r="F456" s="8">
        <v>83.313320000000004</v>
      </c>
      <c r="G456" s="22">
        <v>100</v>
      </c>
      <c r="H456" s="8">
        <v>-5</v>
      </c>
      <c r="I456" s="10">
        <f t="shared" si="127"/>
        <v>-19.983330554894014</v>
      </c>
      <c r="J456" s="10">
        <f t="shared" si="128"/>
        <v>-0.34877491369728597</v>
      </c>
      <c r="K456" s="10">
        <v>21</v>
      </c>
      <c r="L456" s="22">
        <v>109</v>
      </c>
      <c r="M456" s="22" t="s">
        <v>36</v>
      </c>
      <c r="N456" s="8" t="s">
        <v>46</v>
      </c>
      <c r="O456" s="10" t="s">
        <v>37</v>
      </c>
      <c r="P456" s="10" t="s">
        <v>38</v>
      </c>
      <c r="Q456" s="11">
        <v>0.48</v>
      </c>
      <c r="R456" s="8" t="s">
        <v>60</v>
      </c>
      <c r="S456" s="30">
        <v>10</v>
      </c>
      <c r="T456" s="79">
        <f t="shared" ref="T456:T519" si="144">0.00007854*S456^2</f>
        <v>7.8539999999999999E-3</v>
      </c>
      <c r="U456" s="8">
        <f>9+3</f>
        <v>12</v>
      </c>
      <c r="V456" s="22">
        <v>60</v>
      </c>
      <c r="W456" s="10">
        <f t="shared" si="137"/>
        <v>1.0471975511965976</v>
      </c>
      <c r="X456" s="8">
        <v>5</v>
      </c>
      <c r="Y456" s="22">
        <v>13</v>
      </c>
      <c r="Z456" s="10">
        <f t="shared" si="138"/>
        <v>0.22689280275926285</v>
      </c>
      <c r="AA456" s="10">
        <f t="shared" si="139"/>
        <v>11.517060117132589</v>
      </c>
      <c r="AB456" s="10">
        <f t="shared" si="140"/>
        <v>29.369031167568263</v>
      </c>
      <c r="AC456" s="10">
        <f t="shared" si="133"/>
        <v>3.6711288959460329</v>
      </c>
      <c r="AD456" s="10">
        <f t="shared" si="141"/>
        <v>14.684515583784131</v>
      </c>
      <c r="AE456" s="65"/>
      <c r="AF456" s="10">
        <f t="shared" si="142"/>
        <v>28.235933581188522</v>
      </c>
      <c r="AG456" s="8">
        <f t="shared" si="134"/>
        <v>5.506007048331762</v>
      </c>
      <c r="AH456" s="10">
        <f t="shared" si="135"/>
        <v>14.117966790594261</v>
      </c>
      <c r="AI456" s="63"/>
      <c r="AJ456" s="10">
        <f t="shared" si="143"/>
        <v>25.766999999999996</v>
      </c>
      <c r="AK456" s="8"/>
      <c r="AL456" s="8">
        <f t="shared" si="136"/>
        <v>12.883499999999998</v>
      </c>
    </row>
    <row r="457" spans="1:38">
      <c r="A457" s="18">
        <v>41461</v>
      </c>
      <c r="B457" s="19" t="s">
        <v>34</v>
      </c>
      <c r="C457" s="12">
        <v>100.1</v>
      </c>
      <c r="D457" s="19" t="s">
        <v>80</v>
      </c>
      <c r="E457" s="8">
        <v>8.4108499999999999</v>
      </c>
      <c r="F457" s="8">
        <v>83.313320000000004</v>
      </c>
      <c r="G457" s="22">
        <v>100</v>
      </c>
      <c r="H457" s="8">
        <v>-5</v>
      </c>
      <c r="I457" s="10">
        <f t="shared" si="127"/>
        <v>-19.983330554894014</v>
      </c>
      <c r="J457" s="10">
        <f t="shared" si="128"/>
        <v>-0.34877491369728597</v>
      </c>
      <c r="K457" s="10">
        <v>21</v>
      </c>
      <c r="L457" s="22">
        <v>108</v>
      </c>
      <c r="M457" s="22" t="s">
        <v>39</v>
      </c>
      <c r="N457" s="8" t="s">
        <v>69</v>
      </c>
      <c r="O457" s="10" t="s">
        <v>65</v>
      </c>
      <c r="P457" s="10" t="s">
        <v>70</v>
      </c>
      <c r="Q457" s="8">
        <v>0.37</v>
      </c>
      <c r="R457" s="8" t="s">
        <v>71</v>
      </c>
      <c r="S457" s="30">
        <v>8</v>
      </c>
      <c r="T457" s="79">
        <f t="shared" si="144"/>
        <v>5.0265600000000002E-3</v>
      </c>
      <c r="U457" s="8">
        <f>10+2</f>
        <v>12</v>
      </c>
      <c r="V457" s="22">
        <v>62</v>
      </c>
      <c r="W457" s="10">
        <f t="shared" si="137"/>
        <v>1.0821041362364843</v>
      </c>
      <c r="X457" s="8">
        <v>5</v>
      </c>
      <c r="Y457" s="22">
        <v>20</v>
      </c>
      <c r="Z457" s="10">
        <f t="shared" si="138"/>
        <v>0.3490658503988659</v>
      </c>
      <c r="AA457" s="10">
        <f t="shared" si="139"/>
        <v>12.305471830935465</v>
      </c>
      <c r="AB457" s="10">
        <f t="shared" si="140"/>
        <v>16.086919618407695</v>
      </c>
      <c r="AC457" s="10">
        <f t="shared" si="133"/>
        <v>2.0108649523009618</v>
      </c>
      <c r="AD457" s="10">
        <f t="shared" si="141"/>
        <v>8.0434598092038474</v>
      </c>
      <c r="AE457" s="65"/>
      <c r="AF457" s="10">
        <f t="shared" si="142"/>
        <v>12.509147049353199</v>
      </c>
      <c r="AG457" s="8">
        <f t="shared" si="134"/>
        <v>2.4392836746238737</v>
      </c>
      <c r="AH457" s="10">
        <f t="shared" si="135"/>
        <v>6.2545735246765997</v>
      </c>
      <c r="AI457" s="63"/>
      <c r="AJ457" s="10">
        <f t="shared" si="143"/>
        <v>13.033000000000001</v>
      </c>
      <c r="AK457" s="8"/>
      <c r="AL457" s="8">
        <f t="shared" si="136"/>
        <v>6.5165000000000006</v>
      </c>
    </row>
    <row r="458" spans="1:38">
      <c r="A458" s="18">
        <v>41461</v>
      </c>
      <c r="B458" s="19" t="s">
        <v>34</v>
      </c>
      <c r="C458" s="12">
        <v>100.1</v>
      </c>
      <c r="D458" s="19" t="s">
        <v>80</v>
      </c>
      <c r="E458" s="8">
        <v>8.4108499999999999</v>
      </c>
      <c r="F458" s="8">
        <v>83.313320000000004</v>
      </c>
      <c r="G458" s="22">
        <v>100</v>
      </c>
      <c r="H458" s="8">
        <v>-5</v>
      </c>
      <c r="I458" s="10">
        <f t="shared" si="127"/>
        <v>-19.983330554894014</v>
      </c>
      <c r="J458" s="10">
        <f t="shared" si="128"/>
        <v>-0.34877491369728597</v>
      </c>
      <c r="K458" s="10">
        <v>21</v>
      </c>
      <c r="L458" s="22">
        <v>107</v>
      </c>
      <c r="M458" s="22" t="s">
        <v>36</v>
      </c>
      <c r="N458" s="8" t="s">
        <v>46</v>
      </c>
      <c r="O458" s="10" t="s">
        <v>37</v>
      </c>
      <c r="P458" s="10" t="s">
        <v>38</v>
      </c>
      <c r="Q458" s="11">
        <v>0.48</v>
      </c>
      <c r="R458" s="8" t="s">
        <v>60</v>
      </c>
      <c r="S458" s="30">
        <v>22</v>
      </c>
      <c r="T458" s="79">
        <f t="shared" si="144"/>
        <v>3.8013360000000003E-2</v>
      </c>
      <c r="U458" s="8">
        <f>10+3</f>
        <v>13</v>
      </c>
      <c r="V458" s="22">
        <v>62</v>
      </c>
      <c r="W458" s="10">
        <f t="shared" si="137"/>
        <v>1.0821041362364843</v>
      </c>
      <c r="X458" s="8">
        <v>7</v>
      </c>
      <c r="Y458" s="22">
        <v>19</v>
      </c>
      <c r="Z458" s="10">
        <f t="shared" si="138"/>
        <v>0.33161255787892263</v>
      </c>
      <c r="AA458" s="10">
        <f t="shared" si="139"/>
        <v>13.757295788366147</v>
      </c>
      <c r="AB458" s="10">
        <f t="shared" si="140"/>
        <v>152.82845220940712</v>
      </c>
      <c r="AC458" s="10">
        <f t="shared" si="133"/>
        <v>19.10355652617589</v>
      </c>
      <c r="AD458" s="10">
        <f t="shared" si="141"/>
        <v>76.414226104703559</v>
      </c>
      <c r="AE458" s="65"/>
      <c r="AF458" s="10">
        <f t="shared" si="142"/>
        <v>199.37630972130992</v>
      </c>
      <c r="AG458" s="8">
        <f t="shared" si="134"/>
        <v>38.878380395655434</v>
      </c>
      <c r="AH458" s="10">
        <f t="shared" si="135"/>
        <v>99.688154860654961</v>
      </c>
      <c r="AI458" s="63"/>
      <c r="AJ458" s="10">
        <f t="shared" si="143"/>
        <v>226.49099999999996</v>
      </c>
      <c r="AK458" s="8"/>
      <c r="AL458" s="8">
        <f t="shared" si="136"/>
        <v>113.24549999999998</v>
      </c>
    </row>
    <row r="459" spans="1:38">
      <c r="A459" s="18">
        <v>41461</v>
      </c>
      <c r="B459" s="19" t="s">
        <v>34</v>
      </c>
      <c r="C459" s="12">
        <v>100.1</v>
      </c>
      <c r="D459" s="19" t="s">
        <v>80</v>
      </c>
      <c r="E459" s="8">
        <v>8.4108499999999999</v>
      </c>
      <c r="F459" s="8">
        <v>83.313320000000004</v>
      </c>
      <c r="G459" s="22">
        <v>100</v>
      </c>
      <c r="H459" s="8">
        <v>-5</v>
      </c>
      <c r="I459" s="10">
        <f t="shared" si="127"/>
        <v>-19.983330554894014</v>
      </c>
      <c r="J459" s="10">
        <f t="shared" si="128"/>
        <v>-0.34877491369728597</v>
      </c>
      <c r="K459" s="10">
        <v>21</v>
      </c>
      <c r="L459" s="22">
        <v>106</v>
      </c>
      <c r="M459" s="22" t="s">
        <v>151</v>
      </c>
      <c r="N459" s="22" t="s">
        <v>84</v>
      </c>
      <c r="O459" s="58" t="s">
        <v>85</v>
      </c>
      <c r="P459" s="50" t="s">
        <v>86</v>
      </c>
      <c r="Q459" s="22">
        <v>0.53</v>
      </c>
      <c r="R459" s="22" t="s">
        <v>190</v>
      </c>
      <c r="S459" s="30">
        <v>7.3</v>
      </c>
      <c r="T459" s="79">
        <f t="shared" si="144"/>
        <v>4.1853966000000003E-3</v>
      </c>
      <c r="U459" s="8">
        <v>9</v>
      </c>
      <c r="V459" s="22">
        <v>63</v>
      </c>
      <c r="W459" s="10">
        <f t="shared" si="137"/>
        <v>1.0995574287564276</v>
      </c>
      <c r="X459" s="8">
        <v>7</v>
      </c>
      <c r="Y459" s="22">
        <v>19</v>
      </c>
      <c r="Z459" s="10">
        <f t="shared" si="138"/>
        <v>0.33161255787892263</v>
      </c>
      <c r="AA459" s="10">
        <f t="shared" si="139"/>
        <v>10.298035798895407</v>
      </c>
      <c r="AB459" s="10">
        <f t="shared" si="140"/>
        <v>16.05895011772472</v>
      </c>
      <c r="AC459" s="10">
        <f t="shared" si="133"/>
        <v>2.00736876471559</v>
      </c>
      <c r="AD459" s="10">
        <f t="shared" si="141"/>
        <v>8.02947505886236</v>
      </c>
      <c r="AE459" s="65"/>
      <c r="AF459" s="10">
        <f t="shared" si="142"/>
        <v>14.287247598797455</v>
      </c>
      <c r="AG459" s="8">
        <f t="shared" si="134"/>
        <v>2.7860132817655039</v>
      </c>
      <c r="AH459" s="10">
        <f t="shared" si="135"/>
        <v>7.1436237993987275</v>
      </c>
      <c r="AI459" s="63"/>
      <c r="AJ459" s="10">
        <f t="shared" si="143"/>
        <v>9.974699999999995</v>
      </c>
      <c r="AK459" s="8"/>
      <c r="AL459" s="8">
        <f t="shared" si="136"/>
        <v>4.9873499999999975</v>
      </c>
    </row>
    <row r="460" spans="1:38">
      <c r="A460" s="18">
        <v>41461</v>
      </c>
      <c r="B460" s="19" t="s">
        <v>34</v>
      </c>
      <c r="C460" s="12">
        <v>100.1</v>
      </c>
      <c r="D460" s="19" t="s">
        <v>80</v>
      </c>
      <c r="E460" s="8">
        <v>8.4108499999999999</v>
      </c>
      <c r="F460" s="8">
        <v>83.313320000000004</v>
      </c>
      <c r="G460" s="22">
        <v>100</v>
      </c>
      <c r="H460" s="8">
        <v>-5</v>
      </c>
      <c r="I460" s="10">
        <f t="shared" si="127"/>
        <v>-19.983330554894014</v>
      </c>
      <c r="J460" s="10">
        <f t="shared" si="128"/>
        <v>-0.34877491369728597</v>
      </c>
      <c r="K460" s="10">
        <v>21</v>
      </c>
      <c r="L460" s="22">
        <v>105</v>
      </c>
      <c r="M460" s="8" t="s">
        <v>96</v>
      </c>
      <c r="N460" s="8" t="s">
        <v>69</v>
      </c>
      <c r="O460" s="58" t="s">
        <v>65</v>
      </c>
      <c r="P460" s="10" t="s">
        <v>102</v>
      </c>
      <c r="Q460" s="22">
        <v>0.48</v>
      </c>
      <c r="R460" s="22" t="s">
        <v>190</v>
      </c>
      <c r="S460" s="30">
        <v>18</v>
      </c>
      <c r="T460" s="79">
        <f t="shared" si="144"/>
        <v>2.5446960000000001E-2</v>
      </c>
      <c r="U460" s="8">
        <f>12+5</f>
        <v>17</v>
      </c>
      <c r="V460" s="22">
        <v>65</v>
      </c>
      <c r="W460" s="10">
        <f t="shared" si="137"/>
        <v>1.1344640137963142</v>
      </c>
      <c r="X460" s="8">
        <v>6</v>
      </c>
      <c r="Y460" s="22">
        <v>17</v>
      </c>
      <c r="Z460" s="10">
        <f t="shared" si="138"/>
        <v>0.29670597283903605</v>
      </c>
      <c r="AA460" s="10">
        <f t="shared" si="139"/>
        <v>17.161462607959468</v>
      </c>
      <c r="AB460" s="10">
        <f t="shared" si="140"/>
        <v>129.00954231095156</v>
      </c>
      <c r="AC460" s="10">
        <f t="shared" si="133"/>
        <v>16.126192788868945</v>
      </c>
      <c r="AD460" s="10">
        <f t="shared" si="141"/>
        <v>64.50477115547578</v>
      </c>
      <c r="AE460" s="65"/>
      <c r="AF460" s="10">
        <f t="shared" si="142"/>
        <v>121.6038897369755</v>
      </c>
      <c r="AG460" s="8">
        <f t="shared" si="134"/>
        <v>23.712758498710222</v>
      </c>
      <c r="AH460" s="10">
        <f t="shared" si="135"/>
        <v>60.801944868487752</v>
      </c>
      <c r="AI460" s="63"/>
      <c r="AJ460" s="10">
        <f t="shared" si="143"/>
        <v>135.90299999999996</v>
      </c>
      <c r="AK460" s="8"/>
      <c r="AL460" s="8">
        <f t="shared" si="136"/>
        <v>67.951499999999982</v>
      </c>
    </row>
    <row r="461" spans="1:38">
      <c r="A461" s="18">
        <v>41461</v>
      </c>
      <c r="B461" s="19" t="s">
        <v>34</v>
      </c>
      <c r="C461" s="12">
        <v>100.1</v>
      </c>
      <c r="D461" s="19" t="s">
        <v>80</v>
      </c>
      <c r="E461" s="8">
        <v>8.4108499999999999</v>
      </c>
      <c r="F461" s="8">
        <v>83.313320000000004</v>
      </c>
      <c r="G461" s="22">
        <v>100</v>
      </c>
      <c r="H461" s="8">
        <v>-5</v>
      </c>
      <c r="I461" s="10">
        <f t="shared" si="127"/>
        <v>-19.983330554894014</v>
      </c>
      <c r="J461" s="10">
        <f t="shared" si="128"/>
        <v>-0.34877491369728597</v>
      </c>
      <c r="K461" s="10">
        <v>21</v>
      </c>
      <c r="L461" s="22">
        <v>104</v>
      </c>
      <c r="M461" s="22" t="s">
        <v>36</v>
      </c>
      <c r="N461" s="8" t="s">
        <v>46</v>
      </c>
      <c r="O461" s="10" t="s">
        <v>37</v>
      </c>
      <c r="P461" s="10" t="s">
        <v>38</v>
      </c>
      <c r="Q461" s="11">
        <v>0.48</v>
      </c>
      <c r="R461" s="8" t="s">
        <v>60</v>
      </c>
      <c r="S461" s="30">
        <v>17</v>
      </c>
      <c r="T461" s="79">
        <f t="shared" si="144"/>
        <v>2.2698060000000003E-2</v>
      </c>
      <c r="U461" s="8">
        <v>12</v>
      </c>
      <c r="V461" s="22">
        <v>60</v>
      </c>
      <c r="W461" s="10">
        <f t="shared" si="137"/>
        <v>1.0471975511965976</v>
      </c>
      <c r="X461" s="8">
        <v>5</v>
      </c>
      <c r="Y461" s="22">
        <v>20</v>
      </c>
      <c r="Z461" s="10">
        <f t="shared" si="138"/>
        <v>0.3490658503988659</v>
      </c>
      <c r="AA461" s="10">
        <f t="shared" si="139"/>
        <v>12.102405562041607</v>
      </c>
      <c r="AB461" s="10">
        <f t="shared" si="140"/>
        <v>83.43953148662888</v>
      </c>
      <c r="AC461" s="10">
        <f t="shared" si="133"/>
        <v>10.42994143582861</v>
      </c>
      <c r="AD461" s="10">
        <f t="shared" si="141"/>
        <v>41.71976574331444</v>
      </c>
      <c r="AE461" s="65"/>
      <c r="AF461" s="10">
        <f t="shared" si="142"/>
        <v>105.56625788482448</v>
      </c>
      <c r="AG461" s="8">
        <f t="shared" si="134"/>
        <v>20.585420287540774</v>
      </c>
      <c r="AH461" s="10">
        <f t="shared" si="135"/>
        <v>52.78312894241224</v>
      </c>
      <c r="AI461" s="63"/>
      <c r="AJ461" s="10">
        <f t="shared" si="143"/>
        <v>116.95599999999997</v>
      </c>
      <c r="AK461" s="8"/>
      <c r="AL461" s="8">
        <f t="shared" si="136"/>
        <v>58.477999999999987</v>
      </c>
    </row>
    <row r="462" spans="1:38">
      <c r="A462" s="18">
        <v>41461</v>
      </c>
      <c r="B462" s="19" t="s">
        <v>34</v>
      </c>
      <c r="C462" s="12">
        <v>100.1</v>
      </c>
      <c r="D462" s="19" t="s">
        <v>80</v>
      </c>
      <c r="E462" s="8">
        <v>8.4108499999999999</v>
      </c>
      <c r="F462" s="8">
        <v>83.313320000000004</v>
      </c>
      <c r="G462" s="22">
        <v>100</v>
      </c>
      <c r="H462" s="8">
        <v>-5</v>
      </c>
      <c r="I462" s="10">
        <f t="shared" si="127"/>
        <v>-19.983330554894014</v>
      </c>
      <c r="J462" s="10">
        <f t="shared" si="128"/>
        <v>-0.34877491369728597</v>
      </c>
      <c r="K462" s="10">
        <v>21</v>
      </c>
      <c r="L462" s="22">
        <v>103</v>
      </c>
      <c r="M462" s="49" t="s">
        <v>97</v>
      </c>
      <c r="N462" s="22" t="s">
        <v>99</v>
      </c>
      <c r="O462" s="10" t="s">
        <v>99</v>
      </c>
      <c r="P462" s="10" t="s">
        <v>99</v>
      </c>
      <c r="Q462" s="22">
        <v>0.57999999999999996</v>
      </c>
      <c r="R462" s="22" t="s">
        <v>103</v>
      </c>
      <c r="S462" s="30">
        <v>9.5</v>
      </c>
      <c r="T462" s="79">
        <f t="shared" si="144"/>
        <v>7.088235E-3</v>
      </c>
      <c r="U462" s="8">
        <v>12</v>
      </c>
      <c r="V462" s="22">
        <v>63</v>
      </c>
      <c r="W462" s="10">
        <f t="shared" si="137"/>
        <v>1.0995574287564276</v>
      </c>
      <c r="X462" s="8">
        <v>5</v>
      </c>
      <c r="Y462" s="22">
        <v>22</v>
      </c>
      <c r="Z462" s="10">
        <f t="shared" si="138"/>
        <v>0.38397243543875248</v>
      </c>
      <c r="AA462" s="10">
        <f t="shared" si="139"/>
        <v>12.565111257339973</v>
      </c>
      <c r="AB462" s="10">
        <f t="shared" si="140"/>
        <v>34.579664174048368</v>
      </c>
      <c r="AC462" s="10">
        <f t="shared" si="133"/>
        <v>4.322458021756046</v>
      </c>
      <c r="AD462" s="10">
        <f t="shared" si="141"/>
        <v>17.289832087024184</v>
      </c>
      <c r="AE462" s="65"/>
      <c r="AF462" s="10">
        <f t="shared" si="142"/>
        <v>30.034405161900793</v>
      </c>
      <c r="AG462" s="8">
        <f t="shared" si="134"/>
        <v>5.8567090065706546</v>
      </c>
      <c r="AH462" s="10">
        <f t="shared" si="135"/>
        <v>15.017202580950396</v>
      </c>
      <c r="AI462" s="63"/>
      <c r="AJ462" s="10">
        <f t="shared" si="143"/>
        <v>22.028499999999994</v>
      </c>
      <c r="AK462" s="8"/>
      <c r="AL462" s="8">
        <f t="shared" si="136"/>
        <v>11.014249999999997</v>
      </c>
    </row>
    <row r="463" spans="1:38">
      <c r="A463" s="18">
        <v>41461</v>
      </c>
      <c r="B463" s="19" t="s">
        <v>34</v>
      </c>
      <c r="C463" s="12">
        <v>100.1</v>
      </c>
      <c r="D463" s="19" t="s">
        <v>80</v>
      </c>
      <c r="E463" s="8">
        <v>8.4108499999999999</v>
      </c>
      <c r="F463" s="8">
        <v>83.313320000000004</v>
      </c>
      <c r="G463" s="22">
        <v>100</v>
      </c>
      <c r="H463" s="8">
        <v>-5</v>
      </c>
      <c r="I463" s="10">
        <f t="shared" si="127"/>
        <v>-19.983330554894014</v>
      </c>
      <c r="J463" s="10">
        <f t="shared" si="128"/>
        <v>-0.34877491369728597</v>
      </c>
      <c r="K463" s="10">
        <v>21</v>
      </c>
      <c r="L463" s="22">
        <v>102</v>
      </c>
      <c r="M463" s="22" t="s">
        <v>36</v>
      </c>
      <c r="N463" s="8" t="s">
        <v>46</v>
      </c>
      <c r="O463" s="10" t="s">
        <v>37</v>
      </c>
      <c r="P463" s="10" t="s">
        <v>38</v>
      </c>
      <c r="Q463" s="11">
        <v>0.48</v>
      </c>
      <c r="R463" s="8" t="s">
        <v>60</v>
      </c>
      <c r="S463" s="30">
        <v>18</v>
      </c>
      <c r="T463" s="79">
        <f t="shared" si="144"/>
        <v>2.5446960000000001E-2</v>
      </c>
      <c r="U463" s="22">
        <v>10</v>
      </c>
      <c r="V463" s="22">
        <v>53</v>
      </c>
      <c r="W463" s="10">
        <f t="shared" si="137"/>
        <v>0.92502450355699462</v>
      </c>
      <c r="X463" s="8">
        <v>5</v>
      </c>
      <c r="Y463" s="22">
        <v>20</v>
      </c>
      <c r="Z463" s="10">
        <f t="shared" si="138"/>
        <v>0.3490658503988659</v>
      </c>
      <c r="AA463" s="10">
        <f t="shared" si="139"/>
        <v>9.6964558171012722</v>
      </c>
      <c r="AB463" s="10">
        <f t="shared" si="140"/>
        <v>75.43224538303339</v>
      </c>
      <c r="AC463" s="10">
        <f t="shared" si="133"/>
        <v>9.4290306728791737</v>
      </c>
      <c r="AD463" s="10">
        <f t="shared" si="141"/>
        <v>37.716122691516695</v>
      </c>
      <c r="AE463" s="65"/>
      <c r="AF463" s="10">
        <f t="shared" si="142"/>
        <v>121.6038897369755</v>
      </c>
      <c r="AG463" s="8">
        <f t="shared" si="134"/>
        <v>23.712758498710222</v>
      </c>
      <c r="AH463" s="10">
        <f t="shared" si="135"/>
        <v>60.801944868487752</v>
      </c>
      <c r="AI463" s="63"/>
      <c r="AJ463" s="10">
        <f t="shared" si="143"/>
        <v>135.90299999999996</v>
      </c>
      <c r="AK463" s="8"/>
      <c r="AL463" s="8">
        <f t="shared" si="136"/>
        <v>67.951499999999982</v>
      </c>
    </row>
    <row r="464" spans="1:38">
      <c r="A464" s="18">
        <v>41461</v>
      </c>
      <c r="B464" s="19" t="s">
        <v>34</v>
      </c>
      <c r="C464" s="12">
        <v>100.1</v>
      </c>
      <c r="D464" s="19" t="s">
        <v>80</v>
      </c>
      <c r="E464" s="8">
        <v>8.4108499999999999</v>
      </c>
      <c r="F464" s="8">
        <v>83.313320000000004</v>
      </c>
      <c r="G464" s="22">
        <v>100</v>
      </c>
      <c r="H464" s="8">
        <v>-5</v>
      </c>
      <c r="I464" s="10">
        <f t="shared" si="127"/>
        <v>-19.983330554894014</v>
      </c>
      <c r="J464" s="10">
        <f t="shared" si="128"/>
        <v>-0.34877491369728597</v>
      </c>
      <c r="K464" s="10">
        <v>21</v>
      </c>
      <c r="L464" s="22">
        <v>101</v>
      </c>
      <c r="M464" s="22" t="s">
        <v>36</v>
      </c>
      <c r="N464" s="8" t="s">
        <v>46</v>
      </c>
      <c r="O464" s="10" t="s">
        <v>37</v>
      </c>
      <c r="P464" s="10" t="s">
        <v>38</v>
      </c>
      <c r="Q464" s="11">
        <v>0.48</v>
      </c>
      <c r="R464" s="8" t="s">
        <v>60</v>
      </c>
      <c r="S464" s="30">
        <v>21</v>
      </c>
      <c r="T464" s="79">
        <f t="shared" si="144"/>
        <v>3.4636140000000003E-2</v>
      </c>
      <c r="U464" s="22">
        <v>13</v>
      </c>
      <c r="V464" s="22">
        <v>64</v>
      </c>
      <c r="W464" s="10">
        <f t="shared" si="137"/>
        <v>1.1170107212763709</v>
      </c>
      <c r="X464" s="8">
        <v>5</v>
      </c>
      <c r="Y464" s="22">
        <v>12</v>
      </c>
      <c r="Z464" s="10">
        <f t="shared" si="138"/>
        <v>0.20943951023931956</v>
      </c>
      <c r="AA464" s="10">
        <f t="shared" si="139"/>
        <v>12.723881055977968</v>
      </c>
      <c r="AB464" s="10">
        <f t="shared" si="140"/>
        <v>130.11973887986625</v>
      </c>
      <c r="AC464" s="10">
        <f t="shared" si="133"/>
        <v>16.264967359983281</v>
      </c>
      <c r="AD464" s="10">
        <f t="shared" si="141"/>
        <v>65.059869439933124</v>
      </c>
      <c r="AE464" s="65"/>
      <c r="AF464" s="10">
        <f t="shared" si="142"/>
        <v>177.84448358046754</v>
      </c>
      <c r="AG464" s="8">
        <f t="shared" si="134"/>
        <v>34.679674298191173</v>
      </c>
      <c r="AH464" s="10">
        <f t="shared" si="135"/>
        <v>88.92224179023377</v>
      </c>
      <c r="AI464" s="63"/>
      <c r="AJ464" s="10">
        <f t="shared" si="143"/>
        <v>201.62399999999997</v>
      </c>
      <c r="AK464" s="8"/>
      <c r="AL464" s="8">
        <f t="shared" si="136"/>
        <v>100.81199999999998</v>
      </c>
    </row>
    <row r="465" spans="1:38">
      <c r="A465" s="18">
        <v>41461</v>
      </c>
      <c r="B465" s="19" t="s">
        <v>34</v>
      </c>
      <c r="C465" s="12">
        <v>100.1</v>
      </c>
      <c r="D465" s="19" t="s">
        <v>80</v>
      </c>
      <c r="E465" s="8">
        <v>8.4108499999999999</v>
      </c>
      <c r="F465" s="8">
        <v>83.313320000000004</v>
      </c>
      <c r="G465" s="22">
        <v>100</v>
      </c>
      <c r="H465" s="8">
        <v>-5</v>
      </c>
      <c r="I465" s="10">
        <f t="shared" si="127"/>
        <v>-19.983330554894014</v>
      </c>
      <c r="J465" s="10">
        <f t="shared" si="128"/>
        <v>-0.34877491369728597</v>
      </c>
      <c r="K465" s="10">
        <v>21</v>
      </c>
      <c r="L465" s="22">
        <v>122</v>
      </c>
      <c r="M465" s="22" t="s">
        <v>36</v>
      </c>
      <c r="N465" s="8" t="s">
        <v>46</v>
      </c>
      <c r="O465" s="10" t="s">
        <v>37</v>
      </c>
      <c r="P465" s="10" t="s">
        <v>38</v>
      </c>
      <c r="Q465" s="11">
        <v>0.48</v>
      </c>
      <c r="R465" s="8" t="s">
        <v>60</v>
      </c>
      <c r="S465" s="30">
        <v>27.3</v>
      </c>
      <c r="T465" s="79">
        <f t="shared" si="144"/>
        <v>5.8535076600000006E-2</v>
      </c>
      <c r="U465" s="22">
        <v>15</v>
      </c>
      <c r="V465" s="22">
        <v>65</v>
      </c>
      <c r="W465" s="10">
        <f t="shared" si="137"/>
        <v>1.1344640137963142</v>
      </c>
      <c r="X465" s="8">
        <v>5</v>
      </c>
      <c r="Y465" s="22">
        <v>15</v>
      </c>
      <c r="Z465" s="10">
        <f t="shared" si="138"/>
        <v>0.26179938779914941</v>
      </c>
      <c r="AA465" s="10">
        <f t="shared" si="139"/>
        <v>14.888712031062354</v>
      </c>
      <c r="AB465" s="10">
        <f t="shared" si="140"/>
        <v>247.00171184288712</v>
      </c>
      <c r="AC465" s="10">
        <f t="shared" si="133"/>
        <v>30.87521398036089</v>
      </c>
      <c r="AD465" s="10">
        <f t="shared" si="141"/>
        <v>123.50085592144356</v>
      </c>
      <c r="AE465" s="65"/>
      <c r="AF465" s="10">
        <f t="shared" si="142"/>
        <v>337.69727016750534</v>
      </c>
      <c r="AG465" s="8">
        <f t="shared" si="134"/>
        <v>65.850967682663537</v>
      </c>
      <c r="AH465" s="10">
        <f t="shared" si="135"/>
        <v>168.84863508375267</v>
      </c>
      <c r="AI465" s="63"/>
      <c r="AJ465" s="10">
        <f t="shared" si="143"/>
        <v>382.99470000000008</v>
      </c>
      <c r="AK465" s="8"/>
      <c r="AL465" s="8">
        <f t="shared" si="136"/>
        <v>191.49735000000004</v>
      </c>
    </row>
    <row r="466" spans="1:38">
      <c r="A466" s="18">
        <v>41461</v>
      </c>
      <c r="B466" s="19" t="s">
        <v>34</v>
      </c>
      <c r="C466" s="12">
        <v>100.1</v>
      </c>
      <c r="D466" s="19" t="s">
        <v>80</v>
      </c>
      <c r="E466" s="8">
        <v>8.4108499999999999</v>
      </c>
      <c r="F466" s="8">
        <v>83.313320000000004</v>
      </c>
      <c r="G466" s="22">
        <v>100</v>
      </c>
      <c r="H466" s="8">
        <v>-5</v>
      </c>
      <c r="I466" s="10">
        <f t="shared" si="127"/>
        <v>-19.983330554894014</v>
      </c>
      <c r="J466" s="10">
        <f t="shared" si="128"/>
        <v>-0.34877491369728597</v>
      </c>
      <c r="K466" s="10">
        <v>21</v>
      </c>
      <c r="L466" s="22">
        <v>123</v>
      </c>
      <c r="M466" s="22" t="s">
        <v>54</v>
      </c>
      <c r="N466" s="8" t="s">
        <v>55</v>
      </c>
      <c r="O466" s="10" t="s">
        <v>56</v>
      </c>
      <c r="P466" s="10" t="s">
        <v>57</v>
      </c>
      <c r="Q466" s="11">
        <v>0.315</v>
      </c>
      <c r="R466" s="12" t="s">
        <v>66</v>
      </c>
      <c r="S466" s="30">
        <v>8</v>
      </c>
      <c r="T466" s="79">
        <f t="shared" si="144"/>
        <v>5.0265600000000002E-3</v>
      </c>
      <c r="U466" s="22">
        <v>12</v>
      </c>
      <c r="V466" s="22">
        <v>55</v>
      </c>
      <c r="W466" s="10">
        <f t="shared" si="137"/>
        <v>0.95993108859688125</v>
      </c>
      <c r="X466" s="8">
        <v>5</v>
      </c>
      <c r="Y466" s="22">
        <v>17</v>
      </c>
      <c r="Z466" s="10">
        <f t="shared" si="138"/>
        <v>0.29670597283903605</v>
      </c>
      <c r="AA466" s="10">
        <f t="shared" si="139"/>
        <v>11.291683055081585</v>
      </c>
      <c r="AB466" s="10">
        <f t="shared" si="140"/>
        <v>12.754868223843175</v>
      </c>
      <c r="AC466" s="10">
        <f t="shared" si="133"/>
        <v>1.5943585279803969</v>
      </c>
      <c r="AD466" s="10">
        <f t="shared" si="141"/>
        <v>6.3774341119215876</v>
      </c>
      <c r="AE466" s="65"/>
      <c r="AF466" s="10">
        <f t="shared" si="142"/>
        <v>10.649679244719616</v>
      </c>
      <c r="AG466" s="8">
        <f t="shared" si="134"/>
        <v>2.0766874527203254</v>
      </c>
      <c r="AH466" s="10">
        <f t="shared" si="135"/>
        <v>5.324839622359808</v>
      </c>
      <c r="AI466" s="63"/>
      <c r="AJ466" s="10">
        <f t="shared" si="143"/>
        <v>13.033000000000001</v>
      </c>
      <c r="AK466" s="8"/>
      <c r="AL466" s="8">
        <f t="shared" si="136"/>
        <v>6.5165000000000006</v>
      </c>
    </row>
    <row r="467" spans="1:38">
      <c r="A467" s="18">
        <v>41461</v>
      </c>
      <c r="B467" s="19" t="s">
        <v>34</v>
      </c>
      <c r="C467" s="12">
        <v>100.1</v>
      </c>
      <c r="D467" s="19" t="s">
        <v>80</v>
      </c>
      <c r="E467" s="8">
        <v>8.4108499999999999</v>
      </c>
      <c r="F467" s="8">
        <v>83.313320000000004</v>
      </c>
      <c r="G467" s="22">
        <v>100</v>
      </c>
      <c r="H467" s="8">
        <v>-5</v>
      </c>
      <c r="I467" s="10">
        <f t="shared" si="127"/>
        <v>-19.983330554894014</v>
      </c>
      <c r="J467" s="10">
        <f t="shared" si="128"/>
        <v>-0.34877491369728597</v>
      </c>
      <c r="K467" s="10">
        <v>21</v>
      </c>
      <c r="L467" s="22">
        <v>124</v>
      </c>
      <c r="M467" s="8" t="s">
        <v>96</v>
      </c>
      <c r="N467" s="8" t="s">
        <v>69</v>
      </c>
      <c r="O467" s="58" t="s">
        <v>65</v>
      </c>
      <c r="P467" s="10" t="s">
        <v>102</v>
      </c>
      <c r="Q467" s="22">
        <v>0.48</v>
      </c>
      <c r="R467" s="22" t="s">
        <v>190</v>
      </c>
      <c r="S467" s="30">
        <v>17.3</v>
      </c>
      <c r="T467" s="79">
        <f t="shared" si="144"/>
        <v>2.3506236600000004E-2</v>
      </c>
      <c r="U467" s="22">
        <v>16</v>
      </c>
      <c r="V467" s="22">
        <v>72</v>
      </c>
      <c r="W467" s="10">
        <f t="shared" si="137"/>
        <v>1.2566370614359172</v>
      </c>
      <c r="X467" s="8">
        <v>5</v>
      </c>
      <c r="Y467" s="22">
        <v>17</v>
      </c>
      <c r="Z467" s="10">
        <f t="shared" si="138"/>
        <v>0.29670597283903605</v>
      </c>
      <c r="AA467" s="10">
        <f t="shared" si="139"/>
        <v>16.67876278433614</v>
      </c>
      <c r="AB467" s="10">
        <f t="shared" si="140"/>
        <v>116.57063447718255</v>
      </c>
      <c r="AC467" s="10">
        <f t="shared" si="133"/>
        <v>14.571329309647819</v>
      </c>
      <c r="AD467" s="10">
        <f t="shared" si="141"/>
        <v>58.285317238591276</v>
      </c>
      <c r="AE467" s="65"/>
      <c r="AF467" s="10">
        <f t="shared" si="142"/>
        <v>110.23854508066978</v>
      </c>
      <c r="AG467" s="8">
        <f t="shared" si="134"/>
        <v>21.496516290730607</v>
      </c>
      <c r="AH467" s="10">
        <f t="shared" si="135"/>
        <v>55.11927254033489</v>
      </c>
      <c r="AI467" s="63"/>
      <c r="AJ467" s="10">
        <f t="shared" si="143"/>
        <v>122.48469999999999</v>
      </c>
      <c r="AK467" s="8"/>
      <c r="AL467" s="8">
        <f t="shared" si="136"/>
        <v>61.242349999999995</v>
      </c>
    </row>
    <row r="468" spans="1:38">
      <c r="A468" s="18">
        <v>41461</v>
      </c>
      <c r="B468" s="19" t="s">
        <v>34</v>
      </c>
      <c r="C468" s="12">
        <v>100.1</v>
      </c>
      <c r="D468" s="19" t="s">
        <v>80</v>
      </c>
      <c r="E468" s="8">
        <v>8.4108499999999999</v>
      </c>
      <c r="F468" s="8">
        <v>83.313320000000004</v>
      </c>
      <c r="G468" s="22">
        <v>100</v>
      </c>
      <c r="H468" s="8">
        <v>-5</v>
      </c>
      <c r="I468" s="10">
        <f t="shared" si="127"/>
        <v>-19.983330554894014</v>
      </c>
      <c r="J468" s="10">
        <f t="shared" si="128"/>
        <v>-0.34877491369728597</v>
      </c>
      <c r="K468" s="10">
        <v>21</v>
      </c>
      <c r="L468" s="22">
        <v>125</v>
      </c>
      <c r="M468" s="22" t="s">
        <v>36</v>
      </c>
      <c r="N468" s="8" t="s">
        <v>46</v>
      </c>
      <c r="O468" s="10" t="s">
        <v>37</v>
      </c>
      <c r="P468" s="10" t="s">
        <v>38</v>
      </c>
      <c r="Q468" s="11">
        <v>0.48</v>
      </c>
      <c r="R468" s="8" t="s">
        <v>60</v>
      </c>
      <c r="S468" s="30">
        <v>23.5</v>
      </c>
      <c r="T468" s="79">
        <f t="shared" si="144"/>
        <v>4.3373715E-2</v>
      </c>
      <c r="U468" s="22">
        <v>14</v>
      </c>
      <c r="V468" s="22">
        <v>65</v>
      </c>
      <c r="W468" s="10">
        <f t="shared" si="137"/>
        <v>1.1344640137963142</v>
      </c>
      <c r="X468" s="8">
        <v>6</v>
      </c>
      <c r="Y468" s="22">
        <v>20</v>
      </c>
      <c r="Z468" s="10">
        <f t="shared" si="138"/>
        <v>0.3490658503988659</v>
      </c>
      <c r="AA468" s="10">
        <f t="shared" si="139"/>
        <v>14.740429878467111</v>
      </c>
      <c r="AB468" s="10">
        <f t="shared" si="140"/>
        <v>184.60166153881724</v>
      </c>
      <c r="AC468" s="10">
        <f t="shared" si="133"/>
        <v>23.075207692352155</v>
      </c>
      <c r="AD468" s="10">
        <f t="shared" si="141"/>
        <v>92.30083076940862</v>
      </c>
      <c r="AE468" s="65"/>
      <c r="AF468" s="10">
        <f t="shared" si="142"/>
        <v>234.35330387362202</v>
      </c>
      <c r="AG468" s="8">
        <f t="shared" si="134"/>
        <v>45.698894255356294</v>
      </c>
      <c r="AH468" s="10">
        <f t="shared" si="135"/>
        <v>117.17665193681101</v>
      </c>
      <c r="AI468" s="63"/>
      <c r="AJ468" s="10">
        <f t="shared" si="143"/>
        <v>266.56650000000002</v>
      </c>
      <c r="AK468" s="8"/>
      <c r="AL468" s="8">
        <f t="shared" si="136"/>
        <v>133.28325000000001</v>
      </c>
    </row>
    <row r="469" spans="1:38">
      <c r="A469" s="18">
        <v>41461</v>
      </c>
      <c r="B469" s="19" t="s">
        <v>34</v>
      </c>
      <c r="C469" s="12">
        <v>100.1</v>
      </c>
      <c r="D469" s="19" t="s">
        <v>80</v>
      </c>
      <c r="E469" s="8">
        <v>8.4108499999999999</v>
      </c>
      <c r="F469" s="8">
        <v>83.313320000000004</v>
      </c>
      <c r="G469" s="22">
        <v>100</v>
      </c>
      <c r="H469" s="8">
        <v>-5</v>
      </c>
      <c r="I469" s="10">
        <f t="shared" si="127"/>
        <v>-19.983330554894014</v>
      </c>
      <c r="J469" s="10">
        <f t="shared" si="128"/>
        <v>-0.34877491369728597</v>
      </c>
      <c r="K469" s="10">
        <v>21</v>
      </c>
      <c r="L469" s="8"/>
      <c r="M469" s="22" t="s">
        <v>39</v>
      </c>
      <c r="N469" s="8" t="s">
        <v>69</v>
      </c>
      <c r="O469" s="10" t="s">
        <v>65</v>
      </c>
      <c r="P469" s="10" t="s">
        <v>70</v>
      </c>
      <c r="Q469" s="8">
        <v>0.37</v>
      </c>
      <c r="R469" s="8" t="s">
        <v>71</v>
      </c>
      <c r="S469" s="30">
        <v>9</v>
      </c>
      <c r="T469" s="79">
        <f t="shared" si="144"/>
        <v>6.3617400000000003E-3</v>
      </c>
      <c r="U469" s="22">
        <v>7</v>
      </c>
      <c r="V469" s="22">
        <v>52</v>
      </c>
      <c r="W469" s="10">
        <f t="shared" si="137"/>
        <v>0.90757121103705141</v>
      </c>
      <c r="X469" s="8">
        <v>6</v>
      </c>
      <c r="Y469" s="22">
        <v>20</v>
      </c>
      <c r="Z469" s="10">
        <f t="shared" si="138"/>
        <v>0.3490658503988659</v>
      </c>
      <c r="AA469" s="10">
        <f t="shared" si="139"/>
        <v>7.5681961352010667</v>
      </c>
      <c r="AB469" s="10">
        <f t="shared" si="140"/>
        <v>12.711596404884585</v>
      </c>
      <c r="AC469" s="10">
        <f t="shared" si="133"/>
        <v>1.5889495506105731</v>
      </c>
      <c r="AD469" s="10">
        <f t="shared" si="141"/>
        <v>6.3557982024422923</v>
      </c>
      <c r="AE469" s="65"/>
      <c r="AF469" s="10">
        <f t="shared" si="142"/>
        <v>16.752178459439236</v>
      </c>
      <c r="AG469" s="8">
        <f t="shared" si="134"/>
        <v>3.2666747995906511</v>
      </c>
      <c r="AH469" s="10">
        <f t="shared" si="135"/>
        <v>8.3760892297196179</v>
      </c>
      <c r="AI469" s="63"/>
      <c r="AJ469" s="10">
        <f t="shared" si="143"/>
        <v>18.659999999999997</v>
      </c>
      <c r="AK469" s="8"/>
      <c r="AL469" s="8">
        <f t="shared" si="136"/>
        <v>9.3299999999999983</v>
      </c>
    </row>
    <row r="470" spans="1:38">
      <c r="A470" s="18">
        <v>41461</v>
      </c>
      <c r="B470" s="19" t="s">
        <v>34</v>
      </c>
      <c r="C470" s="12">
        <v>100.1</v>
      </c>
      <c r="D470" s="19" t="s">
        <v>80</v>
      </c>
      <c r="E470" s="8">
        <v>8.4108499999999999</v>
      </c>
      <c r="F470" s="8">
        <v>83.313320000000004</v>
      </c>
      <c r="G470" s="22">
        <v>100</v>
      </c>
      <c r="H470" s="8">
        <v>-5</v>
      </c>
      <c r="I470" s="10">
        <f t="shared" si="127"/>
        <v>-19.983330554894014</v>
      </c>
      <c r="J470" s="10">
        <f t="shared" si="128"/>
        <v>-0.34877491369728597</v>
      </c>
      <c r="K470" s="10">
        <v>21</v>
      </c>
      <c r="L470" s="22">
        <v>127</v>
      </c>
      <c r="M470" s="22" t="s">
        <v>36</v>
      </c>
      <c r="N470" s="8" t="s">
        <v>46</v>
      </c>
      <c r="O470" s="10" t="s">
        <v>37</v>
      </c>
      <c r="P470" s="10" t="s">
        <v>38</v>
      </c>
      <c r="Q470" s="11">
        <v>0.48</v>
      </c>
      <c r="R470" s="8" t="s">
        <v>60</v>
      </c>
      <c r="S470" s="30">
        <v>16.600000000000001</v>
      </c>
      <c r="T470" s="79">
        <f t="shared" si="144"/>
        <v>2.1642482400000006E-2</v>
      </c>
      <c r="U470" s="22">
        <v>11</v>
      </c>
      <c r="V470" s="22">
        <v>75</v>
      </c>
      <c r="W470" s="10">
        <f t="shared" si="137"/>
        <v>1.3089969389957472</v>
      </c>
      <c r="X470" s="8">
        <v>5</v>
      </c>
      <c r="Y470" s="22">
        <v>10</v>
      </c>
      <c r="Z470" s="10">
        <f t="shared" si="138"/>
        <v>0.17453292519943295</v>
      </c>
      <c r="AA470" s="10">
        <f t="shared" si="139"/>
        <v>11.493424977514403</v>
      </c>
      <c r="AB470" s="10">
        <f t="shared" si="140"/>
        <v>76.007104322391768</v>
      </c>
      <c r="AC470" s="10">
        <f t="shared" si="133"/>
        <v>9.500888040298971</v>
      </c>
      <c r="AD470" s="10">
        <f t="shared" si="141"/>
        <v>38.003552161195884</v>
      </c>
      <c r="AE470" s="65"/>
      <c r="AF470" s="10">
        <f t="shared" si="142"/>
        <v>99.520098744571442</v>
      </c>
      <c r="AG470" s="8">
        <f t="shared" si="134"/>
        <v>19.40641925519143</v>
      </c>
      <c r="AH470" s="10">
        <f t="shared" si="135"/>
        <v>49.760049372285721</v>
      </c>
      <c r="AI470" s="63"/>
      <c r="AJ470" s="10">
        <f t="shared" si="143"/>
        <v>109.79160000000002</v>
      </c>
      <c r="AK470" s="8"/>
      <c r="AL470" s="8">
        <f t="shared" si="136"/>
        <v>54.895800000000008</v>
      </c>
    </row>
    <row r="471" spans="1:38">
      <c r="A471" s="18">
        <v>41461</v>
      </c>
      <c r="B471" s="19" t="s">
        <v>34</v>
      </c>
      <c r="C471" s="12">
        <v>100.1</v>
      </c>
      <c r="D471" s="19" t="s">
        <v>80</v>
      </c>
      <c r="E471" s="8">
        <v>8.4108499999999999</v>
      </c>
      <c r="F471" s="8">
        <v>83.313320000000004</v>
      </c>
      <c r="G471" s="22">
        <v>100</v>
      </c>
      <c r="H471" s="8">
        <v>-5</v>
      </c>
      <c r="I471" s="10">
        <f t="shared" si="127"/>
        <v>-19.983330554894014</v>
      </c>
      <c r="J471" s="10">
        <f t="shared" si="128"/>
        <v>-0.34877491369728597</v>
      </c>
      <c r="K471" s="10">
        <v>21</v>
      </c>
      <c r="L471" s="22">
        <v>128</v>
      </c>
      <c r="M471" s="8" t="s">
        <v>96</v>
      </c>
      <c r="N471" s="8" t="s">
        <v>69</v>
      </c>
      <c r="O471" s="58" t="s">
        <v>65</v>
      </c>
      <c r="P471" s="10" t="s">
        <v>102</v>
      </c>
      <c r="Q471" s="22">
        <v>0.48</v>
      </c>
      <c r="R471" s="22" t="s">
        <v>190</v>
      </c>
      <c r="S471" s="30">
        <v>10.4</v>
      </c>
      <c r="T471" s="79">
        <f t="shared" si="144"/>
        <v>8.494886400000002E-3</v>
      </c>
      <c r="U471" s="8">
        <f>12+3</f>
        <v>15</v>
      </c>
      <c r="V471" s="22">
        <v>65</v>
      </c>
      <c r="W471" s="10">
        <f t="shared" si="137"/>
        <v>1.1344640137963142</v>
      </c>
      <c r="X471" s="8">
        <v>5</v>
      </c>
      <c r="Y471" s="22">
        <v>10</v>
      </c>
      <c r="Z471" s="10">
        <f t="shared" si="138"/>
        <v>0.17453292519943295</v>
      </c>
      <c r="AA471" s="10">
        <f t="shared" si="139"/>
        <v>14.462857693884402</v>
      </c>
      <c r="AB471" s="10">
        <f t="shared" si="140"/>
        <v>39.164269329193367</v>
      </c>
      <c r="AC471" s="10">
        <f t="shared" si="133"/>
        <v>4.8955336661491708</v>
      </c>
      <c r="AD471" s="10">
        <f t="shared" si="141"/>
        <v>19.582134664596683</v>
      </c>
      <c r="AE471" s="65"/>
      <c r="AF471" s="10">
        <f t="shared" si="142"/>
        <v>31.128655554509354</v>
      </c>
      <c r="AG471" s="8">
        <f t="shared" si="134"/>
        <v>6.0700878331293247</v>
      </c>
      <c r="AH471" s="10">
        <f t="shared" si="135"/>
        <v>15.564327777254677</v>
      </c>
      <c r="AI471" s="63"/>
      <c r="AJ471" s="10">
        <f t="shared" si="143"/>
        <v>29.024200000000008</v>
      </c>
      <c r="AK471" s="8"/>
      <c r="AL471" s="8">
        <f t="shared" si="136"/>
        <v>14.512100000000004</v>
      </c>
    </row>
    <row r="472" spans="1:38">
      <c r="A472" s="18">
        <v>41461</v>
      </c>
      <c r="B472" s="19" t="s">
        <v>34</v>
      </c>
      <c r="C472" s="12">
        <v>100.1</v>
      </c>
      <c r="D472" s="19" t="s">
        <v>80</v>
      </c>
      <c r="E472" s="8">
        <v>8.4108499999999999</v>
      </c>
      <c r="F472" s="8">
        <v>83.313320000000004</v>
      </c>
      <c r="G472" s="22">
        <v>100</v>
      </c>
      <c r="H472" s="8">
        <v>-5</v>
      </c>
      <c r="I472" s="10">
        <f t="shared" si="127"/>
        <v>-19.983330554894014</v>
      </c>
      <c r="J472" s="10">
        <f t="shared" si="128"/>
        <v>-0.34877491369728597</v>
      </c>
      <c r="K472" s="10">
        <v>21</v>
      </c>
      <c r="L472" s="22">
        <v>129</v>
      </c>
      <c r="M472" s="8" t="s">
        <v>96</v>
      </c>
      <c r="N472" s="8" t="s">
        <v>69</v>
      </c>
      <c r="O472" s="58" t="s">
        <v>65</v>
      </c>
      <c r="P472" s="10" t="s">
        <v>102</v>
      </c>
      <c r="Q472" s="22">
        <v>0.48</v>
      </c>
      <c r="R472" s="22" t="s">
        <v>190</v>
      </c>
      <c r="S472" s="30">
        <v>28</v>
      </c>
      <c r="T472" s="79">
        <f t="shared" si="144"/>
        <v>6.1575360000000003E-2</v>
      </c>
      <c r="U472" s="8">
        <f>12+5</f>
        <v>17</v>
      </c>
      <c r="V472" s="22">
        <v>75</v>
      </c>
      <c r="W472" s="10">
        <f t="shared" si="137"/>
        <v>1.3089969389957472</v>
      </c>
      <c r="X472" s="8">
        <v>5</v>
      </c>
      <c r="Y472" s="22">
        <v>10</v>
      </c>
      <c r="Z472" s="10">
        <f t="shared" si="138"/>
        <v>0.17453292519943295</v>
      </c>
      <c r="AA472" s="10">
        <f t="shared" si="139"/>
        <v>17.288979935248811</v>
      </c>
      <c r="AB472" s="10">
        <f t="shared" si="140"/>
        <v>298.11840663784102</v>
      </c>
      <c r="AC472" s="10">
        <f t="shared" si="133"/>
        <v>37.264800829730127</v>
      </c>
      <c r="AD472" s="10">
        <f t="shared" si="141"/>
        <v>149.05920331892051</v>
      </c>
      <c r="AE472" s="65"/>
      <c r="AF472" s="10">
        <f t="shared" si="142"/>
        <v>359.08332877700337</v>
      </c>
      <c r="AG472" s="8">
        <f t="shared" si="134"/>
        <v>70.021249111515658</v>
      </c>
      <c r="AH472" s="10">
        <f t="shared" si="135"/>
        <v>179.54166438850169</v>
      </c>
      <c r="AI472" s="63"/>
      <c r="AJ472" s="10">
        <f t="shared" si="143"/>
        <v>406.77299999999997</v>
      </c>
      <c r="AK472" s="8"/>
      <c r="AL472" s="8">
        <f t="shared" si="136"/>
        <v>203.38649999999998</v>
      </c>
    </row>
    <row r="473" spans="1:38">
      <c r="A473" s="18">
        <v>41461</v>
      </c>
      <c r="B473" s="19" t="s">
        <v>34</v>
      </c>
      <c r="C473" s="12">
        <v>100.1</v>
      </c>
      <c r="D473" s="19" t="s">
        <v>80</v>
      </c>
      <c r="E473" s="8">
        <v>8.4108499999999999</v>
      </c>
      <c r="F473" s="8">
        <v>83.313320000000004</v>
      </c>
      <c r="G473" s="22">
        <v>100</v>
      </c>
      <c r="H473" s="8">
        <v>-5</v>
      </c>
      <c r="I473" s="10">
        <f t="shared" ref="I473:I535" si="145">1/TAN(H473/100)</f>
        <v>-19.983330554894014</v>
      </c>
      <c r="J473" s="10">
        <f t="shared" ref="J473:J535" si="146">RADIANS(I473)</f>
        <v>-0.34877491369728597</v>
      </c>
      <c r="K473" s="10">
        <v>21</v>
      </c>
      <c r="L473" s="22">
        <v>126</v>
      </c>
      <c r="M473" s="22" t="s">
        <v>36</v>
      </c>
      <c r="N473" s="8" t="s">
        <v>46</v>
      </c>
      <c r="O473" s="10" t="s">
        <v>37</v>
      </c>
      <c r="P473" s="10" t="s">
        <v>38</v>
      </c>
      <c r="Q473" s="11">
        <v>0.48</v>
      </c>
      <c r="R473" s="8" t="s">
        <v>60</v>
      </c>
      <c r="S473" s="30">
        <v>17</v>
      </c>
      <c r="T473" s="79">
        <f t="shared" si="144"/>
        <v>2.2698060000000003E-2</v>
      </c>
      <c r="U473" s="8">
        <f>9+6</f>
        <v>15</v>
      </c>
      <c r="V473" s="22">
        <v>65</v>
      </c>
      <c r="W473" s="10">
        <f t="shared" si="137"/>
        <v>1.1344640137963142</v>
      </c>
      <c r="X473" s="8">
        <v>5</v>
      </c>
      <c r="Y473" s="22">
        <v>16</v>
      </c>
      <c r="Z473" s="10">
        <f t="shared" si="138"/>
        <v>0.27925268031909273</v>
      </c>
      <c r="AA473" s="10">
        <f t="shared" si="139"/>
        <v>14.972803584634745</v>
      </c>
      <c r="AB473" s="10">
        <f t="shared" si="140"/>
        <v>101.91952628377155</v>
      </c>
      <c r="AC473" s="10">
        <f t="shared" si="133"/>
        <v>12.739940785471443</v>
      </c>
      <c r="AD473" s="10">
        <f t="shared" si="141"/>
        <v>50.959763141885773</v>
      </c>
      <c r="AE473" s="65"/>
      <c r="AF473" s="10">
        <f t="shared" si="142"/>
        <v>105.56625788482448</v>
      </c>
      <c r="AG473" s="8">
        <f t="shared" si="134"/>
        <v>20.585420287540774</v>
      </c>
      <c r="AH473" s="10">
        <f t="shared" si="135"/>
        <v>52.78312894241224</v>
      </c>
      <c r="AI473" s="63"/>
      <c r="AJ473" s="10">
        <f t="shared" si="143"/>
        <v>116.95599999999997</v>
      </c>
      <c r="AK473" s="8"/>
      <c r="AL473" s="8">
        <f t="shared" si="136"/>
        <v>58.477999999999987</v>
      </c>
    </row>
    <row r="474" spans="1:38">
      <c r="A474" s="18">
        <v>41461</v>
      </c>
      <c r="B474" s="19" t="s">
        <v>34</v>
      </c>
      <c r="C474" s="12">
        <v>100.1</v>
      </c>
      <c r="D474" s="19" t="s">
        <v>80</v>
      </c>
      <c r="E474" s="8">
        <v>8.4108499999999999</v>
      </c>
      <c r="F474" s="8">
        <v>83.313320000000004</v>
      </c>
      <c r="G474" s="22">
        <v>100</v>
      </c>
      <c r="H474" s="8">
        <v>-5</v>
      </c>
      <c r="I474" s="10">
        <f t="shared" si="145"/>
        <v>-19.983330554894014</v>
      </c>
      <c r="J474" s="10">
        <f t="shared" si="146"/>
        <v>-0.34877491369728597</v>
      </c>
      <c r="K474" s="10">
        <v>21</v>
      </c>
      <c r="L474" s="22">
        <v>131</v>
      </c>
      <c r="M474" s="22" t="s">
        <v>36</v>
      </c>
      <c r="N474" s="8" t="s">
        <v>46</v>
      </c>
      <c r="O474" s="10" t="s">
        <v>37</v>
      </c>
      <c r="P474" s="10" t="s">
        <v>38</v>
      </c>
      <c r="Q474" s="11">
        <v>0.48</v>
      </c>
      <c r="R474" s="8" t="s">
        <v>60</v>
      </c>
      <c r="S474" s="30">
        <v>23.5</v>
      </c>
      <c r="T474" s="79">
        <f t="shared" si="144"/>
        <v>4.3373715E-2</v>
      </c>
      <c r="U474" s="8">
        <v>10</v>
      </c>
      <c r="V474" s="22">
        <v>60</v>
      </c>
      <c r="W474" s="10">
        <f t="shared" si="137"/>
        <v>1.0471975511965976</v>
      </c>
      <c r="X474" s="8">
        <v>5</v>
      </c>
      <c r="Y474" s="22">
        <v>19</v>
      </c>
      <c r="Z474" s="10">
        <f t="shared" si="138"/>
        <v>0.33161255787892263</v>
      </c>
      <c r="AA474" s="10">
        <f t="shared" si="139"/>
        <v>10.288094810130168</v>
      </c>
      <c r="AB474" s="10">
        <f t="shared" si="140"/>
        <v>131.65305030324888</v>
      </c>
      <c r="AC474" s="10">
        <f t="shared" si="133"/>
        <v>16.456631287906109</v>
      </c>
      <c r="AD474" s="10">
        <f t="shared" si="141"/>
        <v>65.826525151624438</v>
      </c>
      <c r="AE474" s="65"/>
      <c r="AF474" s="10">
        <f t="shared" si="142"/>
        <v>234.35330387362202</v>
      </c>
      <c r="AG474" s="8">
        <f t="shared" si="134"/>
        <v>45.698894255356294</v>
      </c>
      <c r="AH474" s="10">
        <f t="shared" si="135"/>
        <v>117.17665193681101</v>
      </c>
      <c r="AI474" s="63"/>
      <c r="AJ474" s="10">
        <f t="shared" si="143"/>
        <v>266.56650000000002</v>
      </c>
      <c r="AK474" s="8"/>
      <c r="AL474" s="8">
        <f t="shared" si="136"/>
        <v>133.28325000000001</v>
      </c>
    </row>
    <row r="475" spans="1:38">
      <c r="A475" s="18">
        <v>41461</v>
      </c>
      <c r="B475" s="19" t="s">
        <v>34</v>
      </c>
      <c r="C475" s="12">
        <v>100.1</v>
      </c>
      <c r="D475" s="19" t="s">
        <v>80</v>
      </c>
      <c r="E475" s="8">
        <v>8.4108499999999999</v>
      </c>
      <c r="F475" s="8">
        <v>83.313320000000004</v>
      </c>
      <c r="G475" s="22">
        <v>100</v>
      </c>
      <c r="H475" s="8">
        <v>-5</v>
      </c>
      <c r="I475" s="10">
        <f t="shared" si="145"/>
        <v>-19.983330554894014</v>
      </c>
      <c r="J475" s="10">
        <f t="shared" si="146"/>
        <v>-0.34877491369728597</v>
      </c>
      <c r="K475" s="10">
        <v>21</v>
      </c>
      <c r="L475" s="22">
        <v>130</v>
      </c>
      <c r="M475" s="22" t="s">
        <v>36</v>
      </c>
      <c r="N475" s="8" t="s">
        <v>46</v>
      </c>
      <c r="O475" s="10" t="s">
        <v>37</v>
      </c>
      <c r="P475" s="10" t="s">
        <v>38</v>
      </c>
      <c r="Q475" s="11">
        <v>0.48</v>
      </c>
      <c r="R475" s="8" t="s">
        <v>60</v>
      </c>
      <c r="S475" s="30">
        <v>13.6</v>
      </c>
      <c r="T475" s="79">
        <f t="shared" si="144"/>
        <v>1.4526758399999999E-2</v>
      </c>
      <c r="U475" s="8">
        <v>10</v>
      </c>
      <c r="V475" s="22">
        <v>45</v>
      </c>
      <c r="W475" s="10">
        <f t="shared" si="137"/>
        <v>0.78539816339744828</v>
      </c>
      <c r="X475" s="8">
        <v>6</v>
      </c>
      <c r="Y475" s="22">
        <v>14</v>
      </c>
      <c r="Z475" s="10">
        <f t="shared" si="138"/>
        <v>0.24434609527920614</v>
      </c>
      <c r="AA475" s="10">
        <f t="shared" si="139"/>
        <v>8.5225991854634806</v>
      </c>
      <c r="AB475" s="10">
        <f t="shared" si="140"/>
        <v>39.447489795347785</v>
      </c>
      <c r="AC475" s="10">
        <f t="shared" si="133"/>
        <v>4.9309362244184731</v>
      </c>
      <c r="AD475" s="10">
        <f t="shared" si="141"/>
        <v>19.723744897673892</v>
      </c>
      <c r="AE475" s="65"/>
      <c r="AF475" s="10">
        <f t="shared" si="142"/>
        <v>60.673244785021694</v>
      </c>
      <c r="AG475" s="8">
        <f t="shared" si="134"/>
        <v>11.831282733079231</v>
      </c>
      <c r="AH475" s="10">
        <f t="shared" si="135"/>
        <v>30.336622392510847</v>
      </c>
      <c r="AI475" s="63"/>
      <c r="AJ475" s="10">
        <f t="shared" si="143"/>
        <v>63.606599999999986</v>
      </c>
      <c r="AK475" s="8"/>
      <c r="AL475" s="8">
        <f t="shared" si="136"/>
        <v>31.803299999999993</v>
      </c>
    </row>
    <row r="476" spans="1:38">
      <c r="A476" s="18">
        <v>41461</v>
      </c>
      <c r="B476" s="19" t="s">
        <v>34</v>
      </c>
      <c r="C476" s="12">
        <v>100.1</v>
      </c>
      <c r="D476" s="19" t="s">
        <v>80</v>
      </c>
      <c r="E476" s="8">
        <v>8.4108499999999999</v>
      </c>
      <c r="F476" s="8">
        <v>83.313320000000004</v>
      </c>
      <c r="G476" s="22">
        <v>100</v>
      </c>
      <c r="H476" s="8">
        <v>-5</v>
      </c>
      <c r="I476" s="10">
        <f t="shared" si="145"/>
        <v>-19.983330554894014</v>
      </c>
      <c r="J476" s="10">
        <f t="shared" si="146"/>
        <v>-0.34877491369728597</v>
      </c>
      <c r="K476" s="10">
        <v>21</v>
      </c>
      <c r="L476" s="22">
        <v>132</v>
      </c>
      <c r="M476" s="22" t="s">
        <v>36</v>
      </c>
      <c r="N476" s="8" t="s">
        <v>46</v>
      </c>
      <c r="O476" s="10" t="s">
        <v>37</v>
      </c>
      <c r="P476" s="10" t="s">
        <v>38</v>
      </c>
      <c r="Q476" s="11">
        <v>0.48</v>
      </c>
      <c r="R476" s="8" t="s">
        <v>60</v>
      </c>
      <c r="S476" s="30">
        <v>16.5</v>
      </c>
      <c r="T476" s="79">
        <f t="shared" si="144"/>
        <v>2.1382515000000001E-2</v>
      </c>
      <c r="U476" s="8">
        <f>9+4</f>
        <v>13</v>
      </c>
      <c r="V476" s="22">
        <v>65</v>
      </c>
      <c r="W476" s="10">
        <f t="shared" si="137"/>
        <v>1.1344640137963142</v>
      </c>
      <c r="X476" s="8">
        <v>5</v>
      </c>
      <c r="Y476" s="22">
        <v>15</v>
      </c>
      <c r="Z476" s="10">
        <f t="shared" si="138"/>
        <v>0.26179938779914941</v>
      </c>
      <c r="AA476" s="10">
        <f t="shared" si="139"/>
        <v>13.076096456989053</v>
      </c>
      <c r="AB476" s="10">
        <f t="shared" si="140"/>
        <v>84.837473806894224</v>
      </c>
      <c r="AC476" s="10">
        <f t="shared" si="133"/>
        <v>10.604684225861778</v>
      </c>
      <c r="AD476" s="10">
        <f t="shared" si="141"/>
        <v>42.418736903447112</v>
      </c>
      <c r="AE476" s="65"/>
      <c r="AF476" s="10">
        <f t="shared" si="142"/>
        <v>98.041149912548704</v>
      </c>
      <c r="AG476" s="8">
        <f t="shared" si="134"/>
        <v>19.118024232946997</v>
      </c>
      <c r="AH476" s="10">
        <f t="shared" si="135"/>
        <v>49.020574956274352</v>
      </c>
      <c r="AI476" s="63"/>
      <c r="AJ476" s="10">
        <f t="shared" si="143"/>
        <v>108.03749999999999</v>
      </c>
      <c r="AK476" s="8"/>
      <c r="AL476" s="8">
        <f t="shared" si="136"/>
        <v>54.018749999999997</v>
      </c>
    </row>
    <row r="477" spans="1:38">
      <c r="A477" s="18">
        <v>41461</v>
      </c>
      <c r="B477" s="19" t="s">
        <v>34</v>
      </c>
      <c r="C477" s="12">
        <v>100.1</v>
      </c>
      <c r="D477" s="19" t="s">
        <v>80</v>
      </c>
      <c r="E477" s="8">
        <v>8.4108499999999999</v>
      </c>
      <c r="F477" s="8">
        <v>83.313320000000004</v>
      </c>
      <c r="G477" s="22">
        <v>100</v>
      </c>
      <c r="H477" s="8">
        <v>-5</v>
      </c>
      <c r="I477" s="10">
        <f t="shared" si="145"/>
        <v>-19.983330554894014</v>
      </c>
      <c r="J477" s="10">
        <f t="shared" si="146"/>
        <v>-0.34877491369728597</v>
      </c>
      <c r="K477" s="10">
        <v>21</v>
      </c>
      <c r="L477" s="22">
        <v>133</v>
      </c>
      <c r="M477" s="31" t="s">
        <v>231</v>
      </c>
      <c r="N477" s="8" t="s">
        <v>171</v>
      </c>
      <c r="O477" s="10" t="s">
        <v>99</v>
      </c>
      <c r="P477" s="10" t="s">
        <v>99</v>
      </c>
      <c r="Q477" s="8">
        <v>0.57999999999999996</v>
      </c>
      <c r="R477" s="8" t="s">
        <v>103</v>
      </c>
      <c r="S477" s="30">
        <v>16.5</v>
      </c>
      <c r="T477" s="79">
        <f t="shared" si="144"/>
        <v>2.1382515000000001E-2</v>
      </c>
      <c r="U477" s="8">
        <f>8+6</f>
        <v>14</v>
      </c>
      <c r="V477" s="22">
        <v>60</v>
      </c>
      <c r="W477" s="10">
        <f t="shared" si="137"/>
        <v>1.0471975511965976</v>
      </c>
      <c r="X477" s="8">
        <v>5</v>
      </c>
      <c r="Y477" s="22">
        <v>15</v>
      </c>
      <c r="Z477" s="10">
        <f t="shared" si="138"/>
        <v>0.26179938779914941</v>
      </c>
      <c r="AA477" s="10">
        <f t="shared" si="139"/>
        <v>13.418450878494745</v>
      </c>
      <c r="AB477" s="10">
        <f t="shared" si="140"/>
        <v>103.84703187400612</v>
      </c>
      <c r="AC477" s="10">
        <f t="shared" si="133"/>
        <v>12.980878984250765</v>
      </c>
      <c r="AD477" s="10">
        <f t="shared" si="141"/>
        <v>51.92351593700306</v>
      </c>
      <c r="AE477" s="65"/>
      <c r="AF477" s="10">
        <f t="shared" si="142"/>
        <v>118.46638947766301</v>
      </c>
      <c r="AG477" s="8">
        <f t="shared" si="134"/>
        <v>23.10094594814429</v>
      </c>
      <c r="AH477" s="10">
        <f t="shared" si="135"/>
        <v>59.233194738831507</v>
      </c>
      <c r="AI477" s="63"/>
      <c r="AJ477" s="10">
        <f t="shared" si="143"/>
        <v>108.03749999999999</v>
      </c>
      <c r="AK477" s="8"/>
      <c r="AL477" s="8">
        <f t="shared" si="136"/>
        <v>54.018749999999997</v>
      </c>
    </row>
    <row r="478" spans="1:38">
      <c r="A478" s="18">
        <v>41461</v>
      </c>
      <c r="B478" s="19" t="s">
        <v>34</v>
      </c>
      <c r="C478" s="12">
        <v>100.1</v>
      </c>
      <c r="D478" s="19" t="s">
        <v>80</v>
      </c>
      <c r="E478" s="8">
        <v>8.4108499999999999</v>
      </c>
      <c r="F478" s="8">
        <v>83.313320000000004</v>
      </c>
      <c r="G478" s="22">
        <v>100</v>
      </c>
      <c r="H478" s="8">
        <v>-5</v>
      </c>
      <c r="I478" s="10">
        <f t="shared" si="145"/>
        <v>-19.983330554894014</v>
      </c>
      <c r="J478" s="10">
        <f t="shared" si="146"/>
        <v>-0.34877491369728597</v>
      </c>
      <c r="K478" s="10">
        <v>21</v>
      </c>
      <c r="L478" s="22">
        <v>134</v>
      </c>
      <c r="M478" s="22" t="s">
        <v>151</v>
      </c>
      <c r="N478" s="22" t="s">
        <v>84</v>
      </c>
      <c r="O478" s="58" t="s">
        <v>85</v>
      </c>
      <c r="P478" s="50" t="s">
        <v>86</v>
      </c>
      <c r="Q478" s="22">
        <v>0.53</v>
      </c>
      <c r="R478" s="22" t="s">
        <v>190</v>
      </c>
      <c r="S478" s="30">
        <v>10.4</v>
      </c>
      <c r="T478" s="79">
        <f t="shared" si="144"/>
        <v>8.494886400000002E-3</v>
      </c>
      <c r="U478" s="22">
        <f>11+2</f>
        <v>13</v>
      </c>
      <c r="V478" s="22">
        <v>65</v>
      </c>
      <c r="W478" s="10">
        <f t="shared" si="137"/>
        <v>1.1344640137963142</v>
      </c>
      <c r="X478" s="8">
        <v>5</v>
      </c>
      <c r="Y478" s="22">
        <v>20</v>
      </c>
      <c r="Z478" s="10">
        <f t="shared" si="138"/>
        <v>0.3490658503988659</v>
      </c>
      <c r="AA478" s="10">
        <f t="shared" si="139"/>
        <v>13.492101948104793</v>
      </c>
      <c r="AB478" s="10">
        <f t="shared" si="140"/>
        <v>40.269714799579489</v>
      </c>
      <c r="AC478" s="10">
        <f t="shared" si="133"/>
        <v>5.0337143499474362</v>
      </c>
      <c r="AD478" s="10">
        <f t="shared" si="141"/>
        <v>20.134857399789745</v>
      </c>
      <c r="AE478" s="65"/>
      <c r="AF478" s="10">
        <f t="shared" si="142"/>
        <v>34.371223841437413</v>
      </c>
      <c r="AG478" s="8">
        <f t="shared" si="134"/>
        <v>6.7023886490802953</v>
      </c>
      <c r="AH478" s="10">
        <f t="shared" si="135"/>
        <v>17.185611920718706</v>
      </c>
      <c r="AI478" s="63"/>
      <c r="AJ478" s="10">
        <f t="shared" si="143"/>
        <v>29.024200000000008</v>
      </c>
      <c r="AK478" s="8"/>
      <c r="AL478" s="8">
        <f t="shared" si="136"/>
        <v>14.512100000000004</v>
      </c>
    </row>
    <row r="479" spans="1:38">
      <c r="A479" s="18">
        <v>41461</v>
      </c>
      <c r="B479" s="19" t="s">
        <v>34</v>
      </c>
      <c r="C479" s="12">
        <v>100.1</v>
      </c>
      <c r="D479" s="19" t="s">
        <v>80</v>
      </c>
      <c r="E479" s="8">
        <v>8.4108499999999999</v>
      </c>
      <c r="F479" s="8">
        <v>83.313320000000004</v>
      </c>
      <c r="G479" s="22">
        <v>100</v>
      </c>
      <c r="H479" s="8">
        <v>-5</v>
      </c>
      <c r="I479" s="10">
        <f t="shared" si="145"/>
        <v>-19.983330554894014</v>
      </c>
      <c r="J479" s="10">
        <f t="shared" si="146"/>
        <v>-0.34877491369728597</v>
      </c>
      <c r="K479" s="10">
        <v>21</v>
      </c>
      <c r="L479" s="22">
        <v>135</v>
      </c>
      <c r="M479" s="22" t="s">
        <v>36</v>
      </c>
      <c r="N479" s="8" t="s">
        <v>46</v>
      </c>
      <c r="O479" s="10" t="s">
        <v>37</v>
      </c>
      <c r="P479" s="10" t="s">
        <v>38</v>
      </c>
      <c r="Q479" s="11">
        <v>0.48</v>
      </c>
      <c r="R479" s="8" t="s">
        <v>60</v>
      </c>
      <c r="S479" s="30">
        <v>16.5</v>
      </c>
      <c r="T479" s="79">
        <f t="shared" si="144"/>
        <v>2.1382515000000001E-2</v>
      </c>
      <c r="U479" s="8">
        <f>9+2</f>
        <v>11</v>
      </c>
      <c r="V479" s="22">
        <v>55</v>
      </c>
      <c r="W479" s="10">
        <f t="shared" si="137"/>
        <v>0.95993108859688125</v>
      </c>
      <c r="X479" s="8">
        <v>5</v>
      </c>
      <c r="Y479" s="22">
        <v>18</v>
      </c>
      <c r="Z479" s="10">
        <f t="shared" si="138"/>
        <v>0.31415926535897931</v>
      </c>
      <c r="AA479" s="10">
        <f t="shared" si="139"/>
        <v>10.555757459053646</v>
      </c>
      <c r="AB479" s="10">
        <f t="shared" si="140"/>
        <v>69.371061203534794</v>
      </c>
      <c r="AC479" s="10">
        <f t="shared" si="133"/>
        <v>8.6713826504418492</v>
      </c>
      <c r="AD479" s="10">
        <f t="shared" si="141"/>
        <v>34.685530601767397</v>
      </c>
      <c r="AE479" s="65"/>
      <c r="AF479" s="10">
        <f t="shared" si="142"/>
        <v>98.041149912548704</v>
      </c>
      <c r="AG479" s="8">
        <f t="shared" si="134"/>
        <v>19.118024232946997</v>
      </c>
      <c r="AH479" s="10">
        <f t="shared" si="135"/>
        <v>49.020574956274352</v>
      </c>
      <c r="AI479" s="63"/>
      <c r="AJ479" s="10">
        <f t="shared" si="143"/>
        <v>108.03749999999999</v>
      </c>
      <c r="AK479" s="8"/>
      <c r="AL479" s="8">
        <f t="shared" si="136"/>
        <v>54.018749999999997</v>
      </c>
    </row>
    <row r="480" spans="1:38">
      <c r="A480" s="18">
        <v>41461</v>
      </c>
      <c r="B480" s="19" t="s">
        <v>34</v>
      </c>
      <c r="C480" s="12">
        <v>100.1</v>
      </c>
      <c r="D480" s="19" t="s">
        <v>80</v>
      </c>
      <c r="E480" s="8">
        <v>8.4108499999999999</v>
      </c>
      <c r="F480" s="8">
        <v>83.313320000000004</v>
      </c>
      <c r="G480" s="22">
        <v>100</v>
      </c>
      <c r="H480" s="8">
        <v>-5</v>
      </c>
      <c r="I480" s="10">
        <f t="shared" si="145"/>
        <v>-19.983330554894014</v>
      </c>
      <c r="J480" s="10">
        <f t="shared" si="146"/>
        <v>-0.34877491369728597</v>
      </c>
      <c r="K480" s="10">
        <v>21</v>
      </c>
      <c r="L480" s="22">
        <v>136</v>
      </c>
      <c r="M480" s="22" t="s">
        <v>98</v>
      </c>
      <c r="N480" s="8" t="s">
        <v>104</v>
      </c>
      <c r="O480" s="10" t="s">
        <v>105</v>
      </c>
      <c r="P480" s="10" t="s">
        <v>106</v>
      </c>
      <c r="Q480" s="22">
        <v>0.44</v>
      </c>
      <c r="R480" s="22" t="s">
        <v>190</v>
      </c>
      <c r="S480" s="30">
        <v>15.6</v>
      </c>
      <c r="T480" s="79">
        <f t="shared" si="144"/>
        <v>1.91134944E-2</v>
      </c>
      <c r="U480" s="8">
        <f>13+2</f>
        <v>15</v>
      </c>
      <c r="V480" s="22">
        <v>70</v>
      </c>
      <c r="W480" s="10">
        <f t="shared" ref="W480:W509" si="147">RADIANS(V480)</f>
        <v>1.2217304763960306</v>
      </c>
      <c r="X480" s="8">
        <v>5</v>
      </c>
      <c r="Y480" s="22">
        <v>16</v>
      </c>
      <c r="Z480" s="10">
        <f t="shared" ref="Z480:Z509" si="148">RADIANS(Y480)</f>
        <v>0.27925268031909273</v>
      </c>
      <c r="AA480" s="10">
        <f t="shared" ref="AA480:AA509" si="149">(SIN(W480)*U480)+(SIN(Z480)*X480)</f>
        <v>15.473576090873619</v>
      </c>
      <c r="AB480" s="10">
        <f t="shared" ref="AB480:AB509" si="150">0.0776*(Q480*S480^2*AA480)^0.94</f>
        <v>82.413191970909907</v>
      </c>
      <c r="AC480" s="10">
        <f t="shared" si="133"/>
        <v>10.301648996363738</v>
      </c>
      <c r="AD480" s="10">
        <f t="shared" si="141"/>
        <v>41.206595985454953</v>
      </c>
      <c r="AE480" s="65"/>
      <c r="AF480" s="10">
        <f t="shared" si="142"/>
        <v>78.201886049870993</v>
      </c>
      <c r="AG480" s="8">
        <f t="shared" si="134"/>
        <v>15.249367779724844</v>
      </c>
      <c r="AH480" s="10">
        <f t="shared" si="135"/>
        <v>39.100943024935496</v>
      </c>
      <c r="AI480" s="63"/>
      <c r="AJ480" s="10">
        <f t="shared" si="143"/>
        <v>92.916599999999988</v>
      </c>
      <c r="AK480" s="8"/>
      <c r="AL480" s="8">
        <f t="shared" si="136"/>
        <v>46.458299999999994</v>
      </c>
    </row>
    <row r="481" spans="1:38">
      <c r="A481" s="18">
        <v>41461</v>
      </c>
      <c r="B481" s="19" t="s">
        <v>34</v>
      </c>
      <c r="C481" s="12">
        <v>100.1</v>
      </c>
      <c r="D481" s="19" t="s">
        <v>80</v>
      </c>
      <c r="E481" s="8">
        <v>8.4108499999999999</v>
      </c>
      <c r="F481" s="8">
        <v>83.313320000000004</v>
      </c>
      <c r="G481" s="22">
        <v>100</v>
      </c>
      <c r="H481" s="8">
        <v>-5</v>
      </c>
      <c r="I481" s="10">
        <f t="shared" si="145"/>
        <v>-19.983330554894014</v>
      </c>
      <c r="J481" s="10">
        <f t="shared" si="146"/>
        <v>-0.34877491369728597</v>
      </c>
      <c r="K481" s="10">
        <v>21</v>
      </c>
      <c r="L481" s="22">
        <v>137</v>
      </c>
      <c r="M481" s="22" t="s">
        <v>36</v>
      </c>
      <c r="N481" s="8" t="s">
        <v>46</v>
      </c>
      <c r="O481" s="10" t="s">
        <v>37</v>
      </c>
      <c r="P481" s="10" t="s">
        <v>38</v>
      </c>
      <c r="Q481" s="11">
        <v>0.48</v>
      </c>
      <c r="R481" s="8" t="s">
        <v>60</v>
      </c>
      <c r="S481" s="30">
        <v>18</v>
      </c>
      <c r="T481" s="79">
        <f t="shared" si="144"/>
        <v>2.5446960000000001E-2</v>
      </c>
      <c r="U481" s="8">
        <v>9</v>
      </c>
      <c r="V481" s="22">
        <v>60</v>
      </c>
      <c r="W481" s="10">
        <f t="shared" si="147"/>
        <v>1.0471975511965976</v>
      </c>
      <c r="X481" s="8">
        <v>5</v>
      </c>
      <c r="Y481" s="22">
        <v>18</v>
      </c>
      <c r="Z481" s="10">
        <f t="shared" si="148"/>
        <v>0.31415926535897931</v>
      </c>
      <c r="AA481" s="10">
        <f t="shared" si="149"/>
        <v>9.3393136059346844</v>
      </c>
      <c r="AB481" s="10">
        <f t="shared" si="150"/>
        <v>72.817682900975782</v>
      </c>
      <c r="AC481" s="10">
        <f t="shared" si="133"/>
        <v>9.1022103626219728</v>
      </c>
      <c r="AD481" s="10">
        <f t="shared" si="141"/>
        <v>36.408841450487891</v>
      </c>
      <c r="AE481" s="65"/>
      <c r="AF481" s="10">
        <f t="shared" si="142"/>
        <v>121.6038897369755</v>
      </c>
      <c r="AG481" s="8">
        <f t="shared" si="134"/>
        <v>23.712758498710222</v>
      </c>
      <c r="AH481" s="10">
        <f t="shared" si="135"/>
        <v>60.801944868487752</v>
      </c>
      <c r="AI481" s="63"/>
      <c r="AJ481" s="10">
        <f t="shared" si="143"/>
        <v>135.90299999999996</v>
      </c>
      <c r="AK481" s="8"/>
      <c r="AL481" s="8">
        <f t="shared" si="136"/>
        <v>67.951499999999982</v>
      </c>
    </row>
    <row r="482" spans="1:38">
      <c r="A482" s="18">
        <v>41461</v>
      </c>
      <c r="B482" s="19" t="s">
        <v>34</v>
      </c>
      <c r="C482" s="12">
        <v>100.1</v>
      </c>
      <c r="D482" s="19" t="s">
        <v>80</v>
      </c>
      <c r="E482" s="8">
        <v>8.4108499999999999</v>
      </c>
      <c r="F482" s="8">
        <v>83.313320000000004</v>
      </c>
      <c r="G482" s="22">
        <v>100</v>
      </c>
      <c r="H482" s="8">
        <v>-5</v>
      </c>
      <c r="I482" s="10">
        <f t="shared" si="145"/>
        <v>-19.983330554894014</v>
      </c>
      <c r="J482" s="10">
        <f t="shared" si="146"/>
        <v>-0.34877491369728597</v>
      </c>
      <c r="K482" s="10">
        <v>21</v>
      </c>
      <c r="L482" s="8"/>
      <c r="M482" s="8" t="s">
        <v>96</v>
      </c>
      <c r="N482" s="8" t="s">
        <v>69</v>
      </c>
      <c r="O482" s="58" t="s">
        <v>65</v>
      </c>
      <c r="P482" s="10" t="s">
        <v>102</v>
      </c>
      <c r="Q482" s="22">
        <v>0.48</v>
      </c>
      <c r="R482" s="22" t="s">
        <v>190</v>
      </c>
      <c r="S482" s="30">
        <v>8.5</v>
      </c>
      <c r="T482" s="79">
        <f t="shared" si="144"/>
        <v>5.6745150000000006E-3</v>
      </c>
      <c r="U482" s="8">
        <v>10</v>
      </c>
      <c r="V482" s="22">
        <v>60</v>
      </c>
      <c r="W482" s="10">
        <f t="shared" si="147"/>
        <v>1.0471975511965976</v>
      </c>
      <c r="X482" s="8">
        <v>5</v>
      </c>
      <c r="Y482" s="22">
        <v>15</v>
      </c>
      <c r="Z482" s="10">
        <f t="shared" si="148"/>
        <v>0.26179938779914941</v>
      </c>
      <c r="AA482" s="10">
        <f t="shared" si="149"/>
        <v>9.9543492633569883</v>
      </c>
      <c r="AB482" s="10">
        <f t="shared" si="150"/>
        <v>18.865493346855256</v>
      </c>
      <c r="AC482" s="10">
        <f t="shared" si="133"/>
        <v>2.358186668356907</v>
      </c>
      <c r="AD482" s="10">
        <f t="shared" si="141"/>
        <v>9.4327466734276282</v>
      </c>
      <c r="AE482" s="65"/>
      <c r="AF482" s="10">
        <f t="shared" si="142"/>
        <v>18.858852597535876</v>
      </c>
      <c r="AG482" s="8">
        <f t="shared" si="134"/>
        <v>3.6774762565194958</v>
      </c>
      <c r="AH482" s="10">
        <f t="shared" si="135"/>
        <v>9.4294262987679378</v>
      </c>
      <c r="AI482" s="63"/>
      <c r="AJ482" s="10">
        <f t="shared" si="143"/>
        <v>15.661499999999997</v>
      </c>
      <c r="AK482" s="8"/>
      <c r="AL482" s="8">
        <f t="shared" si="136"/>
        <v>7.8307499999999983</v>
      </c>
    </row>
    <row r="483" spans="1:38">
      <c r="A483" s="18">
        <v>41461</v>
      </c>
      <c r="B483" s="19" t="s">
        <v>34</v>
      </c>
      <c r="C483" s="12">
        <v>100.1</v>
      </c>
      <c r="D483" s="19" t="s">
        <v>80</v>
      </c>
      <c r="E483" s="8">
        <v>8.4108499999999999</v>
      </c>
      <c r="F483" s="8">
        <v>83.313320000000004</v>
      </c>
      <c r="G483" s="22">
        <v>100</v>
      </c>
      <c r="H483" s="8">
        <v>-5</v>
      </c>
      <c r="I483" s="10">
        <f t="shared" si="145"/>
        <v>-19.983330554894014</v>
      </c>
      <c r="J483" s="10">
        <f t="shared" si="146"/>
        <v>-0.34877491369728597</v>
      </c>
      <c r="K483" s="10">
        <v>21</v>
      </c>
      <c r="L483" s="22">
        <v>138</v>
      </c>
      <c r="M483" s="22" t="s">
        <v>36</v>
      </c>
      <c r="N483" s="8" t="s">
        <v>46</v>
      </c>
      <c r="O483" s="10" t="s">
        <v>37</v>
      </c>
      <c r="P483" s="10" t="s">
        <v>38</v>
      </c>
      <c r="Q483" s="11">
        <v>0.48</v>
      </c>
      <c r="R483" s="8" t="s">
        <v>60</v>
      </c>
      <c r="S483" s="30">
        <v>18</v>
      </c>
      <c r="T483" s="79">
        <f t="shared" si="144"/>
        <v>2.5446960000000001E-2</v>
      </c>
      <c r="U483" s="8">
        <v>12</v>
      </c>
      <c r="V483" s="8">
        <v>50</v>
      </c>
      <c r="W483" s="10">
        <f t="shared" si="147"/>
        <v>0.87266462599716477</v>
      </c>
      <c r="X483" s="22">
        <v>5</v>
      </c>
      <c r="Y483" s="22">
        <v>11</v>
      </c>
      <c r="Z483" s="10">
        <f t="shared" si="148"/>
        <v>0.19198621771937624</v>
      </c>
      <c r="AA483" s="10">
        <f t="shared" si="149"/>
        <v>10.14657829431046</v>
      </c>
      <c r="AB483" s="10">
        <f t="shared" si="150"/>
        <v>78.719300846392969</v>
      </c>
      <c r="AC483" s="10">
        <f t="shared" si="133"/>
        <v>9.8399126057991211</v>
      </c>
      <c r="AD483" s="10">
        <f t="shared" si="141"/>
        <v>39.359650423196484</v>
      </c>
      <c r="AE483" s="65"/>
      <c r="AF483" s="10">
        <f t="shared" si="142"/>
        <v>121.6038897369755</v>
      </c>
      <c r="AG483" s="8">
        <f t="shared" si="134"/>
        <v>23.712758498710222</v>
      </c>
      <c r="AH483" s="10">
        <f t="shared" si="135"/>
        <v>60.801944868487752</v>
      </c>
      <c r="AI483" s="63"/>
      <c r="AJ483" s="10">
        <f t="shared" si="143"/>
        <v>135.90299999999996</v>
      </c>
      <c r="AK483" s="8"/>
      <c r="AL483" s="8">
        <f t="shared" si="136"/>
        <v>67.951499999999982</v>
      </c>
    </row>
    <row r="484" spans="1:38">
      <c r="A484" s="18">
        <v>41461</v>
      </c>
      <c r="B484" s="19" t="s">
        <v>34</v>
      </c>
      <c r="C484" s="12">
        <v>100.1</v>
      </c>
      <c r="D484" s="19" t="s">
        <v>80</v>
      </c>
      <c r="E484" s="8">
        <v>8.4108499999999999</v>
      </c>
      <c r="F484" s="8">
        <v>83.313320000000004</v>
      </c>
      <c r="G484" s="22">
        <v>100</v>
      </c>
      <c r="H484" s="8">
        <v>-5</v>
      </c>
      <c r="I484" s="10">
        <f t="shared" si="145"/>
        <v>-19.983330554894014</v>
      </c>
      <c r="J484" s="10">
        <f t="shared" si="146"/>
        <v>-0.34877491369728597</v>
      </c>
      <c r="K484" s="10">
        <v>21</v>
      </c>
      <c r="L484" s="22">
        <v>139</v>
      </c>
      <c r="M484" s="22" t="s">
        <v>36</v>
      </c>
      <c r="N484" s="8" t="s">
        <v>46</v>
      </c>
      <c r="O484" s="10" t="s">
        <v>37</v>
      </c>
      <c r="P484" s="10" t="s">
        <v>38</v>
      </c>
      <c r="Q484" s="11">
        <v>0.48</v>
      </c>
      <c r="R484" s="8" t="s">
        <v>60</v>
      </c>
      <c r="S484" s="30">
        <v>20</v>
      </c>
      <c r="T484" s="79">
        <f t="shared" si="144"/>
        <v>3.1415999999999999E-2</v>
      </c>
      <c r="U484" s="8">
        <f>10+2</f>
        <v>12</v>
      </c>
      <c r="V484" s="8">
        <v>65</v>
      </c>
      <c r="W484" s="10">
        <f t="shared" si="147"/>
        <v>1.1344640137963142</v>
      </c>
      <c r="X484" s="8">
        <v>5</v>
      </c>
      <c r="Y484" s="22">
        <v>15</v>
      </c>
      <c r="Z484" s="10">
        <f t="shared" si="148"/>
        <v>0.26179938779914941</v>
      </c>
      <c r="AA484" s="10">
        <f t="shared" si="149"/>
        <v>12.169788669952403</v>
      </c>
      <c r="AB484" s="10">
        <f t="shared" si="150"/>
        <v>113.84944838622432</v>
      </c>
      <c r="AC484" s="10">
        <f t="shared" si="133"/>
        <v>14.231181048278041</v>
      </c>
      <c r="AD484" s="10">
        <f t="shared" si="141"/>
        <v>56.924724193112162</v>
      </c>
      <c r="AE484" s="65"/>
      <c r="AF484" s="10">
        <f t="shared" si="142"/>
        <v>157.71936778711219</v>
      </c>
      <c r="AG484" s="8">
        <f t="shared" si="134"/>
        <v>30.755276718486879</v>
      </c>
      <c r="AH484" s="10">
        <f t="shared" si="135"/>
        <v>78.859683893556095</v>
      </c>
      <c r="AI484" s="63"/>
      <c r="AJ484" s="10">
        <f t="shared" si="143"/>
        <v>178.23699999999999</v>
      </c>
      <c r="AK484" s="8"/>
      <c r="AL484" s="8">
        <f t="shared" si="136"/>
        <v>89.118499999999997</v>
      </c>
    </row>
    <row r="485" spans="1:38">
      <c r="A485" s="18">
        <v>41461</v>
      </c>
      <c r="B485" s="19" t="s">
        <v>34</v>
      </c>
      <c r="C485" s="12">
        <v>100.1</v>
      </c>
      <c r="D485" s="19" t="s">
        <v>80</v>
      </c>
      <c r="E485" s="8">
        <v>8.4108499999999999</v>
      </c>
      <c r="F485" s="8">
        <v>83.313320000000004</v>
      </c>
      <c r="G485" s="22">
        <v>100</v>
      </c>
      <c r="H485" s="8">
        <v>-5</v>
      </c>
      <c r="I485" s="10">
        <f t="shared" si="145"/>
        <v>-19.983330554894014</v>
      </c>
      <c r="J485" s="10">
        <f t="shared" si="146"/>
        <v>-0.34877491369728597</v>
      </c>
      <c r="K485" s="10">
        <v>21</v>
      </c>
      <c r="L485" s="22">
        <v>140</v>
      </c>
      <c r="M485" s="22" t="s">
        <v>36</v>
      </c>
      <c r="N485" s="8" t="s">
        <v>46</v>
      </c>
      <c r="O485" s="10" t="s">
        <v>37</v>
      </c>
      <c r="P485" s="10" t="s">
        <v>38</v>
      </c>
      <c r="Q485" s="11">
        <v>0.48</v>
      </c>
      <c r="R485" s="8" t="s">
        <v>60</v>
      </c>
      <c r="S485" s="30">
        <v>17.8</v>
      </c>
      <c r="T485" s="79">
        <f t="shared" si="144"/>
        <v>2.4884613600000004E-2</v>
      </c>
      <c r="U485" s="22">
        <v>10</v>
      </c>
      <c r="V485" s="8">
        <v>60</v>
      </c>
      <c r="W485" s="10">
        <f t="shared" si="147"/>
        <v>1.0471975511965976</v>
      </c>
      <c r="X485" s="22">
        <v>5</v>
      </c>
      <c r="Y485" s="22">
        <v>15</v>
      </c>
      <c r="Z485" s="10">
        <f t="shared" si="148"/>
        <v>0.26179938779914941</v>
      </c>
      <c r="AA485" s="10">
        <f t="shared" si="149"/>
        <v>9.9543492633569883</v>
      </c>
      <c r="AB485" s="10">
        <f t="shared" si="150"/>
        <v>75.709467362584519</v>
      </c>
      <c r="AC485" s="10">
        <f t="shared" si="133"/>
        <v>9.4636834203230649</v>
      </c>
      <c r="AD485" s="10">
        <f t="shared" si="141"/>
        <v>37.854733681292259</v>
      </c>
      <c r="AE485" s="65"/>
      <c r="AF485" s="10">
        <f t="shared" si="142"/>
        <v>118.29010235200761</v>
      </c>
      <c r="AG485" s="8">
        <f t="shared" si="134"/>
        <v>23.066569958641484</v>
      </c>
      <c r="AH485" s="10">
        <f t="shared" si="135"/>
        <v>59.145051176003804</v>
      </c>
      <c r="AI485" s="63"/>
      <c r="AJ485" s="10">
        <f t="shared" si="143"/>
        <v>131.99520000000001</v>
      </c>
      <c r="AK485" s="8"/>
      <c r="AL485" s="8">
        <f t="shared" si="136"/>
        <v>65.997600000000006</v>
      </c>
    </row>
    <row r="486" spans="1:38">
      <c r="A486" s="18">
        <v>41464</v>
      </c>
      <c r="B486" s="19" t="s">
        <v>119</v>
      </c>
      <c r="C486" s="12">
        <v>100.1</v>
      </c>
      <c r="D486" s="19" t="s">
        <v>80</v>
      </c>
      <c r="E486" s="8">
        <v>8.4108499999999999</v>
      </c>
      <c r="F486" s="8">
        <v>83.313320000000004</v>
      </c>
      <c r="G486" s="22">
        <v>100</v>
      </c>
      <c r="H486" s="8">
        <v>-5</v>
      </c>
      <c r="I486" s="10">
        <f t="shared" si="145"/>
        <v>-19.983330554894014</v>
      </c>
      <c r="J486" s="10">
        <f t="shared" si="146"/>
        <v>-0.34877491369728597</v>
      </c>
      <c r="K486" s="10">
        <v>21</v>
      </c>
      <c r="L486" s="22">
        <v>150</v>
      </c>
      <c r="M486" s="22" t="s">
        <v>36</v>
      </c>
      <c r="N486" s="8" t="s">
        <v>46</v>
      </c>
      <c r="O486" s="10" t="s">
        <v>37</v>
      </c>
      <c r="P486" s="10" t="s">
        <v>38</v>
      </c>
      <c r="Q486" s="11">
        <v>0.48</v>
      </c>
      <c r="R486" s="8" t="s">
        <v>60</v>
      </c>
      <c r="S486" s="30">
        <v>27</v>
      </c>
      <c r="T486" s="79">
        <f t="shared" si="144"/>
        <v>5.725566E-2</v>
      </c>
      <c r="U486" s="22">
        <v>9</v>
      </c>
      <c r="V486" s="22">
        <v>56</v>
      </c>
      <c r="W486" s="10">
        <f t="shared" si="147"/>
        <v>0.97738438111682457</v>
      </c>
      <c r="X486" s="22">
        <v>5</v>
      </c>
      <c r="Y486" s="22">
        <v>8.1999999999999993</v>
      </c>
      <c r="Z486" s="10">
        <f t="shared" si="148"/>
        <v>0.143116998663535</v>
      </c>
      <c r="AA486" s="10">
        <f t="shared" si="149"/>
        <v>8.1744828215229344</v>
      </c>
      <c r="AB486" s="10">
        <f t="shared" si="150"/>
        <v>137.69083365237674</v>
      </c>
      <c r="AC486" s="10">
        <f t="shared" si="133"/>
        <v>17.211354206547092</v>
      </c>
      <c r="AD486" s="10">
        <f t="shared" si="141"/>
        <v>68.845416826188369</v>
      </c>
      <c r="AE486" s="65"/>
      <c r="AF486" s="10">
        <f t="shared" si="142"/>
        <v>328.75772573190403</v>
      </c>
      <c r="AG486" s="8">
        <f t="shared" si="134"/>
        <v>64.107756517721285</v>
      </c>
      <c r="AH486" s="10">
        <f t="shared" si="135"/>
        <v>164.37886286595202</v>
      </c>
      <c r="AI486" s="63"/>
      <c r="AJ486" s="10">
        <f t="shared" si="143"/>
        <v>373.02600000000007</v>
      </c>
      <c r="AK486" s="8"/>
      <c r="AL486" s="8">
        <f t="shared" si="136"/>
        <v>186.51300000000003</v>
      </c>
    </row>
    <row r="487" spans="1:38">
      <c r="A487" s="18">
        <v>41464</v>
      </c>
      <c r="B487" s="19" t="s">
        <v>119</v>
      </c>
      <c r="C487" s="12">
        <v>100.1</v>
      </c>
      <c r="D487" s="19" t="s">
        <v>80</v>
      </c>
      <c r="E487" s="8">
        <v>8.4108499999999999</v>
      </c>
      <c r="F487" s="8">
        <v>83.313320000000004</v>
      </c>
      <c r="G487" s="22">
        <v>100</v>
      </c>
      <c r="H487" s="8">
        <v>-5</v>
      </c>
      <c r="I487" s="10">
        <f t="shared" si="145"/>
        <v>-19.983330554894014</v>
      </c>
      <c r="J487" s="10">
        <f t="shared" si="146"/>
        <v>-0.34877491369728597</v>
      </c>
      <c r="K487" s="10">
        <v>21</v>
      </c>
      <c r="L487" s="22">
        <v>151</v>
      </c>
      <c r="M487" s="22" t="s">
        <v>54</v>
      </c>
      <c r="N487" s="8" t="s">
        <v>55</v>
      </c>
      <c r="O487" s="10" t="s">
        <v>56</v>
      </c>
      <c r="P487" s="10" t="s">
        <v>57</v>
      </c>
      <c r="Q487" s="11">
        <v>0.315</v>
      </c>
      <c r="R487" s="12" t="s">
        <v>66</v>
      </c>
      <c r="S487" s="30">
        <v>18.100000000000001</v>
      </c>
      <c r="T487" s="79">
        <f t="shared" si="144"/>
        <v>2.5730489400000008E-2</v>
      </c>
      <c r="U487" s="22">
        <v>16</v>
      </c>
      <c r="V487" s="22">
        <v>57</v>
      </c>
      <c r="W487" s="10">
        <f t="shared" si="147"/>
        <v>0.99483767363676789</v>
      </c>
      <c r="X487" s="22">
        <v>6</v>
      </c>
      <c r="Y487" s="22">
        <v>17.5</v>
      </c>
      <c r="Z487" s="10">
        <f t="shared" si="148"/>
        <v>0.30543261909900765</v>
      </c>
      <c r="AA487" s="10">
        <f t="shared" si="149"/>
        <v>15.222963884152424</v>
      </c>
      <c r="AB487" s="10">
        <f t="shared" si="150"/>
        <v>78.389632167902136</v>
      </c>
      <c r="AC487" s="10">
        <f t="shared" si="133"/>
        <v>9.7987040209877669</v>
      </c>
      <c r="AD487" s="10">
        <f t="shared" si="141"/>
        <v>39.194816083951068</v>
      </c>
      <c r="AE487" s="65"/>
      <c r="AF487" s="10">
        <f t="shared" si="142"/>
        <v>80.903058633209042</v>
      </c>
      <c r="AG487" s="8">
        <f t="shared" si="134"/>
        <v>15.776096433475765</v>
      </c>
      <c r="AH487" s="10">
        <f t="shared" si="135"/>
        <v>40.451529316604521</v>
      </c>
      <c r="AI487" s="63"/>
      <c r="AJ487" s="10">
        <f t="shared" si="143"/>
        <v>137.87910000000005</v>
      </c>
      <c r="AK487" s="8"/>
      <c r="AL487" s="8">
        <f t="shared" si="136"/>
        <v>68.939550000000025</v>
      </c>
    </row>
    <row r="488" spans="1:38">
      <c r="A488" s="18">
        <v>41464</v>
      </c>
      <c r="B488" s="19" t="s">
        <v>119</v>
      </c>
      <c r="C488" s="12">
        <v>100.1</v>
      </c>
      <c r="D488" s="19" t="s">
        <v>80</v>
      </c>
      <c r="E488" s="8">
        <v>8.4108499999999999</v>
      </c>
      <c r="F488" s="8">
        <v>83.313320000000004</v>
      </c>
      <c r="G488" s="22">
        <v>100</v>
      </c>
      <c r="H488" s="8">
        <v>-5</v>
      </c>
      <c r="I488" s="10">
        <f t="shared" si="145"/>
        <v>-19.983330554894014</v>
      </c>
      <c r="J488" s="10">
        <f t="shared" si="146"/>
        <v>-0.34877491369728597</v>
      </c>
      <c r="K488" s="10">
        <v>21</v>
      </c>
      <c r="L488" s="22">
        <v>153</v>
      </c>
      <c r="M488" s="22" t="s">
        <v>96</v>
      </c>
      <c r="N488" s="8" t="s">
        <v>69</v>
      </c>
      <c r="O488" s="58" t="s">
        <v>65</v>
      </c>
      <c r="P488" s="10" t="s">
        <v>102</v>
      </c>
      <c r="Q488" s="22">
        <v>0.48</v>
      </c>
      <c r="R488" s="22" t="s">
        <v>190</v>
      </c>
      <c r="S488" s="30">
        <v>22.5</v>
      </c>
      <c r="T488" s="79">
        <f t="shared" si="144"/>
        <v>3.9760875000000001E-2</v>
      </c>
      <c r="U488" s="22">
        <v>15</v>
      </c>
      <c r="V488" s="22">
        <v>61.5</v>
      </c>
      <c r="W488" s="10">
        <f t="shared" si="147"/>
        <v>1.0733774899765127</v>
      </c>
      <c r="X488" s="22">
        <v>5</v>
      </c>
      <c r="Y488" s="22">
        <v>15.5</v>
      </c>
      <c r="Z488" s="10">
        <f t="shared" si="148"/>
        <v>0.27052603405912107</v>
      </c>
      <c r="AA488" s="10">
        <f t="shared" si="149"/>
        <v>14.518448570320766</v>
      </c>
      <c r="AB488" s="10">
        <f t="shared" si="150"/>
        <v>167.70137224056697</v>
      </c>
      <c r="AC488" s="10">
        <f t="shared" si="133"/>
        <v>20.962671530070871</v>
      </c>
      <c r="AD488" s="10">
        <f t="shared" si="141"/>
        <v>83.850686120283484</v>
      </c>
      <c r="AE488" s="65"/>
      <c r="AF488" s="10">
        <f t="shared" si="142"/>
        <v>210.67581468403424</v>
      </c>
      <c r="AG488" s="8">
        <f t="shared" si="134"/>
        <v>41.081783863386676</v>
      </c>
      <c r="AH488" s="10">
        <f t="shared" si="135"/>
        <v>105.33790734201712</v>
      </c>
      <c r="AI488" s="63"/>
      <c r="AJ488" s="10">
        <f t="shared" si="143"/>
        <v>239.4795</v>
      </c>
      <c r="AK488" s="8"/>
      <c r="AL488" s="8">
        <f t="shared" si="136"/>
        <v>119.73975</v>
      </c>
    </row>
    <row r="489" spans="1:38">
      <c r="A489" s="18">
        <v>41464</v>
      </c>
      <c r="B489" s="19" t="s">
        <v>119</v>
      </c>
      <c r="C489" s="12">
        <v>100.1</v>
      </c>
      <c r="D489" s="19" t="s">
        <v>80</v>
      </c>
      <c r="E489" s="8">
        <v>8.4108499999999999</v>
      </c>
      <c r="F489" s="8">
        <v>83.313320000000004</v>
      </c>
      <c r="G489" s="22">
        <v>100</v>
      </c>
      <c r="H489" s="8">
        <v>-5</v>
      </c>
      <c r="I489" s="10">
        <f t="shared" si="145"/>
        <v>-19.983330554894014</v>
      </c>
      <c r="J489" s="10">
        <f t="shared" si="146"/>
        <v>-0.34877491369728597</v>
      </c>
      <c r="K489" s="10">
        <v>21</v>
      </c>
      <c r="L489" s="22">
        <v>152</v>
      </c>
      <c r="M489" s="22" t="s">
        <v>36</v>
      </c>
      <c r="N489" s="8" t="s">
        <v>46</v>
      </c>
      <c r="O489" s="10" t="s">
        <v>37</v>
      </c>
      <c r="P489" s="10" t="s">
        <v>38</v>
      </c>
      <c r="Q489" s="11">
        <v>0.48</v>
      </c>
      <c r="R489" s="8" t="s">
        <v>60</v>
      </c>
      <c r="S489" s="30">
        <v>18.5</v>
      </c>
      <c r="T489" s="79">
        <f t="shared" si="144"/>
        <v>2.6880315000000002E-2</v>
      </c>
      <c r="U489" s="22">
        <v>9</v>
      </c>
      <c r="V489" s="22">
        <v>64.5</v>
      </c>
      <c r="W489" s="10">
        <f t="shared" si="147"/>
        <v>1.1257373675363425</v>
      </c>
      <c r="X489" s="22">
        <v>5</v>
      </c>
      <c r="Y489" s="22">
        <v>8.5</v>
      </c>
      <c r="Z489" s="10">
        <f t="shared" si="148"/>
        <v>0.14835298641951802</v>
      </c>
      <c r="AA489" s="10">
        <f t="shared" si="149"/>
        <v>8.8623146147967979</v>
      </c>
      <c r="AB489" s="10">
        <f t="shared" si="150"/>
        <v>72.980303905666233</v>
      </c>
      <c r="AC489" s="10">
        <f t="shared" si="133"/>
        <v>9.1225379882082791</v>
      </c>
      <c r="AD489" s="10">
        <f t="shared" si="141"/>
        <v>36.490151952833116</v>
      </c>
      <c r="AE489" s="65"/>
      <c r="AF489" s="10">
        <f t="shared" si="142"/>
        <v>130.12307497611366</v>
      </c>
      <c r="AG489" s="8">
        <f t="shared" si="134"/>
        <v>25.373999620342165</v>
      </c>
      <c r="AH489" s="10">
        <f t="shared" si="135"/>
        <v>65.061537488056828</v>
      </c>
      <c r="AI489" s="63"/>
      <c r="AJ489" s="10">
        <f t="shared" si="143"/>
        <v>145.93149999999997</v>
      </c>
      <c r="AK489" s="8"/>
      <c r="AL489" s="8">
        <f t="shared" si="136"/>
        <v>72.965749999999986</v>
      </c>
    </row>
    <row r="490" spans="1:38">
      <c r="A490" s="18">
        <v>41464</v>
      </c>
      <c r="B490" s="19" t="s">
        <v>119</v>
      </c>
      <c r="C490" s="12">
        <v>100.1</v>
      </c>
      <c r="D490" s="19" t="s">
        <v>80</v>
      </c>
      <c r="E490" s="8">
        <v>8.4108499999999999</v>
      </c>
      <c r="F490" s="8">
        <v>83.313320000000004</v>
      </c>
      <c r="G490" s="22">
        <v>100</v>
      </c>
      <c r="H490" s="8">
        <v>-5</v>
      </c>
      <c r="I490" s="10">
        <f t="shared" si="145"/>
        <v>-19.983330554894014</v>
      </c>
      <c r="J490" s="10">
        <f t="shared" si="146"/>
        <v>-0.34877491369728597</v>
      </c>
      <c r="K490" s="10">
        <v>21</v>
      </c>
      <c r="L490" s="22">
        <v>154</v>
      </c>
      <c r="M490" s="22" t="s">
        <v>36</v>
      </c>
      <c r="N490" s="8" t="s">
        <v>46</v>
      </c>
      <c r="O490" s="10" t="s">
        <v>37</v>
      </c>
      <c r="P490" s="10" t="s">
        <v>38</v>
      </c>
      <c r="Q490" s="11">
        <v>0.48</v>
      </c>
      <c r="R490" s="8" t="s">
        <v>60</v>
      </c>
      <c r="S490" s="30">
        <v>10</v>
      </c>
      <c r="T490" s="79">
        <f t="shared" si="144"/>
        <v>7.8539999999999999E-3</v>
      </c>
      <c r="U490" s="22">
        <v>6</v>
      </c>
      <c r="V490" s="22">
        <v>35.5</v>
      </c>
      <c r="W490" s="10">
        <f t="shared" si="147"/>
        <v>0.61959188445798696</v>
      </c>
      <c r="X490" s="22">
        <v>6</v>
      </c>
      <c r="Y490" s="22">
        <v>14.5</v>
      </c>
      <c r="Z490" s="10">
        <f t="shared" si="148"/>
        <v>0.2530727415391778</v>
      </c>
      <c r="AA490" s="10">
        <f t="shared" si="149"/>
        <v>4.9864977585922876</v>
      </c>
      <c r="AB490" s="10">
        <f t="shared" si="150"/>
        <v>13.370768663785928</v>
      </c>
      <c r="AC490" s="10">
        <f t="shared" si="133"/>
        <v>1.6713460829732409</v>
      </c>
      <c r="AD490" s="10">
        <f t="shared" si="141"/>
        <v>6.6853843318929638</v>
      </c>
      <c r="AE490" s="65"/>
      <c r="AF490" s="10">
        <f t="shared" si="142"/>
        <v>28.235933581188522</v>
      </c>
      <c r="AG490" s="8">
        <f t="shared" si="134"/>
        <v>5.506007048331762</v>
      </c>
      <c r="AH490" s="10">
        <f t="shared" si="135"/>
        <v>14.117966790594261</v>
      </c>
      <c r="AI490" s="63"/>
      <c r="AJ490" s="10">
        <f t="shared" si="143"/>
        <v>25.766999999999996</v>
      </c>
      <c r="AK490" s="8"/>
      <c r="AL490" s="8">
        <f t="shared" si="136"/>
        <v>12.883499999999998</v>
      </c>
    </row>
    <row r="491" spans="1:38">
      <c r="A491" s="18">
        <v>41464</v>
      </c>
      <c r="B491" s="19" t="s">
        <v>119</v>
      </c>
      <c r="C491" s="12">
        <v>100.1</v>
      </c>
      <c r="D491" s="19" t="s">
        <v>80</v>
      </c>
      <c r="E491" s="8">
        <v>8.4108499999999999</v>
      </c>
      <c r="F491" s="8">
        <v>83.313320000000004</v>
      </c>
      <c r="G491" s="22">
        <v>100</v>
      </c>
      <c r="H491" s="8">
        <v>-5</v>
      </c>
      <c r="I491" s="10">
        <f t="shared" si="145"/>
        <v>-19.983330554894014</v>
      </c>
      <c r="J491" s="10">
        <f t="shared" si="146"/>
        <v>-0.34877491369728597</v>
      </c>
      <c r="K491" s="10">
        <v>21</v>
      </c>
      <c r="L491" s="22">
        <v>155</v>
      </c>
      <c r="M491" s="22" t="s">
        <v>39</v>
      </c>
      <c r="N491" s="8" t="s">
        <v>69</v>
      </c>
      <c r="O491" s="10" t="s">
        <v>65</v>
      </c>
      <c r="P491" s="10" t="s">
        <v>70</v>
      </c>
      <c r="Q491" s="8">
        <v>0.37</v>
      </c>
      <c r="R491" s="8" t="s">
        <v>71</v>
      </c>
      <c r="S491" s="30">
        <v>23.1</v>
      </c>
      <c r="T491" s="79">
        <f t="shared" si="144"/>
        <v>4.1909729400000005E-2</v>
      </c>
      <c r="U491" s="22">
        <v>9</v>
      </c>
      <c r="V491" s="22">
        <v>57</v>
      </c>
      <c r="W491" s="10">
        <f t="shared" si="147"/>
        <v>0.99483767363676789</v>
      </c>
      <c r="X491" s="22">
        <v>8</v>
      </c>
      <c r="Y491" s="22">
        <v>10</v>
      </c>
      <c r="Z491" s="10">
        <f t="shared" si="148"/>
        <v>0.17453292519943295</v>
      </c>
      <c r="AA491" s="10">
        <f t="shared" si="149"/>
        <v>8.9372205328442593</v>
      </c>
      <c r="AB491" s="10">
        <f t="shared" si="150"/>
        <v>87.436384301154334</v>
      </c>
      <c r="AC491" s="10">
        <f t="shared" si="133"/>
        <v>10.929548037644292</v>
      </c>
      <c r="AD491" s="10">
        <f t="shared" si="141"/>
        <v>43.718192150577167</v>
      </c>
      <c r="AE491" s="65"/>
      <c r="AF491" s="10">
        <f t="shared" si="142"/>
        <v>173.21318050702681</v>
      </c>
      <c r="AG491" s="8">
        <f t="shared" si="134"/>
        <v>33.776570198870232</v>
      </c>
      <c r="AH491" s="10">
        <f t="shared" si="135"/>
        <v>86.606590253513403</v>
      </c>
      <c r="AI491" s="63"/>
      <c r="AJ491" s="10">
        <f t="shared" si="143"/>
        <v>255.55409999999998</v>
      </c>
      <c r="AK491" s="8"/>
      <c r="AL491" s="8">
        <f t="shared" si="136"/>
        <v>127.77704999999999</v>
      </c>
    </row>
    <row r="492" spans="1:38">
      <c r="A492" s="18">
        <v>41464</v>
      </c>
      <c r="B492" s="19" t="s">
        <v>119</v>
      </c>
      <c r="C492" s="12">
        <v>100.1</v>
      </c>
      <c r="D492" s="19" t="s">
        <v>80</v>
      </c>
      <c r="E492" s="8">
        <v>8.4108499999999999</v>
      </c>
      <c r="F492" s="8">
        <v>83.313320000000004</v>
      </c>
      <c r="G492" s="22">
        <v>100</v>
      </c>
      <c r="H492" s="8">
        <v>-5</v>
      </c>
      <c r="I492" s="10">
        <f t="shared" si="145"/>
        <v>-19.983330554894014</v>
      </c>
      <c r="J492" s="10">
        <f t="shared" si="146"/>
        <v>-0.34877491369728597</v>
      </c>
      <c r="K492" s="10">
        <v>21</v>
      </c>
      <c r="L492" s="22">
        <v>156</v>
      </c>
      <c r="M492" s="22" t="s">
        <v>36</v>
      </c>
      <c r="N492" s="8" t="s">
        <v>46</v>
      </c>
      <c r="O492" s="10" t="s">
        <v>37</v>
      </c>
      <c r="P492" s="10" t="s">
        <v>38</v>
      </c>
      <c r="Q492" s="11">
        <v>0.48</v>
      </c>
      <c r="R492" s="8" t="s">
        <v>60</v>
      </c>
      <c r="S492" s="30">
        <v>12</v>
      </c>
      <c r="T492" s="79">
        <f t="shared" si="144"/>
        <v>1.130976E-2</v>
      </c>
      <c r="U492" s="22">
        <v>11</v>
      </c>
      <c r="V492" s="22">
        <v>51</v>
      </c>
      <c r="W492" s="10">
        <f t="shared" si="147"/>
        <v>0.89011791851710809</v>
      </c>
      <c r="X492" s="22">
        <v>7</v>
      </c>
      <c r="Y492" s="22">
        <v>9</v>
      </c>
      <c r="Z492" s="10">
        <f t="shared" si="148"/>
        <v>0.15707963267948966</v>
      </c>
      <c r="AA492" s="10">
        <f t="shared" si="149"/>
        <v>9.6436468313082973</v>
      </c>
      <c r="AB492" s="10">
        <f t="shared" si="150"/>
        <v>35.016767001892696</v>
      </c>
      <c r="AC492" s="10">
        <f t="shared" si="133"/>
        <v>4.3770958752365869</v>
      </c>
      <c r="AD492" s="10">
        <f t="shared" si="141"/>
        <v>17.508383500946348</v>
      </c>
      <c r="AE492" s="65"/>
      <c r="AF492" s="10">
        <f t="shared" si="142"/>
        <v>44.441042596259827</v>
      </c>
      <c r="AG492" s="8">
        <f t="shared" si="134"/>
        <v>8.6660033062706674</v>
      </c>
      <c r="AH492" s="10">
        <f t="shared" si="135"/>
        <v>22.220521298129913</v>
      </c>
      <c r="AI492" s="63"/>
      <c r="AJ492" s="10">
        <f t="shared" si="143"/>
        <v>44.420999999999992</v>
      </c>
      <c r="AK492" s="8"/>
      <c r="AL492" s="8">
        <f t="shared" si="136"/>
        <v>22.210499999999996</v>
      </c>
    </row>
    <row r="493" spans="1:38">
      <c r="A493" s="18">
        <v>41464</v>
      </c>
      <c r="B493" s="19" t="s">
        <v>119</v>
      </c>
      <c r="C493" s="12">
        <v>100.1</v>
      </c>
      <c r="D493" s="19" t="s">
        <v>80</v>
      </c>
      <c r="E493" s="8">
        <v>8.4108499999999999</v>
      </c>
      <c r="F493" s="8">
        <v>83.313320000000004</v>
      </c>
      <c r="G493" s="22">
        <v>100</v>
      </c>
      <c r="H493" s="8">
        <v>-5</v>
      </c>
      <c r="I493" s="10">
        <f t="shared" si="145"/>
        <v>-19.983330554894014</v>
      </c>
      <c r="J493" s="10">
        <f t="shared" si="146"/>
        <v>-0.34877491369728597</v>
      </c>
      <c r="K493" s="10">
        <v>21</v>
      </c>
      <c r="L493" s="22">
        <v>157</v>
      </c>
      <c r="M493" s="22" t="s">
        <v>96</v>
      </c>
      <c r="N493" s="8" t="s">
        <v>69</v>
      </c>
      <c r="O493" s="58" t="s">
        <v>65</v>
      </c>
      <c r="P493" s="10" t="s">
        <v>102</v>
      </c>
      <c r="Q493" s="22">
        <v>0.48</v>
      </c>
      <c r="R493" s="22" t="s">
        <v>190</v>
      </c>
      <c r="S493" s="30">
        <v>27.1</v>
      </c>
      <c r="T493" s="79">
        <f t="shared" si="144"/>
        <v>5.7680561400000011E-2</v>
      </c>
      <c r="U493" s="22">
        <v>12</v>
      </c>
      <c r="V493" s="22">
        <v>75</v>
      </c>
      <c r="W493" s="10">
        <f t="shared" si="147"/>
        <v>1.3089969389957472</v>
      </c>
      <c r="X493" s="22">
        <v>5</v>
      </c>
      <c r="Y493" s="22">
        <v>15</v>
      </c>
      <c r="Z493" s="10">
        <f t="shared" si="148"/>
        <v>0.26179938779914941</v>
      </c>
      <c r="AA493" s="10">
        <f t="shared" si="149"/>
        <v>12.885205140981423</v>
      </c>
      <c r="AB493" s="10">
        <f t="shared" si="150"/>
        <v>212.66528782094844</v>
      </c>
      <c r="AC493" s="10">
        <f t="shared" si="133"/>
        <v>26.583160977618554</v>
      </c>
      <c r="AD493" s="10">
        <f t="shared" si="141"/>
        <v>106.33264391047422</v>
      </c>
      <c r="AE493" s="65"/>
      <c r="AF493" s="10">
        <f t="shared" si="142"/>
        <v>331.72254778642019</v>
      </c>
      <c r="AG493" s="8">
        <f t="shared" si="134"/>
        <v>64.685896818351935</v>
      </c>
      <c r="AH493" s="10">
        <f t="shared" si="135"/>
        <v>165.8612738932101</v>
      </c>
      <c r="AI493" s="63"/>
      <c r="AJ493" s="10">
        <f t="shared" si="143"/>
        <v>376.33410000000003</v>
      </c>
      <c r="AK493" s="8"/>
      <c r="AL493" s="8">
        <f t="shared" si="136"/>
        <v>188.16705000000002</v>
      </c>
    </row>
    <row r="494" spans="1:38">
      <c r="A494" s="18">
        <v>41464</v>
      </c>
      <c r="B494" s="19" t="s">
        <v>119</v>
      </c>
      <c r="C494" s="12">
        <v>100.1</v>
      </c>
      <c r="D494" s="19" t="s">
        <v>80</v>
      </c>
      <c r="E494" s="8">
        <v>8.4108499999999999</v>
      </c>
      <c r="F494" s="8">
        <v>83.313320000000004</v>
      </c>
      <c r="G494" s="22">
        <v>100</v>
      </c>
      <c r="H494" s="8">
        <v>-5</v>
      </c>
      <c r="I494" s="10">
        <f t="shared" si="145"/>
        <v>-19.983330554894014</v>
      </c>
      <c r="J494" s="10">
        <f t="shared" si="146"/>
        <v>-0.34877491369728597</v>
      </c>
      <c r="K494" s="10">
        <v>21</v>
      </c>
      <c r="L494" s="22">
        <v>158</v>
      </c>
      <c r="M494" s="22" t="s">
        <v>36</v>
      </c>
      <c r="N494" s="8" t="s">
        <v>46</v>
      </c>
      <c r="O494" s="10" t="s">
        <v>37</v>
      </c>
      <c r="P494" s="10" t="s">
        <v>38</v>
      </c>
      <c r="Q494" s="11">
        <v>0.48</v>
      </c>
      <c r="R494" s="8" t="s">
        <v>60</v>
      </c>
      <c r="S494" s="30">
        <v>11.8</v>
      </c>
      <c r="T494" s="79">
        <f t="shared" si="144"/>
        <v>1.0935909600000002E-2</v>
      </c>
      <c r="U494" s="22">
        <v>9</v>
      </c>
      <c r="V494" s="22">
        <v>62</v>
      </c>
      <c r="W494" s="10">
        <f t="shared" si="147"/>
        <v>1.0821041362364843</v>
      </c>
      <c r="X494" s="22">
        <v>5</v>
      </c>
      <c r="Y494" s="22">
        <v>15</v>
      </c>
      <c r="Z494" s="10">
        <f t="shared" si="148"/>
        <v>0.26179938779914941</v>
      </c>
      <c r="AA494" s="10">
        <f t="shared" si="149"/>
        <v>9.2406235612429448</v>
      </c>
      <c r="AB494" s="10">
        <f t="shared" si="150"/>
        <v>32.593114325574874</v>
      </c>
      <c r="AC494" s="10">
        <f t="shared" si="133"/>
        <v>4.0741392906968592</v>
      </c>
      <c r="AD494" s="10">
        <f t="shared" si="141"/>
        <v>16.296557162787437</v>
      </c>
      <c r="AE494" s="65"/>
      <c r="AF494" s="10">
        <f t="shared" si="142"/>
        <v>42.620828585953724</v>
      </c>
      <c r="AG494" s="8">
        <f t="shared" si="134"/>
        <v>8.311061574260977</v>
      </c>
      <c r="AH494" s="10">
        <f t="shared" si="135"/>
        <v>21.310414292976862</v>
      </c>
      <c r="AI494" s="63"/>
      <c r="AJ494" s="10">
        <f t="shared" si="143"/>
        <v>42.289199999999994</v>
      </c>
      <c r="AK494" s="8"/>
      <c r="AL494" s="8">
        <f t="shared" si="136"/>
        <v>21.144599999999997</v>
      </c>
    </row>
    <row r="495" spans="1:38">
      <c r="A495" s="18">
        <v>41464</v>
      </c>
      <c r="B495" s="19" t="s">
        <v>119</v>
      </c>
      <c r="C495" s="12">
        <v>100.1</v>
      </c>
      <c r="D495" s="19" t="s">
        <v>80</v>
      </c>
      <c r="E495" s="8">
        <v>8.4108499999999999</v>
      </c>
      <c r="F495" s="8">
        <v>83.313320000000004</v>
      </c>
      <c r="G495" s="22">
        <v>100</v>
      </c>
      <c r="H495" s="8">
        <v>-5</v>
      </c>
      <c r="I495" s="10">
        <f t="shared" si="145"/>
        <v>-19.983330554894014</v>
      </c>
      <c r="J495" s="10">
        <f t="shared" si="146"/>
        <v>-0.34877491369728597</v>
      </c>
      <c r="K495" s="10">
        <v>21</v>
      </c>
      <c r="L495" s="22">
        <v>159</v>
      </c>
      <c r="M495" s="31" t="s">
        <v>231</v>
      </c>
      <c r="N495" s="8" t="s">
        <v>171</v>
      </c>
      <c r="O495" s="10" t="s">
        <v>99</v>
      </c>
      <c r="P495" s="10" t="s">
        <v>99</v>
      </c>
      <c r="Q495" s="8">
        <v>0.57999999999999996</v>
      </c>
      <c r="R495" s="8" t="s">
        <v>103</v>
      </c>
      <c r="S495" s="30">
        <v>14</v>
      </c>
      <c r="T495" s="79">
        <f t="shared" si="144"/>
        <v>1.5393840000000001E-2</v>
      </c>
      <c r="U495" s="22">
        <v>11</v>
      </c>
      <c r="V495" s="22">
        <v>61</v>
      </c>
      <c r="W495" s="10">
        <f t="shared" si="147"/>
        <v>1.064650843716541</v>
      </c>
      <c r="X495" s="22">
        <v>5</v>
      </c>
      <c r="Y495" s="22">
        <v>15</v>
      </c>
      <c r="Z495" s="10">
        <f t="shared" si="148"/>
        <v>0.26179938779914941</v>
      </c>
      <c r="AA495" s="10">
        <f t="shared" si="149"/>
        <v>10.914912004045956</v>
      </c>
      <c r="AB495" s="10">
        <f t="shared" si="150"/>
        <v>62.797704190300458</v>
      </c>
      <c r="AC495" s="10">
        <f t="shared" si="133"/>
        <v>7.8497130237875572</v>
      </c>
      <c r="AD495" s="10">
        <f t="shared" si="141"/>
        <v>31.398852095150229</v>
      </c>
      <c r="AE495" s="65"/>
      <c r="AF495" s="10">
        <f t="shared" si="142"/>
        <v>78.791432786535395</v>
      </c>
      <c r="AG495" s="8">
        <f t="shared" si="134"/>
        <v>15.364329393374403</v>
      </c>
      <c r="AH495" s="10">
        <f t="shared" si="135"/>
        <v>39.395716393267698</v>
      </c>
      <c r="AI495" s="63"/>
      <c r="AJ495" s="10">
        <f t="shared" si="143"/>
        <v>68.99499999999999</v>
      </c>
      <c r="AK495" s="8"/>
      <c r="AL495" s="8">
        <f t="shared" si="136"/>
        <v>34.497499999999995</v>
      </c>
    </row>
    <row r="496" spans="1:38">
      <c r="A496" s="18">
        <v>41464</v>
      </c>
      <c r="B496" s="19" t="s">
        <v>119</v>
      </c>
      <c r="C496" s="12">
        <v>100.1</v>
      </c>
      <c r="D496" s="19" t="s">
        <v>80</v>
      </c>
      <c r="E496" s="8">
        <v>8.4108499999999999</v>
      </c>
      <c r="F496" s="8">
        <v>83.313320000000004</v>
      </c>
      <c r="G496" s="22">
        <v>100</v>
      </c>
      <c r="H496" s="8">
        <v>-5</v>
      </c>
      <c r="I496" s="10">
        <f t="shared" si="145"/>
        <v>-19.983330554894014</v>
      </c>
      <c r="J496" s="10">
        <f t="shared" si="146"/>
        <v>-0.34877491369728597</v>
      </c>
      <c r="K496" s="10">
        <v>21</v>
      </c>
      <c r="L496" s="22">
        <v>160</v>
      </c>
      <c r="M496" s="31" t="s">
        <v>231</v>
      </c>
      <c r="N496" s="8" t="s">
        <v>171</v>
      </c>
      <c r="O496" s="10" t="s">
        <v>99</v>
      </c>
      <c r="P496" s="10" t="s">
        <v>99</v>
      </c>
      <c r="Q496" s="8">
        <v>0.57999999999999996</v>
      </c>
      <c r="R496" s="8" t="s">
        <v>103</v>
      </c>
      <c r="S496" s="30">
        <f>AVERAGE(41,23)</f>
        <v>32</v>
      </c>
      <c r="T496" s="79">
        <f t="shared" si="144"/>
        <v>8.0424960000000004E-2</v>
      </c>
      <c r="U496" s="22">
        <v>11</v>
      </c>
      <c r="V496" s="22">
        <v>61</v>
      </c>
      <c r="W496" s="10">
        <f t="shared" si="147"/>
        <v>1.064650843716541</v>
      </c>
      <c r="X496" s="22">
        <v>5</v>
      </c>
      <c r="Y496" s="22">
        <v>15</v>
      </c>
      <c r="Z496" s="10">
        <f t="shared" si="148"/>
        <v>0.26179938779914941</v>
      </c>
      <c r="AA496" s="10">
        <f t="shared" si="149"/>
        <v>10.914912004045956</v>
      </c>
      <c r="AB496" s="10">
        <f t="shared" si="150"/>
        <v>297.1016193315802</v>
      </c>
      <c r="AC496" s="10">
        <f t="shared" si="133"/>
        <v>37.137702416447524</v>
      </c>
      <c r="AD496" s="10">
        <f t="shared" si="141"/>
        <v>148.5508096657901</v>
      </c>
      <c r="AE496" s="65"/>
      <c r="AF496" s="10">
        <f t="shared" si="142"/>
        <v>598.85839571059364</v>
      </c>
      <c r="AG496" s="8">
        <f t="shared" si="134"/>
        <v>116.77738716356576</v>
      </c>
      <c r="AH496" s="10">
        <f t="shared" si="135"/>
        <v>299.42919785529682</v>
      </c>
      <c r="AI496" s="63"/>
      <c r="AJ496" s="10">
        <f t="shared" si="143"/>
        <v>556.56099999999992</v>
      </c>
      <c r="AK496" s="8"/>
      <c r="AL496" s="8">
        <f t="shared" si="136"/>
        <v>278.28049999999996</v>
      </c>
    </row>
    <row r="497" spans="1:38">
      <c r="A497" s="18">
        <v>41464</v>
      </c>
      <c r="B497" s="19" t="s">
        <v>119</v>
      </c>
      <c r="C497" s="12">
        <v>100.1</v>
      </c>
      <c r="D497" s="19" t="s">
        <v>80</v>
      </c>
      <c r="E497" s="8">
        <v>8.4108499999999999</v>
      </c>
      <c r="F497" s="8">
        <v>83.313320000000004</v>
      </c>
      <c r="G497" s="22">
        <v>100</v>
      </c>
      <c r="H497" s="8">
        <v>-5</v>
      </c>
      <c r="I497" s="10">
        <f t="shared" si="145"/>
        <v>-19.983330554894014</v>
      </c>
      <c r="J497" s="10">
        <f t="shared" si="146"/>
        <v>-0.34877491369728597</v>
      </c>
      <c r="K497" s="10">
        <v>21</v>
      </c>
      <c r="L497" s="22">
        <v>161</v>
      </c>
      <c r="M497" s="31" t="s">
        <v>231</v>
      </c>
      <c r="N497" s="8" t="s">
        <v>171</v>
      </c>
      <c r="O497" s="10" t="s">
        <v>99</v>
      </c>
      <c r="P497" s="10" t="s">
        <v>99</v>
      </c>
      <c r="Q497" s="8">
        <v>0.57999999999999996</v>
      </c>
      <c r="R497" s="8" t="s">
        <v>103</v>
      </c>
      <c r="S497" s="30">
        <v>9.6</v>
      </c>
      <c r="T497" s="79">
        <f t="shared" si="144"/>
        <v>7.2382464000000004E-3</v>
      </c>
      <c r="U497" s="22">
        <v>11</v>
      </c>
      <c r="V497" s="22">
        <v>61</v>
      </c>
      <c r="W497" s="10">
        <f t="shared" si="147"/>
        <v>1.064650843716541</v>
      </c>
      <c r="X497" s="22">
        <v>5</v>
      </c>
      <c r="Y497" s="22">
        <v>15</v>
      </c>
      <c r="Z497" s="10">
        <f t="shared" si="148"/>
        <v>0.26179938779914941</v>
      </c>
      <c r="AA497" s="10">
        <f t="shared" si="149"/>
        <v>10.914912004045956</v>
      </c>
      <c r="AB497" s="10">
        <f t="shared" si="150"/>
        <v>30.89533991693105</v>
      </c>
      <c r="AC497" s="10">
        <f t="shared" si="133"/>
        <v>3.8619174896163813</v>
      </c>
      <c r="AD497" s="10">
        <f t="shared" si="141"/>
        <v>15.447669958465525</v>
      </c>
      <c r="AE497" s="65"/>
      <c r="AF497" s="10">
        <f t="shared" si="142"/>
        <v>30.826177627313193</v>
      </c>
      <c r="AG497" s="8">
        <f t="shared" si="134"/>
        <v>6.0111046373260733</v>
      </c>
      <c r="AH497" s="10">
        <f t="shared" si="135"/>
        <v>15.413088813656596</v>
      </c>
      <c r="AI497" s="63"/>
      <c r="AJ497" s="10">
        <f t="shared" si="143"/>
        <v>22.746599999999987</v>
      </c>
      <c r="AK497" s="8"/>
      <c r="AL497" s="8">
        <f t="shared" si="136"/>
        <v>11.373299999999993</v>
      </c>
    </row>
    <row r="498" spans="1:38">
      <c r="A498" s="18">
        <v>41464</v>
      </c>
      <c r="B498" s="19" t="s">
        <v>119</v>
      </c>
      <c r="C498" s="12">
        <v>100.1</v>
      </c>
      <c r="D498" s="19" t="s">
        <v>80</v>
      </c>
      <c r="E498" s="8">
        <v>8.4108499999999999</v>
      </c>
      <c r="F498" s="8">
        <v>83.313320000000004</v>
      </c>
      <c r="G498" s="22">
        <v>100</v>
      </c>
      <c r="H498" s="8">
        <v>-5</v>
      </c>
      <c r="I498" s="10">
        <f t="shared" si="145"/>
        <v>-19.983330554894014</v>
      </c>
      <c r="J498" s="10">
        <f t="shared" si="146"/>
        <v>-0.34877491369728597</v>
      </c>
      <c r="K498" s="10">
        <v>21</v>
      </c>
      <c r="L498" s="22">
        <v>163</v>
      </c>
      <c r="M498" s="22" t="s">
        <v>36</v>
      </c>
      <c r="N498" s="8" t="s">
        <v>46</v>
      </c>
      <c r="O498" s="10" t="s">
        <v>37</v>
      </c>
      <c r="P498" s="10" t="s">
        <v>38</v>
      </c>
      <c r="Q498" s="11">
        <v>0.48</v>
      </c>
      <c r="R498" s="8" t="s">
        <v>60</v>
      </c>
      <c r="S498" s="30">
        <v>17.5</v>
      </c>
      <c r="T498" s="79">
        <f t="shared" si="144"/>
        <v>2.4052875000000001E-2</v>
      </c>
      <c r="U498" s="22">
        <v>7</v>
      </c>
      <c r="V498" s="22">
        <v>57</v>
      </c>
      <c r="W498" s="10">
        <f t="shared" si="147"/>
        <v>0.99483767363676789</v>
      </c>
      <c r="X498" s="22">
        <v>6</v>
      </c>
      <c r="Y498" s="22">
        <v>19</v>
      </c>
      <c r="Z498" s="10">
        <f t="shared" si="148"/>
        <v>0.33161255787892263</v>
      </c>
      <c r="AA498" s="10">
        <f t="shared" si="149"/>
        <v>7.8241029023609077</v>
      </c>
      <c r="AB498" s="10">
        <f t="shared" si="150"/>
        <v>58.474766510363004</v>
      </c>
      <c r="AC498" s="10">
        <f t="shared" si="133"/>
        <v>7.3093458137953755</v>
      </c>
      <c r="AD498" s="10">
        <f t="shared" si="141"/>
        <v>29.237383255181502</v>
      </c>
      <c r="AE498" s="65"/>
      <c r="AF498" s="10">
        <f t="shared" si="142"/>
        <v>113.4193719398</v>
      </c>
      <c r="AG498" s="8">
        <f t="shared" si="134"/>
        <v>22.116777528261</v>
      </c>
      <c r="AH498" s="10">
        <f t="shared" si="135"/>
        <v>56.709685969900001</v>
      </c>
      <c r="AI498" s="63"/>
      <c r="AJ498" s="10">
        <f t="shared" si="143"/>
        <v>126.24449999999999</v>
      </c>
      <c r="AK498" s="8"/>
      <c r="AL498" s="8">
        <f t="shared" si="136"/>
        <v>63.122249999999994</v>
      </c>
    </row>
    <row r="499" spans="1:38">
      <c r="A499" s="18">
        <v>41464</v>
      </c>
      <c r="B499" s="19" t="s">
        <v>119</v>
      </c>
      <c r="C499" s="12">
        <v>100.1</v>
      </c>
      <c r="D499" s="19" t="s">
        <v>80</v>
      </c>
      <c r="E499" s="8">
        <v>8.4108499999999999</v>
      </c>
      <c r="F499" s="8">
        <v>83.313320000000004</v>
      </c>
      <c r="G499" s="22">
        <v>100</v>
      </c>
      <c r="H499" s="8">
        <v>-5</v>
      </c>
      <c r="I499" s="10">
        <f t="shared" si="145"/>
        <v>-19.983330554894014</v>
      </c>
      <c r="J499" s="10">
        <f t="shared" si="146"/>
        <v>-0.34877491369728597</v>
      </c>
      <c r="K499" s="10">
        <v>21</v>
      </c>
      <c r="L499" s="22">
        <v>162</v>
      </c>
      <c r="M499" s="22" t="s">
        <v>98</v>
      </c>
      <c r="N499" s="8" t="s">
        <v>104</v>
      </c>
      <c r="O499" s="10" t="s">
        <v>105</v>
      </c>
      <c r="P499" s="10" t="s">
        <v>106</v>
      </c>
      <c r="Q499" s="22">
        <v>0.44</v>
      </c>
      <c r="R499" s="22" t="s">
        <v>190</v>
      </c>
      <c r="S499" s="30">
        <v>9.1</v>
      </c>
      <c r="T499" s="79">
        <f t="shared" si="144"/>
        <v>6.5038973999999991E-3</v>
      </c>
      <c r="U499" s="22">
        <f>7+2</f>
        <v>9</v>
      </c>
      <c r="V499" s="22">
        <v>60</v>
      </c>
      <c r="W499" s="10">
        <f t="shared" si="147"/>
        <v>1.0471975511965976</v>
      </c>
      <c r="X499" s="22">
        <v>6</v>
      </c>
      <c r="Y499" s="22">
        <v>18</v>
      </c>
      <c r="Z499" s="10">
        <f t="shared" si="148"/>
        <v>0.31415926535897931</v>
      </c>
      <c r="AA499" s="10">
        <f t="shared" si="149"/>
        <v>9.648330600309631</v>
      </c>
      <c r="AB499" s="10">
        <f t="shared" si="150"/>
        <v>19.190668359571717</v>
      </c>
      <c r="AC499" s="10">
        <f t="shared" si="133"/>
        <v>2.3988335449464646</v>
      </c>
      <c r="AD499" s="10">
        <f t="shared" si="141"/>
        <v>9.5953341797858585</v>
      </c>
      <c r="AE499" s="65"/>
      <c r="AF499" s="10">
        <f t="shared" si="142"/>
        <v>20.475636611006713</v>
      </c>
      <c r="AG499" s="8">
        <f t="shared" si="134"/>
        <v>3.9927491391463095</v>
      </c>
      <c r="AH499" s="10">
        <f t="shared" si="135"/>
        <v>10.237818305503357</v>
      </c>
      <c r="AI499" s="63"/>
      <c r="AJ499" s="10">
        <f t="shared" si="143"/>
        <v>19.304099999999984</v>
      </c>
      <c r="AK499" s="8"/>
      <c r="AL499" s="8">
        <f t="shared" si="136"/>
        <v>9.652049999999992</v>
      </c>
    </row>
    <row r="500" spans="1:38">
      <c r="A500" s="18">
        <v>41464</v>
      </c>
      <c r="B500" s="19" t="s">
        <v>119</v>
      </c>
      <c r="C500" s="12">
        <v>100.1</v>
      </c>
      <c r="D500" s="19" t="s">
        <v>80</v>
      </c>
      <c r="E500" s="8">
        <v>8.4108499999999999</v>
      </c>
      <c r="F500" s="8">
        <v>83.313320000000004</v>
      </c>
      <c r="G500" s="22">
        <v>100</v>
      </c>
      <c r="H500" s="8">
        <v>-5</v>
      </c>
      <c r="I500" s="10">
        <f t="shared" si="145"/>
        <v>-19.983330554894014</v>
      </c>
      <c r="J500" s="10">
        <f t="shared" si="146"/>
        <v>-0.34877491369728597</v>
      </c>
      <c r="K500" s="10">
        <v>21</v>
      </c>
      <c r="L500" s="22">
        <v>164</v>
      </c>
      <c r="M500" s="22" t="s">
        <v>36</v>
      </c>
      <c r="N500" s="8" t="s">
        <v>46</v>
      </c>
      <c r="O500" s="10" t="s">
        <v>37</v>
      </c>
      <c r="P500" s="10" t="s">
        <v>38</v>
      </c>
      <c r="Q500" s="11">
        <v>0.48</v>
      </c>
      <c r="R500" s="8" t="s">
        <v>60</v>
      </c>
      <c r="S500" s="30">
        <v>13.6</v>
      </c>
      <c r="T500" s="79">
        <f t="shared" si="144"/>
        <v>1.4526758399999999E-2</v>
      </c>
      <c r="U500" s="22">
        <v>10</v>
      </c>
      <c r="V500" s="22">
        <v>60</v>
      </c>
      <c r="W500" s="10">
        <f t="shared" si="147"/>
        <v>1.0471975511965976</v>
      </c>
      <c r="X500" s="22">
        <v>6</v>
      </c>
      <c r="Y500" s="22">
        <v>15</v>
      </c>
      <c r="Z500" s="10">
        <f t="shared" si="148"/>
        <v>0.26179938779914941</v>
      </c>
      <c r="AA500" s="10">
        <f t="shared" si="149"/>
        <v>10.21316830845951</v>
      </c>
      <c r="AB500" s="10">
        <f t="shared" si="150"/>
        <v>46.761936922147477</v>
      </c>
      <c r="AC500" s="10">
        <f t="shared" si="133"/>
        <v>5.8452421152684346</v>
      </c>
      <c r="AD500" s="10">
        <f t="shared" si="141"/>
        <v>23.380968461073738</v>
      </c>
      <c r="AE500" s="65"/>
      <c r="AF500" s="10">
        <f t="shared" si="142"/>
        <v>60.673244785021694</v>
      </c>
      <c r="AG500" s="8">
        <f t="shared" si="134"/>
        <v>11.831282733079231</v>
      </c>
      <c r="AH500" s="10">
        <f t="shared" si="135"/>
        <v>30.336622392510847</v>
      </c>
      <c r="AI500" s="63"/>
      <c r="AJ500" s="10">
        <f t="shared" si="143"/>
        <v>63.606599999999986</v>
      </c>
      <c r="AK500" s="8"/>
      <c r="AL500" s="8">
        <f t="shared" si="136"/>
        <v>31.803299999999993</v>
      </c>
    </row>
    <row r="501" spans="1:38">
      <c r="A501" s="18">
        <v>41464</v>
      </c>
      <c r="B501" s="19" t="s">
        <v>119</v>
      </c>
      <c r="C501" s="12">
        <v>100.1</v>
      </c>
      <c r="D501" s="19" t="s">
        <v>80</v>
      </c>
      <c r="E501" s="8">
        <v>8.4108499999999999</v>
      </c>
      <c r="F501" s="8">
        <v>83.313320000000004</v>
      </c>
      <c r="G501" s="22">
        <v>100</v>
      </c>
      <c r="H501" s="8">
        <v>-5</v>
      </c>
      <c r="I501" s="10">
        <f t="shared" si="145"/>
        <v>-19.983330554894014</v>
      </c>
      <c r="J501" s="10">
        <f t="shared" si="146"/>
        <v>-0.34877491369728597</v>
      </c>
      <c r="K501" s="10">
        <v>21</v>
      </c>
      <c r="L501" s="22">
        <v>166</v>
      </c>
      <c r="M501" s="22" t="s">
        <v>36</v>
      </c>
      <c r="N501" s="8" t="s">
        <v>46</v>
      </c>
      <c r="O501" s="10" t="s">
        <v>37</v>
      </c>
      <c r="P501" s="10" t="s">
        <v>38</v>
      </c>
      <c r="Q501" s="11">
        <v>0.48</v>
      </c>
      <c r="R501" s="8" t="s">
        <v>60</v>
      </c>
      <c r="S501" s="30">
        <v>21.7</v>
      </c>
      <c r="T501" s="79">
        <f t="shared" si="144"/>
        <v>3.6983700600000002E-2</v>
      </c>
      <c r="U501" s="22">
        <f>7+2</f>
        <v>9</v>
      </c>
      <c r="V501" s="22">
        <v>61</v>
      </c>
      <c r="W501" s="10">
        <f t="shared" si="147"/>
        <v>1.064650843716541</v>
      </c>
      <c r="X501" s="22">
        <v>5</v>
      </c>
      <c r="Y501" s="22">
        <v>16</v>
      </c>
      <c r="Z501" s="10">
        <f t="shared" si="148"/>
        <v>0.27925268031909273</v>
      </c>
      <c r="AA501" s="10">
        <f t="shared" si="149"/>
        <v>9.2497641433395579</v>
      </c>
      <c r="AB501" s="10">
        <f t="shared" si="150"/>
        <v>102.54998553342743</v>
      </c>
      <c r="AC501" s="10">
        <f t="shared" si="133"/>
        <v>12.818748191678429</v>
      </c>
      <c r="AD501" s="10">
        <f t="shared" si="141"/>
        <v>51.274992766713716</v>
      </c>
      <c r="AE501" s="65"/>
      <c r="AF501" s="10">
        <f t="shared" si="142"/>
        <v>192.76788143277977</v>
      </c>
      <c r="AG501" s="8">
        <f t="shared" si="134"/>
        <v>37.589736879392056</v>
      </c>
      <c r="AH501" s="10">
        <f t="shared" si="135"/>
        <v>96.383940716389887</v>
      </c>
      <c r="AI501" s="63"/>
      <c r="AJ501" s="10">
        <f t="shared" si="143"/>
        <v>218.87549999999999</v>
      </c>
      <c r="AK501" s="8"/>
      <c r="AL501" s="8">
        <f t="shared" si="136"/>
        <v>109.43774999999999</v>
      </c>
    </row>
    <row r="502" spans="1:38">
      <c r="A502" s="18">
        <v>41464</v>
      </c>
      <c r="B502" s="19" t="s">
        <v>119</v>
      </c>
      <c r="C502" s="12">
        <v>100.1</v>
      </c>
      <c r="D502" s="19" t="s">
        <v>80</v>
      </c>
      <c r="E502" s="8">
        <v>8.4108499999999999</v>
      </c>
      <c r="F502" s="8">
        <v>83.313320000000004</v>
      </c>
      <c r="G502" s="22">
        <v>100</v>
      </c>
      <c r="H502" s="8">
        <v>-5</v>
      </c>
      <c r="I502" s="10">
        <f t="shared" si="145"/>
        <v>-19.983330554894014</v>
      </c>
      <c r="J502" s="10">
        <f t="shared" si="146"/>
        <v>-0.34877491369728597</v>
      </c>
      <c r="K502" s="10">
        <v>21</v>
      </c>
      <c r="L502" s="22">
        <v>165</v>
      </c>
      <c r="M502" s="31" t="s">
        <v>120</v>
      </c>
      <c r="N502" s="7" t="s">
        <v>55</v>
      </c>
      <c r="O502" s="33" t="s">
        <v>177</v>
      </c>
      <c r="P502" s="33" t="s">
        <v>178</v>
      </c>
      <c r="Q502" s="7">
        <v>0.54300000000000004</v>
      </c>
      <c r="R502" s="7" t="s">
        <v>179</v>
      </c>
      <c r="S502" s="30">
        <v>14.5</v>
      </c>
      <c r="T502" s="79">
        <f t="shared" si="144"/>
        <v>1.6513035000000002E-2</v>
      </c>
      <c r="U502" s="22">
        <v>8</v>
      </c>
      <c r="V502" s="22">
        <v>62</v>
      </c>
      <c r="W502" s="10">
        <f t="shared" si="147"/>
        <v>1.0821041362364843</v>
      </c>
      <c r="X502" s="22">
        <v>6</v>
      </c>
      <c r="Y502" s="22">
        <v>10</v>
      </c>
      <c r="Z502" s="10">
        <f t="shared" si="148"/>
        <v>0.17453292519943295</v>
      </c>
      <c r="AA502" s="10">
        <f t="shared" si="149"/>
        <v>8.1054698088729964</v>
      </c>
      <c r="AB502" s="10">
        <f t="shared" si="150"/>
        <v>47.664704638585341</v>
      </c>
      <c r="AC502" s="10">
        <f t="shared" si="133"/>
        <v>5.9580880798231677</v>
      </c>
      <c r="AD502" s="10">
        <f t="shared" si="141"/>
        <v>23.832352319292671</v>
      </c>
      <c r="AE502" s="65"/>
      <c r="AF502" s="10">
        <f t="shared" si="142"/>
        <v>80.485980102881129</v>
      </c>
      <c r="AG502" s="8">
        <f t="shared" si="134"/>
        <v>15.694766120061821</v>
      </c>
      <c r="AH502" s="10">
        <f t="shared" si="135"/>
        <v>40.242990051440565</v>
      </c>
      <c r="AI502" s="63"/>
      <c r="AJ502" s="10">
        <f t="shared" si="143"/>
        <v>76.063500000000005</v>
      </c>
      <c r="AK502" s="8"/>
      <c r="AL502" s="8">
        <f t="shared" si="136"/>
        <v>38.031750000000002</v>
      </c>
    </row>
    <row r="503" spans="1:38">
      <c r="A503" s="18">
        <v>41464</v>
      </c>
      <c r="B503" s="19" t="s">
        <v>119</v>
      </c>
      <c r="C503" s="12">
        <v>100.1</v>
      </c>
      <c r="D503" s="19" t="s">
        <v>80</v>
      </c>
      <c r="E503" s="8">
        <v>8.4108499999999999</v>
      </c>
      <c r="F503" s="8">
        <v>83.313320000000004</v>
      </c>
      <c r="G503" s="22">
        <v>100</v>
      </c>
      <c r="H503" s="8">
        <v>-5</v>
      </c>
      <c r="I503" s="10">
        <f t="shared" si="145"/>
        <v>-19.983330554894014</v>
      </c>
      <c r="J503" s="10">
        <f t="shared" si="146"/>
        <v>-0.34877491369728597</v>
      </c>
      <c r="K503" s="10">
        <v>21</v>
      </c>
      <c r="L503" s="22">
        <v>167</v>
      </c>
      <c r="M503" s="22" t="s">
        <v>54</v>
      </c>
      <c r="N503" s="8" t="s">
        <v>55</v>
      </c>
      <c r="O503" s="10" t="s">
        <v>56</v>
      </c>
      <c r="P503" s="10" t="s">
        <v>57</v>
      </c>
      <c r="Q503" s="11">
        <v>0.315</v>
      </c>
      <c r="R503" s="12" t="s">
        <v>66</v>
      </c>
      <c r="S503" s="30">
        <v>10.5</v>
      </c>
      <c r="T503" s="79">
        <f t="shared" si="144"/>
        <v>8.6590350000000007E-3</v>
      </c>
      <c r="U503" s="22">
        <v>7</v>
      </c>
      <c r="V503" s="22">
        <v>59</v>
      </c>
      <c r="W503" s="10">
        <f t="shared" si="147"/>
        <v>1.0297442586766545</v>
      </c>
      <c r="X503" s="22">
        <v>5</v>
      </c>
      <c r="Y503" s="22">
        <v>11</v>
      </c>
      <c r="Z503" s="10">
        <f t="shared" si="148"/>
        <v>0.19198621771937624</v>
      </c>
      <c r="AA503" s="10">
        <f t="shared" si="149"/>
        <v>6.9542160817975098</v>
      </c>
      <c r="AB503" s="10">
        <f t="shared" si="150"/>
        <v>13.484126376863477</v>
      </c>
      <c r="AC503" s="10">
        <f t="shared" si="133"/>
        <v>1.6855157971079346</v>
      </c>
      <c r="AD503" s="10">
        <f t="shared" si="141"/>
        <v>6.7420631884317386</v>
      </c>
      <c r="AE503" s="65"/>
      <c r="AF503" s="10">
        <f t="shared" si="142"/>
        <v>20.920244771127326</v>
      </c>
      <c r="AG503" s="8">
        <f t="shared" si="134"/>
        <v>4.0794477303698287</v>
      </c>
      <c r="AH503" s="10">
        <f t="shared" si="135"/>
        <v>10.460122385563663</v>
      </c>
      <c r="AI503" s="63"/>
      <c r="AJ503" s="10">
        <f t="shared" si="143"/>
        <v>29.875499999999988</v>
      </c>
      <c r="AK503" s="8"/>
      <c r="AL503" s="8">
        <f t="shared" si="136"/>
        <v>14.937749999999994</v>
      </c>
    </row>
    <row r="504" spans="1:38">
      <c r="A504" s="18">
        <v>41464</v>
      </c>
      <c r="B504" s="19" t="s">
        <v>119</v>
      </c>
      <c r="C504" s="12">
        <v>100.1</v>
      </c>
      <c r="D504" s="19" t="s">
        <v>80</v>
      </c>
      <c r="E504" s="8">
        <v>8.4108499999999999</v>
      </c>
      <c r="F504" s="8">
        <v>83.313320000000004</v>
      </c>
      <c r="G504" s="22">
        <v>100</v>
      </c>
      <c r="H504" s="8">
        <v>-5</v>
      </c>
      <c r="I504" s="10">
        <f t="shared" si="145"/>
        <v>-19.983330554894014</v>
      </c>
      <c r="J504" s="10">
        <f t="shared" si="146"/>
        <v>-0.34877491369728597</v>
      </c>
      <c r="K504" s="10">
        <v>21</v>
      </c>
      <c r="L504" s="22">
        <v>168</v>
      </c>
      <c r="M504" s="22" t="s">
        <v>39</v>
      </c>
      <c r="N504" s="8" t="s">
        <v>69</v>
      </c>
      <c r="O504" s="10" t="s">
        <v>65</v>
      </c>
      <c r="P504" s="10" t="s">
        <v>70</v>
      </c>
      <c r="Q504" s="8">
        <v>0.37</v>
      </c>
      <c r="R504" s="8" t="s">
        <v>71</v>
      </c>
      <c r="S504" s="30">
        <v>8.5</v>
      </c>
      <c r="T504" s="79">
        <f t="shared" si="144"/>
        <v>5.6745150000000006E-3</v>
      </c>
      <c r="U504" s="22">
        <v>6</v>
      </c>
      <c r="V504" s="22">
        <v>60</v>
      </c>
      <c r="W504" s="10">
        <f t="shared" si="147"/>
        <v>1.0471975511965976</v>
      </c>
      <c r="X504" s="22">
        <v>5</v>
      </c>
      <c r="Y504" s="22">
        <v>22</v>
      </c>
      <c r="Z504" s="10">
        <f t="shared" si="148"/>
        <v>0.38397243543875248</v>
      </c>
      <c r="AA504" s="10">
        <f t="shared" si="149"/>
        <v>7.0691853897861918</v>
      </c>
      <c r="AB504" s="10">
        <f t="shared" si="150"/>
        <v>10.707451875926544</v>
      </c>
      <c r="AC504" s="10">
        <f t="shared" si="133"/>
        <v>1.3384314844908181</v>
      </c>
      <c r="AD504" s="10">
        <f t="shared" si="141"/>
        <v>5.3537259379632722</v>
      </c>
      <c r="AE504" s="65"/>
      <c r="AF504" s="10">
        <f t="shared" si="142"/>
        <v>14.53703221060057</v>
      </c>
      <c r="AG504" s="8">
        <f t="shared" si="134"/>
        <v>2.8347212810671114</v>
      </c>
      <c r="AH504" s="10">
        <f t="shared" si="135"/>
        <v>7.2685161053002849</v>
      </c>
      <c r="AI504" s="63"/>
      <c r="AJ504" s="10">
        <f t="shared" si="143"/>
        <v>15.661499999999997</v>
      </c>
      <c r="AK504" s="8"/>
      <c r="AL504" s="8">
        <f t="shared" si="136"/>
        <v>7.8307499999999983</v>
      </c>
    </row>
    <row r="505" spans="1:38">
      <c r="A505" s="18">
        <v>41464</v>
      </c>
      <c r="B505" s="19" t="s">
        <v>119</v>
      </c>
      <c r="C505" s="12">
        <v>100.1</v>
      </c>
      <c r="D505" s="19" t="s">
        <v>80</v>
      </c>
      <c r="E505" s="8">
        <v>8.4108499999999999</v>
      </c>
      <c r="F505" s="8">
        <v>83.313320000000004</v>
      </c>
      <c r="G505" s="22">
        <v>100</v>
      </c>
      <c r="H505" s="8">
        <v>-5</v>
      </c>
      <c r="I505" s="10">
        <f t="shared" si="145"/>
        <v>-19.983330554894014</v>
      </c>
      <c r="J505" s="10">
        <f t="shared" si="146"/>
        <v>-0.34877491369728597</v>
      </c>
      <c r="K505" s="10">
        <v>21</v>
      </c>
      <c r="L505" s="22">
        <v>169</v>
      </c>
      <c r="M505" s="22" t="s">
        <v>36</v>
      </c>
      <c r="N505" s="8" t="s">
        <v>46</v>
      </c>
      <c r="O505" s="10" t="s">
        <v>37</v>
      </c>
      <c r="P505" s="10" t="s">
        <v>38</v>
      </c>
      <c r="Q505" s="11">
        <v>0.48</v>
      </c>
      <c r="R505" s="8" t="s">
        <v>60</v>
      </c>
      <c r="S505" s="30">
        <v>19.8</v>
      </c>
      <c r="T505" s="79">
        <f t="shared" si="144"/>
        <v>3.0790821600000004E-2</v>
      </c>
      <c r="U505" s="22">
        <v>8</v>
      </c>
      <c r="V505" s="22">
        <v>58</v>
      </c>
      <c r="W505" s="10">
        <f t="shared" si="147"/>
        <v>1.0122909661567112</v>
      </c>
      <c r="X505" s="22">
        <v>5</v>
      </c>
      <c r="Y505" s="22">
        <v>14</v>
      </c>
      <c r="Z505" s="10">
        <f t="shared" si="148"/>
        <v>0.24434609527920614</v>
      </c>
      <c r="AA505" s="10">
        <f t="shared" si="149"/>
        <v>7.9939942472497467</v>
      </c>
      <c r="AB505" s="10">
        <f t="shared" si="150"/>
        <v>75.258757434492139</v>
      </c>
      <c r="AC505" s="10">
        <f t="shared" si="133"/>
        <v>9.4073446793115174</v>
      </c>
      <c r="AD505" s="10">
        <f t="shared" si="141"/>
        <v>37.62937871724607</v>
      </c>
      <c r="AE505" s="65"/>
      <c r="AF505" s="10">
        <f t="shared" si="142"/>
        <v>153.86134115600342</v>
      </c>
      <c r="AG505" s="8">
        <f t="shared" si="134"/>
        <v>30.002961525420666</v>
      </c>
      <c r="AH505" s="10">
        <f t="shared" si="135"/>
        <v>76.93067057800171</v>
      </c>
      <c r="AI505" s="63"/>
      <c r="AJ505" s="10">
        <f t="shared" si="143"/>
        <v>173.73719999999997</v>
      </c>
      <c r="AK505" s="8"/>
      <c r="AL505" s="8">
        <f t="shared" si="136"/>
        <v>86.868599999999986</v>
      </c>
    </row>
    <row r="506" spans="1:38">
      <c r="A506" s="18">
        <v>41464</v>
      </c>
      <c r="B506" s="19" t="s">
        <v>119</v>
      </c>
      <c r="C506" s="12">
        <v>100.1</v>
      </c>
      <c r="D506" s="19" t="s">
        <v>80</v>
      </c>
      <c r="E506" s="8">
        <v>8.4108499999999999</v>
      </c>
      <c r="F506" s="8">
        <v>83.313320000000004</v>
      </c>
      <c r="G506" s="22">
        <v>100</v>
      </c>
      <c r="H506" s="8">
        <v>-5</v>
      </c>
      <c r="I506" s="10">
        <f t="shared" si="145"/>
        <v>-19.983330554894014</v>
      </c>
      <c r="J506" s="10">
        <f t="shared" si="146"/>
        <v>-0.34877491369728597</v>
      </c>
      <c r="K506" s="10">
        <v>21</v>
      </c>
      <c r="L506" s="22">
        <v>170</v>
      </c>
      <c r="M506" s="22" t="s">
        <v>36</v>
      </c>
      <c r="N506" s="8" t="s">
        <v>46</v>
      </c>
      <c r="O506" s="10" t="s">
        <v>37</v>
      </c>
      <c r="P506" s="10" t="s">
        <v>38</v>
      </c>
      <c r="Q506" s="11">
        <v>0.48</v>
      </c>
      <c r="R506" s="8" t="s">
        <v>60</v>
      </c>
      <c r="S506" s="30">
        <v>24</v>
      </c>
      <c r="T506" s="79">
        <f t="shared" si="144"/>
        <v>4.5239040000000001E-2</v>
      </c>
      <c r="U506" s="22">
        <f>5+3</f>
        <v>8</v>
      </c>
      <c r="V506" s="22">
        <v>56</v>
      </c>
      <c r="W506" s="10">
        <f t="shared" si="147"/>
        <v>0.97738438111682457</v>
      </c>
      <c r="X506" s="22">
        <v>6</v>
      </c>
      <c r="Y506" s="22">
        <v>14</v>
      </c>
      <c r="Z506" s="10">
        <f t="shared" si="148"/>
        <v>0.24434609527920614</v>
      </c>
      <c r="AA506" s="10">
        <f t="shared" si="149"/>
        <v>8.0838319540383399</v>
      </c>
      <c r="AB506" s="10">
        <f t="shared" si="150"/>
        <v>109.19075251796242</v>
      </c>
      <c r="AC506" s="10">
        <f t="shared" si="133"/>
        <v>13.648844064745303</v>
      </c>
      <c r="AD506" s="10">
        <f t="shared" si="141"/>
        <v>54.595376258981211</v>
      </c>
      <c r="AE506" s="65"/>
      <c r="AF506" s="10">
        <f t="shared" si="142"/>
        <v>246.7355287111798</v>
      </c>
      <c r="AG506" s="8">
        <f t="shared" si="134"/>
        <v>48.11342809868006</v>
      </c>
      <c r="AH506" s="10">
        <f t="shared" si="135"/>
        <v>123.3677643555899</v>
      </c>
      <c r="AI506" s="63"/>
      <c r="AJ506" s="10">
        <f t="shared" si="143"/>
        <v>280.66499999999996</v>
      </c>
      <c r="AK506" s="8"/>
      <c r="AL506" s="8">
        <f t="shared" si="136"/>
        <v>140.33249999999998</v>
      </c>
    </row>
    <row r="507" spans="1:38">
      <c r="A507" s="18">
        <v>41464</v>
      </c>
      <c r="B507" s="19" t="s">
        <v>119</v>
      </c>
      <c r="C507" s="12">
        <v>100.1</v>
      </c>
      <c r="D507" s="19" t="s">
        <v>80</v>
      </c>
      <c r="E507" s="8">
        <v>8.4108499999999999</v>
      </c>
      <c r="F507" s="8">
        <v>83.313320000000004</v>
      </c>
      <c r="G507" s="22">
        <v>100</v>
      </c>
      <c r="H507" s="8">
        <v>-5</v>
      </c>
      <c r="I507" s="10">
        <f t="shared" si="145"/>
        <v>-19.983330554894014</v>
      </c>
      <c r="J507" s="10">
        <f t="shared" si="146"/>
        <v>-0.34877491369728597</v>
      </c>
      <c r="K507" s="10">
        <v>21</v>
      </c>
      <c r="L507" s="22">
        <v>171</v>
      </c>
      <c r="M507" s="22" t="s">
        <v>36</v>
      </c>
      <c r="N507" s="8" t="s">
        <v>46</v>
      </c>
      <c r="O507" s="10" t="s">
        <v>37</v>
      </c>
      <c r="P507" s="10" t="s">
        <v>38</v>
      </c>
      <c r="Q507" s="11">
        <v>0.48</v>
      </c>
      <c r="R507" s="8" t="s">
        <v>60</v>
      </c>
      <c r="S507" s="30">
        <v>22.8</v>
      </c>
      <c r="T507" s="79">
        <f t="shared" si="144"/>
        <v>4.0828233600000007E-2</v>
      </c>
      <c r="U507" s="22">
        <f>5+4</f>
        <v>9</v>
      </c>
      <c r="V507" s="22">
        <v>52</v>
      </c>
      <c r="W507" s="10">
        <f t="shared" si="147"/>
        <v>0.90757121103705141</v>
      </c>
      <c r="X507" s="22">
        <v>5</v>
      </c>
      <c r="Y507" s="22">
        <v>8</v>
      </c>
      <c r="Z507" s="10">
        <f t="shared" si="148"/>
        <v>0.13962634015954636</v>
      </c>
      <c r="AA507" s="10">
        <f t="shared" si="149"/>
        <v>7.7879622872608252</v>
      </c>
      <c r="AB507" s="10">
        <f t="shared" si="150"/>
        <v>95.738012233219251</v>
      </c>
      <c r="AC507" s="10">
        <f t="shared" si="133"/>
        <v>11.967251529152406</v>
      </c>
      <c r="AD507" s="10">
        <f t="shared" si="141"/>
        <v>47.869006116609626</v>
      </c>
      <c r="AE507" s="65"/>
      <c r="AF507" s="10">
        <f t="shared" si="142"/>
        <v>217.62758726400162</v>
      </c>
      <c r="AG507" s="8">
        <f t="shared" si="134"/>
        <v>42.43737951648032</v>
      </c>
      <c r="AH507" s="10">
        <f t="shared" si="135"/>
        <v>108.81379363200081</v>
      </c>
      <c r="AI507" s="63"/>
      <c r="AJ507" s="10">
        <f t="shared" si="143"/>
        <v>247.4502</v>
      </c>
      <c r="AK507" s="8"/>
      <c r="AL507" s="8">
        <f t="shared" si="136"/>
        <v>123.7251</v>
      </c>
    </row>
    <row r="508" spans="1:38">
      <c r="A508" s="18">
        <v>41464</v>
      </c>
      <c r="B508" s="19" t="s">
        <v>119</v>
      </c>
      <c r="C508" s="12">
        <v>100.1</v>
      </c>
      <c r="D508" s="19" t="s">
        <v>80</v>
      </c>
      <c r="E508" s="8">
        <v>8.4108499999999999</v>
      </c>
      <c r="F508" s="8">
        <v>83.313320000000004</v>
      </c>
      <c r="G508" s="22">
        <v>100</v>
      </c>
      <c r="H508" s="8">
        <v>-5</v>
      </c>
      <c r="I508" s="10">
        <f t="shared" si="145"/>
        <v>-19.983330554894014</v>
      </c>
      <c r="J508" s="10">
        <f t="shared" si="146"/>
        <v>-0.34877491369728597</v>
      </c>
      <c r="K508" s="10">
        <v>21</v>
      </c>
      <c r="L508" s="22">
        <v>172</v>
      </c>
      <c r="M508" s="31" t="s">
        <v>231</v>
      </c>
      <c r="N508" s="8" t="s">
        <v>171</v>
      </c>
      <c r="O508" s="10" t="s">
        <v>99</v>
      </c>
      <c r="P508" s="10" t="s">
        <v>99</v>
      </c>
      <c r="Q508" s="8">
        <v>0.57999999999999996</v>
      </c>
      <c r="R508" s="8" t="s">
        <v>103</v>
      </c>
      <c r="S508" s="30">
        <v>6.7</v>
      </c>
      <c r="T508" s="79">
        <f t="shared" si="144"/>
        <v>3.5256606000000001E-3</v>
      </c>
      <c r="U508" s="22">
        <v>9</v>
      </c>
      <c r="V508" s="22">
        <v>55</v>
      </c>
      <c r="W508" s="10">
        <f t="shared" si="147"/>
        <v>0.95993108859688125</v>
      </c>
      <c r="X508" s="22">
        <v>6</v>
      </c>
      <c r="Y508" s="22">
        <v>10</v>
      </c>
      <c r="Z508" s="10">
        <f t="shared" si="148"/>
        <v>0.17453292519943295</v>
      </c>
      <c r="AA508" s="10">
        <f t="shared" si="149"/>
        <v>8.4142574646025086</v>
      </c>
      <c r="AB508" s="10">
        <f t="shared" si="150"/>
        <v>12.303240489509161</v>
      </c>
      <c r="AC508" s="10">
        <f t="shared" si="133"/>
        <v>1.5379050611886451</v>
      </c>
      <c r="AD508" s="10">
        <f t="shared" si="141"/>
        <v>6.1516202447545805</v>
      </c>
      <c r="AE508" s="65"/>
      <c r="AF508" s="10">
        <f t="shared" si="142"/>
        <v>12.654266690262777</v>
      </c>
      <c r="AG508" s="8">
        <f t="shared" si="134"/>
        <v>2.4675820046012413</v>
      </c>
      <c r="AH508" s="10">
        <f t="shared" si="135"/>
        <v>6.3271333451313883</v>
      </c>
      <c r="AI508" s="63"/>
      <c r="AJ508" s="10">
        <f t="shared" si="143"/>
        <v>7.9304999999999986</v>
      </c>
      <c r="AK508" s="8"/>
      <c r="AL508" s="8">
        <f t="shared" si="136"/>
        <v>3.9652499999999993</v>
      </c>
    </row>
    <row r="509" spans="1:38">
      <c r="A509" s="18">
        <v>41464</v>
      </c>
      <c r="B509" s="19" t="s">
        <v>119</v>
      </c>
      <c r="C509" s="12">
        <v>100.1</v>
      </c>
      <c r="D509" s="19" t="s">
        <v>80</v>
      </c>
      <c r="E509" s="8">
        <v>8.4108499999999999</v>
      </c>
      <c r="F509" s="8">
        <v>83.313320000000004</v>
      </c>
      <c r="G509" s="22">
        <v>100</v>
      </c>
      <c r="H509" s="8">
        <v>-5</v>
      </c>
      <c r="I509" s="10">
        <f t="shared" si="145"/>
        <v>-19.983330554894014</v>
      </c>
      <c r="J509" s="10">
        <f t="shared" si="146"/>
        <v>-0.34877491369728597</v>
      </c>
      <c r="K509" s="10">
        <v>21</v>
      </c>
      <c r="L509" s="22">
        <v>173</v>
      </c>
      <c r="M509" s="31" t="s">
        <v>231</v>
      </c>
      <c r="N509" s="8" t="s">
        <v>171</v>
      </c>
      <c r="O509" s="10" t="s">
        <v>99</v>
      </c>
      <c r="P509" s="10" t="s">
        <v>99</v>
      </c>
      <c r="Q509" s="8">
        <v>0.57999999999999996</v>
      </c>
      <c r="R509" s="8" t="s">
        <v>103</v>
      </c>
      <c r="S509" s="30">
        <f>AVERAGE(6.6,7.4)</f>
        <v>7</v>
      </c>
      <c r="T509" s="79">
        <f t="shared" si="144"/>
        <v>3.8484600000000002E-3</v>
      </c>
      <c r="U509" s="22">
        <v>6</v>
      </c>
      <c r="V509" s="22">
        <v>51</v>
      </c>
      <c r="W509" s="10">
        <f t="shared" si="147"/>
        <v>0.89011791851710809</v>
      </c>
      <c r="X509" s="22">
        <v>6</v>
      </c>
      <c r="Y509" s="22">
        <v>6</v>
      </c>
      <c r="Z509" s="10">
        <f t="shared" si="148"/>
        <v>0.10471975511965978</v>
      </c>
      <c r="AA509" s="10">
        <f t="shared" si="149"/>
        <v>5.2900465483477461</v>
      </c>
      <c r="AB509" s="10">
        <f t="shared" si="150"/>
        <v>8.6361519370400437</v>
      </c>
      <c r="AC509" s="10">
        <f t="shared" si="133"/>
        <v>1.0795189921300055</v>
      </c>
      <c r="AD509" s="10">
        <f t="shared" si="141"/>
        <v>4.3180759685200218</v>
      </c>
      <c r="AE509" s="65"/>
      <c r="AF509" s="10">
        <f t="shared" si="142"/>
        <v>14.096751983193448</v>
      </c>
      <c r="AG509" s="8">
        <f t="shared" si="134"/>
        <v>2.7488666367227226</v>
      </c>
      <c r="AH509" s="10">
        <f t="shared" si="135"/>
        <v>7.0483759915967239</v>
      </c>
      <c r="AI509" s="63"/>
      <c r="AJ509" s="10">
        <f t="shared" si="143"/>
        <v>8.8859999999999992</v>
      </c>
      <c r="AK509" s="8"/>
      <c r="AL509" s="8">
        <f t="shared" si="136"/>
        <v>4.4429999999999996</v>
      </c>
    </row>
    <row r="510" spans="1:38">
      <c r="A510" s="18">
        <v>41473</v>
      </c>
      <c r="B510" s="19" t="s">
        <v>141</v>
      </c>
      <c r="C510" s="12">
        <v>100.2</v>
      </c>
      <c r="D510" s="48" t="s">
        <v>80</v>
      </c>
      <c r="E510" s="8">
        <v>8.4089200000000002</v>
      </c>
      <c r="F510" s="8">
        <v>83.312650000000005</v>
      </c>
      <c r="G510" s="22">
        <v>100</v>
      </c>
      <c r="H510" s="22">
        <v>7</v>
      </c>
      <c r="I510" s="10">
        <f t="shared" si="145"/>
        <v>14.262373326599949</v>
      </c>
      <c r="J510" s="10">
        <f t="shared" si="146"/>
        <v>0.24892537369778567</v>
      </c>
      <c r="K510" s="10">
        <v>21</v>
      </c>
      <c r="L510" s="22">
        <v>7005</v>
      </c>
      <c r="M510" s="8" t="s">
        <v>54</v>
      </c>
      <c r="N510" s="8" t="s">
        <v>55</v>
      </c>
      <c r="O510" s="10" t="s">
        <v>56</v>
      </c>
      <c r="P510" s="10" t="s">
        <v>57</v>
      </c>
      <c r="Q510" s="11">
        <v>0.315</v>
      </c>
      <c r="R510" s="12" t="s">
        <v>66</v>
      </c>
      <c r="S510" s="30">
        <v>21.5</v>
      </c>
      <c r="T510" s="79">
        <f t="shared" si="144"/>
        <v>3.6305114999999999E-2</v>
      </c>
      <c r="U510" s="8">
        <v>21</v>
      </c>
      <c r="V510" s="22">
        <v>70</v>
      </c>
      <c r="W510" s="10">
        <f t="shared" ref="W510:W542" si="151">RADIANS(V510)</f>
        <v>1.2217304763960306</v>
      </c>
      <c r="X510" s="22">
        <v>6</v>
      </c>
      <c r="Y510" s="22">
        <v>7</v>
      </c>
      <c r="Z510" s="10">
        <f t="shared" ref="Z510:Z542" si="152">RADIANS(Y510)</f>
        <v>0.12217304763960307</v>
      </c>
      <c r="AA510" s="10">
        <f t="shared" ref="AA510:AA542" si="153">(SIN(W510)*U510)+(SIN(Z510)*X510)</f>
        <v>20.464761096934961</v>
      </c>
      <c r="AB510" s="10">
        <f t="shared" ref="AB510:AB542" si="154">0.0776*(Q510*S510^2*AA510)^0.94</f>
        <v>143.08833323466226</v>
      </c>
      <c r="AC510" s="10">
        <f t="shared" ref="AC510:AC571" si="155">AB510*0.125</f>
        <v>17.886041654332782</v>
      </c>
      <c r="AD510" s="10">
        <f t="shared" si="141"/>
        <v>71.544166617331129</v>
      </c>
      <c r="AE510" s="65"/>
      <c r="AF510" s="10">
        <f t="shared" si="142"/>
        <v>123.65936469433389</v>
      </c>
      <c r="AG510" s="8">
        <f t="shared" ref="AG510:AG571" si="156">AF510*0.195</f>
        <v>24.113576115395109</v>
      </c>
      <c r="AH510" s="10">
        <f t="shared" ref="AH510:AH571" si="157">AF510/2</f>
        <v>61.829682347166944</v>
      </c>
      <c r="AI510" s="63"/>
      <c r="AJ510" s="10">
        <f t="shared" si="143"/>
        <v>213.8725</v>
      </c>
      <c r="AK510" s="8"/>
      <c r="AL510" s="8">
        <f t="shared" ref="AL510:AL571" si="158">AJ510/2</f>
        <v>106.93625</v>
      </c>
    </row>
    <row r="511" spans="1:38">
      <c r="A511" s="18">
        <v>41473</v>
      </c>
      <c r="B511" s="19" t="s">
        <v>141</v>
      </c>
      <c r="C511" s="12">
        <v>100.2</v>
      </c>
      <c r="D511" s="48" t="s">
        <v>80</v>
      </c>
      <c r="E511" s="8">
        <v>8.4089200000000002</v>
      </c>
      <c r="F511" s="8">
        <v>83.312650000000005</v>
      </c>
      <c r="G511" s="22">
        <v>100</v>
      </c>
      <c r="H511" s="22">
        <v>7</v>
      </c>
      <c r="I511" s="10">
        <f t="shared" si="145"/>
        <v>14.262373326599949</v>
      </c>
      <c r="J511" s="10">
        <f t="shared" si="146"/>
        <v>0.24892537369778567</v>
      </c>
      <c r="K511" s="10">
        <v>21</v>
      </c>
      <c r="L511" s="22">
        <v>7025</v>
      </c>
      <c r="M511" s="31" t="s">
        <v>231</v>
      </c>
      <c r="N511" s="8" t="s">
        <v>171</v>
      </c>
      <c r="O511" s="10" t="s">
        <v>99</v>
      </c>
      <c r="P511" s="10" t="s">
        <v>99</v>
      </c>
      <c r="Q511" s="8">
        <v>0.57999999999999996</v>
      </c>
      <c r="R511" s="8" t="s">
        <v>103</v>
      </c>
      <c r="S511" s="30">
        <v>17.600000000000001</v>
      </c>
      <c r="T511" s="79">
        <f t="shared" si="144"/>
        <v>2.4328550400000006E-2</v>
      </c>
      <c r="U511" s="22">
        <v>12</v>
      </c>
      <c r="V511" s="22">
        <v>39</v>
      </c>
      <c r="W511" s="10">
        <f t="shared" si="151"/>
        <v>0.68067840827778847</v>
      </c>
      <c r="X511" s="22">
        <v>6</v>
      </c>
      <c r="Y511" s="22">
        <v>8</v>
      </c>
      <c r="Z511" s="10">
        <f t="shared" si="152"/>
        <v>0.13962634015954636</v>
      </c>
      <c r="AA511" s="10">
        <f t="shared" si="153"/>
        <v>8.3868832983584412</v>
      </c>
      <c r="AB511" s="10">
        <f t="shared" si="154"/>
        <v>75.375883325309459</v>
      </c>
      <c r="AC511" s="10">
        <f t="shared" si="155"/>
        <v>9.4219854156636824</v>
      </c>
      <c r="AD511" s="10">
        <f t="shared" si="141"/>
        <v>37.68794166265473</v>
      </c>
      <c r="AE511" s="65"/>
      <c r="AF511" s="10">
        <f t="shared" si="142"/>
        <v>138.99416871241598</v>
      </c>
      <c r="AG511" s="8">
        <f t="shared" si="156"/>
        <v>27.103862898921118</v>
      </c>
      <c r="AH511" s="10">
        <f t="shared" si="157"/>
        <v>69.497084356207992</v>
      </c>
      <c r="AI511" s="63"/>
      <c r="AJ511" s="10">
        <f t="shared" si="143"/>
        <v>128.14660000000001</v>
      </c>
      <c r="AK511" s="8"/>
      <c r="AL511" s="8">
        <f t="shared" si="158"/>
        <v>64.073300000000003</v>
      </c>
    </row>
    <row r="512" spans="1:38">
      <c r="A512" s="18">
        <v>41473</v>
      </c>
      <c r="B512" s="19" t="s">
        <v>141</v>
      </c>
      <c r="C512" s="12">
        <v>100.2</v>
      </c>
      <c r="D512" s="48" t="s">
        <v>80</v>
      </c>
      <c r="E512" s="8">
        <v>8.4089200000000002</v>
      </c>
      <c r="F512" s="8">
        <v>83.312650000000005</v>
      </c>
      <c r="G512" s="22">
        <v>100</v>
      </c>
      <c r="H512" s="22">
        <v>7</v>
      </c>
      <c r="I512" s="10">
        <f t="shared" si="145"/>
        <v>14.262373326599949</v>
      </c>
      <c r="J512" s="10">
        <f t="shared" si="146"/>
        <v>0.24892537369778567</v>
      </c>
      <c r="K512" s="10">
        <v>21</v>
      </c>
      <c r="L512" s="22">
        <v>6018</v>
      </c>
      <c r="M512" s="8" t="s">
        <v>39</v>
      </c>
      <c r="N512" s="8" t="s">
        <v>69</v>
      </c>
      <c r="O512" s="10" t="s">
        <v>65</v>
      </c>
      <c r="P512" s="10" t="s">
        <v>70</v>
      </c>
      <c r="Q512" s="8">
        <v>0.37</v>
      </c>
      <c r="R512" s="8" t="s">
        <v>71</v>
      </c>
      <c r="S512" s="30">
        <v>13.2</v>
      </c>
      <c r="T512" s="79">
        <f t="shared" si="144"/>
        <v>1.3684809599999999E-2</v>
      </c>
      <c r="U512" s="22">
        <v>10</v>
      </c>
      <c r="V512" s="22">
        <v>60</v>
      </c>
      <c r="W512" s="10">
        <f t="shared" si="151"/>
        <v>1.0471975511965976</v>
      </c>
      <c r="X512" s="22">
        <v>6</v>
      </c>
      <c r="Y512" s="22">
        <v>5</v>
      </c>
      <c r="Z512" s="10">
        <f t="shared" si="152"/>
        <v>8.7266462599716474E-2</v>
      </c>
      <c r="AA512" s="10">
        <f t="shared" si="153"/>
        <v>9.1831884943303344</v>
      </c>
      <c r="AB512" s="10">
        <f t="shared" si="154"/>
        <v>31.323062811875122</v>
      </c>
      <c r="AC512" s="10">
        <f t="shared" si="155"/>
        <v>3.9153828514843902</v>
      </c>
      <c r="AD512" s="10">
        <f t="shared" si="141"/>
        <v>15.661531405937561</v>
      </c>
      <c r="AE512" s="65"/>
      <c r="AF512" s="10">
        <f t="shared" si="142"/>
        <v>43.422862625598817</v>
      </c>
      <c r="AG512" s="8">
        <f t="shared" si="156"/>
        <v>8.4674582119917705</v>
      </c>
      <c r="AH512" s="10">
        <f t="shared" si="157"/>
        <v>21.711431312799409</v>
      </c>
      <c r="AI512" s="63"/>
      <c r="AJ512" s="10">
        <f t="shared" si="143"/>
        <v>58.45499999999997</v>
      </c>
      <c r="AK512" s="8"/>
      <c r="AL512" s="8">
        <f t="shared" si="158"/>
        <v>29.227499999999985</v>
      </c>
    </row>
    <row r="513" spans="1:38">
      <c r="A513" s="18">
        <v>41473</v>
      </c>
      <c r="B513" s="19" t="s">
        <v>141</v>
      </c>
      <c r="C513" s="12">
        <v>100.2</v>
      </c>
      <c r="D513" s="48" t="s">
        <v>80</v>
      </c>
      <c r="E513" s="8">
        <v>8.4089200000000002</v>
      </c>
      <c r="F513" s="8">
        <v>83.312650000000005</v>
      </c>
      <c r="G513" s="22">
        <v>100</v>
      </c>
      <c r="H513" s="22">
        <v>7</v>
      </c>
      <c r="I513" s="10">
        <f t="shared" si="145"/>
        <v>14.262373326599949</v>
      </c>
      <c r="J513" s="10">
        <f t="shared" si="146"/>
        <v>0.24892537369778567</v>
      </c>
      <c r="K513" s="10">
        <v>21</v>
      </c>
      <c r="L513" s="22">
        <v>6032</v>
      </c>
      <c r="M513" s="31" t="s">
        <v>231</v>
      </c>
      <c r="N513" s="8" t="s">
        <v>171</v>
      </c>
      <c r="O513" s="33" t="s">
        <v>99</v>
      </c>
      <c r="P513" s="33" t="s">
        <v>99</v>
      </c>
      <c r="Q513" s="7">
        <v>0.57999999999999996</v>
      </c>
      <c r="R513" s="7" t="s">
        <v>103</v>
      </c>
      <c r="S513" s="30">
        <v>6</v>
      </c>
      <c r="T513" s="79">
        <f t="shared" si="144"/>
        <v>2.8274400000000001E-3</v>
      </c>
      <c r="U513" s="22">
        <v>10</v>
      </c>
      <c r="V513" s="22">
        <v>45</v>
      </c>
      <c r="W513" s="10">
        <f t="shared" si="151"/>
        <v>0.78539816339744828</v>
      </c>
      <c r="X513" s="22">
        <v>6</v>
      </c>
      <c r="Y513" s="22">
        <v>8</v>
      </c>
      <c r="Z513" s="10">
        <f t="shared" si="152"/>
        <v>0.13962634015954636</v>
      </c>
      <c r="AA513" s="10">
        <f t="shared" si="153"/>
        <v>7.9061064176258675</v>
      </c>
      <c r="AB513" s="10">
        <f t="shared" si="154"/>
        <v>9.4296002559947603</v>
      </c>
      <c r="AC513" s="10">
        <f t="shared" si="155"/>
        <v>1.178700031999345</v>
      </c>
      <c r="AD513" s="10">
        <f t="shared" si="141"/>
        <v>4.7148001279973801</v>
      </c>
      <c r="AE513" s="65"/>
      <c r="AF513" s="10">
        <f t="shared" si="142"/>
        <v>9.6491617952120237</v>
      </c>
      <c r="AG513" s="8">
        <f t="shared" si="156"/>
        <v>1.8815865500663447</v>
      </c>
      <c r="AH513" s="10">
        <f t="shared" si="157"/>
        <v>4.8245808976060118</v>
      </c>
      <c r="AI513" s="63"/>
      <c r="AJ513" s="10">
        <f t="shared" si="143"/>
        <v>6.2189999999999976</v>
      </c>
      <c r="AK513" s="8"/>
      <c r="AL513" s="8">
        <f t="shared" si="158"/>
        <v>3.1094999999999988</v>
      </c>
    </row>
    <row r="514" spans="1:38">
      <c r="A514" s="18">
        <v>41473</v>
      </c>
      <c r="B514" s="19" t="s">
        <v>141</v>
      </c>
      <c r="C514" s="12">
        <v>100.2</v>
      </c>
      <c r="D514" s="48" t="s">
        <v>80</v>
      </c>
      <c r="E514" s="8">
        <v>8.4089200000000002</v>
      </c>
      <c r="F514" s="8">
        <v>83.312650000000005</v>
      </c>
      <c r="G514" s="22">
        <v>100</v>
      </c>
      <c r="H514" s="22">
        <v>7</v>
      </c>
      <c r="I514" s="10">
        <f t="shared" si="145"/>
        <v>14.262373326599949</v>
      </c>
      <c r="J514" s="10">
        <f t="shared" si="146"/>
        <v>0.24892537369778567</v>
      </c>
      <c r="K514" s="10">
        <v>21</v>
      </c>
      <c r="L514" s="22">
        <v>670</v>
      </c>
      <c r="M514" s="22" t="s">
        <v>54</v>
      </c>
      <c r="N514" s="8" t="s">
        <v>55</v>
      </c>
      <c r="O514" s="10" t="s">
        <v>56</v>
      </c>
      <c r="P514" s="10" t="s">
        <v>57</v>
      </c>
      <c r="Q514" s="11">
        <v>0.315</v>
      </c>
      <c r="R514" s="12" t="s">
        <v>66</v>
      </c>
      <c r="S514" s="30">
        <v>11</v>
      </c>
      <c r="T514" s="79">
        <f t="shared" si="144"/>
        <v>9.5033400000000007E-3</v>
      </c>
      <c r="U514" s="22">
        <v>11</v>
      </c>
      <c r="V514" s="22">
        <v>61</v>
      </c>
      <c r="W514" s="10">
        <f t="shared" si="151"/>
        <v>1.064650843716541</v>
      </c>
      <c r="X514" s="22">
        <v>6</v>
      </c>
      <c r="Y514" s="22">
        <v>10</v>
      </c>
      <c r="Z514" s="10">
        <f t="shared" si="152"/>
        <v>0.17453292519943295</v>
      </c>
      <c r="AA514" s="10">
        <f t="shared" si="153"/>
        <v>10.662705844534935</v>
      </c>
      <c r="AB514" s="10">
        <f t="shared" si="154"/>
        <v>21.993141710663625</v>
      </c>
      <c r="AC514" s="10">
        <f t="shared" si="155"/>
        <v>2.7491427138329532</v>
      </c>
      <c r="AD514" s="10">
        <f t="shared" si="141"/>
        <v>10.996570855331813</v>
      </c>
      <c r="AE514" s="65"/>
      <c r="AF514" s="10">
        <f t="shared" si="142"/>
        <v>23.486982986363998</v>
      </c>
      <c r="AG514" s="8">
        <f t="shared" si="156"/>
        <v>4.5799616823409801</v>
      </c>
      <c r="AH514" s="10">
        <f t="shared" si="157"/>
        <v>11.743491493181999</v>
      </c>
      <c r="AI514" s="63"/>
      <c r="AJ514" s="10">
        <f t="shared" si="143"/>
        <v>34.353999999999985</v>
      </c>
      <c r="AK514" s="8"/>
      <c r="AL514" s="8">
        <f t="shared" si="158"/>
        <v>17.176999999999992</v>
      </c>
    </row>
    <row r="515" spans="1:38">
      <c r="A515" s="18">
        <v>41473</v>
      </c>
      <c r="B515" s="19" t="s">
        <v>141</v>
      </c>
      <c r="C515" s="12">
        <v>100.2</v>
      </c>
      <c r="D515" s="48" t="s">
        <v>80</v>
      </c>
      <c r="E515" s="8">
        <v>8.4089200000000002</v>
      </c>
      <c r="F515" s="8">
        <v>83.312650000000005</v>
      </c>
      <c r="G515" s="22">
        <v>100</v>
      </c>
      <c r="H515" s="22">
        <v>7</v>
      </c>
      <c r="I515" s="10">
        <f t="shared" si="145"/>
        <v>14.262373326599949</v>
      </c>
      <c r="J515" s="10">
        <f t="shared" si="146"/>
        <v>0.24892537369778567</v>
      </c>
      <c r="K515" s="10">
        <v>21</v>
      </c>
      <c r="L515" s="22">
        <v>780</v>
      </c>
      <c r="M515" s="22" t="s">
        <v>142</v>
      </c>
      <c r="N515" s="22" t="s">
        <v>194</v>
      </c>
      <c r="O515" s="10" t="s">
        <v>195</v>
      </c>
      <c r="P515" s="15" t="s">
        <v>92</v>
      </c>
      <c r="Q515" s="22">
        <v>0.66</v>
      </c>
      <c r="R515" s="22" t="s">
        <v>190</v>
      </c>
      <c r="S515" s="30">
        <v>8.9</v>
      </c>
      <c r="T515" s="79">
        <f t="shared" si="144"/>
        <v>6.2211534000000011E-3</v>
      </c>
      <c r="U515" s="22">
        <v>8</v>
      </c>
      <c r="V515" s="22">
        <v>42</v>
      </c>
      <c r="W515" s="10">
        <f t="shared" si="151"/>
        <v>0.73303828583761843</v>
      </c>
      <c r="X515" s="22">
        <v>6</v>
      </c>
      <c r="Y515" s="22">
        <v>7</v>
      </c>
      <c r="Z515" s="10">
        <f t="shared" si="152"/>
        <v>0.12217304763960307</v>
      </c>
      <c r="AA515" s="10">
        <f t="shared" si="153"/>
        <v>6.084260911301751</v>
      </c>
      <c r="AB515" s="10">
        <f t="shared" si="154"/>
        <v>17.467936038167331</v>
      </c>
      <c r="AC515" s="10">
        <f t="shared" si="155"/>
        <v>2.1834920047709163</v>
      </c>
      <c r="AD515" s="10">
        <f t="shared" si="141"/>
        <v>8.7339680190836653</v>
      </c>
      <c r="AE515" s="65"/>
      <c r="AF515" s="10">
        <f t="shared" si="142"/>
        <v>29.064813966805055</v>
      </c>
      <c r="AG515" s="8">
        <f t="shared" si="156"/>
        <v>5.6676387235269861</v>
      </c>
      <c r="AH515" s="10">
        <f t="shared" si="157"/>
        <v>14.532406983402527</v>
      </c>
      <c r="AI515" s="63"/>
      <c r="AJ515" s="10">
        <f t="shared" si="143"/>
        <v>18.03070000000001</v>
      </c>
      <c r="AK515" s="8"/>
      <c r="AL515" s="8">
        <f t="shared" si="158"/>
        <v>9.0153500000000051</v>
      </c>
    </row>
    <row r="516" spans="1:38">
      <c r="A516" s="18">
        <v>41473</v>
      </c>
      <c r="B516" s="19" t="s">
        <v>141</v>
      </c>
      <c r="C516" s="12">
        <v>100.2</v>
      </c>
      <c r="D516" s="48" t="s">
        <v>80</v>
      </c>
      <c r="E516" s="8">
        <v>8.4089200000000002</v>
      </c>
      <c r="F516" s="8">
        <v>83.312650000000005</v>
      </c>
      <c r="G516" s="22">
        <v>100</v>
      </c>
      <c r="H516" s="22">
        <v>7</v>
      </c>
      <c r="I516" s="10">
        <f t="shared" si="145"/>
        <v>14.262373326599949</v>
      </c>
      <c r="J516" s="10">
        <f t="shared" si="146"/>
        <v>0.24892537369778567</v>
      </c>
      <c r="K516" s="10">
        <v>21</v>
      </c>
      <c r="L516" s="22">
        <v>715</v>
      </c>
      <c r="M516" s="22" t="s">
        <v>78</v>
      </c>
      <c r="N516" s="7" t="s">
        <v>87</v>
      </c>
      <c r="O516" s="33" t="s">
        <v>88</v>
      </c>
      <c r="P516" s="33" t="s">
        <v>89</v>
      </c>
      <c r="Q516" s="38">
        <v>0.64</v>
      </c>
      <c r="R516" s="7" t="s">
        <v>90</v>
      </c>
      <c r="S516" s="30">
        <v>73.5</v>
      </c>
      <c r="T516" s="79">
        <f t="shared" si="144"/>
        <v>0.42429271500000004</v>
      </c>
      <c r="U516" s="22">
        <v>18</v>
      </c>
      <c r="V516" s="22">
        <v>82</v>
      </c>
      <c r="W516" s="10">
        <f t="shared" si="151"/>
        <v>1.4311699866353502</v>
      </c>
      <c r="X516" s="22">
        <v>6</v>
      </c>
      <c r="Y516" s="22">
        <v>8</v>
      </c>
      <c r="Z516" s="10">
        <f t="shared" si="152"/>
        <v>0.13962634015954636</v>
      </c>
      <c r="AA516" s="10">
        <f t="shared" si="153"/>
        <v>18.65986384310866</v>
      </c>
      <c r="AB516" s="10">
        <f t="shared" si="154"/>
        <v>2575.9952420056079</v>
      </c>
      <c r="AC516" s="10">
        <f t="shared" si="155"/>
        <v>321.99940525070099</v>
      </c>
      <c r="AD516" s="10">
        <f t="shared" si="141"/>
        <v>1287.997621002804</v>
      </c>
      <c r="AE516" s="65"/>
      <c r="AF516" s="10">
        <f t="shared" si="142"/>
        <v>4518.8774622268538</v>
      </c>
      <c r="AG516" s="8">
        <f t="shared" si="156"/>
        <v>881.18110513423653</v>
      </c>
      <c r="AH516" s="10">
        <f t="shared" si="157"/>
        <v>2259.4387311134269</v>
      </c>
      <c r="AI516" s="63"/>
      <c r="AJ516" s="10">
        <f t="shared" si="143"/>
        <v>3507.9164999999998</v>
      </c>
      <c r="AK516" s="8"/>
      <c r="AL516" s="8">
        <f t="shared" si="158"/>
        <v>1753.9582499999999</v>
      </c>
    </row>
    <row r="517" spans="1:38">
      <c r="A517" s="18">
        <v>41473</v>
      </c>
      <c r="B517" s="19" t="s">
        <v>141</v>
      </c>
      <c r="C517" s="12">
        <v>100.2</v>
      </c>
      <c r="D517" s="48" t="s">
        <v>80</v>
      </c>
      <c r="E517" s="8">
        <v>8.4089200000000002</v>
      </c>
      <c r="F517" s="8">
        <v>83.312650000000005</v>
      </c>
      <c r="G517" s="22">
        <v>100</v>
      </c>
      <c r="H517" s="22">
        <v>7</v>
      </c>
      <c r="I517" s="10">
        <f t="shared" si="145"/>
        <v>14.262373326599949</v>
      </c>
      <c r="J517" s="10">
        <f t="shared" si="146"/>
        <v>0.24892537369778567</v>
      </c>
      <c r="K517" s="10">
        <v>21</v>
      </c>
      <c r="L517" s="22">
        <v>706</v>
      </c>
      <c r="M517" s="22" t="s">
        <v>39</v>
      </c>
      <c r="N517" s="8" t="s">
        <v>69</v>
      </c>
      <c r="O517" s="10" t="s">
        <v>65</v>
      </c>
      <c r="P517" s="10" t="s">
        <v>70</v>
      </c>
      <c r="Q517" s="8">
        <v>0.37</v>
      </c>
      <c r="R517" s="8" t="s">
        <v>71</v>
      </c>
      <c r="S517" s="30">
        <v>18</v>
      </c>
      <c r="T517" s="79">
        <f t="shared" si="144"/>
        <v>2.5446960000000001E-2</v>
      </c>
      <c r="U517" s="22">
        <v>11</v>
      </c>
      <c r="V517" s="22">
        <v>63</v>
      </c>
      <c r="W517" s="10">
        <f t="shared" si="151"/>
        <v>1.0995574287564276</v>
      </c>
      <c r="X517" s="22">
        <v>6</v>
      </c>
      <c r="Y517" s="22">
        <v>6</v>
      </c>
      <c r="Z517" s="10">
        <f t="shared" si="152"/>
        <v>0.10471975511965978</v>
      </c>
      <c r="AA517" s="10">
        <f t="shared" si="153"/>
        <v>10.428242545677966</v>
      </c>
      <c r="AB517" s="10">
        <f t="shared" si="154"/>
        <v>63.241492061339549</v>
      </c>
      <c r="AC517" s="10">
        <f t="shared" si="155"/>
        <v>7.9051865076674437</v>
      </c>
      <c r="AD517" s="10">
        <f t="shared" si="141"/>
        <v>31.620746030669775</v>
      </c>
      <c r="AE517" s="65"/>
      <c r="AF517" s="10">
        <f t="shared" si="142"/>
        <v>93.73633167225195</v>
      </c>
      <c r="AG517" s="8">
        <f t="shared" si="156"/>
        <v>18.278584676089132</v>
      </c>
      <c r="AH517" s="10">
        <f t="shared" si="157"/>
        <v>46.868165836125975</v>
      </c>
      <c r="AI517" s="63"/>
      <c r="AJ517" s="10">
        <f t="shared" si="143"/>
        <v>135.90299999999996</v>
      </c>
      <c r="AK517" s="8"/>
      <c r="AL517" s="8">
        <f t="shared" si="158"/>
        <v>67.951499999999982</v>
      </c>
    </row>
    <row r="518" spans="1:38">
      <c r="A518" s="18">
        <v>41473</v>
      </c>
      <c r="B518" s="19" t="s">
        <v>141</v>
      </c>
      <c r="C518" s="12">
        <v>100.2</v>
      </c>
      <c r="D518" s="48" t="s">
        <v>80</v>
      </c>
      <c r="E518" s="8">
        <v>8.4089200000000002</v>
      </c>
      <c r="F518" s="8">
        <v>83.312650000000005</v>
      </c>
      <c r="G518" s="22">
        <v>100</v>
      </c>
      <c r="H518" s="22">
        <v>7</v>
      </c>
      <c r="I518" s="10">
        <f t="shared" si="145"/>
        <v>14.262373326599949</v>
      </c>
      <c r="J518" s="10">
        <f t="shared" si="146"/>
        <v>0.24892537369778567</v>
      </c>
      <c r="K518" s="10">
        <v>21</v>
      </c>
      <c r="L518" s="22">
        <v>666</v>
      </c>
      <c r="M518" s="22" t="s">
        <v>54</v>
      </c>
      <c r="N518" s="8" t="s">
        <v>55</v>
      </c>
      <c r="O518" s="10" t="s">
        <v>56</v>
      </c>
      <c r="P518" s="10" t="s">
        <v>57</v>
      </c>
      <c r="Q518" s="11">
        <v>0.315</v>
      </c>
      <c r="R518" s="12" t="s">
        <v>66</v>
      </c>
      <c r="S518" s="30">
        <v>6</v>
      </c>
      <c r="T518" s="79">
        <f t="shared" si="144"/>
        <v>2.8274400000000001E-3</v>
      </c>
      <c r="U518" s="22">
        <v>7</v>
      </c>
      <c r="V518" s="22">
        <v>55</v>
      </c>
      <c r="W518" s="10">
        <f t="shared" si="151"/>
        <v>0.95993108859688125</v>
      </c>
      <c r="X518" s="22">
        <v>6</v>
      </c>
      <c r="Y518" s="22">
        <v>11</v>
      </c>
      <c r="Z518" s="10">
        <f t="shared" si="152"/>
        <v>0.19198621771937624</v>
      </c>
      <c r="AA518" s="10">
        <f t="shared" si="153"/>
        <v>6.8789182822822115</v>
      </c>
      <c r="AB518" s="10">
        <f t="shared" si="154"/>
        <v>4.6608693987415917</v>
      </c>
      <c r="AC518" s="10">
        <f t="shared" si="155"/>
        <v>0.58260867484269896</v>
      </c>
      <c r="AD518" s="10">
        <f t="shared" si="141"/>
        <v>2.3304346993707958</v>
      </c>
      <c r="AE518" s="65"/>
      <c r="AF518" s="10">
        <f t="shared" si="142"/>
        <v>5.240493043951358</v>
      </c>
      <c r="AG518" s="8">
        <f t="shared" si="156"/>
        <v>1.0218961435705147</v>
      </c>
      <c r="AH518" s="10">
        <f t="shared" si="157"/>
        <v>2.620246521975679</v>
      </c>
      <c r="AI518" s="63"/>
      <c r="AJ518" s="10">
        <f t="shared" si="143"/>
        <v>6.2189999999999976</v>
      </c>
      <c r="AK518" s="8"/>
      <c r="AL518" s="8">
        <f t="shared" si="158"/>
        <v>3.1094999999999988</v>
      </c>
    </row>
    <row r="519" spans="1:38">
      <c r="A519" s="18">
        <v>41473</v>
      </c>
      <c r="B519" s="19" t="s">
        <v>141</v>
      </c>
      <c r="C519" s="12">
        <v>100.2</v>
      </c>
      <c r="D519" s="48" t="s">
        <v>80</v>
      </c>
      <c r="E519" s="8">
        <v>8.4089200000000002</v>
      </c>
      <c r="F519" s="8">
        <v>83.312650000000005</v>
      </c>
      <c r="G519" s="22">
        <v>100</v>
      </c>
      <c r="H519" s="22">
        <v>7</v>
      </c>
      <c r="I519" s="10">
        <f t="shared" si="145"/>
        <v>14.262373326599949</v>
      </c>
      <c r="J519" s="10">
        <f t="shared" si="146"/>
        <v>0.24892537369778567</v>
      </c>
      <c r="K519" s="10">
        <v>21</v>
      </c>
      <c r="L519" s="22">
        <v>733</v>
      </c>
      <c r="M519" s="22" t="s">
        <v>130</v>
      </c>
      <c r="N519" s="8" t="s">
        <v>99</v>
      </c>
      <c r="O519" s="10" t="s">
        <v>99</v>
      </c>
      <c r="P519" s="10" t="s">
        <v>99</v>
      </c>
      <c r="Q519" s="8">
        <v>0.57999999999999996</v>
      </c>
      <c r="R519" s="8" t="s">
        <v>103</v>
      </c>
      <c r="S519" s="30">
        <v>8.9</v>
      </c>
      <c r="T519" s="79">
        <f t="shared" si="144"/>
        <v>6.2211534000000011E-3</v>
      </c>
      <c r="U519" s="22">
        <v>8</v>
      </c>
      <c r="V519" s="22">
        <v>57</v>
      </c>
      <c r="W519" s="10">
        <f t="shared" si="151"/>
        <v>0.99483767363676789</v>
      </c>
      <c r="X519" s="22">
        <v>6</v>
      </c>
      <c r="Y519" s="22">
        <v>7</v>
      </c>
      <c r="Z519" s="10">
        <f t="shared" si="152"/>
        <v>0.12217304763960307</v>
      </c>
      <c r="AA519" s="10">
        <f t="shared" si="153"/>
        <v>7.4405806039942775</v>
      </c>
      <c r="AB519" s="10">
        <f t="shared" si="154"/>
        <v>18.691651017159167</v>
      </c>
      <c r="AC519" s="10">
        <f t="shared" si="155"/>
        <v>2.3364563771448958</v>
      </c>
      <c r="AD519" s="10">
        <f t="shared" ref="AD519:AD582" si="159">AB519/2</f>
        <v>9.3458255085795834</v>
      </c>
      <c r="AE519" s="65"/>
      <c r="AF519" s="10">
        <f t="shared" ref="AF519:AF582" si="160">Q519*EXP(-1.239+1.98*LN(S519)+0.207*(LN(S519))^2-0.0281*(LN(S519))^3)</f>
        <v>25.541806213252922</v>
      </c>
      <c r="AG519" s="8">
        <f t="shared" si="156"/>
        <v>4.9806522115843199</v>
      </c>
      <c r="AH519" s="10">
        <f t="shared" si="157"/>
        <v>12.770903106626461</v>
      </c>
      <c r="AI519" s="63"/>
      <c r="AJ519" s="10">
        <f t="shared" ref="AJ519:AJ582" si="161">21.297-6.953*S519+0.74*(S519^2)</f>
        <v>18.03070000000001</v>
      </c>
      <c r="AK519" s="8"/>
      <c r="AL519" s="8">
        <f t="shared" si="158"/>
        <v>9.0153500000000051</v>
      </c>
    </row>
    <row r="520" spans="1:38">
      <c r="A520" s="18">
        <v>41473</v>
      </c>
      <c r="B520" s="19" t="s">
        <v>141</v>
      </c>
      <c r="C520" s="12">
        <v>100.2</v>
      </c>
      <c r="D520" s="48" t="s">
        <v>80</v>
      </c>
      <c r="E520" s="8">
        <v>8.4089200000000002</v>
      </c>
      <c r="F520" s="8">
        <v>83.312650000000005</v>
      </c>
      <c r="G520" s="22">
        <v>100</v>
      </c>
      <c r="H520" s="22">
        <v>7</v>
      </c>
      <c r="I520" s="10">
        <f t="shared" si="145"/>
        <v>14.262373326599949</v>
      </c>
      <c r="J520" s="10">
        <f t="shared" si="146"/>
        <v>0.24892537369778567</v>
      </c>
      <c r="K520" s="10">
        <v>21</v>
      </c>
      <c r="L520" s="22">
        <v>621</v>
      </c>
      <c r="M520" s="22" t="s">
        <v>39</v>
      </c>
      <c r="N520" s="8" t="s">
        <v>69</v>
      </c>
      <c r="O520" s="10" t="s">
        <v>65</v>
      </c>
      <c r="P520" s="10" t="s">
        <v>70</v>
      </c>
      <c r="Q520" s="8">
        <v>0.37</v>
      </c>
      <c r="R520" s="8" t="s">
        <v>71</v>
      </c>
      <c r="S520" s="30">
        <v>18.3</v>
      </c>
      <c r="T520" s="79">
        <f t="shared" ref="T520:T583" si="162">0.00007854*S520^2</f>
        <v>2.6302260600000005E-2</v>
      </c>
      <c r="U520" s="22">
        <v>13</v>
      </c>
      <c r="V520" s="22">
        <v>67</v>
      </c>
      <c r="W520" s="10">
        <f t="shared" si="151"/>
        <v>1.1693705988362009</v>
      </c>
      <c r="X520" s="22">
        <v>7</v>
      </c>
      <c r="Y520" s="22">
        <v>5</v>
      </c>
      <c r="Z520" s="10">
        <f t="shared" si="152"/>
        <v>8.7266462599716474E-2</v>
      </c>
      <c r="AA520" s="10">
        <f t="shared" si="153"/>
        <v>12.576653294115332</v>
      </c>
      <c r="AB520" s="10">
        <f t="shared" si="154"/>
        <v>77.798383620334604</v>
      </c>
      <c r="AC520" s="10">
        <f t="shared" si="155"/>
        <v>9.7247979525418256</v>
      </c>
      <c r="AD520" s="10">
        <f t="shared" si="159"/>
        <v>38.899191810167302</v>
      </c>
      <c r="AE520" s="65"/>
      <c r="AF520" s="10">
        <f t="shared" si="160"/>
        <v>97.645341274679694</v>
      </c>
      <c r="AG520" s="8">
        <f t="shared" si="156"/>
        <v>19.04084154856254</v>
      </c>
      <c r="AH520" s="10">
        <f t="shared" si="157"/>
        <v>48.822670637339847</v>
      </c>
      <c r="AI520" s="63"/>
      <c r="AJ520" s="10">
        <f t="shared" si="161"/>
        <v>141.87570000000002</v>
      </c>
      <c r="AK520" s="8"/>
      <c r="AL520" s="8">
        <f t="shared" si="158"/>
        <v>70.937850000000012</v>
      </c>
    </row>
    <row r="521" spans="1:38">
      <c r="A521" s="18">
        <v>41473</v>
      </c>
      <c r="B521" s="19" t="s">
        <v>141</v>
      </c>
      <c r="C521" s="12">
        <v>100.2</v>
      </c>
      <c r="D521" s="48" t="s">
        <v>80</v>
      </c>
      <c r="E521" s="8">
        <v>8.4089200000000002</v>
      </c>
      <c r="F521" s="8">
        <v>83.312650000000005</v>
      </c>
      <c r="G521" s="22">
        <v>100</v>
      </c>
      <c r="H521" s="22">
        <v>7</v>
      </c>
      <c r="I521" s="10">
        <f t="shared" si="145"/>
        <v>14.262373326599949</v>
      </c>
      <c r="J521" s="10">
        <f t="shared" si="146"/>
        <v>0.24892537369778567</v>
      </c>
      <c r="K521" s="10">
        <v>21</v>
      </c>
      <c r="L521" s="22">
        <v>735</v>
      </c>
      <c r="M521" s="22" t="s">
        <v>72</v>
      </c>
      <c r="N521" s="22" t="s">
        <v>93</v>
      </c>
      <c r="O521" s="10" t="s">
        <v>91</v>
      </c>
      <c r="P521" s="15" t="s">
        <v>92</v>
      </c>
      <c r="Q521" s="8">
        <v>0.48</v>
      </c>
      <c r="R521" s="22" t="s">
        <v>190</v>
      </c>
      <c r="S521" s="30">
        <v>11.3</v>
      </c>
      <c r="T521" s="79">
        <f t="shared" si="162"/>
        <v>1.0028772600000001E-2</v>
      </c>
      <c r="U521" s="22">
        <v>9</v>
      </c>
      <c r="V521" s="22">
        <v>43</v>
      </c>
      <c r="W521" s="10">
        <f t="shared" si="151"/>
        <v>0.75049157835756175</v>
      </c>
      <c r="X521" s="22">
        <v>6</v>
      </c>
      <c r="Y521" s="22">
        <v>6</v>
      </c>
      <c r="Z521" s="10">
        <f t="shared" si="152"/>
        <v>0.10471975511965978</v>
      </c>
      <c r="AA521" s="10">
        <f t="shared" si="153"/>
        <v>6.7651560201684067</v>
      </c>
      <c r="AB521" s="10">
        <f t="shared" si="154"/>
        <v>22.411818979718799</v>
      </c>
      <c r="AC521" s="10">
        <f t="shared" si="155"/>
        <v>2.8014773724648498</v>
      </c>
      <c r="AD521" s="10">
        <f t="shared" si="159"/>
        <v>11.205909489859399</v>
      </c>
      <c r="AE521" s="65"/>
      <c r="AF521" s="10">
        <f t="shared" si="160"/>
        <v>38.267801490919226</v>
      </c>
      <c r="AG521" s="8">
        <f t="shared" si="156"/>
        <v>7.4622212907292491</v>
      </c>
      <c r="AH521" s="10">
        <f t="shared" si="157"/>
        <v>19.133900745459613</v>
      </c>
      <c r="AI521" s="63"/>
      <c r="AJ521" s="10">
        <f t="shared" si="161"/>
        <v>37.218699999999998</v>
      </c>
      <c r="AK521" s="8"/>
      <c r="AL521" s="8">
        <f t="shared" si="158"/>
        <v>18.609349999999999</v>
      </c>
    </row>
    <row r="522" spans="1:38">
      <c r="A522" s="18">
        <v>41473</v>
      </c>
      <c r="B522" s="19" t="s">
        <v>141</v>
      </c>
      <c r="C522" s="12">
        <v>100.2</v>
      </c>
      <c r="D522" s="48" t="s">
        <v>80</v>
      </c>
      <c r="E522" s="8">
        <v>8.4089200000000002</v>
      </c>
      <c r="F522" s="8">
        <v>83.312650000000005</v>
      </c>
      <c r="G522" s="22">
        <v>100</v>
      </c>
      <c r="H522" s="22">
        <v>7</v>
      </c>
      <c r="I522" s="10">
        <f t="shared" si="145"/>
        <v>14.262373326599949</v>
      </c>
      <c r="J522" s="10">
        <f t="shared" si="146"/>
        <v>0.24892537369778567</v>
      </c>
      <c r="K522" s="10">
        <v>21</v>
      </c>
      <c r="L522" s="22">
        <v>703</v>
      </c>
      <c r="M522" s="22" t="s">
        <v>39</v>
      </c>
      <c r="N522" s="8" t="s">
        <v>69</v>
      </c>
      <c r="O522" s="10" t="s">
        <v>65</v>
      </c>
      <c r="P522" s="10" t="s">
        <v>70</v>
      </c>
      <c r="Q522" s="8">
        <v>0.37</v>
      </c>
      <c r="R522" s="8" t="s">
        <v>71</v>
      </c>
      <c r="S522" s="30">
        <v>19.5</v>
      </c>
      <c r="T522" s="79">
        <f t="shared" si="162"/>
        <v>2.9864835000000003E-2</v>
      </c>
      <c r="U522" s="22">
        <v>16</v>
      </c>
      <c r="V522" s="22">
        <v>55</v>
      </c>
      <c r="W522" s="10">
        <f t="shared" si="151"/>
        <v>0.95993108859688125</v>
      </c>
      <c r="X522" s="22">
        <v>6</v>
      </c>
      <c r="Y522" s="22">
        <v>4</v>
      </c>
      <c r="Z522" s="10">
        <f t="shared" si="152"/>
        <v>6.9813170079773182E-2</v>
      </c>
      <c r="AA522" s="10">
        <f t="shared" si="153"/>
        <v>13.524971551088621</v>
      </c>
      <c r="AB522" s="10">
        <f t="shared" si="154"/>
        <v>93.865195688021601</v>
      </c>
      <c r="AC522" s="10">
        <f t="shared" si="155"/>
        <v>11.7331494610027</v>
      </c>
      <c r="AD522" s="10">
        <f t="shared" si="159"/>
        <v>46.9325978440108</v>
      </c>
      <c r="AE522" s="65"/>
      <c r="AF522" s="10">
        <f t="shared" si="160"/>
        <v>114.22043605825135</v>
      </c>
      <c r="AG522" s="8">
        <f t="shared" si="156"/>
        <v>22.272985031359013</v>
      </c>
      <c r="AH522" s="10">
        <f t="shared" si="157"/>
        <v>57.110218029125676</v>
      </c>
      <c r="AI522" s="63"/>
      <c r="AJ522" s="10">
        <f t="shared" si="161"/>
        <v>167.09849999999997</v>
      </c>
      <c r="AK522" s="8"/>
      <c r="AL522" s="8">
        <f t="shared" si="158"/>
        <v>83.549249999999986</v>
      </c>
    </row>
    <row r="523" spans="1:38">
      <c r="A523" s="18">
        <v>41473</v>
      </c>
      <c r="B523" s="19" t="s">
        <v>141</v>
      </c>
      <c r="C523" s="12">
        <v>100.2</v>
      </c>
      <c r="D523" s="48" t="s">
        <v>80</v>
      </c>
      <c r="E523" s="8">
        <v>8.4089200000000002</v>
      </c>
      <c r="F523" s="8">
        <v>83.312650000000005</v>
      </c>
      <c r="G523" s="22">
        <v>100</v>
      </c>
      <c r="H523" s="22">
        <v>7</v>
      </c>
      <c r="I523" s="10">
        <f t="shared" si="145"/>
        <v>14.262373326599949</v>
      </c>
      <c r="J523" s="10">
        <f t="shared" si="146"/>
        <v>0.24892537369778567</v>
      </c>
      <c r="K523" s="10">
        <v>21</v>
      </c>
      <c r="L523" s="22">
        <v>736</v>
      </c>
      <c r="M523" s="22" t="s">
        <v>54</v>
      </c>
      <c r="N523" s="8" t="s">
        <v>55</v>
      </c>
      <c r="O523" s="10" t="s">
        <v>56</v>
      </c>
      <c r="P523" s="10" t="s">
        <v>57</v>
      </c>
      <c r="Q523" s="11">
        <v>0.315</v>
      </c>
      <c r="R523" s="12" t="s">
        <v>66</v>
      </c>
      <c r="S523" s="30">
        <v>12.4</v>
      </c>
      <c r="T523" s="79">
        <f t="shared" si="162"/>
        <v>1.2076310400000002E-2</v>
      </c>
      <c r="U523" s="22">
        <v>11</v>
      </c>
      <c r="V523" s="22">
        <v>40</v>
      </c>
      <c r="W523" s="10">
        <f t="shared" si="151"/>
        <v>0.69813170079773179</v>
      </c>
      <c r="X523" s="22">
        <v>5</v>
      </c>
      <c r="Y523" s="22">
        <v>23</v>
      </c>
      <c r="Z523" s="10">
        <f t="shared" si="152"/>
        <v>0.4014257279586958</v>
      </c>
      <c r="AA523" s="10">
        <f t="shared" si="153"/>
        <v>9.0243193489983007</v>
      </c>
      <c r="AB523" s="10">
        <f t="shared" si="154"/>
        <v>23.550275831192273</v>
      </c>
      <c r="AC523" s="10">
        <f t="shared" si="155"/>
        <v>2.9437844788990342</v>
      </c>
      <c r="AD523" s="10">
        <f t="shared" si="159"/>
        <v>11.775137915596137</v>
      </c>
      <c r="AE523" s="65"/>
      <c r="AF523" s="10">
        <f t="shared" si="160"/>
        <v>31.643557256146519</v>
      </c>
      <c r="AG523" s="8">
        <f t="shared" si="156"/>
        <v>6.1704936649485713</v>
      </c>
      <c r="AH523" s="10">
        <f t="shared" si="157"/>
        <v>15.821778628073259</v>
      </c>
      <c r="AI523" s="63"/>
      <c r="AJ523" s="10">
        <f t="shared" si="161"/>
        <v>48.862200000000001</v>
      </c>
      <c r="AK523" s="8"/>
      <c r="AL523" s="8">
        <f t="shared" si="158"/>
        <v>24.431100000000001</v>
      </c>
    </row>
    <row r="524" spans="1:38">
      <c r="A524" s="18">
        <v>41473</v>
      </c>
      <c r="B524" s="19" t="s">
        <v>141</v>
      </c>
      <c r="C524" s="12">
        <v>100.2</v>
      </c>
      <c r="D524" s="48" t="s">
        <v>80</v>
      </c>
      <c r="E524" s="8">
        <v>8.4089200000000002</v>
      </c>
      <c r="F524" s="8">
        <v>83.312650000000005</v>
      </c>
      <c r="G524" s="22">
        <v>100</v>
      </c>
      <c r="H524" s="22">
        <v>7</v>
      </c>
      <c r="I524" s="10">
        <f t="shared" si="145"/>
        <v>14.262373326599949</v>
      </c>
      <c r="J524" s="10">
        <f t="shared" si="146"/>
        <v>0.24892537369778567</v>
      </c>
      <c r="K524" s="10">
        <v>21</v>
      </c>
      <c r="L524" s="22">
        <v>632</v>
      </c>
      <c r="M524" s="22" t="s">
        <v>130</v>
      </c>
      <c r="N524" s="8" t="s">
        <v>99</v>
      </c>
      <c r="O524" s="10" t="s">
        <v>99</v>
      </c>
      <c r="P524" s="10" t="s">
        <v>99</v>
      </c>
      <c r="Q524" s="8">
        <v>0.57999999999999996</v>
      </c>
      <c r="R524" s="8" t="s">
        <v>103</v>
      </c>
      <c r="S524" s="30">
        <v>6.2</v>
      </c>
      <c r="T524" s="79">
        <f t="shared" si="162"/>
        <v>3.0190776000000004E-3</v>
      </c>
      <c r="U524" s="22">
        <v>8</v>
      </c>
      <c r="V524" s="22">
        <v>25</v>
      </c>
      <c r="W524" s="10">
        <f t="shared" si="151"/>
        <v>0.43633231299858238</v>
      </c>
      <c r="X524" s="22">
        <v>6</v>
      </c>
      <c r="Y524" s="22">
        <v>20</v>
      </c>
      <c r="Z524" s="10">
        <f t="shared" si="152"/>
        <v>0.3490658503988659</v>
      </c>
      <c r="AA524" s="10">
        <f t="shared" si="153"/>
        <v>5.4330669538796084</v>
      </c>
      <c r="AB524" s="10">
        <f t="shared" si="154"/>
        <v>7.048922977002662</v>
      </c>
      <c r="AC524" s="10">
        <f t="shared" si="155"/>
        <v>0.88111537212533275</v>
      </c>
      <c r="AD524" s="10">
        <f t="shared" si="159"/>
        <v>3.524461488501331</v>
      </c>
      <c r="AE524" s="65"/>
      <c r="AF524" s="10">
        <f t="shared" si="160"/>
        <v>10.457328721807214</v>
      </c>
      <c r="AG524" s="8">
        <f t="shared" si="156"/>
        <v>2.0391791007524067</v>
      </c>
      <c r="AH524" s="10">
        <f t="shared" si="157"/>
        <v>5.2286643609036068</v>
      </c>
      <c r="AI524" s="63"/>
      <c r="AJ524" s="10">
        <f t="shared" si="161"/>
        <v>6.6340000000000003</v>
      </c>
      <c r="AK524" s="8"/>
      <c r="AL524" s="8">
        <f t="shared" si="158"/>
        <v>3.3170000000000002</v>
      </c>
    </row>
    <row r="525" spans="1:38">
      <c r="A525" s="18">
        <v>41473</v>
      </c>
      <c r="B525" s="19" t="s">
        <v>141</v>
      </c>
      <c r="C525" s="12">
        <v>100.2</v>
      </c>
      <c r="D525" s="48" t="s">
        <v>80</v>
      </c>
      <c r="E525" s="8">
        <v>8.4089200000000002</v>
      </c>
      <c r="F525" s="8">
        <v>83.312650000000005</v>
      </c>
      <c r="G525" s="22">
        <v>100</v>
      </c>
      <c r="H525" s="22">
        <v>7</v>
      </c>
      <c r="I525" s="10">
        <f t="shared" si="145"/>
        <v>14.262373326599949</v>
      </c>
      <c r="J525" s="10">
        <f t="shared" si="146"/>
        <v>0.24892537369778567</v>
      </c>
      <c r="K525" s="10">
        <v>21</v>
      </c>
      <c r="L525" s="22">
        <v>697</v>
      </c>
      <c r="M525" s="22" t="s">
        <v>147</v>
      </c>
      <c r="N525" s="8" t="s">
        <v>167</v>
      </c>
      <c r="O525" s="10" t="s">
        <v>168</v>
      </c>
      <c r="P525" s="10" t="s">
        <v>169</v>
      </c>
      <c r="Q525" s="8">
        <v>0.41699999999999998</v>
      </c>
      <c r="R525" s="22" t="s">
        <v>170</v>
      </c>
      <c r="S525" s="30">
        <v>9.5</v>
      </c>
      <c r="T525" s="79">
        <f t="shared" si="162"/>
        <v>7.088235E-3</v>
      </c>
      <c r="U525" s="22">
        <v>10</v>
      </c>
      <c r="V525" s="22">
        <v>25</v>
      </c>
      <c r="W525" s="10">
        <f t="shared" si="151"/>
        <v>0.43633231299858238</v>
      </c>
      <c r="X525" s="22">
        <v>8</v>
      </c>
      <c r="Y525" s="22">
        <v>15</v>
      </c>
      <c r="Z525" s="10">
        <f t="shared" si="152"/>
        <v>0.26179938779914941</v>
      </c>
      <c r="AA525" s="10">
        <f t="shared" si="153"/>
        <v>6.2967349782271604</v>
      </c>
      <c r="AB525" s="10">
        <f t="shared" si="154"/>
        <v>13.245808767628901</v>
      </c>
      <c r="AC525" s="10">
        <f t="shared" si="155"/>
        <v>1.6557260959536126</v>
      </c>
      <c r="AD525" s="10">
        <f t="shared" si="159"/>
        <v>6.6229043838144506</v>
      </c>
      <c r="AE525" s="65"/>
      <c r="AF525" s="10">
        <f t="shared" si="160"/>
        <v>21.593701642263156</v>
      </c>
      <c r="AG525" s="8">
        <f t="shared" si="156"/>
        <v>4.2107718202413151</v>
      </c>
      <c r="AH525" s="10">
        <f t="shared" si="157"/>
        <v>10.796850821131578</v>
      </c>
      <c r="AI525" s="63"/>
      <c r="AJ525" s="10">
        <f t="shared" si="161"/>
        <v>22.028499999999994</v>
      </c>
      <c r="AK525" s="8"/>
      <c r="AL525" s="8">
        <f t="shared" si="158"/>
        <v>11.014249999999997</v>
      </c>
    </row>
    <row r="526" spans="1:38">
      <c r="A526" s="18">
        <v>41473</v>
      </c>
      <c r="B526" s="19" t="s">
        <v>141</v>
      </c>
      <c r="C526" s="12">
        <v>100.2</v>
      </c>
      <c r="D526" s="48" t="s">
        <v>80</v>
      </c>
      <c r="E526" s="8">
        <v>8.4089200000000002</v>
      </c>
      <c r="F526" s="8">
        <v>83.312650000000005</v>
      </c>
      <c r="G526" s="22">
        <v>100</v>
      </c>
      <c r="H526" s="22">
        <v>7</v>
      </c>
      <c r="I526" s="10">
        <f t="shared" si="145"/>
        <v>14.262373326599949</v>
      </c>
      <c r="J526" s="10">
        <f t="shared" si="146"/>
        <v>0.24892537369778567</v>
      </c>
      <c r="K526" s="10">
        <v>21</v>
      </c>
      <c r="L526" s="22">
        <v>623</v>
      </c>
      <c r="M526" s="22" t="s">
        <v>39</v>
      </c>
      <c r="N526" s="8" t="s">
        <v>69</v>
      </c>
      <c r="O526" s="10" t="s">
        <v>65</v>
      </c>
      <c r="P526" s="10" t="s">
        <v>70</v>
      </c>
      <c r="Q526" s="8">
        <v>0.37</v>
      </c>
      <c r="R526" s="8" t="s">
        <v>71</v>
      </c>
      <c r="S526" s="30">
        <v>18.7</v>
      </c>
      <c r="T526" s="79">
        <f t="shared" si="162"/>
        <v>2.74646526E-2</v>
      </c>
      <c r="U526" s="22">
        <v>13</v>
      </c>
      <c r="V526" s="22">
        <v>60</v>
      </c>
      <c r="W526" s="10">
        <f t="shared" si="151"/>
        <v>1.0471975511965976</v>
      </c>
      <c r="X526" s="22">
        <v>6</v>
      </c>
      <c r="Y526" s="22">
        <v>15</v>
      </c>
      <c r="Z526" s="10">
        <f t="shared" si="152"/>
        <v>0.26179938779914941</v>
      </c>
      <c r="AA526" s="10">
        <f t="shared" si="153"/>
        <v>12.811244519812826</v>
      </c>
      <c r="AB526" s="10">
        <f t="shared" si="154"/>
        <v>82.445964559755055</v>
      </c>
      <c r="AC526" s="10">
        <f t="shared" si="155"/>
        <v>10.305745569969382</v>
      </c>
      <c r="AD526" s="10">
        <f t="shared" si="159"/>
        <v>41.222982279877527</v>
      </c>
      <c r="AE526" s="65"/>
      <c r="AF526" s="10">
        <f t="shared" si="160"/>
        <v>103.00272932993914</v>
      </c>
      <c r="AG526" s="8">
        <f t="shared" si="156"/>
        <v>20.085532219338134</v>
      </c>
      <c r="AH526" s="10">
        <f t="shared" si="157"/>
        <v>51.501364664969572</v>
      </c>
      <c r="AI526" s="63"/>
      <c r="AJ526" s="10">
        <f t="shared" si="161"/>
        <v>150.04650000000001</v>
      </c>
      <c r="AK526" s="8"/>
      <c r="AL526" s="8">
        <f t="shared" si="158"/>
        <v>75.023250000000004</v>
      </c>
    </row>
    <row r="527" spans="1:38">
      <c r="A527" s="18">
        <v>41473</v>
      </c>
      <c r="B527" s="19" t="s">
        <v>141</v>
      </c>
      <c r="C527" s="12">
        <v>100.2</v>
      </c>
      <c r="D527" s="48" t="s">
        <v>80</v>
      </c>
      <c r="E527" s="8">
        <v>8.4089200000000002</v>
      </c>
      <c r="F527" s="8">
        <v>83.312650000000005</v>
      </c>
      <c r="G527" s="22">
        <v>100</v>
      </c>
      <c r="H527" s="22">
        <v>7</v>
      </c>
      <c r="I527" s="10">
        <f t="shared" si="145"/>
        <v>14.262373326599949</v>
      </c>
      <c r="J527" s="10">
        <f t="shared" si="146"/>
        <v>0.24892537369778567</v>
      </c>
      <c r="K527" s="10">
        <v>21</v>
      </c>
      <c r="L527" s="22">
        <v>722</v>
      </c>
      <c r="M527" s="22" t="s">
        <v>47</v>
      </c>
      <c r="N527" s="8" t="s">
        <v>48</v>
      </c>
      <c r="O527" s="10" t="s">
        <v>49</v>
      </c>
      <c r="P527" s="10" t="s">
        <v>50</v>
      </c>
      <c r="Q527" s="20">
        <v>0.75</v>
      </c>
      <c r="R527" s="8" t="s">
        <v>67</v>
      </c>
      <c r="S527" s="30">
        <v>5.2</v>
      </c>
      <c r="T527" s="79">
        <f t="shared" si="162"/>
        <v>2.1237216000000005E-3</v>
      </c>
      <c r="U527" s="22">
        <v>6</v>
      </c>
      <c r="V527" s="22">
        <v>27</v>
      </c>
      <c r="W527" s="10">
        <f t="shared" si="151"/>
        <v>0.47123889803846897</v>
      </c>
      <c r="X527" s="22">
        <v>5</v>
      </c>
      <c r="Y527" s="22">
        <v>10</v>
      </c>
      <c r="Z527" s="10">
        <f t="shared" si="152"/>
        <v>0.17453292519943295</v>
      </c>
      <c r="AA527" s="10">
        <f t="shared" si="153"/>
        <v>3.5921838867719322</v>
      </c>
      <c r="AB527" s="10">
        <f t="shared" si="154"/>
        <v>4.3706159035552377</v>
      </c>
      <c r="AC527" s="10">
        <f t="shared" si="155"/>
        <v>0.54632698794440471</v>
      </c>
      <c r="AD527" s="10">
        <f t="shared" si="159"/>
        <v>2.1853079517776188</v>
      </c>
      <c r="AE527" s="65"/>
      <c r="AF527" s="10">
        <f t="shared" si="160"/>
        <v>8.7967512534723085</v>
      </c>
      <c r="AG527" s="8">
        <f t="shared" si="156"/>
        <v>1.7153664944271003</v>
      </c>
      <c r="AH527" s="10">
        <f t="shared" si="157"/>
        <v>4.3983756267361542</v>
      </c>
      <c r="AI527" s="63"/>
      <c r="AJ527" s="10">
        <f t="shared" si="161"/>
        <v>5.1510000000000034</v>
      </c>
      <c r="AK527" s="8"/>
      <c r="AL527" s="8">
        <f t="shared" si="158"/>
        <v>2.5755000000000017</v>
      </c>
    </row>
    <row r="528" spans="1:38">
      <c r="A528" s="18">
        <v>41473</v>
      </c>
      <c r="B528" s="19" t="s">
        <v>141</v>
      </c>
      <c r="C528" s="12">
        <v>100.2</v>
      </c>
      <c r="D528" s="48" t="s">
        <v>80</v>
      </c>
      <c r="E528" s="8">
        <v>8.4089200000000002</v>
      </c>
      <c r="F528" s="8">
        <v>83.312650000000005</v>
      </c>
      <c r="G528" s="22">
        <v>100</v>
      </c>
      <c r="H528" s="22">
        <v>7</v>
      </c>
      <c r="I528" s="10">
        <f t="shared" si="145"/>
        <v>14.262373326599949</v>
      </c>
      <c r="J528" s="10">
        <f t="shared" si="146"/>
        <v>0.24892537369778567</v>
      </c>
      <c r="K528" s="10">
        <v>21</v>
      </c>
      <c r="L528" s="22">
        <v>653</v>
      </c>
      <c r="M528" s="22" t="s">
        <v>142</v>
      </c>
      <c r="N528" s="22" t="s">
        <v>194</v>
      </c>
      <c r="O528" s="10" t="s">
        <v>195</v>
      </c>
      <c r="P528" s="15" t="s">
        <v>92</v>
      </c>
      <c r="Q528" s="22">
        <v>0.66</v>
      </c>
      <c r="R528" s="22" t="s">
        <v>190</v>
      </c>
      <c r="S528" s="30">
        <v>14</v>
      </c>
      <c r="T528" s="79">
        <f t="shared" si="162"/>
        <v>1.5393840000000001E-2</v>
      </c>
      <c r="U528" s="22">
        <v>11</v>
      </c>
      <c r="V528" s="22">
        <v>62</v>
      </c>
      <c r="W528" s="10">
        <f t="shared" si="151"/>
        <v>1.0821041362364843</v>
      </c>
      <c r="X528" s="22">
        <v>5</v>
      </c>
      <c r="Y528" s="22">
        <v>4</v>
      </c>
      <c r="Z528" s="10">
        <f t="shared" si="152"/>
        <v>6.9813170079773182E-2</v>
      </c>
      <c r="AA528" s="10">
        <f t="shared" si="153"/>
        <v>10.061205890168823</v>
      </c>
      <c r="AB528" s="10">
        <f t="shared" si="154"/>
        <v>65.681757033404892</v>
      </c>
      <c r="AC528" s="10">
        <f t="shared" si="155"/>
        <v>8.2102196291756115</v>
      </c>
      <c r="AD528" s="10">
        <f t="shared" si="159"/>
        <v>32.840878516702446</v>
      </c>
      <c r="AE528" s="65"/>
      <c r="AF528" s="10">
        <f t="shared" si="160"/>
        <v>89.659216619160986</v>
      </c>
      <c r="AG528" s="8">
        <f t="shared" si="156"/>
        <v>17.483547240736392</v>
      </c>
      <c r="AH528" s="10">
        <f t="shared" si="157"/>
        <v>44.829608309580493</v>
      </c>
      <c r="AI528" s="63"/>
      <c r="AJ528" s="10">
        <f t="shared" si="161"/>
        <v>68.99499999999999</v>
      </c>
      <c r="AK528" s="8"/>
      <c r="AL528" s="8">
        <f t="shared" si="158"/>
        <v>34.497499999999995</v>
      </c>
    </row>
    <row r="529" spans="1:38">
      <c r="A529" s="18">
        <v>41473</v>
      </c>
      <c r="B529" s="19" t="s">
        <v>141</v>
      </c>
      <c r="C529" s="12">
        <v>100.2</v>
      </c>
      <c r="D529" s="48" t="s">
        <v>80</v>
      </c>
      <c r="E529" s="8">
        <v>8.4089200000000002</v>
      </c>
      <c r="F529" s="8">
        <v>83.312650000000005</v>
      </c>
      <c r="G529" s="22">
        <v>100</v>
      </c>
      <c r="H529" s="22">
        <v>7</v>
      </c>
      <c r="I529" s="10">
        <f t="shared" si="145"/>
        <v>14.262373326599949</v>
      </c>
      <c r="J529" s="10">
        <f t="shared" si="146"/>
        <v>0.24892537369778567</v>
      </c>
      <c r="K529" s="10">
        <v>21</v>
      </c>
      <c r="L529" s="22">
        <v>748</v>
      </c>
      <c r="M529" s="22" t="s">
        <v>39</v>
      </c>
      <c r="N529" s="8" t="s">
        <v>69</v>
      </c>
      <c r="O529" s="10" t="s">
        <v>65</v>
      </c>
      <c r="P529" s="10" t="s">
        <v>70</v>
      </c>
      <c r="Q529" s="8">
        <v>0.37</v>
      </c>
      <c r="R529" s="8" t="s">
        <v>71</v>
      </c>
      <c r="S529" s="30">
        <v>23.5</v>
      </c>
      <c r="T529" s="79">
        <f t="shared" si="162"/>
        <v>4.3373715E-2</v>
      </c>
      <c r="U529" s="22">
        <v>16</v>
      </c>
      <c r="V529" s="22">
        <v>72</v>
      </c>
      <c r="W529" s="10">
        <f t="shared" si="151"/>
        <v>1.2566370614359172</v>
      </c>
      <c r="X529" s="22">
        <v>5</v>
      </c>
      <c r="Y529" s="22">
        <v>7</v>
      </c>
      <c r="Z529" s="10">
        <f t="shared" si="152"/>
        <v>0.12217304763960307</v>
      </c>
      <c r="AA529" s="10">
        <f t="shared" si="153"/>
        <v>15.826250977748193</v>
      </c>
      <c r="AB529" s="10">
        <f t="shared" si="154"/>
        <v>154.52341182728537</v>
      </c>
      <c r="AC529" s="10">
        <f t="shared" si="155"/>
        <v>19.315426478410672</v>
      </c>
      <c r="AD529" s="10">
        <f t="shared" si="159"/>
        <v>77.261705913642686</v>
      </c>
      <c r="AE529" s="65"/>
      <c r="AF529" s="10">
        <f t="shared" si="160"/>
        <v>180.64733840258364</v>
      </c>
      <c r="AG529" s="8">
        <f t="shared" si="156"/>
        <v>35.226230988503815</v>
      </c>
      <c r="AH529" s="10">
        <f t="shared" si="157"/>
        <v>90.323669201291821</v>
      </c>
      <c r="AI529" s="63"/>
      <c r="AJ529" s="10">
        <f t="shared" si="161"/>
        <v>266.56650000000002</v>
      </c>
      <c r="AK529" s="8"/>
      <c r="AL529" s="8">
        <f t="shared" si="158"/>
        <v>133.28325000000001</v>
      </c>
    </row>
    <row r="530" spans="1:38">
      <c r="A530" s="18">
        <v>41473</v>
      </c>
      <c r="B530" s="19" t="s">
        <v>141</v>
      </c>
      <c r="C530" s="12">
        <v>100.2</v>
      </c>
      <c r="D530" s="48" t="s">
        <v>80</v>
      </c>
      <c r="E530" s="8">
        <v>8.4089200000000002</v>
      </c>
      <c r="F530" s="8">
        <v>83.312650000000005</v>
      </c>
      <c r="G530" s="22">
        <v>100</v>
      </c>
      <c r="H530" s="22">
        <v>7</v>
      </c>
      <c r="I530" s="10">
        <f t="shared" si="145"/>
        <v>14.262373326599949</v>
      </c>
      <c r="J530" s="10">
        <f t="shared" si="146"/>
        <v>0.24892537369778567</v>
      </c>
      <c r="K530" s="10">
        <v>21</v>
      </c>
      <c r="L530" s="22">
        <v>663</v>
      </c>
      <c r="M530" s="22" t="s">
        <v>148</v>
      </c>
      <c r="N530" s="22" t="s">
        <v>48</v>
      </c>
      <c r="O530" s="10" t="s">
        <v>196</v>
      </c>
      <c r="P530" s="10" t="s">
        <v>50</v>
      </c>
      <c r="Q530" s="22">
        <v>0.57999999999999996</v>
      </c>
      <c r="R530" s="22" t="s">
        <v>190</v>
      </c>
      <c r="S530" s="30">
        <v>10.5</v>
      </c>
      <c r="T530" s="79">
        <f t="shared" si="162"/>
        <v>8.6590350000000007E-3</v>
      </c>
      <c r="U530" s="22">
        <v>8</v>
      </c>
      <c r="V530" s="22">
        <v>50</v>
      </c>
      <c r="W530" s="10">
        <f t="shared" si="151"/>
        <v>0.87266462599716477</v>
      </c>
      <c r="X530" s="22">
        <v>5</v>
      </c>
      <c r="Y530" s="22">
        <v>10</v>
      </c>
      <c r="Z530" s="10">
        <f t="shared" si="152"/>
        <v>0.17453292519943295</v>
      </c>
      <c r="AA530" s="10">
        <f t="shared" si="153"/>
        <v>6.9965964332864754</v>
      </c>
      <c r="AB530" s="10">
        <f t="shared" si="154"/>
        <v>24.072075249328872</v>
      </c>
      <c r="AC530" s="10">
        <f t="shared" si="155"/>
        <v>3.009009406166109</v>
      </c>
      <c r="AD530" s="10">
        <f t="shared" si="159"/>
        <v>12.036037624664436</v>
      </c>
      <c r="AE530" s="65"/>
      <c r="AF530" s="10">
        <f t="shared" si="160"/>
        <v>38.519815769059839</v>
      </c>
      <c r="AG530" s="8">
        <f t="shared" si="156"/>
        <v>7.5113640749666688</v>
      </c>
      <c r="AH530" s="10">
        <f t="shared" si="157"/>
        <v>19.25990788452992</v>
      </c>
      <c r="AI530" s="63"/>
      <c r="AJ530" s="10">
        <f t="shared" si="161"/>
        <v>29.875499999999988</v>
      </c>
      <c r="AK530" s="8"/>
      <c r="AL530" s="8">
        <f t="shared" si="158"/>
        <v>14.937749999999994</v>
      </c>
    </row>
    <row r="531" spans="1:38">
      <c r="A531" s="18">
        <v>41473</v>
      </c>
      <c r="B531" s="19" t="s">
        <v>141</v>
      </c>
      <c r="C531" s="12">
        <v>100.2</v>
      </c>
      <c r="D531" s="48" t="s">
        <v>80</v>
      </c>
      <c r="E531" s="8">
        <v>8.4089200000000002</v>
      </c>
      <c r="F531" s="8">
        <v>83.312650000000005</v>
      </c>
      <c r="G531" s="22">
        <v>100</v>
      </c>
      <c r="H531" s="22">
        <v>7</v>
      </c>
      <c r="I531" s="10">
        <f t="shared" si="145"/>
        <v>14.262373326599949</v>
      </c>
      <c r="J531" s="10">
        <f t="shared" si="146"/>
        <v>0.24892537369778567</v>
      </c>
      <c r="K531" s="10">
        <v>21</v>
      </c>
      <c r="L531" s="22">
        <v>702</v>
      </c>
      <c r="M531" s="22" t="s">
        <v>148</v>
      </c>
      <c r="N531" s="22" t="s">
        <v>48</v>
      </c>
      <c r="O531" s="10" t="s">
        <v>196</v>
      </c>
      <c r="P531" s="10" t="s">
        <v>50</v>
      </c>
      <c r="Q531" s="22">
        <v>0.57999999999999996</v>
      </c>
      <c r="R531" s="22" t="s">
        <v>190</v>
      </c>
      <c r="S531" s="30">
        <v>8.1999999999999993</v>
      </c>
      <c r="T531" s="79">
        <f t="shared" si="162"/>
        <v>5.2810295999999998E-3</v>
      </c>
      <c r="U531" s="22">
        <v>6</v>
      </c>
      <c r="V531" s="22">
        <v>48</v>
      </c>
      <c r="W531" s="10">
        <f t="shared" si="151"/>
        <v>0.83775804095727824</v>
      </c>
      <c r="X531" s="22">
        <v>5</v>
      </c>
      <c r="Y531" s="22">
        <v>10</v>
      </c>
      <c r="Z531" s="10">
        <f t="shared" si="152"/>
        <v>0.17453292519943295</v>
      </c>
      <c r="AA531" s="10">
        <f t="shared" si="153"/>
        <v>5.3271098411990172</v>
      </c>
      <c r="AB531" s="10">
        <f t="shared" si="154"/>
        <v>11.704590671181002</v>
      </c>
      <c r="AC531" s="10">
        <f t="shared" si="155"/>
        <v>1.4630738338976252</v>
      </c>
      <c r="AD531" s="10">
        <f t="shared" si="159"/>
        <v>5.852295335590501</v>
      </c>
      <c r="AE531" s="65"/>
      <c r="AF531" s="10">
        <f t="shared" si="160"/>
        <v>20.845793314258291</v>
      </c>
      <c r="AG531" s="8">
        <f t="shared" si="156"/>
        <v>4.0649296962803669</v>
      </c>
      <c r="AH531" s="10">
        <f t="shared" si="157"/>
        <v>10.422896657129145</v>
      </c>
      <c r="AI531" s="63"/>
      <c r="AJ531" s="10">
        <f t="shared" si="161"/>
        <v>14.040000000000006</v>
      </c>
      <c r="AK531" s="8"/>
      <c r="AL531" s="8">
        <f t="shared" si="158"/>
        <v>7.0200000000000031</v>
      </c>
    </row>
    <row r="532" spans="1:38">
      <c r="A532" s="18">
        <v>41473</v>
      </c>
      <c r="B532" s="19" t="s">
        <v>141</v>
      </c>
      <c r="C532" s="12">
        <v>100.2</v>
      </c>
      <c r="D532" s="48" t="s">
        <v>80</v>
      </c>
      <c r="E532" s="8">
        <v>8.4089200000000002</v>
      </c>
      <c r="F532" s="8">
        <v>83.312650000000005</v>
      </c>
      <c r="G532" s="22">
        <v>100</v>
      </c>
      <c r="H532" s="22">
        <v>7</v>
      </c>
      <c r="I532" s="10">
        <f t="shared" si="145"/>
        <v>14.262373326599949</v>
      </c>
      <c r="J532" s="10">
        <f t="shared" si="146"/>
        <v>0.24892537369778567</v>
      </c>
      <c r="K532" s="10">
        <v>21</v>
      </c>
      <c r="L532" s="22">
        <v>641</v>
      </c>
      <c r="M532" s="22" t="s">
        <v>148</v>
      </c>
      <c r="N532" s="22" t="s">
        <v>48</v>
      </c>
      <c r="O532" s="10" t="s">
        <v>196</v>
      </c>
      <c r="P532" s="10" t="s">
        <v>50</v>
      </c>
      <c r="Q532" s="22">
        <v>0.57999999999999996</v>
      </c>
      <c r="R532" s="22" t="s">
        <v>190</v>
      </c>
      <c r="S532" s="30">
        <v>12.7</v>
      </c>
      <c r="T532" s="79">
        <f t="shared" si="162"/>
        <v>1.26677166E-2</v>
      </c>
      <c r="U532" s="22">
        <v>6</v>
      </c>
      <c r="V532" s="22">
        <v>58</v>
      </c>
      <c r="W532" s="10">
        <f t="shared" si="151"/>
        <v>1.0122909661567112</v>
      </c>
      <c r="X532" s="22">
        <v>5</v>
      </c>
      <c r="Y532" s="22">
        <v>10</v>
      </c>
      <c r="Z532" s="10">
        <f t="shared" si="152"/>
        <v>0.17453292519943295</v>
      </c>
      <c r="AA532" s="10">
        <f t="shared" si="153"/>
        <v>5.9565294652732073</v>
      </c>
      <c r="AB532" s="10">
        <f t="shared" si="154"/>
        <v>29.588893684954389</v>
      </c>
      <c r="AC532" s="10">
        <f t="shared" si="155"/>
        <v>3.6986117106192986</v>
      </c>
      <c r="AD532" s="10">
        <f t="shared" si="159"/>
        <v>14.794446842477194</v>
      </c>
      <c r="AE532" s="65"/>
      <c r="AF532" s="10">
        <f t="shared" si="160"/>
        <v>61.834581000351911</v>
      </c>
      <c r="AG532" s="8">
        <f t="shared" si="156"/>
        <v>12.057743295068622</v>
      </c>
      <c r="AH532" s="10">
        <f t="shared" si="157"/>
        <v>30.917290500175955</v>
      </c>
      <c r="AI532" s="63"/>
      <c r="AJ532" s="10">
        <f t="shared" si="161"/>
        <v>52.348499999999987</v>
      </c>
      <c r="AK532" s="8"/>
      <c r="AL532" s="8">
        <f t="shared" si="158"/>
        <v>26.174249999999994</v>
      </c>
    </row>
    <row r="533" spans="1:38">
      <c r="A533" s="18">
        <v>41473</v>
      </c>
      <c r="B533" s="19" t="s">
        <v>141</v>
      </c>
      <c r="C533" s="12">
        <v>100.2</v>
      </c>
      <c r="D533" s="48" t="s">
        <v>80</v>
      </c>
      <c r="E533" s="8">
        <v>8.4089200000000002</v>
      </c>
      <c r="F533" s="8">
        <v>83.312650000000005</v>
      </c>
      <c r="G533" s="22">
        <v>100</v>
      </c>
      <c r="H533" s="22">
        <v>7</v>
      </c>
      <c r="I533" s="10">
        <f t="shared" si="145"/>
        <v>14.262373326599949</v>
      </c>
      <c r="J533" s="10">
        <f t="shared" si="146"/>
        <v>0.24892537369778567</v>
      </c>
      <c r="K533" s="10">
        <v>21</v>
      </c>
      <c r="L533" s="22">
        <v>611</v>
      </c>
      <c r="M533" s="22" t="s">
        <v>148</v>
      </c>
      <c r="N533" s="22" t="s">
        <v>48</v>
      </c>
      <c r="O533" s="10" t="s">
        <v>196</v>
      </c>
      <c r="P533" s="10" t="s">
        <v>50</v>
      </c>
      <c r="Q533" s="22">
        <v>0.57999999999999996</v>
      </c>
      <c r="R533" s="22" t="s">
        <v>190</v>
      </c>
      <c r="S533" s="30">
        <v>11</v>
      </c>
      <c r="T533" s="79">
        <f t="shared" si="162"/>
        <v>9.5033400000000007E-3</v>
      </c>
      <c r="U533" s="22">
        <v>8</v>
      </c>
      <c r="V533" s="22">
        <v>24</v>
      </c>
      <c r="W533" s="10">
        <f t="shared" si="151"/>
        <v>0.41887902047863912</v>
      </c>
      <c r="X533" s="22">
        <v>5</v>
      </c>
      <c r="Y533" s="22">
        <v>10</v>
      </c>
      <c r="Z533" s="10">
        <f t="shared" si="152"/>
        <v>0.17453292519943295</v>
      </c>
      <c r="AA533" s="10">
        <f t="shared" si="153"/>
        <v>4.1221340329410534</v>
      </c>
      <c r="AB533" s="10">
        <f t="shared" si="154"/>
        <v>15.977803130039991</v>
      </c>
      <c r="AC533" s="10">
        <f t="shared" si="155"/>
        <v>1.9972253912549989</v>
      </c>
      <c r="AD533" s="10">
        <f t="shared" si="159"/>
        <v>7.9889015650199955</v>
      </c>
      <c r="AE533" s="65"/>
      <c r="AF533" s="10">
        <f t="shared" si="160"/>
        <v>43.245873435209901</v>
      </c>
      <c r="AG533" s="8">
        <f t="shared" si="156"/>
        <v>8.4329453198659312</v>
      </c>
      <c r="AH533" s="10">
        <f t="shared" si="157"/>
        <v>21.622936717604951</v>
      </c>
      <c r="AI533" s="63"/>
      <c r="AJ533" s="10">
        <f t="shared" si="161"/>
        <v>34.353999999999985</v>
      </c>
      <c r="AK533" s="8"/>
      <c r="AL533" s="8">
        <f t="shared" si="158"/>
        <v>17.176999999999992</v>
      </c>
    </row>
    <row r="534" spans="1:38">
      <c r="A534" s="18">
        <v>41473</v>
      </c>
      <c r="B534" s="19" t="s">
        <v>141</v>
      </c>
      <c r="C534" s="12">
        <v>100.2</v>
      </c>
      <c r="D534" s="48" t="s">
        <v>80</v>
      </c>
      <c r="E534" s="8">
        <v>8.4089200000000002</v>
      </c>
      <c r="F534" s="8">
        <v>83.312650000000005</v>
      </c>
      <c r="G534" s="22">
        <v>100</v>
      </c>
      <c r="H534" s="22">
        <v>7</v>
      </c>
      <c r="I534" s="10">
        <f t="shared" si="145"/>
        <v>14.262373326599949</v>
      </c>
      <c r="J534" s="10">
        <f t="shared" si="146"/>
        <v>0.24892537369778567</v>
      </c>
      <c r="K534" s="10">
        <v>21</v>
      </c>
      <c r="L534" s="22">
        <v>639</v>
      </c>
      <c r="M534" s="31" t="s">
        <v>231</v>
      </c>
      <c r="N534" s="8" t="s">
        <v>171</v>
      </c>
      <c r="O534" s="33" t="s">
        <v>99</v>
      </c>
      <c r="P534" s="33" t="s">
        <v>99</v>
      </c>
      <c r="Q534" s="7">
        <v>0.57999999999999996</v>
      </c>
      <c r="R534" s="7" t="s">
        <v>103</v>
      </c>
      <c r="S534" s="30">
        <v>21</v>
      </c>
      <c r="T534" s="79">
        <f t="shared" si="162"/>
        <v>3.4636140000000003E-2</v>
      </c>
      <c r="U534" s="22">
        <v>16</v>
      </c>
      <c r="V534" s="22">
        <v>72</v>
      </c>
      <c r="W534" s="10">
        <f t="shared" si="151"/>
        <v>1.2566370614359172</v>
      </c>
      <c r="X534" s="22">
        <v>6</v>
      </c>
      <c r="Y534" s="22">
        <v>12</v>
      </c>
      <c r="Z534" s="10">
        <f t="shared" si="152"/>
        <v>0.20943951023931956</v>
      </c>
      <c r="AA534" s="10">
        <f t="shared" si="153"/>
        <v>16.464374405629012</v>
      </c>
      <c r="AB534" s="10">
        <f t="shared" si="154"/>
        <v>198.06549735766748</v>
      </c>
      <c r="AC534" s="10">
        <f t="shared" si="155"/>
        <v>24.758187169708435</v>
      </c>
      <c r="AD534" s="10">
        <f t="shared" si="159"/>
        <v>99.032748678833741</v>
      </c>
      <c r="AE534" s="65"/>
      <c r="AF534" s="10">
        <f t="shared" si="160"/>
        <v>214.89541765973161</v>
      </c>
      <c r="AG534" s="8">
        <f t="shared" si="156"/>
        <v>41.904606443647666</v>
      </c>
      <c r="AH534" s="10">
        <f t="shared" si="157"/>
        <v>107.4477088298658</v>
      </c>
      <c r="AI534" s="63"/>
      <c r="AJ534" s="10">
        <f t="shared" si="161"/>
        <v>201.62399999999997</v>
      </c>
      <c r="AK534" s="8"/>
      <c r="AL534" s="8">
        <f t="shared" si="158"/>
        <v>100.81199999999998</v>
      </c>
    </row>
    <row r="535" spans="1:38">
      <c r="A535" s="18">
        <v>41473</v>
      </c>
      <c r="B535" s="19" t="s">
        <v>141</v>
      </c>
      <c r="C535" s="12">
        <v>100.2</v>
      </c>
      <c r="D535" s="48" t="s">
        <v>80</v>
      </c>
      <c r="E535" s="8">
        <v>8.4089200000000002</v>
      </c>
      <c r="F535" s="8">
        <v>83.312650000000005</v>
      </c>
      <c r="G535" s="22">
        <v>100</v>
      </c>
      <c r="H535" s="22">
        <v>7</v>
      </c>
      <c r="I535" s="10">
        <f t="shared" si="145"/>
        <v>14.262373326599949</v>
      </c>
      <c r="J535" s="10">
        <f t="shared" si="146"/>
        <v>0.24892537369778567</v>
      </c>
      <c r="K535" s="10">
        <v>21</v>
      </c>
      <c r="L535" s="22">
        <v>655</v>
      </c>
      <c r="M535" s="22" t="s">
        <v>54</v>
      </c>
      <c r="N535" s="8" t="s">
        <v>55</v>
      </c>
      <c r="O535" s="10" t="s">
        <v>56</v>
      </c>
      <c r="P535" s="10" t="s">
        <v>57</v>
      </c>
      <c r="Q535" s="11">
        <v>0.315</v>
      </c>
      <c r="R535" s="12" t="s">
        <v>66</v>
      </c>
      <c r="S535" s="30">
        <v>17.899999999999999</v>
      </c>
      <c r="T535" s="79">
        <f t="shared" si="162"/>
        <v>2.5165001399999998E-2</v>
      </c>
      <c r="U535" s="22">
        <v>18</v>
      </c>
      <c r="V535" s="22">
        <v>78</v>
      </c>
      <c r="W535" s="10">
        <f t="shared" si="151"/>
        <v>1.3613568165555769</v>
      </c>
      <c r="X535" s="22">
        <v>5</v>
      </c>
      <c r="Y535" s="22">
        <v>12</v>
      </c>
      <c r="Z535" s="10">
        <f t="shared" si="152"/>
        <v>0.20943951023931956</v>
      </c>
      <c r="AA535" s="10">
        <f t="shared" si="153"/>
        <v>18.646215267297297</v>
      </c>
      <c r="AB535" s="10">
        <f t="shared" si="154"/>
        <v>92.89505414609927</v>
      </c>
      <c r="AC535" s="10">
        <f t="shared" si="155"/>
        <v>11.611881768262409</v>
      </c>
      <c r="AD535" s="10">
        <f t="shared" si="159"/>
        <v>46.447527073049635</v>
      </c>
      <c r="AE535" s="65"/>
      <c r="AF535" s="10">
        <f t="shared" si="160"/>
        <v>78.710831937497403</v>
      </c>
      <c r="AG535" s="8">
        <f t="shared" si="156"/>
        <v>15.348612227811994</v>
      </c>
      <c r="AH535" s="10">
        <f t="shared" si="157"/>
        <v>39.355415968748702</v>
      </c>
      <c r="AI535" s="63"/>
      <c r="AJ535" s="10">
        <f t="shared" si="161"/>
        <v>133.94169999999997</v>
      </c>
      <c r="AK535" s="8"/>
      <c r="AL535" s="8">
        <f t="shared" si="158"/>
        <v>66.970849999999984</v>
      </c>
    </row>
    <row r="536" spans="1:38">
      <c r="A536" s="18">
        <v>41473</v>
      </c>
      <c r="B536" s="19" t="s">
        <v>141</v>
      </c>
      <c r="C536" s="12">
        <v>100.2</v>
      </c>
      <c r="D536" s="48" t="s">
        <v>80</v>
      </c>
      <c r="E536" s="8">
        <v>8.4089200000000002</v>
      </c>
      <c r="F536" s="8">
        <v>83.312650000000005</v>
      </c>
      <c r="G536" s="22">
        <v>100</v>
      </c>
      <c r="H536" s="22">
        <v>7</v>
      </c>
      <c r="I536" s="10">
        <f t="shared" ref="I536:I597" si="163">1/TAN(H536/100)</f>
        <v>14.262373326599949</v>
      </c>
      <c r="J536" s="10">
        <f t="shared" ref="J536:J597" si="164">RADIANS(I536)</f>
        <v>0.24892537369778567</v>
      </c>
      <c r="K536" s="10">
        <v>21</v>
      </c>
      <c r="L536" s="22">
        <v>659</v>
      </c>
      <c r="M536" s="22" t="s">
        <v>47</v>
      </c>
      <c r="N536" s="8" t="s">
        <v>48</v>
      </c>
      <c r="O536" s="10" t="s">
        <v>49</v>
      </c>
      <c r="P536" s="10" t="s">
        <v>50</v>
      </c>
      <c r="Q536" s="20">
        <v>0.75</v>
      </c>
      <c r="R536" s="8" t="s">
        <v>67</v>
      </c>
      <c r="S536" s="30">
        <v>18.2</v>
      </c>
      <c r="T536" s="79">
        <f t="shared" si="162"/>
        <v>2.6015589599999996E-2</v>
      </c>
      <c r="U536" s="22">
        <v>7</v>
      </c>
      <c r="V536" s="22">
        <v>40</v>
      </c>
      <c r="W536" s="10">
        <f t="shared" si="151"/>
        <v>0.69813170079773179</v>
      </c>
      <c r="X536" s="22">
        <v>5</v>
      </c>
      <c r="Y536" s="22">
        <v>14</v>
      </c>
      <c r="Z536" s="10">
        <f t="shared" si="152"/>
        <v>0.24434609527920614</v>
      </c>
      <c r="AA536" s="10">
        <f t="shared" si="153"/>
        <v>5.7091227458041125</v>
      </c>
      <c r="AB536" s="10">
        <f t="shared" si="154"/>
        <v>71.207991444117923</v>
      </c>
      <c r="AC536" s="10">
        <f t="shared" si="155"/>
        <v>8.9009989305147403</v>
      </c>
      <c r="AD536" s="10">
        <f t="shared" si="159"/>
        <v>35.603995722058961</v>
      </c>
      <c r="AE536" s="65"/>
      <c r="AF536" s="10">
        <f t="shared" si="160"/>
        <v>195.26753961833367</v>
      </c>
      <c r="AG536" s="8">
        <f t="shared" si="156"/>
        <v>38.077170225575067</v>
      </c>
      <c r="AH536" s="10">
        <f t="shared" si="157"/>
        <v>97.633769809166836</v>
      </c>
      <c r="AI536" s="63"/>
      <c r="AJ536" s="10">
        <f t="shared" si="161"/>
        <v>139.86999999999995</v>
      </c>
      <c r="AK536" s="8"/>
      <c r="AL536" s="8">
        <f t="shared" si="158"/>
        <v>69.934999999999974</v>
      </c>
    </row>
    <row r="537" spans="1:38">
      <c r="A537" s="18">
        <v>41473</v>
      </c>
      <c r="B537" s="19" t="s">
        <v>141</v>
      </c>
      <c r="C537" s="12">
        <v>100.2</v>
      </c>
      <c r="D537" s="48" t="s">
        <v>80</v>
      </c>
      <c r="E537" s="8">
        <v>8.4089200000000002</v>
      </c>
      <c r="F537" s="8">
        <v>83.312650000000005</v>
      </c>
      <c r="G537" s="22">
        <v>100</v>
      </c>
      <c r="H537" s="22">
        <v>7</v>
      </c>
      <c r="I537" s="10">
        <f t="shared" si="163"/>
        <v>14.262373326599949</v>
      </c>
      <c r="J537" s="10">
        <f t="shared" si="164"/>
        <v>0.24892537369778567</v>
      </c>
      <c r="K537" s="10">
        <v>21</v>
      </c>
      <c r="L537" s="22">
        <v>660</v>
      </c>
      <c r="M537" s="22" t="s">
        <v>47</v>
      </c>
      <c r="N537" s="8" t="s">
        <v>48</v>
      </c>
      <c r="O537" s="10" t="s">
        <v>49</v>
      </c>
      <c r="P537" s="10" t="s">
        <v>50</v>
      </c>
      <c r="Q537" s="20">
        <v>0.75</v>
      </c>
      <c r="R537" s="8" t="s">
        <v>67</v>
      </c>
      <c r="S537" s="30">
        <v>6.1</v>
      </c>
      <c r="T537" s="79">
        <f t="shared" si="162"/>
        <v>2.9224733999999998E-3</v>
      </c>
      <c r="U537" s="22">
        <v>7</v>
      </c>
      <c r="V537" s="22">
        <v>40</v>
      </c>
      <c r="W537" s="10">
        <f t="shared" si="151"/>
        <v>0.69813170079773179</v>
      </c>
      <c r="X537" s="22">
        <v>5</v>
      </c>
      <c r="Y537" s="22">
        <v>14</v>
      </c>
      <c r="Z537" s="10">
        <f t="shared" si="152"/>
        <v>0.24434609527920614</v>
      </c>
      <c r="AA537" s="10">
        <f t="shared" si="153"/>
        <v>5.7091227458041125</v>
      </c>
      <c r="AB537" s="10">
        <f t="shared" si="154"/>
        <v>9.1204153375263139</v>
      </c>
      <c r="AC537" s="10">
        <f t="shared" si="155"/>
        <v>1.1400519171907892</v>
      </c>
      <c r="AD537" s="10">
        <f t="shared" si="159"/>
        <v>4.560207668763157</v>
      </c>
      <c r="AE537" s="65"/>
      <c r="AF537" s="10">
        <f t="shared" si="160"/>
        <v>12.993472795047182</v>
      </c>
      <c r="AG537" s="8">
        <f t="shared" si="156"/>
        <v>2.5337271950342006</v>
      </c>
      <c r="AH537" s="10">
        <f t="shared" si="157"/>
        <v>6.4967363975235912</v>
      </c>
      <c r="AI537" s="63"/>
      <c r="AJ537" s="10">
        <f t="shared" si="161"/>
        <v>6.4190999999999967</v>
      </c>
      <c r="AK537" s="8"/>
      <c r="AL537" s="8">
        <f t="shared" si="158"/>
        <v>3.2095499999999983</v>
      </c>
    </row>
    <row r="538" spans="1:38">
      <c r="A538" s="18">
        <v>41473</v>
      </c>
      <c r="B538" s="19" t="s">
        <v>141</v>
      </c>
      <c r="C538" s="12">
        <v>100.2</v>
      </c>
      <c r="D538" s="48" t="s">
        <v>80</v>
      </c>
      <c r="E538" s="8">
        <v>8.4089200000000002</v>
      </c>
      <c r="F538" s="8">
        <v>83.312650000000005</v>
      </c>
      <c r="G538" s="22">
        <v>100</v>
      </c>
      <c r="H538" s="22">
        <v>7</v>
      </c>
      <c r="I538" s="10">
        <f t="shared" si="163"/>
        <v>14.262373326599949</v>
      </c>
      <c r="J538" s="10">
        <f t="shared" si="164"/>
        <v>0.24892537369778567</v>
      </c>
      <c r="K538" s="10">
        <v>21</v>
      </c>
      <c r="L538" s="22">
        <v>714</v>
      </c>
      <c r="M538" s="22" t="s">
        <v>130</v>
      </c>
      <c r="N538" s="7" t="s">
        <v>99</v>
      </c>
      <c r="O538" s="33" t="s">
        <v>99</v>
      </c>
      <c r="P538" s="33" t="s">
        <v>99</v>
      </c>
      <c r="Q538" s="7">
        <v>0.57999999999999996</v>
      </c>
      <c r="R538" s="7" t="s">
        <v>103</v>
      </c>
      <c r="S538" s="30">
        <v>8.1</v>
      </c>
      <c r="T538" s="79">
        <f t="shared" si="162"/>
        <v>5.1530094000000002E-3</v>
      </c>
      <c r="U538" s="22">
        <v>7</v>
      </c>
      <c r="V538" s="22">
        <v>60</v>
      </c>
      <c r="W538" s="10">
        <f t="shared" si="151"/>
        <v>1.0471975511965976</v>
      </c>
      <c r="X538" s="22">
        <v>5</v>
      </c>
      <c r="Y538" s="22">
        <v>20</v>
      </c>
      <c r="Z538" s="10">
        <f t="shared" si="152"/>
        <v>0.3490658503988659</v>
      </c>
      <c r="AA538" s="10">
        <f t="shared" si="153"/>
        <v>7.7722785431194144</v>
      </c>
      <c r="AB538" s="10">
        <f t="shared" si="154"/>
        <v>16.313656958379561</v>
      </c>
      <c r="AC538" s="10">
        <f t="shared" si="155"/>
        <v>2.0392071197974451</v>
      </c>
      <c r="AD538" s="10">
        <f t="shared" si="159"/>
        <v>8.1568284791897803</v>
      </c>
      <c r="AE538" s="65"/>
      <c r="AF538" s="10">
        <f t="shared" si="160"/>
        <v>20.221629961531495</v>
      </c>
      <c r="AG538" s="8">
        <f t="shared" si="156"/>
        <v>3.9432178424986417</v>
      </c>
      <c r="AH538" s="10">
        <f t="shared" si="157"/>
        <v>10.110814980765747</v>
      </c>
      <c r="AI538" s="63"/>
      <c r="AJ538" s="10">
        <f t="shared" si="161"/>
        <v>13.5291</v>
      </c>
      <c r="AK538" s="8"/>
      <c r="AL538" s="8">
        <f t="shared" si="158"/>
        <v>6.7645499999999998</v>
      </c>
    </row>
    <row r="539" spans="1:38">
      <c r="A539" s="18">
        <v>41473</v>
      </c>
      <c r="B539" s="19" t="s">
        <v>141</v>
      </c>
      <c r="C539" s="12">
        <v>100.2</v>
      </c>
      <c r="D539" s="48" t="s">
        <v>80</v>
      </c>
      <c r="E539" s="8">
        <v>8.4089200000000002</v>
      </c>
      <c r="F539" s="8">
        <v>83.312650000000005</v>
      </c>
      <c r="G539" s="22">
        <v>100</v>
      </c>
      <c r="H539" s="22">
        <v>7</v>
      </c>
      <c r="I539" s="10">
        <f t="shared" si="163"/>
        <v>14.262373326599949</v>
      </c>
      <c r="J539" s="10">
        <f t="shared" si="164"/>
        <v>0.24892537369778567</v>
      </c>
      <c r="K539" s="10">
        <v>21</v>
      </c>
      <c r="L539" s="22">
        <v>588</v>
      </c>
      <c r="M539" s="22" t="s">
        <v>72</v>
      </c>
      <c r="N539" s="22" t="s">
        <v>93</v>
      </c>
      <c r="O539" s="10" t="s">
        <v>91</v>
      </c>
      <c r="P539" s="15" t="s">
        <v>92</v>
      </c>
      <c r="Q539" s="8">
        <v>0.48</v>
      </c>
      <c r="R539" s="22" t="s">
        <v>190</v>
      </c>
      <c r="S539" s="30">
        <v>10</v>
      </c>
      <c r="T539" s="79">
        <f t="shared" si="162"/>
        <v>7.8539999999999999E-3</v>
      </c>
      <c r="U539" s="22">
        <v>8</v>
      </c>
      <c r="V539" s="22">
        <v>46</v>
      </c>
      <c r="W539" s="10">
        <f t="shared" si="151"/>
        <v>0.8028514559173916</v>
      </c>
      <c r="X539" s="22">
        <v>5</v>
      </c>
      <c r="Y539" s="22">
        <v>20</v>
      </c>
      <c r="Z539" s="10">
        <f t="shared" si="152"/>
        <v>0.3490658503988659</v>
      </c>
      <c r="AA539" s="10">
        <f t="shared" si="153"/>
        <v>7.4648191193375517</v>
      </c>
      <c r="AB539" s="10">
        <f t="shared" si="154"/>
        <v>19.537393147772789</v>
      </c>
      <c r="AC539" s="10">
        <f t="shared" si="155"/>
        <v>2.4421741434715987</v>
      </c>
      <c r="AD539" s="10">
        <f t="shared" si="159"/>
        <v>9.7686965738863947</v>
      </c>
      <c r="AE539" s="65"/>
      <c r="AF539" s="10">
        <f t="shared" si="160"/>
        <v>28.235933581188522</v>
      </c>
      <c r="AG539" s="8">
        <f t="shared" si="156"/>
        <v>5.506007048331762</v>
      </c>
      <c r="AH539" s="10">
        <f t="shared" si="157"/>
        <v>14.117966790594261</v>
      </c>
      <c r="AI539" s="63"/>
      <c r="AJ539" s="10">
        <f t="shared" si="161"/>
        <v>25.766999999999996</v>
      </c>
      <c r="AK539" s="8"/>
      <c r="AL539" s="8">
        <f t="shared" si="158"/>
        <v>12.883499999999998</v>
      </c>
    </row>
    <row r="540" spans="1:38">
      <c r="A540" s="18">
        <v>41473</v>
      </c>
      <c r="B540" s="19" t="s">
        <v>141</v>
      </c>
      <c r="C540" s="12">
        <v>100.2</v>
      </c>
      <c r="D540" s="48" t="s">
        <v>80</v>
      </c>
      <c r="E540" s="8">
        <v>8.4089200000000002</v>
      </c>
      <c r="F540" s="8">
        <v>83.312650000000005</v>
      </c>
      <c r="G540" s="22">
        <v>100</v>
      </c>
      <c r="H540" s="22">
        <v>7</v>
      </c>
      <c r="I540" s="10">
        <f t="shared" si="163"/>
        <v>14.262373326599949</v>
      </c>
      <c r="J540" s="10">
        <f t="shared" si="164"/>
        <v>0.24892537369778567</v>
      </c>
      <c r="K540" s="10">
        <v>21</v>
      </c>
      <c r="L540" s="22">
        <v>755</v>
      </c>
      <c r="M540" s="22" t="s">
        <v>107</v>
      </c>
      <c r="N540" s="22" t="s">
        <v>63</v>
      </c>
      <c r="O540" s="10" t="s">
        <v>108</v>
      </c>
      <c r="P540" s="15" t="s">
        <v>92</v>
      </c>
      <c r="Q540" s="8">
        <v>0.57999999999999996</v>
      </c>
      <c r="R540" s="22" t="s">
        <v>190</v>
      </c>
      <c r="S540" s="30">
        <v>26</v>
      </c>
      <c r="T540" s="79">
        <f t="shared" si="162"/>
        <v>5.3093040000000001E-2</v>
      </c>
      <c r="U540" s="22">
        <v>16</v>
      </c>
      <c r="V540" s="22">
        <v>58</v>
      </c>
      <c r="W540" s="10">
        <f t="shared" si="151"/>
        <v>1.0122909661567112</v>
      </c>
      <c r="X540" s="22">
        <v>7</v>
      </c>
      <c r="Y540" s="22">
        <v>17</v>
      </c>
      <c r="Z540" s="10">
        <f t="shared" si="152"/>
        <v>0.29670597283903605</v>
      </c>
      <c r="AA540" s="10">
        <f t="shared" si="153"/>
        <v>15.615371471561973</v>
      </c>
      <c r="AB540" s="10">
        <f t="shared" si="154"/>
        <v>281.56139628713686</v>
      </c>
      <c r="AC540" s="10">
        <f t="shared" si="155"/>
        <v>35.195174535892107</v>
      </c>
      <c r="AD540" s="10">
        <f t="shared" si="159"/>
        <v>140.78069814356843</v>
      </c>
      <c r="AE540" s="65"/>
      <c r="AF540" s="10">
        <f t="shared" si="160"/>
        <v>362.41912088309954</v>
      </c>
      <c r="AG540" s="8">
        <f t="shared" si="156"/>
        <v>70.671728572204415</v>
      </c>
      <c r="AH540" s="10">
        <f t="shared" si="157"/>
        <v>181.20956044154977</v>
      </c>
      <c r="AI540" s="63"/>
      <c r="AJ540" s="10">
        <f t="shared" si="161"/>
        <v>340.75900000000001</v>
      </c>
      <c r="AK540" s="8"/>
      <c r="AL540" s="8">
        <f t="shared" si="158"/>
        <v>170.37950000000001</v>
      </c>
    </row>
    <row r="541" spans="1:38">
      <c r="A541" s="18">
        <v>41473</v>
      </c>
      <c r="B541" s="19" t="s">
        <v>141</v>
      </c>
      <c r="C541" s="12">
        <v>100.2</v>
      </c>
      <c r="D541" s="48" t="s">
        <v>80</v>
      </c>
      <c r="E541" s="8">
        <v>8.4089200000000002</v>
      </c>
      <c r="F541" s="8">
        <v>83.312650000000005</v>
      </c>
      <c r="G541" s="22">
        <v>100</v>
      </c>
      <c r="H541" s="22">
        <v>7</v>
      </c>
      <c r="I541" s="10">
        <f t="shared" si="163"/>
        <v>14.262373326599949</v>
      </c>
      <c r="J541" s="10">
        <f t="shared" si="164"/>
        <v>0.24892537369778567</v>
      </c>
      <c r="K541" s="10">
        <v>21</v>
      </c>
      <c r="L541" s="22">
        <v>772</v>
      </c>
      <c r="M541" s="31" t="s">
        <v>231</v>
      </c>
      <c r="N541" s="8" t="s">
        <v>171</v>
      </c>
      <c r="O541" s="33" t="s">
        <v>99</v>
      </c>
      <c r="P541" s="33" t="s">
        <v>99</v>
      </c>
      <c r="Q541" s="7">
        <v>0.57999999999999996</v>
      </c>
      <c r="R541" s="7" t="s">
        <v>103</v>
      </c>
      <c r="S541" s="30">
        <v>7.5</v>
      </c>
      <c r="T541" s="79">
        <f t="shared" si="162"/>
        <v>4.4178749999999999E-3</v>
      </c>
      <c r="U541" s="22">
        <v>9</v>
      </c>
      <c r="V541" s="22">
        <v>52</v>
      </c>
      <c r="W541" s="10">
        <f t="shared" si="151"/>
        <v>0.90757121103705141</v>
      </c>
      <c r="X541" s="22">
        <v>5</v>
      </c>
      <c r="Y541" s="22">
        <v>20</v>
      </c>
      <c r="Z541" s="10">
        <f t="shared" si="152"/>
        <v>0.3490658503988659</v>
      </c>
      <c r="AA541" s="10">
        <f t="shared" si="153"/>
        <v>8.802197499088841</v>
      </c>
      <c r="AB541" s="10">
        <f t="shared" si="154"/>
        <v>15.86773184906375</v>
      </c>
      <c r="AC541" s="10">
        <f t="shared" si="155"/>
        <v>1.9834664811329688</v>
      </c>
      <c r="AD541" s="10">
        <f t="shared" si="159"/>
        <v>7.933865924531875</v>
      </c>
      <c r="AE541" s="65"/>
      <c r="AF541" s="10">
        <f t="shared" si="160"/>
        <v>16.714951918920377</v>
      </c>
      <c r="AG541" s="8">
        <f t="shared" si="156"/>
        <v>3.2594156241894736</v>
      </c>
      <c r="AH541" s="10">
        <f t="shared" si="157"/>
        <v>8.3574759594601886</v>
      </c>
      <c r="AI541" s="63"/>
      <c r="AJ541" s="10">
        <f t="shared" si="161"/>
        <v>10.7745</v>
      </c>
      <c r="AK541" s="8"/>
      <c r="AL541" s="8">
        <f t="shared" si="158"/>
        <v>5.3872499999999999</v>
      </c>
    </row>
    <row r="542" spans="1:38">
      <c r="A542" s="18">
        <v>41473</v>
      </c>
      <c r="B542" s="19" t="s">
        <v>141</v>
      </c>
      <c r="C542" s="12">
        <v>100.2</v>
      </c>
      <c r="D542" s="48" t="s">
        <v>80</v>
      </c>
      <c r="E542" s="8">
        <v>8.4089200000000002</v>
      </c>
      <c r="F542" s="8">
        <v>83.312650000000005</v>
      </c>
      <c r="G542" s="22">
        <v>100</v>
      </c>
      <c r="H542" s="22">
        <v>7</v>
      </c>
      <c r="I542" s="10">
        <f t="shared" si="163"/>
        <v>14.262373326599949</v>
      </c>
      <c r="J542" s="10">
        <f t="shared" si="164"/>
        <v>0.24892537369778567</v>
      </c>
      <c r="K542" s="10">
        <v>21</v>
      </c>
      <c r="L542" s="22">
        <v>781</v>
      </c>
      <c r="M542" s="22" t="s">
        <v>54</v>
      </c>
      <c r="N542" s="8" t="s">
        <v>55</v>
      </c>
      <c r="O542" s="10" t="s">
        <v>56</v>
      </c>
      <c r="P542" s="10" t="s">
        <v>57</v>
      </c>
      <c r="Q542" s="11">
        <v>0.315</v>
      </c>
      <c r="R542" s="12" t="s">
        <v>66</v>
      </c>
      <c r="S542" s="30">
        <v>25.2</v>
      </c>
      <c r="T542" s="79">
        <f t="shared" si="162"/>
        <v>4.9876041599999997E-2</v>
      </c>
      <c r="U542" s="22">
        <v>8</v>
      </c>
      <c r="V542" s="22">
        <v>75</v>
      </c>
      <c r="W542" s="10">
        <f t="shared" si="151"/>
        <v>1.3089969389957472</v>
      </c>
      <c r="X542" s="22">
        <v>5</v>
      </c>
      <c r="Y542" s="22">
        <v>17</v>
      </c>
      <c r="Z542" s="10">
        <f t="shared" si="152"/>
        <v>0.29670597283903605</v>
      </c>
      <c r="AA542" s="10">
        <f t="shared" si="153"/>
        <v>9.1892651339262308</v>
      </c>
      <c r="AB542" s="10">
        <f t="shared" si="154"/>
        <v>90.863736890339382</v>
      </c>
      <c r="AC542" s="10">
        <f t="shared" si="155"/>
        <v>11.357967111292423</v>
      </c>
      <c r="AD542" s="10">
        <f t="shared" si="159"/>
        <v>45.431868445169691</v>
      </c>
      <c r="AE542" s="65"/>
      <c r="AF542" s="10">
        <f t="shared" si="160"/>
        <v>182.40185169592007</v>
      </c>
      <c r="AG542" s="8">
        <f t="shared" si="156"/>
        <v>35.568361080704413</v>
      </c>
      <c r="AH542" s="10">
        <f t="shared" si="157"/>
        <v>91.200925847960036</v>
      </c>
      <c r="AI542" s="63"/>
      <c r="AJ542" s="10">
        <f t="shared" si="161"/>
        <v>316.01099999999997</v>
      </c>
      <c r="AK542" s="8"/>
      <c r="AL542" s="8">
        <f t="shared" si="158"/>
        <v>158.00549999999998</v>
      </c>
    </row>
    <row r="543" spans="1:38">
      <c r="A543" s="17">
        <v>41460</v>
      </c>
      <c r="B543" s="19" t="s">
        <v>34</v>
      </c>
      <c r="C543" s="28">
        <v>100.3</v>
      </c>
      <c r="D543" s="9" t="s">
        <v>80</v>
      </c>
      <c r="E543" s="8">
        <v>8.4121500000000005</v>
      </c>
      <c r="F543" s="8">
        <v>83.312619999999995</v>
      </c>
      <c r="G543" s="22">
        <v>100</v>
      </c>
      <c r="H543" s="8">
        <v>10</v>
      </c>
      <c r="I543" s="10">
        <f t="shared" si="163"/>
        <v>9.9666444232592379</v>
      </c>
      <c r="J543" s="10">
        <f t="shared" si="164"/>
        <v>0.17395076056140502</v>
      </c>
      <c r="K543" s="10">
        <v>21</v>
      </c>
      <c r="L543" s="8">
        <v>33</v>
      </c>
      <c r="M543" s="31" t="s">
        <v>231</v>
      </c>
      <c r="N543" s="8" t="s">
        <v>171</v>
      </c>
      <c r="O543" s="33" t="s">
        <v>99</v>
      </c>
      <c r="P543" s="33" t="s">
        <v>99</v>
      </c>
      <c r="Q543" s="22">
        <v>0.57999999999999996</v>
      </c>
      <c r="R543" s="22" t="s">
        <v>103</v>
      </c>
      <c r="S543" s="12">
        <v>19.8</v>
      </c>
      <c r="T543" s="79">
        <f t="shared" si="162"/>
        <v>3.0790821600000004E-2</v>
      </c>
      <c r="U543" s="8">
        <v>8</v>
      </c>
      <c r="V543" s="8">
        <v>40</v>
      </c>
      <c r="W543" s="10">
        <f t="shared" ref="W543:W584" si="165">RADIANS(V543)</f>
        <v>0.69813170079773179</v>
      </c>
      <c r="X543" s="8">
        <v>5</v>
      </c>
      <c r="Y543" s="8">
        <v>19</v>
      </c>
      <c r="Z543" s="10">
        <f t="shared" ref="Z543:Z584" si="166">RADIANS(Y543)</f>
        <v>0.33161255787892263</v>
      </c>
      <c r="AA543" s="10">
        <f t="shared" ref="AA543:AA584" si="167">(SIN(W543)*U543)+(SIN(Z543)*X543)</f>
        <v>6.7701416497780977</v>
      </c>
      <c r="AB543" s="10">
        <f t="shared" ref="AB543:AB584" si="168">0.0776*(Q543*S543^2*AA543)^0.94</f>
        <v>76.90887930418684</v>
      </c>
      <c r="AC543" s="10">
        <f t="shared" si="155"/>
        <v>9.613609913023355</v>
      </c>
      <c r="AD543" s="10">
        <f t="shared" si="159"/>
        <v>38.45443965209342</v>
      </c>
      <c r="AE543" s="65"/>
      <c r="AF543" s="10">
        <f t="shared" si="160"/>
        <v>185.91578723017079</v>
      </c>
      <c r="AG543" s="8">
        <f t="shared" si="156"/>
        <v>36.253578509883305</v>
      </c>
      <c r="AH543" s="10">
        <f t="shared" si="157"/>
        <v>92.957893615085396</v>
      </c>
      <c r="AI543" s="63"/>
      <c r="AJ543" s="10">
        <f t="shared" si="161"/>
        <v>173.73719999999997</v>
      </c>
      <c r="AK543" s="8"/>
      <c r="AL543" s="8">
        <f t="shared" si="158"/>
        <v>86.868599999999986</v>
      </c>
    </row>
    <row r="544" spans="1:38">
      <c r="A544" s="17">
        <v>41460</v>
      </c>
      <c r="B544" s="19" t="s">
        <v>34</v>
      </c>
      <c r="C544" s="28">
        <v>100.3</v>
      </c>
      <c r="D544" s="9" t="s">
        <v>80</v>
      </c>
      <c r="E544" s="8">
        <v>8.4121500000000005</v>
      </c>
      <c r="F544" s="8">
        <v>83.312619999999995</v>
      </c>
      <c r="G544" s="22">
        <v>100</v>
      </c>
      <c r="H544" s="8">
        <v>10</v>
      </c>
      <c r="I544" s="10">
        <f t="shared" si="163"/>
        <v>9.9666444232592379</v>
      </c>
      <c r="J544" s="10">
        <f t="shared" si="164"/>
        <v>0.17395076056140502</v>
      </c>
      <c r="K544" s="10">
        <v>21</v>
      </c>
      <c r="L544" s="8">
        <v>31</v>
      </c>
      <c r="M544" s="31" t="s">
        <v>231</v>
      </c>
      <c r="N544" s="8" t="s">
        <v>171</v>
      </c>
      <c r="O544" s="33" t="s">
        <v>99</v>
      </c>
      <c r="P544" s="33" t="s">
        <v>99</v>
      </c>
      <c r="Q544" s="22">
        <v>0.57999999999999996</v>
      </c>
      <c r="R544" s="22" t="s">
        <v>103</v>
      </c>
      <c r="S544" s="29">
        <v>24</v>
      </c>
      <c r="T544" s="79">
        <f t="shared" si="162"/>
        <v>4.5239040000000001E-2</v>
      </c>
      <c r="U544" s="8">
        <v>9</v>
      </c>
      <c r="V544" s="8">
        <v>47</v>
      </c>
      <c r="W544" s="10">
        <f t="shared" si="165"/>
        <v>0.82030474843733492</v>
      </c>
      <c r="X544" s="8">
        <v>5</v>
      </c>
      <c r="Y544" s="8">
        <v>19</v>
      </c>
      <c r="Z544" s="10">
        <f t="shared" si="166"/>
        <v>0.33161255787892263</v>
      </c>
      <c r="AA544" s="10">
        <f t="shared" si="167"/>
        <v>8.2100240868583167</v>
      </c>
      <c r="AB544" s="10">
        <f t="shared" si="168"/>
        <v>132.36249198612774</v>
      </c>
      <c r="AC544" s="10">
        <f t="shared" si="155"/>
        <v>16.545311498265967</v>
      </c>
      <c r="AD544" s="10">
        <f t="shared" si="159"/>
        <v>66.181245993063868</v>
      </c>
      <c r="AE544" s="65"/>
      <c r="AF544" s="10">
        <f t="shared" si="160"/>
        <v>298.13876385934225</v>
      </c>
      <c r="AG544" s="8">
        <f t="shared" si="156"/>
        <v>58.137058952571742</v>
      </c>
      <c r="AH544" s="10">
        <f t="shared" si="157"/>
        <v>149.06938192967112</v>
      </c>
      <c r="AI544" s="63"/>
      <c r="AJ544" s="10">
        <f t="shared" si="161"/>
        <v>280.66499999999996</v>
      </c>
      <c r="AK544" s="8"/>
      <c r="AL544" s="8">
        <f t="shared" si="158"/>
        <v>140.33249999999998</v>
      </c>
    </row>
    <row r="545" spans="1:38">
      <c r="A545" s="17">
        <v>41460</v>
      </c>
      <c r="B545" s="19" t="s">
        <v>34</v>
      </c>
      <c r="C545" s="28">
        <v>100.3</v>
      </c>
      <c r="D545" s="9" t="s">
        <v>80</v>
      </c>
      <c r="E545" s="8">
        <v>8.4121500000000005</v>
      </c>
      <c r="F545" s="8">
        <v>83.312619999999995</v>
      </c>
      <c r="G545" s="22">
        <v>100</v>
      </c>
      <c r="H545" s="8">
        <v>10</v>
      </c>
      <c r="I545" s="10">
        <f t="shared" si="163"/>
        <v>9.9666444232592379</v>
      </c>
      <c r="J545" s="10">
        <f t="shared" si="164"/>
        <v>0.17395076056140502</v>
      </c>
      <c r="K545" s="10">
        <v>21</v>
      </c>
      <c r="L545" s="8">
        <v>57</v>
      </c>
      <c r="M545" s="8" t="s">
        <v>36</v>
      </c>
      <c r="N545" s="8" t="s">
        <v>46</v>
      </c>
      <c r="O545" s="10" t="s">
        <v>37</v>
      </c>
      <c r="P545" s="10" t="s">
        <v>38</v>
      </c>
      <c r="Q545" s="11">
        <v>0.48</v>
      </c>
      <c r="R545" s="8" t="s">
        <v>60</v>
      </c>
      <c r="S545" s="29">
        <v>17</v>
      </c>
      <c r="T545" s="79">
        <f t="shared" si="162"/>
        <v>2.2698060000000003E-2</v>
      </c>
      <c r="U545" s="8">
        <v>7</v>
      </c>
      <c r="V545" s="8">
        <v>37</v>
      </c>
      <c r="W545" s="10">
        <f t="shared" si="165"/>
        <v>0.64577182323790194</v>
      </c>
      <c r="X545" s="8">
        <v>5</v>
      </c>
      <c r="Y545" s="8">
        <v>10</v>
      </c>
      <c r="Z545" s="10">
        <f t="shared" si="166"/>
        <v>0.17453292519943295</v>
      </c>
      <c r="AA545" s="10">
        <f t="shared" si="167"/>
        <v>5.0809460503989889</v>
      </c>
      <c r="AB545" s="10">
        <f t="shared" si="168"/>
        <v>36.902888850878846</v>
      </c>
      <c r="AC545" s="10">
        <f t="shared" si="155"/>
        <v>4.6128611063598557</v>
      </c>
      <c r="AD545" s="10">
        <f t="shared" si="159"/>
        <v>18.451444425439423</v>
      </c>
      <c r="AE545" s="65"/>
      <c r="AF545" s="10">
        <f t="shared" si="160"/>
        <v>105.56625788482448</v>
      </c>
      <c r="AG545" s="8">
        <f t="shared" si="156"/>
        <v>20.585420287540774</v>
      </c>
      <c r="AH545" s="10">
        <f t="shared" si="157"/>
        <v>52.78312894241224</v>
      </c>
      <c r="AI545" s="63"/>
      <c r="AJ545" s="10">
        <f t="shared" si="161"/>
        <v>116.95599999999997</v>
      </c>
      <c r="AK545" s="8"/>
      <c r="AL545" s="8">
        <f t="shared" si="158"/>
        <v>58.477999999999987</v>
      </c>
    </row>
    <row r="546" spans="1:38">
      <c r="A546" s="17">
        <v>41460</v>
      </c>
      <c r="B546" s="19" t="s">
        <v>34</v>
      </c>
      <c r="C546" s="28">
        <v>100.3</v>
      </c>
      <c r="D546" s="9" t="s">
        <v>80</v>
      </c>
      <c r="E546" s="8">
        <v>8.4121500000000005</v>
      </c>
      <c r="F546" s="8">
        <v>83.312619999999995</v>
      </c>
      <c r="G546" s="22">
        <v>100</v>
      </c>
      <c r="H546" s="8">
        <v>10</v>
      </c>
      <c r="I546" s="10">
        <f t="shared" si="163"/>
        <v>9.9666444232592379</v>
      </c>
      <c r="J546" s="10">
        <f t="shared" si="164"/>
        <v>0.17395076056140502</v>
      </c>
      <c r="K546" s="10">
        <v>21</v>
      </c>
      <c r="L546" s="8">
        <v>58</v>
      </c>
      <c r="M546" s="8" t="s">
        <v>36</v>
      </c>
      <c r="N546" s="8" t="s">
        <v>46</v>
      </c>
      <c r="O546" s="10" t="s">
        <v>37</v>
      </c>
      <c r="P546" s="10" t="s">
        <v>38</v>
      </c>
      <c r="Q546" s="11">
        <v>0.48</v>
      </c>
      <c r="R546" s="8" t="s">
        <v>60</v>
      </c>
      <c r="S546" s="12">
        <v>15.5</v>
      </c>
      <c r="T546" s="79">
        <f t="shared" si="162"/>
        <v>1.8869235000000002E-2</v>
      </c>
      <c r="U546" s="8">
        <f>6+3</f>
        <v>9</v>
      </c>
      <c r="V546" s="8">
        <v>51</v>
      </c>
      <c r="W546" s="10">
        <f t="shared" si="165"/>
        <v>0.89011791851710809</v>
      </c>
      <c r="X546" s="8">
        <v>5</v>
      </c>
      <c r="Y546" s="8">
        <v>11</v>
      </c>
      <c r="Z546" s="10">
        <f t="shared" si="166"/>
        <v>0.19198621771937624</v>
      </c>
      <c r="AA546" s="10">
        <f t="shared" si="167"/>
        <v>7.9483586299954618</v>
      </c>
      <c r="AB546" s="10">
        <f t="shared" si="168"/>
        <v>47.240325780129986</v>
      </c>
      <c r="AC546" s="10">
        <f t="shared" si="155"/>
        <v>5.9050407225162482</v>
      </c>
      <c r="AD546" s="10">
        <f t="shared" si="159"/>
        <v>23.620162890064993</v>
      </c>
      <c r="AE546" s="65"/>
      <c r="AF546" s="10">
        <f t="shared" si="160"/>
        <v>83.960659275525302</v>
      </c>
      <c r="AG546" s="8">
        <f t="shared" si="156"/>
        <v>16.372328558727435</v>
      </c>
      <c r="AH546" s="10">
        <f t="shared" si="157"/>
        <v>41.980329637762651</v>
      </c>
      <c r="AI546" s="63"/>
      <c r="AJ546" s="10">
        <f t="shared" si="161"/>
        <v>91.31049999999999</v>
      </c>
      <c r="AK546" s="8"/>
      <c r="AL546" s="8">
        <f t="shared" si="158"/>
        <v>45.655249999999995</v>
      </c>
    </row>
    <row r="547" spans="1:38">
      <c r="A547" s="17">
        <v>41460</v>
      </c>
      <c r="B547" s="19" t="s">
        <v>34</v>
      </c>
      <c r="C547" s="28">
        <v>100.3</v>
      </c>
      <c r="D547" s="9" t="s">
        <v>80</v>
      </c>
      <c r="E547" s="8">
        <v>8.4121500000000005</v>
      </c>
      <c r="F547" s="8">
        <v>83.312619999999995</v>
      </c>
      <c r="G547" s="22">
        <v>100</v>
      </c>
      <c r="H547" s="8">
        <v>10</v>
      </c>
      <c r="I547" s="10">
        <f t="shared" si="163"/>
        <v>9.9666444232592379</v>
      </c>
      <c r="J547" s="10">
        <f t="shared" si="164"/>
        <v>0.17395076056140502</v>
      </c>
      <c r="K547" s="10">
        <v>21</v>
      </c>
      <c r="L547" s="8">
        <v>59</v>
      </c>
      <c r="M547" s="8" t="s">
        <v>39</v>
      </c>
      <c r="N547" s="8" t="s">
        <v>69</v>
      </c>
      <c r="O547" s="10" t="s">
        <v>65</v>
      </c>
      <c r="P547" s="10" t="s">
        <v>70</v>
      </c>
      <c r="Q547" s="8">
        <v>0.37</v>
      </c>
      <c r="R547" s="8" t="s">
        <v>71</v>
      </c>
      <c r="S547" s="12">
        <v>15.5</v>
      </c>
      <c r="T547" s="79">
        <f t="shared" si="162"/>
        <v>1.8869235000000002E-2</v>
      </c>
      <c r="U547" s="8">
        <v>10</v>
      </c>
      <c r="V547" s="8">
        <v>48</v>
      </c>
      <c r="W547" s="10">
        <f t="shared" si="165"/>
        <v>0.83775804095727824</v>
      </c>
      <c r="X547" s="8">
        <v>5</v>
      </c>
      <c r="Y547" s="8">
        <v>19</v>
      </c>
      <c r="Z547" s="10">
        <f t="shared" si="166"/>
        <v>0.33161255787892263</v>
      </c>
      <c r="AA547" s="10">
        <f t="shared" si="167"/>
        <v>9.0592890270597248</v>
      </c>
      <c r="AB547" s="10">
        <f t="shared" si="168"/>
        <v>41.827644005897888</v>
      </c>
      <c r="AC547" s="10">
        <f t="shared" si="155"/>
        <v>5.228455500737236</v>
      </c>
      <c r="AD547" s="10">
        <f t="shared" si="159"/>
        <v>20.913822002948944</v>
      </c>
      <c r="AE547" s="65"/>
      <c r="AF547" s="10">
        <f t="shared" si="160"/>
        <v>64.719674858217431</v>
      </c>
      <c r="AG547" s="8">
        <f t="shared" si="156"/>
        <v>12.620336597352399</v>
      </c>
      <c r="AH547" s="10">
        <f t="shared" si="157"/>
        <v>32.359837429108715</v>
      </c>
      <c r="AI547" s="63"/>
      <c r="AJ547" s="10">
        <f t="shared" si="161"/>
        <v>91.31049999999999</v>
      </c>
      <c r="AK547" s="8"/>
      <c r="AL547" s="8">
        <f t="shared" si="158"/>
        <v>45.655249999999995</v>
      </c>
    </row>
    <row r="548" spans="1:38">
      <c r="A548" s="17">
        <v>41460</v>
      </c>
      <c r="B548" s="19" t="s">
        <v>34</v>
      </c>
      <c r="C548" s="28">
        <v>100.3</v>
      </c>
      <c r="D548" s="9" t="s">
        <v>80</v>
      </c>
      <c r="E548" s="8">
        <v>8.4121500000000005</v>
      </c>
      <c r="F548" s="8">
        <v>83.312619999999995</v>
      </c>
      <c r="G548" s="22">
        <v>100</v>
      </c>
      <c r="H548" s="8">
        <v>10</v>
      </c>
      <c r="I548" s="10">
        <f t="shared" si="163"/>
        <v>9.9666444232592379</v>
      </c>
      <c r="J548" s="10">
        <f t="shared" si="164"/>
        <v>0.17395076056140502</v>
      </c>
      <c r="K548" s="10">
        <v>21</v>
      </c>
      <c r="L548" s="8">
        <v>66</v>
      </c>
      <c r="M548" s="31" t="s">
        <v>231</v>
      </c>
      <c r="N548" s="8" t="s">
        <v>171</v>
      </c>
      <c r="O548" s="33" t="s">
        <v>99</v>
      </c>
      <c r="P548" s="33" t="s">
        <v>99</v>
      </c>
      <c r="Q548" s="22">
        <v>0.57999999999999996</v>
      </c>
      <c r="R548" s="22" t="s">
        <v>103</v>
      </c>
      <c r="S548" s="12">
        <v>27.5</v>
      </c>
      <c r="T548" s="79">
        <f t="shared" si="162"/>
        <v>5.9395875000000001E-2</v>
      </c>
      <c r="U548" s="8">
        <f>7+2</f>
        <v>9</v>
      </c>
      <c r="V548" s="8">
        <v>63</v>
      </c>
      <c r="W548" s="10">
        <f t="shared" si="165"/>
        <v>1.0995574287564276</v>
      </c>
      <c r="X548" s="8">
        <v>5</v>
      </c>
      <c r="Y548" s="8">
        <v>20</v>
      </c>
      <c r="Z548" s="10">
        <f t="shared" si="166"/>
        <v>0.3490658503988659</v>
      </c>
      <c r="AA548" s="10">
        <f t="shared" si="167"/>
        <v>9.7291594343236536</v>
      </c>
      <c r="AB548" s="10">
        <f t="shared" si="168"/>
        <v>200.54890761717351</v>
      </c>
      <c r="AC548" s="10">
        <f t="shared" si="155"/>
        <v>25.068613452146689</v>
      </c>
      <c r="AD548" s="10">
        <f t="shared" si="159"/>
        <v>100.27445380858676</v>
      </c>
      <c r="AE548" s="65"/>
      <c r="AF548" s="10">
        <f t="shared" si="160"/>
        <v>415.34304423597445</v>
      </c>
      <c r="AG548" s="8">
        <f t="shared" si="156"/>
        <v>80.991893626015013</v>
      </c>
      <c r="AH548" s="10">
        <f t="shared" si="157"/>
        <v>207.67152211798722</v>
      </c>
      <c r="AI548" s="63"/>
      <c r="AJ548" s="10">
        <f t="shared" si="161"/>
        <v>389.71449999999999</v>
      </c>
      <c r="AK548" s="8"/>
      <c r="AL548" s="8">
        <f t="shared" si="158"/>
        <v>194.85724999999999</v>
      </c>
    </row>
    <row r="549" spans="1:38">
      <c r="A549" s="17">
        <v>41460</v>
      </c>
      <c r="B549" s="19" t="s">
        <v>34</v>
      </c>
      <c r="C549" s="28">
        <v>100.3</v>
      </c>
      <c r="D549" s="9" t="s">
        <v>80</v>
      </c>
      <c r="E549" s="8">
        <v>8.4121500000000005</v>
      </c>
      <c r="F549" s="8">
        <v>83.312619999999995</v>
      </c>
      <c r="G549" s="22">
        <v>100</v>
      </c>
      <c r="H549" s="8">
        <v>10</v>
      </c>
      <c r="I549" s="10">
        <f t="shared" si="163"/>
        <v>9.9666444232592379</v>
      </c>
      <c r="J549" s="10">
        <f t="shared" si="164"/>
        <v>0.17395076056140502</v>
      </c>
      <c r="K549" s="10">
        <v>21</v>
      </c>
      <c r="L549" s="8">
        <v>64</v>
      </c>
      <c r="M549" s="22" t="s">
        <v>73</v>
      </c>
      <c r="N549" s="22" t="s">
        <v>81</v>
      </c>
      <c r="O549" s="10" t="s">
        <v>82</v>
      </c>
      <c r="P549" s="10" t="s">
        <v>83</v>
      </c>
      <c r="Q549" s="22">
        <v>0.46</v>
      </c>
      <c r="R549" s="22" t="s">
        <v>190</v>
      </c>
      <c r="S549" s="12">
        <v>40.799999999999997</v>
      </c>
      <c r="T549" s="79">
        <f t="shared" si="162"/>
        <v>0.1307408256</v>
      </c>
      <c r="U549" s="8">
        <f>12+3</f>
        <v>15</v>
      </c>
      <c r="V549" s="8">
        <v>65</v>
      </c>
      <c r="W549" s="10">
        <f t="shared" si="165"/>
        <v>1.1344640137963142</v>
      </c>
      <c r="X549" s="8">
        <v>5</v>
      </c>
      <c r="Y549" s="8">
        <v>13</v>
      </c>
      <c r="Z549" s="10">
        <f t="shared" si="166"/>
        <v>0.22689280275926285</v>
      </c>
      <c r="AA549" s="10">
        <f t="shared" si="167"/>
        <v>14.719372077269075</v>
      </c>
      <c r="AB549" s="10">
        <f t="shared" si="168"/>
        <v>499.70203283354482</v>
      </c>
      <c r="AC549" s="10">
        <f t="shared" si="155"/>
        <v>62.462754104193102</v>
      </c>
      <c r="AD549" s="10">
        <f t="shared" si="159"/>
        <v>249.85101641677241</v>
      </c>
      <c r="AE549" s="65"/>
      <c r="AF549" s="10">
        <f t="shared" si="160"/>
        <v>846.75721628846281</v>
      </c>
      <c r="AG549" s="8">
        <f t="shared" si="156"/>
        <v>165.11765717625025</v>
      </c>
      <c r="AH549" s="10">
        <f t="shared" si="157"/>
        <v>423.37860814423141</v>
      </c>
      <c r="AI549" s="63"/>
      <c r="AJ549" s="10">
        <f t="shared" si="161"/>
        <v>969.44820000000004</v>
      </c>
      <c r="AK549" s="8"/>
      <c r="AL549" s="8">
        <f t="shared" si="158"/>
        <v>484.72410000000002</v>
      </c>
    </row>
    <row r="550" spans="1:38">
      <c r="A550" s="17">
        <v>41460</v>
      </c>
      <c r="B550" s="19" t="s">
        <v>34</v>
      </c>
      <c r="C550" s="28">
        <v>100.3</v>
      </c>
      <c r="D550" s="9" t="s">
        <v>80</v>
      </c>
      <c r="E550" s="8">
        <v>8.4121500000000005</v>
      </c>
      <c r="F550" s="8">
        <v>83.312619999999995</v>
      </c>
      <c r="G550" s="22">
        <v>100</v>
      </c>
      <c r="H550" s="8">
        <v>10</v>
      </c>
      <c r="I550" s="10">
        <f t="shared" si="163"/>
        <v>9.9666444232592379</v>
      </c>
      <c r="J550" s="10">
        <f t="shared" si="164"/>
        <v>0.17395076056140502</v>
      </c>
      <c r="K550" s="10">
        <v>21</v>
      </c>
      <c r="L550" s="8">
        <v>46</v>
      </c>
      <c r="M550" s="31" t="s">
        <v>231</v>
      </c>
      <c r="N550" s="8" t="s">
        <v>171</v>
      </c>
      <c r="O550" s="33" t="s">
        <v>99</v>
      </c>
      <c r="P550" s="33" t="s">
        <v>99</v>
      </c>
      <c r="Q550" s="22">
        <v>0.57999999999999996</v>
      </c>
      <c r="R550" s="22" t="s">
        <v>103</v>
      </c>
      <c r="S550" s="12">
        <v>35.200000000000003</v>
      </c>
      <c r="T550" s="79">
        <f t="shared" si="162"/>
        <v>9.7314201600000025E-2</v>
      </c>
      <c r="U550" s="8">
        <v>13</v>
      </c>
      <c r="V550" s="8">
        <v>50</v>
      </c>
      <c r="W550" s="10">
        <f t="shared" si="165"/>
        <v>0.87266462599716477</v>
      </c>
      <c r="X550" s="8">
        <v>5</v>
      </c>
      <c r="Y550" s="8">
        <v>12</v>
      </c>
      <c r="Z550" s="10">
        <f t="shared" si="166"/>
        <v>0.20943951023931956</v>
      </c>
      <c r="AA550" s="10">
        <f t="shared" si="167"/>
        <v>10.99813621463551</v>
      </c>
      <c r="AB550" s="10">
        <f t="shared" si="168"/>
        <v>357.95150366169815</v>
      </c>
      <c r="AC550" s="10">
        <f t="shared" si="155"/>
        <v>44.743937957712269</v>
      </c>
      <c r="AD550" s="10">
        <f t="shared" si="159"/>
        <v>178.97575183084908</v>
      </c>
      <c r="AE550" s="65"/>
      <c r="AF550" s="10">
        <f t="shared" si="160"/>
        <v>752.33902732343574</v>
      </c>
      <c r="AG550" s="8">
        <f t="shared" si="156"/>
        <v>146.70611032806997</v>
      </c>
      <c r="AH550" s="10">
        <f t="shared" si="157"/>
        <v>376.16951366171787</v>
      </c>
      <c r="AI550" s="63"/>
      <c r="AJ550" s="10">
        <f t="shared" si="161"/>
        <v>693.44100000000003</v>
      </c>
      <c r="AK550" s="8"/>
      <c r="AL550" s="8">
        <f t="shared" si="158"/>
        <v>346.72050000000002</v>
      </c>
    </row>
    <row r="551" spans="1:38">
      <c r="A551" s="17">
        <v>41460</v>
      </c>
      <c r="B551" s="19" t="s">
        <v>34</v>
      </c>
      <c r="C551" s="28">
        <v>100.3</v>
      </c>
      <c r="D551" s="9" t="s">
        <v>80</v>
      </c>
      <c r="E551" s="8">
        <v>8.4121500000000005</v>
      </c>
      <c r="F551" s="8">
        <v>83.312619999999995</v>
      </c>
      <c r="G551" s="22">
        <v>100</v>
      </c>
      <c r="H551" s="8">
        <v>10</v>
      </c>
      <c r="I551" s="10">
        <f t="shared" si="163"/>
        <v>9.9666444232592379</v>
      </c>
      <c r="J551" s="10">
        <f t="shared" si="164"/>
        <v>0.17395076056140502</v>
      </c>
      <c r="K551" s="10">
        <v>21</v>
      </c>
      <c r="L551" s="8">
        <v>67</v>
      </c>
      <c r="M551" s="8" t="s">
        <v>36</v>
      </c>
      <c r="N551" s="8" t="s">
        <v>46</v>
      </c>
      <c r="O551" s="10" t="s">
        <v>37</v>
      </c>
      <c r="P551" s="10" t="s">
        <v>38</v>
      </c>
      <c r="Q551" s="11">
        <v>0.48</v>
      </c>
      <c r="R551" s="8" t="s">
        <v>60</v>
      </c>
      <c r="S551" s="12">
        <v>16.3</v>
      </c>
      <c r="T551" s="79">
        <f t="shared" si="162"/>
        <v>2.08672926E-2</v>
      </c>
      <c r="U551" s="8">
        <v>10</v>
      </c>
      <c r="V551" s="8">
        <v>31</v>
      </c>
      <c r="W551" s="10">
        <f t="shared" si="165"/>
        <v>0.54105206811824214</v>
      </c>
      <c r="X551" s="8">
        <v>6</v>
      </c>
      <c r="Y551" s="8">
        <v>14</v>
      </c>
      <c r="Z551" s="10">
        <f t="shared" si="166"/>
        <v>0.24434609527920614</v>
      </c>
      <c r="AA551" s="10">
        <f t="shared" si="167"/>
        <v>6.6019121226985487</v>
      </c>
      <c r="AB551" s="10">
        <f t="shared" si="168"/>
        <v>43.614483676024371</v>
      </c>
      <c r="AC551" s="10">
        <f t="shared" si="155"/>
        <v>5.4518104595030463</v>
      </c>
      <c r="AD551" s="10">
        <f t="shared" si="159"/>
        <v>21.807241838012185</v>
      </c>
      <c r="AE551" s="65"/>
      <c r="AF551" s="10">
        <f t="shared" si="160"/>
        <v>95.122160951174493</v>
      </c>
      <c r="AG551" s="8">
        <f t="shared" si="156"/>
        <v>18.548821385479027</v>
      </c>
      <c r="AH551" s="10">
        <f t="shared" si="157"/>
        <v>47.561080475587246</v>
      </c>
      <c r="AI551" s="63"/>
      <c r="AJ551" s="10">
        <f t="shared" si="161"/>
        <v>104.57369999999999</v>
      </c>
      <c r="AK551" s="8"/>
      <c r="AL551" s="8">
        <f t="shared" si="158"/>
        <v>52.286849999999994</v>
      </c>
    </row>
    <row r="552" spans="1:38">
      <c r="A552" s="17">
        <v>41460</v>
      </c>
      <c r="B552" s="19" t="s">
        <v>34</v>
      </c>
      <c r="C552" s="28">
        <v>100.3</v>
      </c>
      <c r="D552" s="9" t="s">
        <v>80</v>
      </c>
      <c r="E552" s="8">
        <v>8.4121500000000005</v>
      </c>
      <c r="F552" s="8">
        <v>83.312619999999995</v>
      </c>
      <c r="G552" s="22">
        <v>100</v>
      </c>
      <c r="H552" s="8">
        <v>10</v>
      </c>
      <c r="I552" s="10">
        <f t="shared" si="163"/>
        <v>9.9666444232592379</v>
      </c>
      <c r="J552" s="10">
        <f t="shared" si="164"/>
        <v>0.17395076056140502</v>
      </c>
      <c r="K552" s="10">
        <v>21</v>
      </c>
      <c r="L552" s="8">
        <v>36</v>
      </c>
      <c r="M552" s="8" t="s">
        <v>36</v>
      </c>
      <c r="N552" s="8" t="s">
        <v>46</v>
      </c>
      <c r="O552" s="10" t="s">
        <v>37</v>
      </c>
      <c r="P552" s="10" t="s">
        <v>38</v>
      </c>
      <c r="Q552" s="11">
        <v>0.48</v>
      </c>
      <c r="R552" s="8" t="s">
        <v>60</v>
      </c>
      <c r="S552" s="29">
        <v>25</v>
      </c>
      <c r="T552" s="79">
        <f t="shared" si="162"/>
        <v>4.9087499999999999E-2</v>
      </c>
      <c r="U552" s="8">
        <v>15</v>
      </c>
      <c r="V552" s="8">
        <v>53</v>
      </c>
      <c r="W552" s="10">
        <f t="shared" si="165"/>
        <v>0.92502450355699462</v>
      </c>
      <c r="X552" s="8">
        <v>6</v>
      </c>
      <c r="Y552" s="8">
        <v>13</v>
      </c>
      <c r="Z552" s="10">
        <f t="shared" si="166"/>
        <v>0.22689280275926285</v>
      </c>
      <c r="AA552" s="10">
        <f t="shared" si="167"/>
        <v>13.329238976772583</v>
      </c>
      <c r="AB552" s="10">
        <f t="shared" si="168"/>
        <v>188.65691736143123</v>
      </c>
      <c r="AC552" s="10">
        <f t="shared" si="155"/>
        <v>23.582114670178903</v>
      </c>
      <c r="AD552" s="10">
        <f t="shared" si="159"/>
        <v>94.328458680715613</v>
      </c>
      <c r="AE552" s="65"/>
      <c r="AF552" s="10">
        <f t="shared" si="160"/>
        <v>272.59688296238687</v>
      </c>
      <c r="AG552" s="8">
        <f t="shared" si="156"/>
        <v>53.156392177665438</v>
      </c>
      <c r="AH552" s="10">
        <f t="shared" si="157"/>
        <v>136.29844148119344</v>
      </c>
      <c r="AI552" s="63"/>
      <c r="AJ552" s="10">
        <f t="shared" si="161"/>
        <v>309.97199999999998</v>
      </c>
      <c r="AK552" s="8"/>
      <c r="AL552" s="8">
        <f t="shared" si="158"/>
        <v>154.98599999999999</v>
      </c>
    </row>
    <row r="553" spans="1:38">
      <c r="A553" s="17">
        <v>41460</v>
      </c>
      <c r="B553" s="19" t="s">
        <v>34</v>
      </c>
      <c r="C553" s="28">
        <v>100.3</v>
      </c>
      <c r="D553" s="9" t="s">
        <v>80</v>
      </c>
      <c r="E553" s="8">
        <v>8.4121500000000005</v>
      </c>
      <c r="F553" s="8">
        <v>83.312619999999995</v>
      </c>
      <c r="G553" s="22">
        <v>100</v>
      </c>
      <c r="H553" s="8">
        <v>10</v>
      </c>
      <c r="I553" s="10">
        <f t="shared" si="163"/>
        <v>9.9666444232592379</v>
      </c>
      <c r="J553" s="10">
        <f t="shared" si="164"/>
        <v>0.17395076056140502</v>
      </c>
      <c r="K553" s="10">
        <v>21</v>
      </c>
      <c r="L553" s="8">
        <v>37</v>
      </c>
      <c r="M553" s="8" t="s">
        <v>36</v>
      </c>
      <c r="N553" s="8" t="s">
        <v>46</v>
      </c>
      <c r="O553" s="10" t="s">
        <v>37</v>
      </c>
      <c r="P553" s="10" t="s">
        <v>38</v>
      </c>
      <c r="Q553" s="11">
        <v>0.48</v>
      </c>
      <c r="R553" s="8" t="s">
        <v>60</v>
      </c>
      <c r="S553" s="12">
        <v>18.2</v>
      </c>
      <c r="T553" s="79">
        <f t="shared" si="162"/>
        <v>2.6015589599999996E-2</v>
      </c>
      <c r="U553" s="8">
        <v>10</v>
      </c>
      <c r="V553" s="8">
        <v>52</v>
      </c>
      <c r="W553" s="10">
        <f t="shared" si="165"/>
        <v>0.90757121103705141</v>
      </c>
      <c r="X553" s="8">
        <v>5</v>
      </c>
      <c r="Y553" s="8">
        <v>10</v>
      </c>
      <c r="Z553" s="10">
        <f t="shared" si="166"/>
        <v>0.17453292519943295</v>
      </c>
      <c r="AA553" s="10">
        <f t="shared" si="167"/>
        <v>8.7483484244018719</v>
      </c>
      <c r="AB553" s="10">
        <f t="shared" si="168"/>
        <v>69.915457050376119</v>
      </c>
      <c r="AC553" s="10">
        <f t="shared" si="155"/>
        <v>8.7394321312970149</v>
      </c>
      <c r="AD553" s="10">
        <f t="shared" si="159"/>
        <v>34.95772852518806</v>
      </c>
      <c r="AE553" s="65"/>
      <c r="AF553" s="10">
        <f t="shared" si="160"/>
        <v>124.97122535573355</v>
      </c>
      <c r="AG553" s="8">
        <f t="shared" si="156"/>
        <v>24.369388944368044</v>
      </c>
      <c r="AH553" s="10">
        <f t="shared" si="157"/>
        <v>62.485612677866776</v>
      </c>
      <c r="AI553" s="63"/>
      <c r="AJ553" s="10">
        <f t="shared" si="161"/>
        <v>139.86999999999995</v>
      </c>
      <c r="AK553" s="8"/>
      <c r="AL553" s="8">
        <f t="shared" si="158"/>
        <v>69.934999999999974</v>
      </c>
    </row>
    <row r="554" spans="1:38">
      <c r="A554" s="17">
        <v>41460</v>
      </c>
      <c r="B554" s="19" t="s">
        <v>34</v>
      </c>
      <c r="C554" s="28">
        <v>100.3</v>
      </c>
      <c r="D554" s="9" t="s">
        <v>80</v>
      </c>
      <c r="E554" s="8">
        <v>8.4121500000000005</v>
      </c>
      <c r="F554" s="8">
        <v>83.312619999999995</v>
      </c>
      <c r="G554" s="22">
        <v>100</v>
      </c>
      <c r="H554" s="8">
        <v>10</v>
      </c>
      <c r="I554" s="10">
        <f t="shared" si="163"/>
        <v>9.9666444232592379</v>
      </c>
      <c r="J554" s="10">
        <f t="shared" si="164"/>
        <v>0.17395076056140502</v>
      </c>
      <c r="K554" s="10">
        <v>21</v>
      </c>
      <c r="L554" s="8">
        <v>40</v>
      </c>
      <c r="M554" s="31" t="s">
        <v>231</v>
      </c>
      <c r="N554" s="8" t="s">
        <v>171</v>
      </c>
      <c r="O554" s="33" t="s">
        <v>99</v>
      </c>
      <c r="P554" s="33" t="s">
        <v>99</v>
      </c>
      <c r="Q554" s="22">
        <v>0.57999999999999996</v>
      </c>
      <c r="R554" s="22" t="s">
        <v>103</v>
      </c>
      <c r="S554" s="29">
        <v>20</v>
      </c>
      <c r="T554" s="79">
        <f t="shared" si="162"/>
        <v>3.1415999999999999E-2</v>
      </c>
      <c r="U554" s="8">
        <f>11+4</f>
        <v>15</v>
      </c>
      <c r="V554" s="8">
        <v>77</v>
      </c>
      <c r="W554" s="10">
        <f t="shared" si="165"/>
        <v>1.3439035240356338</v>
      </c>
      <c r="X554" s="8">
        <v>6</v>
      </c>
      <c r="Y554" s="8">
        <v>10</v>
      </c>
      <c r="Z554" s="10">
        <f t="shared" si="166"/>
        <v>0.17453292519943295</v>
      </c>
      <c r="AA554" s="10">
        <f t="shared" si="167"/>
        <v>15.657440037780111</v>
      </c>
      <c r="AB554" s="10">
        <f t="shared" si="168"/>
        <v>172.36851449641591</v>
      </c>
      <c r="AC554" s="10">
        <f t="shared" si="155"/>
        <v>21.546064312051989</v>
      </c>
      <c r="AD554" s="10">
        <f t="shared" si="159"/>
        <v>86.184257248207956</v>
      </c>
      <c r="AE554" s="65"/>
      <c r="AF554" s="10">
        <f t="shared" si="160"/>
        <v>190.57756940942721</v>
      </c>
      <c r="AG554" s="8">
        <f t="shared" si="156"/>
        <v>37.162626034838304</v>
      </c>
      <c r="AH554" s="10">
        <f t="shared" si="157"/>
        <v>95.288784704713606</v>
      </c>
      <c r="AI554" s="63"/>
      <c r="AJ554" s="10">
        <f t="shared" si="161"/>
        <v>178.23699999999999</v>
      </c>
      <c r="AK554" s="8"/>
      <c r="AL554" s="8">
        <f t="shared" si="158"/>
        <v>89.118499999999997</v>
      </c>
    </row>
    <row r="555" spans="1:38">
      <c r="A555" s="17">
        <v>41460</v>
      </c>
      <c r="B555" s="19" t="s">
        <v>34</v>
      </c>
      <c r="C555" s="28">
        <v>100.3</v>
      </c>
      <c r="D555" s="9" t="s">
        <v>80</v>
      </c>
      <c r="E555" s="8">
        <v>8.4121500000000005</v>
      </c>
      <c r="F555" s="8">
        <v>83.312619999999995</v>
      </c>
      <c r="G555" s="22">
        <v>100</v>
      </c>
      <c r="H555" s="8">
        <v>10</v>
      </c>
      <c r="I555" s="10">
        <f t="shared" si="163"/>
        <v>9.9666444232592379</v>
      </c>
      <c r="J555" s="10">
        <f t="shared" si="164"/>
        <v>0.17395076056140502</v>
      </c>
      <c r="K555" s="10">
        <v>21</v>
      </c>
      <c r="L555" s="8">
        <v>56</v>
      </c>
      <c r="M555" s="31" t="s">
        <v>231</v>
      </c>
      <c r="N555" s="8" t="s">
        <v>171</v>
      </c>
      <c r="O555" s="33" t="s">
        <v>99</v>
      </c>
      <c r="P555" s="33" t="s">
        <v>99</v>
      </c>
      <c r="Q555" s="22">
        <v>0.57999999999999996</v>
      </c>
      <c r="R555" s="22" t="s">
        <v>103</v>
      </c>
      <c r="S555" s="29">
        <v>21</v>
      </c>
      <c r="T555" s="79">
        <f t="shared" si="162"/>
        <v>3.4636140000000003E-2</v>
      </c>
      <c r="U555" s="8">
        <f>11+4</f>
        <v>15</v>
      </c>
      <c r="V555" s="8">
        <v>77</v>
      </c>
      <c r="W555" s="10">
        <f t="shared" si="165"/>
        <v>1.3439035240356338</v>
      </c>
      <c r="X555" s="8">
        <v>6</v>
      </c>
      <c r="Y555" s="8">
        <v>10</v>
      </c>
      <c r="Z555" s="10">
        <f t="shared" si="166"/>
        <v>0.17453292519943295</v>
      </c>
      <c r="AA555" s="10">
        <f t="shared" si="167"/>
        <v>15.657440037780111</v>
      </c>
      <c r="AB555" s="10">
        <f t="shared" si="168"/>
        <v>188.92690980545916</v>
      </c>
      <c r="AC555" s="10">
        <f t="shared" si="155"/>
        <v>23.615863725682395</v>
      </c>
      <c r="AD555" s="10">
        <f t="shared" si="159"/>
        <v>94.46345490272958</v>
      </c>
      <c r="AE555" s="65"/>
      <c r="AF555" s="10">
        <f t="shared" si="160"/>
        <v>214.89541765973161</v>
      </c>
      <c r="AG555" s="8">
        <f t="shared" si="156"/>
        <v>41.904606443647666</v>
      </c>
      <c r="AH555" s="10">
        <f t="shared" si="157"/>
        <v>107.4477088298658</v>
      </c>
      <c r="AI555" s="63"/>
      <c r="AJ555" s="10">
        <f t="shared" si="161"/>
        <v>201.62399999999997</v>
      </c>
      <c r="AK555" s="8"/>
      <c r="AL555" s="8">
        <f t="shared" si="158"/>
        <v>100.81199999999998</v>
      </c>
    </row>
    <row r="556" spans="1:38">
      <c r="A556" s="17">
        <v>41460</v>
      </c>
      <c r="B556" s="19" t="s">
        <v>34</v>
      </c>
      <c r="C556" s="28">
        <v>100.3</v>
      </c>
      <c r="D556" s="9" t="s">
        <v>80</v>
      </c>
      <c r="E556" s="8">
        <v>8.4121500000000005</v>
      </c>
      <c r="F556" s="8">
        <v>83.312619999999995</v>
      </c>
      <c r="G556" s="22">
        <v>100</v>
      </c>
      <c r="H556" s="8">
        <v>10</v>
      </c>
      <c r="I556" s="10">
        <f t="shared" si="163"/>
        <v>9.9666444232592379</v>
      </c>
      <c r="J556" s="10">
        <f t="shared" si="164"/>
        <v>0.17395076056140502</v>
      </c>
      <c r="K556" s="10">
        <v>21</v>
      </c>
      <c r="L556" s="8">
        <v>43</v>
      </c>
      <c r="M556" s="8" t="s">
        <v>36</v>
      </c>
      <c r="N556" s="8" t="s">
        <v>46</v>
      </c>
      <c r="O556" s="10" t="s">
        <v>37</v>
      </c>
      <c r="P556" s="10" t="s">
        <v>38</v>
      </c>
      <c r="Q556" s="11">
        <v>0.48</v>
      </c>
      <c r="R556" s="8" t="s">
        <v>60</v>
      </c>
      <c r="S556" s="29">
        <v>21</v>
      </c>
      <c r="T556" s="79">
        <f t="shared" si="162"/>
        <v>3.4636140000000003E-2</v>
      </c>
      <c r="U556" s="8">
        <v>10</v>
      </c>
      <c r="V556" s="8">
        <v>63</v>
      </c>
      <c r="W556" s="10">
        <f t="shared" si="165"/>
        <v>1.0995574287564276</v>
      </c>
      <c r="X556" s="8">
        <v>5</v>
      </c>
      <c r="Y556" s="8">
        <v>10</v>
      </c>
      <c r="Z556" s="10">
        <f t="shared" si="166"/>
        <v>0.17453292519943295</v>
      </c>
      <c r="AA556" s="10">
        <f t="shared" si="167"/>
        <v>9.7783061302183309</v>
      </c>
      <c r="AB556" s="10">
        <f t="shared" si="168"/>
        <v>101.58944093873929</v>
      </c>
      <c r="AC556" s="10">
        <f t="shared" si="155"/>
        <v>12.698680117342411</v>
      </c>
      <c r="AD556" s="10">
        <f t="shared" si="159"/>
        <v>50.794720469369643</v>
      </c>
      <c r="AE556" s="65"/>
      <c r="AF556" s="10">
        <f t="shared" si="160"/>
        <v>177.84448358046754</v>
      </c>
      <c r="AG556" s="8">
        <f t="shared" si="156"/>
        <v>34.679674298191173</v>
      </c>
      <c r="AH556" s="10">
        <f t="shared" si="157"/>
        <v>88.92224179023377</v>
      </c>
      <c r="AI556" s="63"/>
      <c r="AJ556" s="10">
        <f t="shared" si="161"/>
        <v>201.62399999999997</v>
      </c>
      <c r="AK556" s="8"/>
      <c r="AL556" s="8">
        <f t="shared" si="158"/>
        <v>100.81199999999998</v>
      </c>
    </row>
    <row r="557" spans="1:38">
      <c r="A557" s="17">
        <v>41460</v>
      </c>
      <c r="B557" s="19" t="s">
        <v>34</v>
      </c>
      <c r="C557" s="28">
        <v>100.3</v>
      </c>
      <c r="D557" s="9" t="s">
        <v>80</v>
      </c>
      <c r="E557" s="8">
        <v>8.4121500000000005</v>
      </c>
      <c r="F557" s="8">
        <v>83.312619999999995</v>
      </c>
      <c r="G557" s="22">
        <v>100</v>
      </c>
      <c r="H557" s="8">
        <v>10</v>
      </c>
      <c r="I557" s="10">
        <f t="shared" si="163"/>
        <v>9.9666444232592379</v>
      </c>
      <c r="J557" s="10">
        <f t="shared" si="164"/>
        <v>0.17395076056140502</v>
      </c>
      <c r="K557" s="10">
        <v>21</v>
      </c>
      <c r="L557" s="8">
        <v>32</v>
      </c>
      <c r="M557" s="31" t="s">
        <v>231</v>
      </c>
      <c r="N557" s="8" t="s">
        <v>171</v>
      </c>
      <c r="O557" s="33" t="s">
        <v>99</v>
      </c>
      <c r="P557" s="33" t="s">
        <v>99</v>
      </c>
      <c r="Q557" s="22">
        <v>0.57999999999999996</v>
      </c>
      <c r="R557" s="22" t="s">
        <v>103</v>
      </c>
      <c r="S557" s="29">
        <v>28.4</v>
      </c>
      <c r="T557" s="79">
        <f t="shared" si="162"/>
        <v>6.33472224E-2</v>
      </c>
      <c r="U557" s="8">
        <f>10+2</f>
        <v>12</v>
      </c>
      <c r="V557" s="8">
        <v>55</v>
      </c>
      <c r="W557" s="10">
        <f t="shared" si="165"/>
        <v>0.95993108859688125</v>
      </c>
      <c r="X557" s="8">
        <v>6</v>
      </c>
      <c r="Y557" s="8">
        <v>13</v>
      </c>
      <c r="Z557" s="10">
        <f t="shared" si="166"/>
        <v>0.22689280275926285</v>
      </c>
      <c r="AA557" s="10">
        <f t="shared" si="167"/>
        <v>11.179530857531091</v>
      </c>
      <c r="AB557" s="10">
        <f t="shared" si="168"/>
        <v>242.79552547079578</v>
      </c>
      <c r="AC557" s="10">
        <f t="shared" si="155"/>
        <v>30.349440683849473</v>
      </c>
      <c r="AD557" s="10">
        <f t="shared" si="159"/>
        <v>121.39776273539789</v>
      </c>
      <c r="AE557" s="65"/>
      <c r="AF557" s="10">
        <f t="shared" si="160"/>
        <v>449.06066576672077</v>
      </c>
      <c r="AG557" s="8">
        <f t="shared" si="156"/>
        <v>87.566829824510549</v>
      </c>
      <c r="AH557" s="10">
        <f t="shared" si="157"/>
        <v>224.53033288336039</v>
      </c>
      <c r="AI557" s="63"/>
      <c r="AJ557" s="10">
        <f t="shared" si="161"/>
        <v>420.68619999999993</v>
      </c>
      <c r="AK557" s="8"/>
      <c r="AL557" s="8">
        <f t="shared" si="158"/>
        <v>210.34309999999996</v>
      </c>
    </row>
    <row r="558" spans="1:38">
      <c r="A558" s="17">
        <v>41460</v>
      </c>
      <c r="B558" s="19" t="s">
        <v>34</v>
      </c>
      <c r="C558" s="28">
        <v>100.3</v>
      </c>
      <c r="D558" s="9" t="s">
        <v>80</v>
      </c>
      <c r="E558" s="8">
        <v>8.4121500000000005</v>
      </c>
      <c r="F558" s="8">
        <v>83.312619999999995</v>
      </c>
      <c r="G558" s="22">
        <v>100</v>
      </c>
      <c r="H558" s="8">
        <v>10</v>
      </c>
      <c r="I558" s="10">
        <f t="shared" si="163"/>
        <v>9.9666444232592379</v>
      </c>
      <c r="J558" s="10">
        <f t="shared" si="164"/>
        <v>0.17395076056140502</v>
      </c>
      <c r="K558" s="10">
        <v>21</v>
      </c>
      <c r="L558" s="8">
        <v>47</v>
      </c>
      <c r="M558" s="31" t="s">
        <v>231</v>
      </c>
      <c r="N558" s="8" t="s">
        <v>171</v>
      </c>
      <c r="O558" s="33" t="s">
        <v>99</v>
      </c>
      <c r="P558" s="33" t="s">
        <v>99</v>
      </c>
      <c r="Q558" s="22">
        <v>0.57999999999999996</v>
      </c>
      <c r="R558" s="22" t="s">
        <v>103</v>
      </c>
      <c r="S558" s="29">
        <v>20.5</v>
      </c>
      <c r="T558" s="79">
        <f t="shared" si="162"/>
        <v>3.3006435000000001E-2</v>
      </c>
      <c r="U558" s="8">
        <v>14</v>
      </c>
      <c r="V558" s="8">
        <v>61</v>
      </c>
      <c r="W558" s="10">
        <f t="shared" si="165"/>
        <v>1.064650843716541</v>
      </c>
      <c r="X558" s="8">
        <v>5</v>
      </c>
      <c r="Y558" s="8">
        <v>16</v>
      </c>
      <c r="Z558" s="10">
        <f t="shared" si="166"/>
        <v>0.27925268031909273</v>
      </c>
      <c r="AA558" s="10">
        <f t="shared" si="167"/>
        <v>13.622862679036535</v>
      </c>
      <c r="AB558" s="10">
        <f t="shared" si="168"/>
        <v>158.41400363430083</v>
      </c>
      <c r="AC558" s="10">
        <f t="shared" si="155"/>
        <v>19.801750454287603</v>
      </c>
      <c r="AD558" s="10">
        <f t="shared" si="159"/>
        <v>79.207001817150413</v>
      </c>
      <c r="AE558" s="65"/>
      <c r="AF558" s="10">
        <f t="shared" si="160"/>
        <v>202.52555149056087</v>
      </c>
      <c r="AG558" s="8">
        <f t="shared" si="156"/>
        <v>39.492482540659374</v>
      </c>
      <c r="AH558" s="10">
        <f t="shared" si="157"/>
        <v>101.26277574528044</v>
      </c>
      <c r="AI558" s="63"/>
      <c r="AJ558" s="10">
        <f t="shared" si="161"/>
        <v>189.74549999999999</v>
      </c>
      <c r="AK558" s="8"/>
      <c r="AL558" s="8">
        <f t="shared" si="158"/>
        <v>94.872749999999996</v>
      </c>
    </row>
    <row r="559" spans="1:38">
      <c r="A559" s="17">
        <v>41460</v>
      </c>
      <c r="B559" s="19" t="s">
        <v>34</v>
      </c>
      <c r="C559" s="28">
        <v>100.3</v>
      </c>
      <c r="D559" s="9" t="s">
        <v>80</v>
      </c>
      <c r="E559" s="8">
        <v>8.4121500000000005</v>
      </c>
      <c r="F559" s="8">
        <v>83.312619999999995</v>
      </c>
      <c r="G559" s="22">
        <v>100</v>
      </c>
      <c r="H559" s="8">
        <v>10</v>
      </c>
      <c r="I559" s="10">
        <f t="shared" si="163"/>
        <v>9.9666444232592379</v>
      </c>
      <c r="J559" s="10">
        <f t="shared" si="164"/>
        <v>0.17395076056140502</v>
      </c>
      <c r="K559" s="10">
        <v>21</v>
      </c>
      <c r="L559" s="8">
        <v>84</v>
      </c>
      <c r="M559" s="8" t="s">
        <v>36</v>
      </c>
      <c r="N559" s="8" t="s">
        <v>46</v>
      </c>
      <c r="O559" s="10" t="s">
        <v>37</v>
      </c>
      <c r="P559" s="10" t="s">
        <v>38</v>
      </c>
      <c r="Q559" s="11">
        <v>0.48</v>
      </c>
      <c r="R559" s="8" t="s">
        <v>60</v>
      </c>
      <c r="S559" s="29">
        <v>15.5</v>
      </c>
      <c r="T559" s="79">
        <f t="shared" si="162"/>
        <v>1.8869235000000002E-2</v>
      </c>
      <c r="U559" s="8">
        <v>9</v>
      </c>
      <c r="V559" s="8">
        <v>47</v>
      </c>
      <c r="W559" s="10">
        <f t="shared" si="165"/>
        <v>0.82030474843733492</v>
      </c>
      <c r="X559" s="8">
        <v>5</v>
      </c>
      <c r="Y559" s="8">
        <v>16</v>
      </c>
      <c r="Z559" s="10">
        <f t="shared" si="166"/>
        <v>0.27925268031909273</v>
      </c>
      <c r="AA559" s="10">
        <f t="shared" si="167"/>
        <v>7.9603700936575299</v>
      </c>
      <c r="AB559" s="10">
        <f t="shared" si="168"/>
        <v>47.30742840920265</v>
      </c>
      <c r="AC559" s="10">
        <f t="shared" si="155"/>
        <v>5.9134285511503313</v>
      </c>
      <c r="AD559" s="10">
        <f t="shared" si="159"/>
        <v>23.653714204601325</v>
      </c>
      <c r="AE559" s="65"/>
      <c r="AF559" s="10">
        <f t="shared" si="160"/>
        <v>83.960659275525302</v>
      </c>
      <c r="AG559" s="8">
        <f t="shared" si="156"/>
        <v>16.372328558727435</v>
      </c>
      <c r="AH559" s="10">
        <f t="shared" si="157"/>
        <v>41.980329637762651</v>
      </c>
      <c r="AI559" s="63"/>
      <c r="AJ559" s="10">
        <f t="shared" si="161"/>
        <v>91.31049999999999</v>
      </c>
      <c r="AK559" s="8"/>
      <c r="AL559" s="8">
        <f t="shared" si="158"/>
        <v>45.655249999999995</v>
      </c>
    </row>
    <row r="560" spans="1:38">
      <c r="A560" s="17">
        <v>41460</v>
      </c>
      <c r="B560" s="19" t="s">
        <v>34</v>
      </c>
      <c r="C560" s="28">
        <v>100.3</v>
      </c>
      <c r="D560" s="9" t="s">
        <v>80</v>
      </c>
      <c r="E560" s="8">
        <v>8.4121500000000005</v>
      </c>
      <c r="F560" s="8">
        <v>83.312619999999995</v>
      </c>
      <c r="G560" s="22">
        <v>100</v>
      </c>
      <c r="H560" s="8">
        <v>10</v>
      </c>
      <c r="I560" s="10">
        <f t="shared" si="163"/>
        <v>9.9666444232592379</v>
      </c>
      <c r="J560" s="10">
        <f t="shared" si="164"/>
        <v>0.17395076056140502</v>
      </c>
      <c r="K560" s="10">
        <v>21</v>
      </c>
      <c r="L560" s="8">
        <v>85</v>
      </c>
      <c r="M560" s="8" t="s">
        <v>39</v>
      </c>
      <c r="N560" s="8" t="s">
        <v>69</v>
      </c>
      <c r="O560" s="10" t="s">
        <v>65</v>
      </c>
      <c r="P560" s="10" t="s">
        <v>70</v>
      </c>
      <c r="Q560" s="8">
        <v>0.37</v>
      </c>
      <c r="R560" s="8" t="s">
        <v>71</v>
      </c>
      <c r="S560" s="29">
        <v>17.2</v>
      </c>
      <c r="T560" s="79">
        <f t="shared" si="162"/>
        <v>2.3235273599999998E-2</v>
      </c>
      <c r="U560" s="8">
        <f>10+4</f>
        <v>14</v>
      </c>
      <c r="V560" s="8">
        <v>65</v>
      </c>
      <c r="W560" s="10">
        <f t="shared" si="165"/>
        <v>1.1344640137963142</v>
      </c>
      <c r="X560" s="8">
        <v>5</v>
      </c>
      <c r="Y560" s="8">
        <v>22</v>
      </c>
      <c r="Z560" s="10">
        <f t="shared" si="166"/>
        <v>0.38397243543875248</v>
      </c>
      <c r="AA560" s="10">
        <f t="shared" si="167"/>
        <v>14.561341985592659</v>
      </c>
      <c r="AB560" s="10">
        <f t="shared" si="168"/>
        <v>79.464680160787864</v>
      </c>
      <c r="AC560" s="10">
        <f t="shared" si="155"/>
        <v>9.933085020098483</v>
      </c>
      <c r="AD560" s="10">
        <f t="shared" si="159"/>
        <v>39.732340080393932</v>
      </c>
      <c r="AE560" s="65"/>
      <c r="AF560" s="10">
        <f t="shared" si="160"/>
        <v>83.764877698070819</v>
      </c>
      <c r="AG560" s="8">
        <f t="shared" si="156"/>
        <v>16.334151151123809</v>
      </c>
      <c r="AH560" s="10">
        <f t="shared" si="157"/>
        <v>41.88243884903541</v>
      </c>
      <c r="AI560" s="63"/>
      <c r="AJ560" s="10">
        <f t="shared" si="161"/>
        <v>120.62699999999998</v>
      </c>
      <c r="AK560" s="8"/>
      <c r="AL560" s="8">
        <f t="shared" si="158"/>
        <v>60.313499999999991</v>
      </c>
    </row>
    <row r="561" spans="1:38">
      <c r="A561" s="17">
        <v>41460</v>
      </c>
      <c r="B561" s="19" t="s">
        <v>34</v>
      </c>
      <c r="C561" s="28">
        <v>100.3</v>
      </c>
      <c r="D561" s="9" t="s">
        <v>80</v>
      </c>
      <c r="E561" s="8">
        <v>8.4121500000000005</v>
      </c>
      <c r="F561" s="8">
        <v>83.312619999999995</v>
      </c>
      <c r="G561" s="22">
        <v>100</v>
      </c>
      <c r="H561" s="8">
        <v>10</v>
      </c>
      <c r="I561" s="10">
        <f t="shared" si="163"/>
        <v>9.9666444232592379</v>
      </c>
      <c r="J561" s="10">
        <f t="shared" si="164"/>
        <v>0.17395076056140502</v>
      </c>
      <c r="K561" s="10">
        <v>21</v>
      </c>
      <c r="L561" s="8">
        <v>53</v>
      </c>
      <c r="M561" s="8" t="s">
        <v>36</v>
      </c>
      <c r="N561" s="8" t="s">
        <v>46</v>
      </c>
      <c r="O561" s="10" t="s">
        <v>37</v>
      </c>
      <c r="P561" s="10" t="s">
        <v>38</v>
      </c>
      <c r="Q561" s="11">
        <v>0.48</v>
      </c>
      <c r="R561" s="8" t="s">
        <v>60</v>
      </c>
      <c r="S561" s="29">
        <v>11</v>
      </c>
      <c r="T561" s="79">
        <f t="shared" si="162"/>
        <v>9.5033400000000007E-3</v>
      </c>
      <c r="U561" s="8">
        <v>15</v>
      </c>
      <c r="V561" s="8">
        <v>39</v>
      </c>
      <c r="W561" s="10">
        <f t="shared" si="165"/>
        <v>0.68067840827778847</v>
      </c>
      <c r="X561" s="8">
        <v>5</v>
      </c>
      <c r="Y561" s="8">
        <v>9</v>
      </c>
      <c r="Z561" s="10">
        <f t="shared" si="166"/>
        <v>0.15707963267948966</v>
      </c>
      <c r="AA561" s="10">
        <f t="shared" si="167"/>
        <v>10.221978190948715</v>
      </c>
      <c r="AB561" s="10">
        <f t="shared" si="168"/>
        <v>31.405780103021289</v>
      </c>
      <c r="AC561" s="10">
        <f t="shared" si="155"/>
        <v>3.9257225128776612</v>
      </c>
      <c r="AD561" s="10">
        <f t="shared" si="159"/>
        <v>15.702890051510645</v>
      </c>
      <c r="AE561" s="65"/>
      <c r="AF561" s="10">
        <f t="shared" si="160"/>
        <v>35.789688360173713</v>
      </c>
      <c r="AG561" s="8">
        <f t="shared" si="156"/>
        <v>6.9789892302338741</v>
      </c>
      <c r="AH561" s="10">
        <f t="shared" si="157"/>
        <v>17.894844180086857</v>
      </c>
      <c r="AI561" s="63"/>
      <c r="AJ561" s="10">
        <f t="shared" si="161"/>
        <v>34.353999999999985</v>
      </c>
      <c r="AK561" s="8"/>
      <c r="AL561" s="8">
        <f t="shared" si="158"/>
        <v>17.176999999999992</v>
      </c>
    </row>
    <row r="562" spans="1:38">
      <c r="A562" s="18">
        <v>41460</v>
      </c>
      <c r="B562" s="19" t="s">
        <v>34</v>
      </c>
      <c r="C562" s="28">
        <v>100.3</v>
      </c>
      <c r="D562" s="9" t="s">
        <v>80</v>
      </c>
      <c r="E562" s="8">
        <v>8.4121500000000005</v>
      </c>
      <c r="F562" s="8">
        <v>83.312619999999995</v>
      </c>
      <c r="G562" s="22">
        <v>100</v>
      </c>
      <c r="H562" s="8">
        <v>10</v>
      </c>
      <c r="I562" s="10">
        <f t="shared" si="163"/>
        <v>9.9666444232592379</v>
      </c>
      <c r="J562" s="10">
        <f t="shared" si="164"/>
        <v>0.17395076056140502</v>
      </c>
      <c r="K562" s="10">
        <v>21</v>
      </c>
      <c r="L562" s="8">
        <v>55</v>
      </c>
      <c r="M562" s="8" t="s">
        <v>36</v>
      </c>
      <c r="N562" s="8" t="s">
        <v>46</v>
      </c>
      <c r="O562" s="10" t="s">
        <v>37</v>
      </c>
      <c r="P562" s="10" t="s">
        <v>38</v>
      </c>
      <c r="Q562" s="11">
        <v>0.48</v>
      </c>
      <c r="R562" s="8" t="s">
        <v>60</v>
      </c>
      <c r="S562" s="12">
        <v>13.5</v>
      </c>
      <c r="T562" s="79">
        <f t="shared" si="162"/>
        <v>1.4313915E-2</v>
      </c>
      <c r="U562" s="8">
        <v>9</v>
      </c>
      <c r="V562" s="8">
        <v>72</v>
      </c>
      <c r="W562" s="10">
        <f t="shared" si="165"/>
        <v>1.2566370614359172</v>
      </c>
      <c r="X562" s="8">
        <v>5</v>
      </c>
      <c r="Y562" s="8">
        <v>7</v>
      </c>
      <c r="Z562" s="10">
        <f t="shared" si="166"/>
        <v>0.12217304763960307</v>
      </c>
      <c r="AA562" s="10">
        <f t="shared" si="167"/>
        <v>9.168855363682118</v>
      </c>
      <c r="AB562" s="10">
        <f t="shared" si="168"/>
        <v>41.670833159013952</v>
      </c>
      <c r="AC562" s="10">
        <f t="shared" si="155"/>
        <v>5.208854144876744</v>
      </c>
      <c r="AD562" s="10">
        <f t="shared" si="159"/>
        <v>20.835416579506976</v>
      </c>
      <c r="AE562" s="65"/>
      <c r="AF562" s="10">
        <f t="shared" si="160"/>
        <v>59.570061568291514</v>
      </c>
      <c r="AG562" s="8">
        <f t="shared" si="156"/>
        <v>11.616162005816845</v>
      </c>
      <c r="AH562" s="10">
        <f t="shared" si="157"/>
        <v>29.785030784145757</v>
      </c>
      <c r="AI562" s="63"/>
      <c r="AJ562" s="10">
        <f t="shared" si="161"/>
        <v>62.296500000000009</v>
      </c>
      <c r="AK562" s="8"/>
      <c r="AL562" s="8">
        <f t="shared" si="158"/>
        <v>31.148250000000004</v>
      </c>
    </row>
    <row r="563" spans="1:38">
      <c r="A563" s="18">
        <v>41460</v>
      </c>
      <c r="B563" s="19" t="s">
        <v>34</v>
      </c>
      <c r="C563" s="28">
        <v>100.3</v>
      </c>
      <c r="D563" s="9" t="s">
        <v>80</v>
      </c>
      <c r="E563" s="8">
        <v>8.4121500000000005</v>
      </c>
      <c r="F563" s="8">
        <v>83.312619999999995</v>
      </c>
      <c r="G563" s="22">
        <v>100</v>
      </c>
      <c r="H563" s="8">
        <v>10</v>
      </c>
      <c r="I563" s="10">
        <f t="shared" si="163"/>
        <v>9.9666444232592379</v>
      </c>
      <c r="J563" s="10">
        <f t="shared" si="164"/>
        <v>0.17395076056140502</v>
      </c>
      <c r="K563" s="10">
        <v>21</v>
      </c>
      <c r="L563" s="8">
        <v>41</v>
      </c>
      <c r="M563" s="8" t="s">
        <v>36</v>
      </c>
      <c r="N563" s="8" t="s">
        <v>46</v>
      </c>
      <c r="O563" s="10" t="s">
        <v>37</v>
      </c>
      <c r="P563" s="10" t="s">
        <v>38</v>
      </c>
      <c r="Q563" s="11">
        <v>0.48</v>
      </c>
      <c r="R563" s="8" t="s">
        <v>60</v>
      </c>
      <c r="S563" s="29">
        <v>12</v>
      </c>
      <c r="T563" s="79">
        <f t="shared" si="162"/>
        <v>1.130976E-2</v>
      </c>
      <c r="U563" s="8">
        <v>10</v>
      </c>
      <c r="V563" s="8">
        <v>55</v>
      </c>
      <c r="W563" s="10">
        <f t="shared" si="165"/>
        <v>0.95993108859688125</v>
      </c>
      <c r="X563" s="8">
        <v>5</v>
      </c>
      <c r="Y563" s="8">
        <v>4</v>
      </c>
      <c r="Z563" s="10">
        <f t="shared" si="166"/>
        <v>6.9813170079773182E-2</v>
      </c>
      <c r="AA563" s="10">
        <f t="shared" si="167"/>
        <v>8.5403028116105446</v>
      </c>
      <c r="AB563" s="10">
        <f t="shared" si="168"/>
        <v>31.237344011733121</v>
      </c>
      <c r="AC563" s="10">
        <f t="shared" si="155"/>
        <v>3.9046680014666402</v>
      </c>
      <c r="AD563" s="10">
        <f t="shared" si="159"/>
        <v>15.618672005866561</v>
      </c>
      <c r="AE563" s="65"/>
      <c r="AF563" s="10">
        <f t="shared" si="160"/>
        <v>44.441042596259827</v>
      </c>
      <c r="AG563" s="8">
        <f t="shared" si="156"/>
        <v>8.6660033062706674</v>
      </c>
      <c r="AH563" s="10">
        <f t="shared" si="157"/>
        <v>22.220521298129913</v>
      </c>
      <c r="AI563" s="63"/>
      <c r="AJ563" s="10">
        <f t="shared" si="161"/>
        <v>44.420999999999992</v>
      </c>
      <c r="AK563" s="8"/>
      <c r="AL563" s="8">
        <f t="shared" si="158"/>
        <v>22.210499999999996</v>
      </c>
    </row>
    <row r="564" spans="1:38">
      <c r="A564" s="18">
        <v>41460</v>
      </c>
      <c r="B564" s="19" t="s">
        <v>34</v>
      </c>
      <c r="C564" s="28">
        <v>100.3</v>
      </c>
      <c r="D564" s="9" t="s">
        <v>80</v>
      </c>
      <c r="E564" s="8">
        <v>8.4121500000000005</v>
      </c>
      <c r="F564" s="8">
        <v>83.312619999999995</v>
      </c>
      <c r="G564" s="22">
        <v>100</v>
      </c>
      <c r="H564" s="8">
        <v>10</v>
      </c>
      <c r="I564" s="10">
        <f t="shared" si="163"/>
        <v>9.9666444232592379</v>
      </c>
      <c r="J564" s="10">
        <f t="shared" si="164"/>
        <v>0.17395076056140502</v>
      </c>
      <c r="K564" s="10">
        <v>21</v>
      </c>
      <c r="L564" s="8">
        <v>35</v>
      </c>
      <c r="M564" s="22" t="s">
        <v>72</v>
      </c>
      <c r="N564" s="22" t="s">
        <v>93</v>
      </c>
      <c r="O564" s="10" t="s">
        <v>91</v>
      </c>
      <c r="P564" s="15" t="s">
        <v>92</v>
      </c>
      <c r="Q564" s="8">
        <v>0.48</v>
      </c>
      <c r="R564" s="22" t="s">
        <v>190</v>
      </c>
      <c r="S564" s="12">
        <v>6.8</v>
      </c>
      <c r="T564" s="79">
        <f t="shared" si="162"/>
        <v>3.6316895999999998E-3</v>
      </c>
      <c r="U564" s="8">
        <v>7</v>
      </c>
      <c r="V564" s="8">
        <v>44</v>
      </c>
      <c r="W564" s="10">
        <f t="shared" si="165"/>
        <v>0.76794487087750496</v>
      </c>
      <c r="X564" s="8">
        <v>5</v>
      </c>
      <c r="Y564" s="8">
        <v>13</v>
      </c>
      <c r="Z564" s="10">
        <f t="shared" si="166"/>
        <v>0.22689280275926285</v>
      </c>
      <c r="AA564" s="10">
        <f t="shared" si="167"/>
        <v>5.9873638649323055</v>
      </c>
      <c r="AB564" s="10">
        <f t="shared" si="168"/>
        <v>7.6903614645886966</v>
      </c>
      <c r="AC564" s="10">
        <f t="shared" si="155"/>
        <v>0.96129518307358708</v>
      </c>
      <c r="AD564" s="10">
        <f t="shared" si="159"/>
        <v>3.8451807322943483</v>
      </c>
      <c r="AE564" s="65"/>
      <c r="AF564" s="10">
        <f t="shared" si="160"/>
        <v>10.861716492644655</v>
      </c>
      <c r="AG564" s="8">
        <f t="shared" si="156"/>
        <v>2.1180347160657078</v>
      </c>
      <c r="AH564" s="10">
        <f t="shared" si="157"/>
        <v>5.4308582463223276</v>
      </c>
      <c r="AI564" s="63"/>
      <c r="AJ564" s="10">
        <f t="shared" si="161"/>
        <v>8.2341999999999977</v>
      </c>
      <c r="AK564" s="8"/>
      <c r="AL564" s="8">
        <f t="shared" si="158"/>
        <v>4.1170999999999989</v>
      </c>
    </row>
    <row r="565" spans="1:38">
      <c r="A565" s="18">
        <v>41460</v>
      </c>
      <c r="B565" s="19" t="s">
        <v>34</v>
      </c>
      <c r="C565" s="28">
        <v>100.3</v>
      </c>
      <c r="D565" s="9" t="s">
        <v>80</v>
      </c>
      <c r="E565" s="8">
        <v>8.4121500000000005</v>
      </c>
      <c r="F565" s="8">
        <v>83.312619999999995</v>
      </c>
      <c r="G565" s="22">
        <v>100</v>
      </c>
      <c r="H565" s="8">
        <v>10</v>
      </c>
      <c r="I565" s="10">
        <f t="shared" si="163"/>
        <v>9.9666444232592379</v>
      </c>
      <c r="J565" s="10">
        <f t="shared" si="164"/>
        <v>0.17395076056140502</v>
      </c>
      <c r="K565" s="10">
        <v>21</v>
      </c>
      <c r="L565" s="8">
        <v>64</v>
      </c>
      <c r="M565" s="22" t="s">
        <v>151</v>
      </c>
      <c r="N565" s="22" t="s">
        <v>84</v>
      </c>
      <c r="O565" s="58" t="s">
        <v>85</v>
      </c>
      <c r="P565" s="50" t="s">
        <v>86</v>
      </c>
      <c r="Q565" s="22">
        <v>0.53</v>
      </c>
      <c r="R565" s="22" t="s">
        <v>190</v>
      </c>
      <c r="S565" s="12">
        <v>10.3</v>
      </c>
      <c r="T565" s="79">
        <f t="shared" si="162"/>
        <v>8.3323086000000011E-3</v>
      </c>
      <c r="U565" s="8">
        <v>9</v>
      </c>
      <c r="V565" s="8">
        <v>57</v>
      </c>
      <c r="W565" s="10">
        <f t="shared" si="165"/>
        <v>0.99483767363676789</v>
      </c>
      <c r="X565" s="8">
        <v>5</v>
      </c>
      <c r="Y565" s="8">
        <v>14</v>
      </c>
      <c r="Z565" s="10">
        <f t="shared" si="166"/>
        <v>0.24434609527920614</v>
      </c>
      <c r="AA565" s="10">
        <f t="shared" si="167"/>
        <v>8.7576445895071551</v>
      </c>
      <c r="AB565" s="10">
        <f t="shared" si="168"/>
        <v>26.342627967069788</v>
      </c>
      <c r="AC565" s="10">
        <f t="shared" si="155"/>
        <v>3.2928284958837235</v>
      </c>
      <c r="AD565" s="10">
        <f t="shared" si="159"/>
        <v>13.171313983534894</v>
      </c>
      <c r="AE565" s="65"/>
      <c r="AF565" s="10">
        <f t="shared" si="160"/>
        <v>33.555121211015035</v>
      </c>
      <c r="AG565" s="8">
        <f t="shared" si="156"/>
        <v>6.5432486361479318</v>
      </c>
      <c r="AH565" s="10">
        <f t="shared" si="157"/>
        <v>16.777560605507517</v>
      </c>
      <c r="AI565" s="63"/>
      <c r="AJ565" s="10">
        <f t="shared" si="161"/>
        <v>28.187699999999992</v>
      </c>
      <c r="AK565" s="8"/>
      <c r="AL565" s="8">
        <f t="shared" si="158"/>
        <v>14.093849999999996</v>
      </c>
    </row>
    <row r="566" spans="1:38">
      <c r="A566" s="18">
        <v>41487</v>
      </c>
      <c r="B566" s="19" t="s">
        <v>34</v>
      </c>
      <c r="C566" s="12">
        <v>100.3</v>
      </c>
      <c r="D566" s="19" t="s">
        <v>80</v>
      </c>
      <c r="E566" s="22">
        <v>8.4121500000000005</v>
      </c>
      <c r="F566" s="22">
        <v>83.312619999999995</v>
      </c>
      <c r="G566" s="22">
        <v>100</v>
      </c>
      <c r="H566" s="22">
        <v>10</v>
      </c>
      <c r="I566" s="10">
        <f t="shared" si="163"/>
        <v>9.9666444232592379</v>
      </c>
      <c r="J566" s="10">
        <f t="shared" si="164"/>
        <v>0.17395076056140502</v>
      </c>
      <c r="K566" s="10">
        <v>21</v>
      </c>
      <c r="L566" s="22">
        <v>1103</v>
      </c>
      <c r="M566" s="22" t="s">
        <v>36</v>
      </c>
      <c r="N566" s="8" t="s">
        <v>46</v>
      </c>
      <c r="O566" s="10" t="s">
        <v>37</v>
      </c>
      <c r="P566" s="10" t="s">
        <v>38</v>
      </c>
      <c r="Q566" s="11">
        <v>0.48</v>
      </c>
      <c r="R566" s="8" t="s">
        <v>60</v>
      </c>
      <c r="S566" s="31">
        <v>16.399999999999999</v>
      </c>
      <c r="T566" s="79">
        <f t="shared" si="162"/>
        <v>2.1124118399999999E-2</v>
      </c>
      <c r="U566" s="22">
        <v>7</v>
      </c>
      <c r="V566" s="22">
        <v>30</v>
      </c>
      <c r="W566" s="10">
        <f t="shared" si="165"/>
        <v>0.52359877559829882</v>
      </c>
      <c r="X566" s="22">
        <v>6</v>
      </c>
      <c r="Y566" s="22">
        <v>24</v>
      </c>
      <c r="Z566" s="10">
        <f t="shared" si="166"/>
        <v>0.41887902047863912</v>
      </c>
      <c r="AA566" s="10">
        <f t="shared" si="167"/>
        <v>5.9404198584548009</v>
      </c>
      <c r="AB566" s="10">
        <f t="shared" si="168"/>
        <v>39.950574731670386</v>
      </c>
      <c r="AC566" s="10">
        <f t="shared" si="155"/>
        <v>4.9938218414587983</v>
      </c>
      <c r="AD566" s="10">
        <f t="shared" si="159"/>
        <v>19.975287365835193</v>
      </c>
      <c r="AE566" s="65"/>
      <c r="AF566" s="10">
        <f t="shared" si="160"/>
        <v>96.57518030829435</v>
      </c>
      <c r="AG566" s="8">
        <f t="shared" si="156"/>
        <v>18.8321601601174</v>
      </c>
      <c r="AH566" s="10">
        <f t="shared" si="157"/>
        <v>48.287590154147175</v>
      </c>
      <c r="AI566" s="63"/>
      <c r="AJ566" s="10">
        <f t="shared" si="161"/>
        <v>106.29819999999999</v>
      </c>
      <c r="AK566" s="8"/>
      <c r="AL566" s="8">
        <f t="shared" si="158"/>
        <v>53.149099999999997</v>
      </c>
    </row>
    <row r="567" spans="1:38">
      <c r="A567" s="18">
        <v>41487</v>
      </c>
      <c r="B567" s="19" t="s">
        <v>34</v>
      </c>
      <c r="C567" s="12">
        <v>100.3</v>
      </c>
      <c r="D567" s="19" t="s">
        <v>80</v>
      </c>
      <c r="E567" s="22">
        <v>8.4121500000000005</v>
      </c>
      <c r="F567" s="22">
        <v>83.312619999999995</v>
      </c>
      <c r="G567" s="22">
        <v>100</v>
      </c>
      <c r="H567" s="22">
        <v>10</v>
      </c>
      <c r="I567" s="10">
        <f t="shared" si="163"/>
        <v>9.9666444232592379</v>
      </c>
      <c r="J567" s="10">
        <f t="shared" si="164"/>
        <v>0.17395076056140502</v>
      </c>
      <c r="K567" s="10">
        <v>21</v>
      </c>
      <c r="L567" s="22">
        <v>1105</v>
      </c>
      <c r="M567" s="22" t="s">
        <v>72</v>
      </c>
      <c r="N567" s="22" t="s">
        <v>93</v>
      </c>
      <c r="O567" s="10" t="s">
        <v>91</v>
      </c>
      <c r="P567" s="15" t="s">
        <v>92</v>
      </c>
      <c r="Q567" s="8">
        <v>0.48</v>
      </c>
      <c r="R567" s="22" t="s">
        <v>190</v>
      </c>
      <c r="S567" s="31">
        <v>8.6999999999999993</v>
      </c>
      <c r="T567" s="79">
        <f t="shared" si="162"/>
        <v>5.944692599999999E-3</v>
      </c>
      <c r="U567" s="22">
        <v>8</v>
      </c>
      <c r="V567" s="22">
        <v>44</v>
      </c>
      <c r="W567" s="10">
        <f t="shared" si="165"/>
        <v>0.76794487087750496</v>
      </c>
      <c r="X567" s="22">
        <v>6</v>
      </c>
      <c r="Y567" s="22">
        <v>24</v>
      </c>
      <c r="Z567" s="10">
        <f t="shared" si="166"/>
        <v>0.41887902047863912</v>
      </c>
      <c r="AA567" s="10">
        <f t="shared" si="167"/>
        <v>7.9976868221267789</v>
      </c>
      <c r="AB567" s="10">
        <f t="shared" si="168"/>
        <v>16.043946660882369</v>
      </c>
      <c r="AC567" s="10">
        <f t="shared" si="155"/>
        <v>2.0054933326102962</v>
      </c>
      <c r="AD567" s="10">
        <f t="shared" si="159"/>
        <v>8.0219733304411847</v>
      </c>
      <c r="AE567" s="65"/>
      <c r="AF567" s="10">
        <f t="shared" si="160"/>
        <v>19.978790486275894</v>
      </c>
      <c r="AG567" s="8">
        <f t="shared" si="156"/>
        <v>3.8958641448237996</v>
      </c>
      <c r="AH567" s="10">
        <f t="shared" si="157"/>
        <v>9.9893952431379471</v>
      </c>
      <c r="AI567" s="63"/>
      <c r="AJ567" s="10">
        <f t="shared" si="161"/>
        <v>16.816499999999998</v>
      </c>
      <c r="AK567" s="8"/>
      <c r="AL567" s="8">
        <f t="shared" si="158"/>
        <v>8.4082499999999989</v>
      </c>
    </row>
    <row r="568" spans="1:38">
      <c r="A568" s="18">
        <v>41487</v>
      </c>
      <c r="B568" s="19" t="s">
        <v>34</v>
      </c>
      <c r="C568" s="12">
        <v>100.3</v>
      </c>
      <c r="D568" s="19" t="s">
        <v>80</v>
      </c>
      <c r="E568" s="22">
        <v>8.4121500000000005</v>
      </c>
      <c r="F568" s="22">
        <v>83.312619999999995</v>
      </c>
      <c r="G568" s="22">
        <v>100</v>
      </c>
      <c r="H568" s="22">
        <v>10</v>
      </c>
      <c r="I568" s="10">
        <f t="shared" si="163"/>
        <v>9.9666444232592379</v>
      </c>
      <c r="J568" s="10">
        <f t="shared" si="164"/>
        <v>0.17395076056140502</v>
      </c>
      <c r="K568" s="10">
        <v>21</v>
      </c>
      <c r="L568" s="22">
        <v>1100</v>
      </c>
      <c r="M568" s="22" t="s">
        <v>36</v>
      </c>
      <c r="N568" s="8" t="s">
        <v>46</v>
      </c>
      <c r="O568" s="10" t="s">
        <v>37</v>
      </c>
      <c r="P568" s="10" t="s">
        <v>38</v>
      </c>
      <c r="Q568" s="11">
        <v>0.48</v>
      </c>
      <c r="R568" s="8" t="s">
        <v>60</v>
      </c>
      <c r="S568" s="31">
        <v>13.8</v>
      </c>
      <c r="T568" s="79">
        <f t="shared" si="162"/>
        <v>1.4957157600000003E-2</v>
      </c>
      <c r="U568" s="22">
        <v>8</v>
      </c>
      <c r="V568" s="22">
        <v>40</v>
      </c>
      <c r="W568" s="10">
        <f t="shared" si="165"/>
        <v>0.69813170079773179</v>
      </c>
      <c r="X568" s="22">
        <v>7</v>
      </c>
      <c r="Y568" s="22">
        <v>0</v>
      </c>
      <c r="Z568" s="10">
        <f t="shared" si="166"/>
        <v>0</v>
      </c>
      <c r="AA568" s="10">
        <f t="shared" si="167"/>
        <v>5.142300877492314</v>
      </c>
      <c r="AB568" s="10">
        <f t="shared" si="168"/>
        <v>25.216755150154356</v>
      </c>
      <c r="AC568" s="10">
        <f t="shared" si="155"/>
        <v>3.1520943937692945</v>
      </c>
      <c r="AD568" s="10">
        <f t="shared" si="159"/>
        <v>12.608377575077178</v>
      </c>
      <c r="AE568" s="65"/>
      <c r="AF568" s="10">
        <f t="shared" si="160"/>
        <v>62.915756610414398</v>
      </c>
      <c r="AG568" s="8">
        <f t="shared" si="156"/>
        <v>12.268572539030808</v>
      </c>
      <c r="AH568" s="10">
        <f t="shared" si="157"/>
        <v>31.457878305207199</v>
      </c>
      <c r="AI568" s="63"/>
      <c r="AJ568" s="10">
        <f t="shared" si="161"/>
        <v>66.271200000000022</v>
      </c>
      <c r="AK568" s="8"/>
      <c r="AL568" s="8">
        <f t="shared" si="158"/>
        <v>33.135600000000011</v>
      </c>
    </row>
    <row r="569" spans="1:38">
      <c r="A569" s="18">
        <v>41487</v>
      </c>
      <c r="B569" s="19" t="s">
        <v>34</v>
      </c>
      <c r="C569" s="12">
        <v>100.3</v>
      </c>
      <c r="D569" s="19" t="s">
        <v>80</v>
      </c>
      <c r="E569" s="22">
        <v>8.4121500000000005</v>
      </c>
      <c r="F569" s="22">
        <v>83.312619999999995</v>
      </c>
      <c r="G569" s="22">
        <v>100</v>
      </c>
      <c r="H569" s="22">
        <v>10</v>
      </c>
      <c r="I569" s="10">
        <f t="shared" si="163"/>
        <v>9.9666444232592379</v>
      </c>
      <c r="J569" s="10">
        <f t="shared" si="164"/>
        <v>0.17395076056140502</v>
      </c>
      <c r="K569" s="10">
        <v>21</v>
      </c>
      <c r="L569" s="22">
        <v>1106</v>
      </c>
      <c r="M569" s="31" t="s">
        <v>231</v>
      </c>
      <c r="N569" s="8" t="s">
        <v>171</v>
      </c>
      <c r="O569" s="10" t="s">
        <v>99</v>
      </c>
      <c r="P569" s="10" t="s">
        <v>99</v>
      </c>
      <c r="Q569" s="22">
        <v>0.57999999999999996</v>
      </c>
      <c r="R569" s="22" t="s">
        <v>103</v>
      </c>
      <c r="S569" s="31">
        <v>5.3</v>
      </c>
      <c r="T569" s="79">
        <f t="shared" si="162"/>
        <v>2.2061886000000002E-3</v>
      </c>
      <c r="U569" s="22">
        <v>5</v>
      </c>
      <c r="V569" s="22">
        <v>30</v>
      </c>
      <c r="W569" s="10">
        <f t="shared" si="165"/>
        <v>0.52359877559829882</v>
      </c>
      <c r="X569" s="22">
        <v>6</v>
      </c>
      <c r="Y569" s="22">
        <v>15</v>
      </c>
      <c r="Z569" s="10">
        <f t="shared" si="166"/>
        <v>0.26179938779914941</v>
      </c>
      <c r="AA569" s="10">
        <f t="shared" si="167"/>
        <v>4.0529142706151244</v>
      </c>
      <c r="AB569" s="10">
        <f t="shared" si="168"/>
        <v>3.9849606974128542</v>
      </c>
      <c r="AC569" s="10">
        <f t="shared" si="155"/>
        <v>0.49812008717660677</v>
      </c>
      <c r="AD569" s="10">
        <f t="shared" si="159"/>
        <v>1.9924803487064271</v>
      </c>
      <c r="AE569" s="65"/>
      <c r="AF569" s="10">
        <f t="shared" si="160"/>
        <v>7.1257426008349691</v>
      </c>
      <c r="AG569" s="8">
        <f t="shared" si="156"/>
        <v>1.389519807162819</v>
      </c>
      <c r="AH569" s="10">
        <f t="shared" si="157"/>
        <v>3.5628713004174846</v>
      </c>
      <c r="AI569" s="63"/>
      <c r="AJ569" s="10">
        <f t="shared" si="161"/>
        <v>5.2326999999999977</v>
      </c>
      <c r="AK569" s="8"/>
      <c r="AL569" s="8">
        <f t="shared" si="158"/>
        <v>2.6163499999999988</v>
      </c>
    </row>
    <row r="570" spans="1:38">
      <c r="A570" s="18">
        <v>41487</v>
      </c>
      <c r="B570" s="19" t="s">
        <v>34</v>
      </c>
      <c r="C570" s="12">
        <v>100.3</v>
      </c>
      <c r="D570" s="19" t="s">
        <v>80</v>
      </c>
      <c r="E570" s="22">
        <v>8.4121500000000005</v>
      </c>
      <c r="F570" s="22">
        <v>83.312619999999995</v>
      </c>
      <c r="G570" s="22">
        <v>100</v>
      </c>
      <c r="H570" s="22">
        <v>10</v>
      </c>
      <c r="I570" s="10">
        <f t="shared" si="163"/>
        <v>9.9666444232592379</v>
      </c>
      <c r="J570" s="10">
        <f t="shared" si="164"/>
        <v>0.17395076056140502</v>
      </c>
      <c r="K570" s="10">
        <v>21</v>
      </c>
      <c r="L570" s="22">
        <v>1116</v>
      </c>
      <c r="M570" s="22" t="s">
        <v>36</v>
      </c>
      <c r="N570" s="8" t="s">
        <v>46</v>
      </c>
      <c r="O570" s="10" t="s">
        <v>37</v>
      </c>
      <c r="P570" s="10" t="s">
        <v>38</v>
      </c>
      <c r="Q570" s="11">
        <v>0.48</v>
      </c>
      <c r="R570" s="8" t="s">
        <v>60</v>
      </c>
      <c r="S570" s="31">
        <v>11.5</v>
      </c>
      <c r="T570" s="79">
        <f t="shared" si="162"/>
        <v>1.0386915E-2</v>
      </c>
      <c r="U570" s="22">
        <v>6</v>
      </c>
      <c r="V570" s="22">
        <v>20</v>
      </c>
      <c r="W570" s="10">
        <f t="shared" si="165"/>
        <v>0.3490658503988659</v>
      </c>
      <c r="X570" s="22">
        <v>6</v>
      </c>
      <c r="Y570" s="22">
        <v>25</v>
      </c>
      <c r="Z570" s="10">
        <f t="shared" si="166"/>
        <v>0.43633231299858238</v>
      </c>
      <c r="AA570" s="10">
        <f t="shared" si="167"/>
        <v>4.5878304303982089</v>
      </c>
      <c r="AB570" s="10">
        <f t="shared" si="168"/>
        <v>16.078715118375055</v>
      </c>
      <c r="AC570" s="10">
        <f t="shared" si="155"/>
        <v>2.0098393897968818</v>
      </c>
      <c r="AD570" s="10">
        <f t="shared" si="159"/>
        <v>8.0393575591875273</v>
      </c>
      <c r="AE570" s="65"/>
      <c r="AF570" s="10">
        <f t="shared" si="160"/>
        <v>39.975367927888335</v>
      </c>
      <c r="AG570" s="8">
        <f t="shared" si="156"/>
        <v>7.7951967459382256</v>
      </c>
      <c r="AH570" s="10">
        <f t="shared" si="157"/>
        <v>19.987683963944168</v>
      </c>
      <c r="AI570" s="63"/>
      <c r="AJ570" s="10">
        <f t="shared" si="161"/>
        <v>39.202499999999986</v>
      </c>
      <c r="AK570" s="8"/>
      <c r="AL570" s="8">
        <f t="shared" si="158"/>
        <v>19.601249999999993</v>
      </c>
    </row>
    <row r="571" spans="1:38">
      <c r="A571" s="18">
        <v>41487</v>
      </c>
      <c r="B571" s="19" t="s">
        <v>34</v>
      </c>
      <c r="C571" s="12">
        <v>100.3</v>
      </c>
      <c r="D571" s="19" t="s">
        <v>80</v>
      </c>
      <c r="E571" s="22">
        <v>8.4121500000000005</v>
      </c>
      <c r="F571" s="22">
        <v>83.312619999999995</v>
      </c>
      <c r="G571" s="22">
        <v>100</v>
      </c>
      <c r="H571" s="22">
        <v>10</v>
      </c>
      <c r="I571" s="10">
        <f t="shared" si="163"/>
        <v>9.9666444232592379</v>
      </c>
      <c r="J571" s="10">
        <f t="shared" si="164"/>
        <v>0.17395076056140502</v>
      </c>
      <c r="K571" s="10">
        <v>21</v>
      </c>
      <c r="L571" s="22">
        <v>1104</v>
      </c>
      <c r="M571" s="22" t="s">
        <v>36</v>
      </c>
      <c r="N571" s="8" t="s">
        <v>46</v>
      </c>
      <c r="O571" s="10" t="s">
        <v>37</v>
      </c>
      <c r="P571" s="10" t="s">
        <v>38</v>
      </c>
      <c r="Q571" s="11">
        <v>0.48</v>
      </c>
      <c r="R571" s="8" t="s">
        <v>60</v>
      </c>
      <c r="S571" s="31">
        <v>11.2</v>
      </c>
      <c r="T571" s="79">
        <f t="shared" si="162"/>
        <v>9.8520575999999985E-3</v>
      </c>
      <c r="U571" s="22">
        <v>6</v>
      </c>
      <c r="V571" s="22">
        <v>20</v>
      </c>
      <c r="W571" s="10">
        <f t="shared" si="165"/>
        <v>0.3490658503988659</v>
      </c>
      <c r="X571" s="22">
        <v>6</v>
      </c>
      <c r="Y571" s="22">
        <v>25</v>
      </c>
      <c r="Z571" s="10">
        <f t="shared" si="166"/>
        <v>0.43633231299858238</v>
      </c>
      <c r="AA571" s="10">
        <f t="shared" si="167"/>
        <v>4.5878304303982089</v>
      </c>
      <c r="AB571" s="10">
        <f t="shared" si="168"/>
        <v>15.29921977035394</v>
      </c>
      <c r="AC571" s="10">
        <f t="shared" si="155"/>
        <v>1.9124024712942425</v>
      </c>
      <c r="AD571" s="10">
        <f t="shared" si="159"/>
        <v>7.6496098851769698</v>
      </c>
      <c r="AE571" s="65"/>
      <c r="AF571" s="10">
        <f t="shared" si="160"/>
        <v>37.430709852185529</v>
      </c>
      <c r="AG571" s="8">
        <f t="shared" si="156"/>
        <v>7.2989884211761789</v>
      </c>
      <c r="AH571" s="10">
        <f t="shared" si="157"/>
        <v>18.715354926092765</v>
      </c>
      <c r="AI571" s="63"/>
      <c r="AJ571" s="10">
        <f t="shared" si="161"/>
        <v>36.248999999999981</v>
      </c>
      <c r="AK571" s="8"/>
      <c r="AL571" s="8">
        <f t="shared" si="158"/>
        <v>18.124499999999991</v>
      </c>
    </row>
    <row r="572" spans="1:38">
      <c r="A572" s="18">
        <v>41487</v>
      </c>
      <c r="B572" s="19" t="s">
        <v>34</v>
      </c>
      <c r="C572" s="12">
        <v>100.3</v>
      </c>
      <c r="D572" s="19" t="s">
        <v>80</v>
      </c>
      <c r="E572" s="22">
        <v>8.4121500000000005</v>
      </c>
      <c r="F572" s="22">
        <v>83.312619999999995</v>
      </c>
      <c r="G572" s="22">
        <v>100</v>
      </c>
      <c r="H572" s="22">
        <v>10</v>
      </c>
      <c r="I572" s="10">
        <f t="shared" si="163"/>
        <v>9.9666444232592379</v>
      </c>
      <c r="J572" s="10">
        <f t="shared" si="164"/>
        <v>0.17395076056140502</v>
      </c>
      <c r="K572" s="10">
        <v>21</v>
      </c>
      <c r="L572" s="22">
        <v>1107</v>
      </c>
      <c r="M572" s="22" t="s">
        <v>36</v>
      </c>
      <c r="N572" s="8" t="s">
        <v>46</v>
      </c>
      <c r="O572" s="10" t="s">
        <v>37</v>
      </c>
      <c r="P572" s="10" t="s">
        <v>38</v>
      </c>
      <c r="Q572" s="11">
        <v>0.48</v>
      </c>
      <c r="R572" s="8" t="s">
        <v>60</v>
      </c>
      <c r="S572" s="31">
        <v>9.1999999999999993</v>
      </c>
      <c r="T572" s="79">
        <f t="shared" si="162"/>
        <v>6.6476255999999992E-3</v>
      </c>
      <c r="U572" s="22">
        <v>6</v>
      </c>
      <c r="V572" s="22">
        <v>20</v>
      </c>
      <c r="W572" s="10">
        <f t="shared" si="165"/>
        <v>0.3490658503988659</v>
      </c>
      <c r="X572" s="22">
        <v>6</v>
      </c>
      <c r="Y572" s="22">
        <v>25</v>
      </c>
      <c r="Z572" s="10">
        <f t="shared" si="166"/>
        <v>0.43633231299858238</v>
      </c>
      <c r="AA572" s="10">
        <f t="shared" si="167"/>
        <v>4.5878304303982089</v>
      </c>
      <c r="AB572" s="10">
        <f t="shared" si="168"/>
        <v>10.569647799004459</v>
      </c>
      <c r="AC572" s="10">
        <f t="shared" ref="AC572:AC633" si="169">AB572*0.125</f>
        <v>1.3212059748755574</v>
      </c>
      <c r="AD572" s="10">
        <f t="shared" si="159"/>
        <v>5.2848238995022294</v>
      </c>
      <c r="AE572" s="65"/>
      <c r="AF572" s="10">
        <f t="shared" si="160"/>
        <v>22.951606844819594</v>
      </c>
      <c r="AG572" s="8">
        <f t="shared" ref="AG572:AG633" si="170">AF572*0.195</f>
        <v>4.4755633347398209</v>
      </c>
      <c r="AH572" s="10">
        <f t="shared" ref="AH572:AH633" si="171">AF572/2</f>
        <v>11.475803422409797</v>
      </c>
      <c r="AI572" s="63"/>
      <c r="AJ572" s="10">
        <f t="shared" si="161"/>
        <v>19.962999999999994</v>
      </c>
      <c r="AK572" s="8"/>
      <c r="AL572" s="8">
        <f t="shared" ref="AL572:AL633" si="172">AJ572/2</f>
        <v>9.9814999999999969</v>
      </c>
    </row>
    <row r="573" spans="1:38">
      <c r="A573" s="18">
        <v>41487</v>
      </c>
      <c r="B573" s="19" t="s">
        <v>34</v>
      </c>
      <c r="C573" s="12">
        <v>100.3</v>
      </c>
      <c r="D573" s="19" t="s">
        <v>80</v>
      </c>
      <c r="E573" s="22">
        <v>8.4121500000000005</v>
      </c>
      <c r="F573" s="22">
        <v>83.312619999999995</v>
      </c>
      <c r="G573" s="22">
        <v>100</v>
      </c>
      <c r="H573" s="22">
        <v>10</v>
      </c>
      <c r="I573" s="10">
        <f t="shared" si="163"/>
        <v>9.9666444232592379</v>
      </c>
      <c r="J573" s="10">
        <f t="shared" si="164"/>
        <v>0.17395076056140502</v>
      </c>
      <c r="K573" s="10">
        <v>21</v>
      </c>
      <c r="L573" s="22">
        <v>1101</v>
      </c>
      <c r="M573" s="22" t="s">
        <v>72</v>
      </c>
      <c r="N573" s="22" t="s">
        <v>93</v>
      </c>
      <c r="O573" s="10" t="s">
        <v>91</v>
      </c>
      <c r="P573" s="15" t="s">
        <v>92</v>
      </c>
      <c r="Q573" s="8">
        <v>0.48</v>
      </c>
      <c r="R573" s="22" t="s">
        <v>190</v>
      </c>
      <c r="S573" s="31">
        <v>8.8000000000000007</v>
      </c>
      <c r="T573" s="79">
        <f t="shared" si="162"/>
        <v>6.0821376000000016E-3</v>
      </c>
      <c r="U573" s="22">
        <v>10</v>
      </c>
      <c r="V573" s="22">
        <v>40</v>
      </c>
      <c r="W573" s="10">
        <f t="shared" si="165"/>
        <v>0.69813170079773179</v>
      </c>
      <c r="X573" s="22">
        <v>6</v>
      </c>
      <c r="Y573" s="22">
        <v>20</v>
      </c>
      <c r="Z573" s="10">
        <f t="shared" si="166"/>
        <v>0.3490658503988659</v>
      </c>
      <c r="AA573" s="10">
        <f t="shared" si="167"/>
        <v>8.4799969568194058</v>
      </c>
      <c r="AB573" s="10">
        <f t="shared" si="168"/>
        <v>17.31999900183812</v>
      </c>
      <c r="AC573" s="10">
        <f t="shared" si="169"/>
        <v>2.164999875229765</v>
      </c>
      <c r="AD573" s="10">
        <f t="shared" si="159"/>
        <v>8.65999950091906</v>
      </c>
      <c r="AE573" s="65"/>
      <c r="AF573" s="10">
        <f t="shared" si="160"/>
        <v>20.553476214599119</v>
      </c>
      <c r="AG573" s="8">
        <f t="shared" si="170"/>
        <v>4.0079278618468281</v>
      </c>
      <c r="AH573" s="10">
        <f t="shared" si="171"/>
        <v>10.276738107299559</v>
      </c>
      <c r="AI573" s="63"/>
      <c r="AJ573" s="10">
        <f t="shared" si="161"/>
        <v>17.416199999999996</v>
      </c>
      <c r="AK573" s="8"/>
      <c r="AL573" s="8">
        <f t="shared" si="172"/>
        <v>8.7080999999999982</v>
      </c>
    </row>
    <row r="574" spans="1:38">
      <c r="A574" s="18">
        <v>41487</v>
      </c>
      <c r="B574" s="19" t="s">
        <v>34</v>
      </c>
      <c r="C574" s="12">
        <v>100.3</v>
      </c>
      <c r="D574" s="19" t="s">
        <v>80</v>
      </c>
      <c r="E574" s="22">
        <v>8.4121500000000005</v>
      </c>
      <c r="F574" s="22">
        <v>83.312619999999995</v>
      </c>
      <c r="G574" s="22">
        <v>100</v>
      </c>
      <c r="H574" s="22">
        <v>10</v>
      </c>
      <c r="I574" s="10">
        <f t="shared" si="163"/>
        <v>9.9666444232592379</v>
      </c>
      <c r="J574" s="10">
        <f t="shared" si="164"/>
        <v>0.17395076056140502</v>
      </c>
      <c r="K574" s="10">
        <v>21</v>
      </c>
      <c r="L574" s="22">
        <v>1114</v>
      </c>
      <c r="M574" s="22" t="s">
        <v>151</v>
      </c>
      <c r="N574" s="22" t="s">
        <v>84</v>
      </c>
      <c r="O574" s="58" t="s">
        <v>85</v>
      </c>
      <c r="P574" s="50" t="s">
        <v>86</v>
      </c>
      <c r="Q574" s="22">
        <v>0.53</v>
      </c>
      <c r="R574" s="22" t="s">
        <v>190</v>
      </c>
      <c r="S574" s="31">
        <v>5.5</v>
      </c>
      <c r="T574" s="79">
        <f t="shared" si="162"/>
        <v>2.3758350000000002E-3</v>
      </c>
      <c r="U574" s="22">
        <v>6</v>
      </c>
      <c r="V574" s="22">
        <v>20</v>
      </c>
      <c r="W574" s="10">
        <f t="shared" si="165"/>
        <v>0.3490658503988659</v>
      </c>
      <c r="X574" s="22">
        <v>6</v>
      </c>
      <c r="Y574" s="22">
        <v>25</v>
      </c>
      <c r="Z574" s="10">
        <f t="shared" si="166"/>
        <v>0.43633231299858238</v>
      </c>
      <c r="AA574" s="10">
        <f t="shared" si="167"/>
        <v>4.5878304303982089</v>
      </c>
      <c r="AB574" s="10">
        <f t="shared" si="168"/>
        <v>4.4103576695847808</v>
      </c>
      <c r="AC574" s="10">
        <f t="shared" si="169"/>
        <v>0.5512947086980976</v>
      </c>
      <c r="AD574" s="10">
        <f t="shared" si="159"/>
        <v>2.2051788347923904</v>
      </c>
      <c r="AE574" s="65"/>
      <c r="AF574" s="10">
        <f t="shared" si="160"/>
        <v>7.1269546608048193</v>
      </c>
      <c r="AG574" s="8">
        <f t="shared" si="170"/>
        <v>1.3897561588569398</v>
      </c>
      <c r="AH574" s="10">
        <f t="shared" si="171"/>
        <v>3.5634773304024097</v>
      </c>
      <c r="AI574" s="63"/>
      <c r="AJ574" s="10">
        <f t="shared" si="161"/>
        <v>5.4404999999999966</v>
      </c>
      <c r="AK574" s="8"/>
      <c r="AL574" s="8">
        <f t="shared" si="172"/>
        <v>2.7202499999999983</v>
      </c>
    </row>
    <row r="575" spans="1:38">
      <c r="A575" s="18">
        <v>41487</v>
      </c>
      <c r="B575" s="19" t="s">
        <v>34</v>
      </c>
      <c r="C575" s="12">
        <v>100.3</v>
      </c>
      <c r="D575" s="19" t="s">
        <v>80</v>
      </c>
      <c r="E575" s="22">
        <v>8.4121500000000005</v>
      </c>
      <c r="F575" s="22">
        <v>83.312619999999995</v>
      </c>
      <c r="G575" s="22">
        <v>100</v>
      </c>
      <c r="H575" s="22">
        <v>10</v>
      </c>
      <c r="I575" s="10">
        <f t="shared" si="163"/>
        <v>9.9666444232592379</v>
      </c>
      <c r="J575" s="10">
        <f t="shared" si="164"/>
        <v>0.17395076056140502</v>
      </c>
      <c r="K575" s="10">
        <v>21</v>
      </c>
      <c r="L575" s="22">
        <v>1108</v>
      </c>
      <c r="M575" s="22" t="s">
        <v>151</v>
      </c>
      <c r="N575" s="22" t="s">
        <v>84</v>
      </c>
      <c r="O575" s="58" t="s">
        <v>85</v>
      </c>
      <c r="P575" s="50" t="s">
        <v>86</v>
      </c>
      <c r="Q575" s="22">
        <v>0.53</v>
      </c>
      <c r="R575" s="22" t="s">
        <v>190</v>
      </c>
      <c r="S575" s="31">
        <v>8.6</v>
      </c>
      <c r="T575" s="79">
        <f t="shared" si="162"/>
        <v>5.8088183999999996E-3</v>
      </c>
      <c r="U575" s="22">
        <v>6</v>
      </c>
      <c r="V575" s="22">
        <v>20</v>
      </c>
      <c r="W575" s="10">
        <f t="shared" si="165"/>
        <v>0.3490658503988659</v>
      </c>
      <c r="X575" s="22">
        <v>6</v>
      </c>
      <c r="Y575" s="22">
        <v>25</v>
      </c>
      <c r="Z575" s="10">
        <f t="shared" si="166"/>
        <v>0.43633231299858238</v>
      </c>
      <c r="AA575" s="10">
        <f t="shared" si="167"/>
        <v>4.5878304303982089</v>
      </c>
      <c r="AB575" s="10">
        <f t="shared" si="168"/>
        <v>10.219956404927309</v>
      </c>
      <c r="AC575" s="10">
        <f t="shared" si="169"/>
        <v>1.2774945506159137</v>
      </c>
      <c r="AD575" s="10">
        <f t="shared" si="159"/>
        <v>5.1099782024636546</v>
      </c>
      <c r="AE575" s="65"/>
      <c r="AF575" s="10">
        <f t="shared" si="160"/>
        <v>21.436219252649405</v>
      </c>
      <c r="AG575" s="8">
        <f t="shared" si="170"/>
        <v>4.1800627542666344</v>
      </c>
      <c r="AH575" s="10">
        <f t="shared" si="171"/>
        <v>10.718109626324702</v>
      </c>
      <c r="AI575" s="63"/>
      <c r="AJ575" s="10">
        <f t="shared" si="161"/>
        <v>16.231599999999993</v>
      </c>
      <c r="AK575" s="8"/>
      <c r="AL575" s="8">
        <f t="shared" si="172"/>
        <v>8.1157999999999966</v>
      </c>
    </row>
    <row r="576" spans="1:38">
      <c r="A576" s="18">
        <v>41487</v>
      </c>
      <c r="B576" s="19" t="s">
        <v>34</v>
      </c>
      <c r="C576" s="12">
        <v>100.3</v>
      </c>
      <c r="D576" s="19" t="s">
        <v>80</v>
      </c>
      <c r="E576" s="22">
        <v>8.4121500000000005</v>
      </c>
      <c r="F576" s="22">
        <v>83.312619999999995</v>
      </c>
      <c r="G576" s="22">
        <v>100</v>
      </c>
      <c r="H576" s="22">
        <v>10</v>
      </c>
      <c r="I576" s="10">
        <f t="shared" si="163"/>
        <v>9.9666444232592379</v>
      </c>
      <c r="J576" s="10">
        <f t="shared" si="164"/>
        <v>0.17395076056140502</v>
      </c>
      <c r="K576" s="10">
        <v>21</v>
      </c>
      <c r="L576" s="22">
        <v>1109</v>
      </c>
      <c r="M576" s="22" t="s">
        <v>151</v>
      </c>
      <c r="N576" s="22" t="s">
        <v>84</v>
      </c>
      <c r="O576" s="58" t="s">
        <v>85</v>
      </c>
      <c r="P576" s="50" t="s">
        <v>86</v>
      </c>
      <c r="Q576" s="22">
        <v>0.53</v>
      </c>
      <c r="R576" s="22" t="s">
        <v>190</v>
      </c>
      <c r="S576" s="31">
        <v>11.1</v>
      </c>
      <c r="T576" s="79">
        <f t="shared" si="162"/>
        <v>9.6769134000000007E-3</v>
      </c>
      <c r="U576" s="22">
        <v>8</v>
      </c>
      <c r="V576" s="22">
        <v>44</v>
      </c>
      <c r="W576" s="10">
        <f t="shared" si="165"/>
        <v>0.76794487087750496</v>
      </c>
      <c r="X576" s="22">
        <v>6</v>
      </c>
      <c r="Y576" s="22">
        <v>24</v>
      </c>
      <c r="Z576" s="10">
        <f t="shared" si="166"/>
        <v>0.41887902047863912</v>
      </c>
      <c r="AA576" s="10">
        <f t="shared" si="167"/>
        <v>7.9976868221267789</v>
      </c>
      <c r="AB576" s="10">
        <f t="shared" si="168"/>
        <v>27.840355011425491</v>
      </c>
      <c r="AC576" s="10">
        <f t="shared" si="169"/>
        <v>3.4800443764281863</v>
      </c>
      <c r="AD576" s="10">
        <f t="shared" si="159"/>
        <v>13.920177505712745</v>
      </c>
      <c r="AE576" s="65"/>
      <c r="AF576" s="10">
        <f t="shared" si="160"/>
        <v>40.417675256077551</v>
      </c>
      <c r="AG576" s="8">
        <f t="shared" si="170"/>
        <v>7.8814466749351224</v>
      </c>
      <c r="AH576" s="10">
        <f t="shared" si="171"/>
        <v>20.208837628038776</v>
      </c>
      <c r="AI576" s="63"/>
      <c r="AJ576" s="10">
        <f t="shared" si="161"/>
        <v>35.294099999999986</v>
      </c>
      <c r="AK576" s="8"/>
      <c r="AL576" s="8">
        <f t="shared" si="172"/>
        <v>17.647049999999993</v>
      </c>
    </row>
    <row r="577" spans="1:38">
      <c r="A577" s="18">
        <v>41487</v>
      </c>
      <c r="B577" s="19" t="s">
        <v>34</v>
      </c>
      <c r="C577" s="12">
        <v>100.3</v>
      </c>
      <c r="D577" s="19" t="s">
        <v>80</v>
      </c>
      <c r="E577" s="22">
        <v>8.4121500000000005</v>
      </c>
      <c r="F577" s="22">
        <v>83.312619999999995</v>
      </c>
      <c r="G577" s="22">
        <v>100</v>
      </c>
      <c r="H577" s="22">
        <v>10</v>
      </c>
      <c r="I577" s="10">
        <f t="shared" si="163"/>
        <v>9.9666444232592379</v>
      </c>
      <c r="J577" s="10">
        <f t="shared" si="164"/>
        <v>0.17395076056140502</v>
      </c>
      <c r="K577" s="10">
        <v>21</v>
      </c>
      <c r="L577" s="22">
        <v>1110</v>
      </c>
      <c r="M577" s="22" t="s">
        <v>36</v>
      </c>
      <c r="N577" s="8" t="s">
        <v>46</v>
      </c>
      <c r="O577" s="10" t="s">
        <v>37</v>
      </c>
      <c r="P577" s="10" t="s">
        <v>38</v>
      </c>
      <c r="Q577" s="11">
        <v>0.48</v>
      </c>
      <c r="R577" s="8" t="s">
        <v>60</v>
      </c>
      <c r="S577" s="31">
        <v>14.3</v>
      </c>
      <c r="T577" s="79">
        <f t="shared" si="162"/>
        <v>1.60606446E-2</v>
      </c>
      <c r="U577" s="22">
        <v>6</v>
      </c>
      <c r="V577" s="22">
        <v>20</v>
      </c>
      <c r="W577" s="10">
        <f t="shared" si="165"/>
        <v>0.3490658503988659</v>
      </c>
      <c r="X577" s="22">
        <v>6</v>
      </c>
      <c r="Y577" s="22">
        <v>25</v>
      </c>
      <c r="Z577" s="10">
        <f t="shared" si="166"/>
        <v>0.43633231299858238</v>
      </c>
      <c r="AA577" s="10">
        <f t="shared" si="167"/>
        <v>4.5878304303982089</v>
      </c>
      <c r="AB577" s="10">
        <f t="shared" si="168"/>
        <v>24.219833377273389</v>
      </c>
      <c r="AC577" s="10">
        <f t="shared" si="169"/>
        <v>3.0274791721591736</v>
      </c>
      <c r="AD577" s="10">
        <f t="shared" si="159"/>
        <v>12.109916688636694</v>
      </c>
      <c r="AE577" s="65"/>
      <c r="AF577" s="10">
        <f t="shared" si="160"/>
        <v>68.734559055907283</v>
      </c>
      <c r="AG577" s="8">
        <f t="shared" si="170"/>
        <v>13.403239015901921</v>
      </c>
      <c r="AH577" s="10">
        <f t="shared" si="171"/>
        <v>34.367279527953642</v>
      </c>
      <c r="AI577" s="63"/>
      <c r="AJ577" s="10">
        <f t="shared" si="161"/>
        <v>73.191699999999983</v>
      </c>
      <c r="AK577" s="8"/>
      <c r="AL577" s="8">
        <f t="shared" si="172"/>
        <v>36.595849999999992</v>
      </c>
    </row>
    <row r="578" spans="1:38">
      <c r="A578" s="18">
        <v>41487</v>
      </c>
      <c r="B578" s="19" t="s">
        <v>34</v>
      </c>
      <c r="C578" s="12">
        <v>100.3</v>
      </c>
      <c r="D578" s="19" t="s">
        <v>80</v>
      </c>
      <c r="E578" s="22">
        <v>8.4121500000000005</v>
      </c>
      <c r="F578" s="22">
        <v>83.312619999999995</v>
      </c>
      <c r="G578" s="22">
        <v>100</v>
      </c>
      <c r="H578" s="22">
        <v>10</v>
      </c>
      <c r="I578" s="10">
        <f t="shared" si="163"/>
        <v>9.9666444232592379</v>
      </c>
      <c r="J578" s="10">
        <f t="shared" si="164"/>
        <v>0.17395076056140502</v>
      </c>
      <c r="K578" s="10">
        <v>21</v>
      </c>
      <c r="L578" s="22">
        <v>1111</v>
      </c>
      <c r="M578" s="22" t="s">
        <v>96</v>
      </c>
      <c r="N578" s="8" t="s">
        <v>69</v>
      </c>
      <c r="O578" s="58" t="s">
        <v>65</v>
      </c>
      <c r="P578" s="10" t="s">
        <v>102</v>
      </c>
      <c r="Q578" s="22">
        <v>0.48</v>
      </c>
      <c r="R578" s="22" t="s">
        <v>190</v>
      </c>
      <c r="S578" s="31">
        <v>8.3000000000000007</v>
      </c>
      <c r="T578" s="79">
        <f t="shared" si="162"/>
        <v>5.4106206000000016E-3</v>
      </c>
      <c r="U578" s="22">
        <v>6</v>
      </c>
      <c r="V578" s="22">
        <v>20</v>
      </c>
      <c r="W578" s="10">
        <f t="shared" si="165"/>
        <v>0.3490658503988659</v>
      </c>
      <c r="X578" s="22">
        <v>6</v>
      </c>
      <c r="Y578" s="22">
        <v>25</v>
      </c>
      <c r="Z578" s="10">
        <f t="shared" si="166"/>
        <v>0.43633231299858238</v>
      </c>
      <c r="AA578" s="10">
        <f t="shared" si="167"/>
        <v>4.5878304303982089</v>
      </c>
      <c r="AB578" s="10">
        <f t="shared" si="168"/>
        <v>8.7097605258033681</v>
      </c>
      <c r="AC578" s="10">
        <f t="shared" si="169"/>
        <v>1.088720065725421</v>
      </c>
      <c r="AD578" s="10">
        <f t="shared" si="159"/>
        <v>4.3548802629016841</v>
      </c>
      <c r="AE578" s="65"/>
      <c r="AF578" s="10">
        <f t="shared" si="160"/>
        <v>17.777787565803447</v>
      </c>
      <c r="AG578" s="8">
        <f t="shared" si="170"/>
        <v>3.4666685753316724</v>
      </c>
      <c r="AH578" s="10">
        <f t="shared" si="171"/>
        <v>8.8888937829017234</v>
      </c>
      <c r="AI578" s="63"/>
      <c r="AJ578" s="10">
        <f t="shared" si="161"/>
        <v>14.5657</v>
      </c>
      <c r="AK578" s="8"/>
      <c r="AL578" s="8">
        <f t="shared" si="172"/>
        <v>7.2828499999999998</v>
      </c>
    </row>
    <row r="579" spans="1:38">
      <c r="A579" s="18">
        <v>41487</v>
      </c>
      <c r="B579" s="19" t="s">
        <v>34</v>
      </c>
      <c r="C579" s="12">
        <v>100.3</v>
      </c>
      <c r="D579" s="19" t="s">
        <v>80</v>
      </c>
      <c r="E579" s="22">
        <v>8.4121500000000005</v>
      </c>
      <c r="F579" s="22">
        <v>83.312619999999995</v>
      </c>
      <c r="G579" s="22">
        <v>100</v>
      </c>
      <c r="H579" s="22">
        <v>10</v>
      </c>
      <c r="I579" s="10">
        <f t="shared" si="163"/>
        <v>9.9666444232592379</v>
      </c>
      <c r="J579" s="10">
        <f t="shared" si="164"/>
        <v>0.17395076056140502</v>
      </c>
      <c r="K579" s="10">
        <v>21</v>
      </c>
      <c r="L579" s="22">
        <v>1112</v>
      </c>
      <c r="M579" s="22" t="s">
        <v>107</v>
      </c>
      <c r="N579" s="22" t="s">
        <v>63</v>
      </c>
      <c r="O579" s="10" t="s">
        <v>108</v>
      </c>
      <c r="P579" s="15" t="s">
        <v>92</v>
      </c>
      <c r="Q579" s="8">
        <v>0.57999999999999996</v>
      </c>
      <c r="R579" s="22" t="s">
        <v>190</v>
      </c>
      <c r="S579" s="30">
        <v>9</v>
      </c>
      <c r="T579" s="79">
        <f t="shared" si="162"/>
        <v>6.3617400000000003E-3</v>
      </c>
      <c r="U579" s="22">
        <v>9</v>
      </c>
      <c r="V579" s="22">
        <v>55</v>
      </c>
      <c r="W579" s="10">
        <f t="shared" si="165"/>
        <v>0.95993108859688125</v>
      </c>
      <c r="X579" s="22">
        <v>6</v>
      </c>
      <c r="Y579" s="22">
        <v>22</v>
      </c>
      <c r="Z579" s="10">
        <f t="shared" si="166"/>
        <v>0.38397243543875248</v>
      </c>
      <c r="AA579" s="10">
        <f t="shared" si="167"/>
        <v>9.6200079590963981</v>
      </c>
      <c r="AB579" s="10">
        <f t="shared" si="168"/>
        <v>24.302159025569619</v>
      </c>
      <c r="AC579" s="10">
        <f t="shared" si="169"/>
        <v>3.0377698781962024</v>
      </c>
      <c r="AD579" s="10">
        <f t="shared" si="159"/>
        <v>12.151079512784809</v>
      </c>
      <c r="AE579" s="65"/>
      <c r="AF579" s="10">
        <f t="shared" si="160"/>
        <v>26.260171639120962</v>
      </c>
      <c r="AG579" s="8">
        <f t="shared" si="170"/>
        <v>5.120733469628588</v>
      </c>
      <c r="AH579" s="10">
        <f t="shared" si="171"/>
        <v>13.130085819560481</v>
      </c>
      <c r="AI579" s="63"/>
      <c r="AJ579" s="10">
        <f t="shared" si="161"/>
        <v>18.659999999999997</v>
      </c>
      <c r="AK579" s="8"/>
      <c r="AL579" s="8">
        <f t="shared" si="172"/>
        <v>9.3299999999999983</v>
      </c>
    </row>
    <row r="580" spans="1:38">
      <c r="A580" s="18">
        <v>41487</v>
      </c>
      <c r="B580" s="19" t="s">
        <v>34</v>
      </c>
      <c r="C580" s="12">
        <v>100.3</v>
      </c>
      <c r="D580" s="19" t="s">
        <v>80</v>
      </c>
      <c r="E580" s="22">
        <v>8.4121500000000005</v>
      </c>
      <c r="F580" s="22">
        <v>83.312619999999995</v>
      </c>
      <c r="G580" s="22">
        <v>100</v>
      </c>
      <c r="H580" s="22">
        <v>10</v>
      </c>
      <c r="I580" s="10">
        <f t="shared" si="163"/>
        <v>9.9666444232592379</v>
      </c>
      <c r="J580" s="10">
        <f t="shared" si="164"/>
        <v>0.17395076056140502</v>
      </c>
      <c r="K580" s="10">
        <v>21</v>
      </c>
      <c r="L580" s="22">
        <v>1113</v>
      </c>
      <c r="M580" s="22" t="s">
        <v>107</v>
      </c>
      <c r="N580" s="22" t="s">
        <v>63</v>
      </c>
      <c r="O580" s="10" t="s">
        <v>108</v>
      </c>
      <c r="P580" s="15" t="s">
        <v>92</v>
      </c>
      <c r="Q580" s="8">
        <v>0.57999999999999996</v>
      </c>
      <c r="R580" s="22" t="s">
        <v>190</v>
      </c>
      <c r="S580" s="31">
        <v>8.1999999999999993</v>
      </c>
      <c r="T580" s="79">
        <f t="shared" si="162"/>
        <v>5.2810295999999998E-3</v>
      </c>
      <c r="U580" s="22">
        <v>6</v>
      </c>
      <c r="V580" s="22">
        <v>20</v>
      </c>
      <c r="W580" s="10">
        <f t="shared" si="165"/>
        <v>0.3490658503988659</v>
      </c>
      <c r="X580" s="22">
        <v>6</v>
      </c>
      <c r="Y580" s="22">
        <v>25</v>
      </c>
      <c r="Z580" s="10">
        <f t="shared" si="166"/>
        <v>0.43633231299858238</v>
      </c>
      <c r="AA580" s="10">
        <f t="shared" si="167"/>
        <v>4.5878304303982089</v>
      </c>
      <c r="AB580" s="10">
        <f t="shared" si="168"/>
        <v>10.17103137285541</v>
      </c>
      <c r="AC580" s="10">
        <f t="shared" si="169"/>
        <v>1.2713789216069262</v>
      </c>
      <c r="AD580" s="10">
        <f t="shared" si="159"/>
        <v>5.0855156864277049</v>
      </c>
      <c r="AE580" s="65"/>
      <c r="AF580" s="10">
        <f t="shared" si="160"/>
        <v>20.845793314258291</v>
      </c>
      <c r="AG580" s="8">
        <f t="shared" si="170"/>
        <v>4.0649296962803669</v>
      </c>
      <c r="AH580" s="10">
        <f t="shared" si="171"/>
        <v>10.422896657129145</v>
      </c>
      <c r="AI580" s="63"/>
      <c r="AJ580" s="10">
        <f t="shared" si="161"/>
        <v>14.040000000000006</v>
      </c>
      <c r="AK580" s="8"/>
      <c r="AL580" s="8">
        <f t="shared" si="172"/>
        <v>7.0200000000000031</v>
      </c>
    </row>
    <row r="581" spans="1:38">
      <c r="A581" s="18">
        <v>41487</v>
      </c>
      <c r="B581" s="19" t="s">
        <v>34</v>
      </c>
      <c r="C581" s="12">
        <v>100.3</v>
      </c>
      <c r="D581" s="19" t="s">
        <v>80</v>
      </c>
      <c r="E581" s="22">
        <v>8.4121500000000005</v>
      </c>
      <c r="F581" s="22">
        <v>83.312619999999995</v>
      </c>
      <c r="G581" s="22">
        <v>100</v>
      </c>
      <c r="H581" s="22">
        <v>10</v>
      </c>
      <c r="I581" s="10">
        <f t="shared" si="163"/>
        <v>9.9666444232592379</v>
      </c>
      <c r="J581" s="10">
        <f t="shared" si="164"/>
        <v>0.17395076056140502</v>
      </c>
      <c r="K581" s="10">
        <v>21</v>
      </c>
      <c r="L581" s="22">
        <v>1115</v>
      </c>
      <c r="M581" s="22" t="s">
        <v>151</v>
      </c>
      <c r="N581" s="22" t="s">
        <v>84</v>
      </c>
      <c r="O581" s="58" t="s">
        <v>85</v>
      </c>
      <c r="P581" s="50" t="s">
        <v>86</v>
      </c>
      <c r="Q581" s="22">
        <v>0.53</v>
      </c>
      <c r="R581" s="22" t="s">
        <v>190</v>
      </c>
      <c r="S581" s="31">
        <v>6.4</v>
      </c>
      <c r="T581" s="79">
        <f t="shared" si="162"/>
        <v>3.2169984000000006E-3</v>
      </c>
      <c r="U581" s="22">
        <v>7</v>
      </c>
      <c r="V581" s="22">
        <v>30</v>
      </c>
      <c r="W581" s="10">
        <f t="shared" si="165"/>
        <v>0.52359877559829882</v>
      </c>
      <c r="X581" s="22">
        <v>6</v>
      </c>
      <c r="Y581" s="22">
        <v>24</v>
      </c>
      <c r="Z581" s="10">
        <f t="shared" si="166"/>
        <v>0.41887902047863912</v>
      </c>
      <c r="AA581" s="10">
        <f t="shared" si="167"/>
        <v>5.9404198584548009</v>
      </c>
      <c r="AB581" s="10">
        <f t="shared" si="168"/>
        <v>7.4763134728771501</v>
      </c>
      <c r="AC581" s="10">
        <f t="shared" si="169"/>
        <v>0.93453918410964376</v>
      </c>
      <c r="AD581" s="10">
        <f t="shared" si="159"/>
        <v>3.738156736438575</v>
      </c>
      <c r="AE581" s="65"/>
      <c r="AF581" s="10">
        <f t="shared" si="160"/>
        <v>10.330897464238753</v>
      </c>
      <c r="AG581" s="8">
        <f t="shared" si="170"/>
        <v>2.0145250055265569</v>
      </c>
      <c r="AH581" s="10">
        <f t="shared" si="171"/>
        <v>5.1654487321193763</v>
      </c>
      <c r="AI581" s="63"/>
      <c r="AJ581" s="10">
        <f t="shared" si="161"/>
        <v>7.1082000000000036</v>
      </c>
      <c r="AK581" s="8"/>
      <c r="AL581" s="8">
        <f t="shared" si="172"/>
        <v>3.5541000000000018</v>
      </c>
    </row>
    <row r="582" spans="1:38">
      <c r="A582" s="18">
        <v>41487</v>
      </c>
      <c r="B582" s="19" t="s">
        <v>34</v>
      </c>
      <c r="C582" s="12">
        <v>100.3</v>
      </c>
      <c r="D582" s="19" t="s">
        <v>80</v>
      </c>
      <c r="E582" s="22">
        <v>8.4121500000000005</v>
      </c>
      <c r="F582" s="22">
        <v>83.312619999999995</v>
      </c>
      <c r="G582" s="22">
        <v>100</v>
      </c>
      <c r="H582" s="22">
        <v>10</v>
      </c>
      <c r="I582" s="10">
        <f t="shared" si="163"/>
        <v>9.9666444232592379</v>
      </c>
      <c r="J582" s="10">
        <f t="shared" si="164"/>
        <v>0.17395076056140502</v>
      </c>
      <c r="K582" s="10">
        <v>21</v>
      </c>
      <c r="L582" s="22">
        <v>1125</v>
      </c>
      <c r="M582" s="49" t="s">
        <v>207</v>
      </c>
      <c r="N582" s="8" t="s">
        <v>99</v>
      </c>
      <c r="O582" s="10" t="s">
        <v>99</v>
      </c>
      <c r="P582" s="10" t="s">
        <v>99</v>
      </c>
      <c r="Q582" s="22">
        <v>0.57999999999999996</v>
      </c>
      <c r="R582" s="22" t="s">
        <v>103</v>
      </c>
      <c r="S582" s="30">
        <v>16</v>
      </c>
      <c r="T582" s="79">
        <f t="shared" si="162"/>
        <v>2.0106240000000001E-2</v>
      </c>
      <c r="U582" s="22">
        <v>6</v>
      </c>
      <c r="V582" s="22">
        <v>20</v>
      </c>
      <c r="W582" s="10">
        <f t="shared" si="165"/>
        <v>0.3490658503988659</v>
      </c>
      <c r="X582" s="22">
        <v>5</v>
      </c>
      <c r="Y582" s="22">
        <v>25</v>
      </c>
      <c r="Z582" s="10">
        <f t="shared" si="166"/>
        <v>0.43633231299858238</v>
      </c>
      <c r="AA582" s="10">
        <f t="shared" si="167"/>
        <v>4.1652121686575097</v>
      </c>
      <c r="AB582" s="10">
        <f t="shared" si="168"/>
        <v>32.635367187603158</v>
      </c>
      <c r="AC582" s="10">
        <f t="shared" si="169"/>
        <v>4.0794208984503948</v>
      </c>
      <c r="AD582" s="10">
        <f t="shared" si="159"/>
        <v>16.317683593801579</v>
      </c>
      <c r="AE582" s="65"/>
      <c r="AF582" s="10">
        <f t="shared" si="160"/>
        <v>109.76561750421682</v>
      </c>
      <c r="AG582" s="8">
        <f t="shared" si="170"/>
        <v>21.404295413322281</v>
      </c>
      <c r="AH582" s="10">
        <f t="shared" si="171"/>
        <v>54.88280875210841</v>
      </c>
      <c r="AI582" s="63"/>
      <c r="AJ582" s="10">
        <f t="shared" si="161"/>
        <v>99.48899999999999</v>
      </c>
      <c r="AK582" s="8"/>
      <c r="AL582" s="8">
        <f t="shared" si="172"/>
        <v>49.744499999999995</v>
      </c>
    </row>
    <row r="583" spans="1:38">
      <c r="A583" s="18">
        <v>41487</v>
      </c>
      <c r="B583" s="19" t="s">
        <v>34</v>
      </c>
      <c r="C583" s="12">
        <v>100.3</v>
      </c>
      <c r="D583" s="19" t="s">
        <v>80</v>
      </c>
      <c r="E583" s="22">
        <v>8.4121500000000005</v>
      </c>
      <c r="F583" s="22">
        <v>83.312619999999995</v>
      </c>
      <c r="G583" s="22">
        <v>100</v>
      </c>
      <c r="H583" s="22">
        <v>10</v>
      </c>
      <c r="I583" s="10">
        <f t="shared" si="163"/>
        <v>9.9666444232592379</v>
      </c>
      <c r="J583" s="10">
        <f t="shared" si="164"/>
        <v>0.17395076056140502</v>
      </c>
      <c r="K583" s="10">
        <v>21</v>
      </c>
      <c r="L583" s="22">
        <v>1122</v>
      </c>
      <c r="M583" s="22" t="s">
        <v>151</v>
      </c>
      <c r="N583" s="22" t="s">
        <v>84</v>
      </c>
      <c r="O583" s="58" t="s">
        <v>85</v>
      </c>
      <c r="P583" s="50" t="s">
        <v>86</v>
      </c>
      <c r="Q583" s="22">
        <v>0.53</v>
      </c>
      <c r="R583" s="22" t="s">
        <v>190</v>
      </c>
      <c r="S583" s="31">
        <v>6.5</v>
      </c>
      <c r="T583" s="79">
        <f t="shared" si="162"/>
        <v>3.3183150000000001E-3</v>
      </c>
      <c r="U583" s="22">
        <v>6</v>
      </c>
      <c r="V583" s="22">
        <v>20</v>
      </c>
      <c r="W583" s="10">
        <f t="shared" si="165"/>
        <v>0.3490658503988659</v>
      </c>
      <c r="X583" s="22">
        <v>6</v>
      </c>
      <c r="Y583" s="22">
        <v>25</v>
      </c>
      <c r="Z583" s="10">
        <f t="shared" si="166"/>
        <v>0.43633231299858238</v>
      </c>
      <c r="AA583" s="10">
        <f t="shared" si="167"/>
        <v>4.5878304303982089</v>
      </c>
      <c r="AB583" s="10">
        <f t="shared" si="168"/>
        <v>6.0376657351049072</v>
      </c>
      <c r="AC583" s="10">
        <f t="shared" si="169"/>
        <v>0.7547082168881134</v>
      </c>
      <c r="AD583" s="10">
        <f t="shared" ref="AD583:AD646" si="173">AB583/2</f>
        <v>3.0188328675524536</v>
      </c>
      <c r="AE583" s="65"/>
      <c r="AF583" s="10">
        <f t="shared" ref="AF583:AF646" si="174">Q583*EXP(-1.239+1.98*LN(S583)+0.207*(LN(S583))^2-0.0281*(LN(S583))^3)</f>
        <v>10.732331721515775</v>
      </c>
      <c r="AG583" s="8">
        <f t="shared" si="170"/>
        <v>2.0928046856955764</v>
      </c>
      <c r="AH583" s="10">
        <f t="shared" si="171"/>
        <v>5.3661658607578877</v>
      </c>
      <c r="AI583" s="63"/>
      <c r="AJ583" s="10">
        <f t="shared" ref="AJ583:AJ646" si="175">21.297-6.953*S583+0.74*(S583^2)</f>
        <v>7.3674999999999962</v>
      </c>
      <c r="AK583" s="8"/>
      <c r="AL583" s="8">
        <f t="shared" si="172"/>
        <v>3.6837499999999981</v>
      </c>
    </row>
    <row r="584" spans="1:38">
      <c r="A584" s="18">
        <v>41487</v>
      </c>
      <c r="B584" s="19" t="s">
        <v>34</v>
      </c>
      <c r="C584" s="12">
        <v>100.3</v>
      </c>
      <c r="D584" s="19" t="s">
        <v>80</v>
      </c>
      <c r="E584" s="22">
        <v>8.4121500000000005</v>
      </c>
      <c r="F584" s="22">
        <v>83.312619999999995</v>
      </c>
      <c r="G584" s="22">
        <v>100</v>
      </c>
      <c r="H584" s="22">
        <v>10</v>
      </c>
      <c r="I584" s="10">
        <f t="shared" si="163"/>
        <v>9.9666444232592379</v>
      </c>
      <c r="J584" s="10">
        <f t="shared" si="164"/>
        <v>0.17395076056140502</v>
      </c>
      <c r="K584" s="10">
        <v>21</v>
      </c>
      <c r="L584" s="22">
        <v>1102</v>
      </c>
      <c r="M584" s="31" t="s">
        <v>122</v>
      </c>
      <c r="N584" s="8" t="s">
        <v>123</v>
      </c>
      <c r="O584" s="10" t="s">
        <v>99</v>
      </c>
      <c r="P584" s="10" t="s">
        <v>99</v>
      </c>
      <c r="Q584" s="22">
        <v>0.69</v>
      </c>
      <c r="R584" s="22" t="s">
        <v>190</v>
      </c>
      <c r="S584" s="31">
        <v>5.4</v>
      </c>
      <c r="T584" s="79">
        <f t="shared" ref="T584:T647" si="176">0.00007854*S584^2</f>
        <v>2.2902264000000004E-3</v>
      </c>
      <c r="U584" s="22">
        <v>5</v>
      </c>
      <c r="V584" s="22">
        <v>30</v>
      </c>
      <c r="W584" s="10">
        <f t="shared" si="165"/>
        <v>0.52359877559829882</v>
      </c>
      <c r="X584" s="22">
        <v>6</v>
      </c>
      <c r="Y584" s="22">
        <v>15</v>
      </c>
      <c r="Z584" s="10">
        <f t="shared" si="166"/>
        <v>0.26179938779914941</v>
      </c>
      <c r="AA584" s="10">
        <f t="shared" si="167"/>
        <v>4.0529142706151244</v>
      </c>
      <c r="AB584" s="10">
        <f t="shared" si="168"/>
        <v>4.8593872223783556</v>
      </c>
      <c r="AC584" s="10">
        <f t="shared" si="169"/>
        <v>0.60742340279729445</v>
      </c>
      <c r="AD584" s="10">
        <f t="shared" si="173"/>
        <v>2.4296936111891778</v>
      </c>
      <c r="AE584" s="65"/>
      <c r="AF584" s="10">
        <f t="shared" si="174"/>
        <v>8.8722991237002677</v>
      </c>
      <c r="AG584" s="8">
        <f t="shared" si="170"/>
        <v>1.7300983291215524</v>
      </c>
      <c r="AH584" s="10">
        <f t="shared" si="171"/>
        <v>4.4361495618501339</v>
      </c>
      <c r="AI584" s="63"/>
      <c r="AJ584" s="10">
        <f t="shared" si="175"/>
        <v>5.3291999999999966</v>
      </c>
      <c r="AK584" s="8"/>
      <c r="AL584" s="8">
        <f t="shared" si="172"/>
        <v>2.6645999999999983</v>
      </c>
    </row>
    <row r="585" spans="1:38">
      <c r="A585" s="18">
        <v>41481</v>
      </c>
      <c r="B585" s="19" t="s">
        <v>141</v>
      </c>
      <c r="C585" s="12">
        <v>100.4</v>
      </c>
      <c r="D585" s="9" t="s">
        <v>80</v>
      </c>
      <c r="E585" s="16">
        <v>8.4086999999999996</v>
      </c>
      <c r="F585" s="8">
        <v>83.311729999999997</v>
      </c>
      <c r="G585" s="22">
        <v>100</v>
      </c>
      <c r="H585" s="22">
        <v>15</v>
      </c>
      <c r="I585" s="10">
        <f t="shared" si="163"/>
        <v>6.61659150558995</v>
      </c>
      <c r="J585" s="10">
        <f t="shared" si="164"/>
        <v>0.11548130703203342</v>
      </c>
      <c r="K585" s="10">
        <f t="shared" ref="K585:K608" si="177">21/COS(J585)</f>
        <v>21.140809612582899</v>
      </c>
      <c r="L585" s="22">
        <v>970</v>
      </c>
      <c r="M585" s="22" t="s">
        <v>54</v>
      </c>
      <c r="N585" s="8" t="s">
        <v>55</v>
      </c>
      <c r="O585" s="10" t="s">
        <v>56</v>
      </c>
      <c r="P585" s="10" t="s">
        <v>57</v>
      </c>
      <c r="Q585" s="11">
        <v>0.315</v>
      </c>
      <c r="R585" s="12" t="s">
        <v>66</v>
      </c>
      <c r="S585" s="31">
        <v>7.9</v>
      </c>
      <c r="T585" s="79">
        <f t="shared" si="176"/>
        <v>4.9016814000000008E-3</v>
      </c>
      <c r="U585" s="22">
        <v>6</v>
      </c>
      <c r="V585" s="22">
        <v>41</v>
      </c>
      <c r="W585" s="10">
        <f t="shared" ref="W585:W608" si="178">RADIANS(V585)</f>
        <v>0.71558499331767511</v>
      </c>
      <c r="X585" s="22">
        <v>5</v>
      </c>
      <c r="Y585" s="22">
        <v>20</v>
      </c>
      <c r="Z585" s="10">
        <f t="shared" ref="Z585:Z608" si="179">RADIANS(Y585)</f>
        <v>0.3490658503988659</v>
      </c>
      <c r="AA585" s="10">
        <f t="shared" ref="AA585:AA608" si="180">(SIN(W585)*U585)+(SIN(Z585)*X585)</f>
        <v>5.6464548905713876</v>
      </c>
      <c r="AB585" s="10">
        <f t="shared" ref="AB585:AB608" si="181">0.0776*(Q585*S585^2*AA585)^0.94</f>
        <v>6.4935454495835012</v>
      </c>
      <c r="AC585" s="10">
        <f t="shared" si="169"/>
        <v>0.81169318119793765</v>
      </c>
      <c r="AD585" s="10">
        <f t="shared" si="173"/>
        <v>3.2467727247917506</v>
      </c>
      <c r="AE585" s="65"/>
      <c r="AF585" s="10">
        <f t="shared" si="174"/>
        <v>10.323110694046106</v>
      </c>
      <c r="AG585" s="8">
        <f t="shared" si="170"/>
        <v>2.0130065853389905</v>
      </c>
      <c r="AH585" s="10">
        <f t="shared" si="171"/>
        <v>5.1615553470230529</v>
      </c>
      <c r="AI585" s="63"/>
      <c r="AJ585" s="10">
        <f t="shared" si="175"/>
        <v>12.55169999999999</v>
      </c>
      <c r="AK585" s="8"/>
      <c r="AL585" s="8">
        <f t="shared" si="172"/>
        <v>6.2758499999999948</v>
      </c>
    </row>
    <row r="586" spans="1:38">
      <c r="A586" s="18">
        <v>41481</v>
      </c>
      <c r="B586" s="19" t="s">
        <v>141</v>
      </c>
      <c r="C586" s="12">
        <v>100.4</v>
      </c>
      <c r="D586" s="19" t="s">
        <v>80</v>
      </c>
      <c r="E586" s="16">
        <v>8.4086999999999996</v>
      </c>
      <c r="F586" s="8">
        <v>83.311729999999997</v>
      </c>
      <c r="G586" s="22">
        <v>100</v>
      </c>
      <c r="H586" s="22">
        <v>15</v>
      </c>
      <c r="I586" s="10">
        <f t="shared" si="163"/>
        <v>6.61659150558995</v>
      </c>
      <c r="J586" s="10">
        <f t="shared" si="164"/>
        <v>0.11548130703203342</v>
      </c>
      <c r="K586" s="10">
        <f t="shared" si="177"/>
        <v>21.140809612582899</v>
      </c>
      <c r="L586" s="22">
        <v>881</v>
      </c>
      <c r="M586" s="31" t="s">
        <v>121</v>
      </c>
      <c r="N586" s="8" t="s">
        <v>182</v>
      </c>
      <c r="O586" s="58" t="s">
        <v>183</v>
      </c>
      <c r="P586" s="10" t="s">
        <v>70</v>
      </c>
      <c r="Q586" s="22">
        <v>0.49</v>
      </c>
      <c r="R586" s="22" t="s">
        <v>190</v>
      </c>
      <c r="S586" s="31">
        <v>9.1999999999999993</v>
      </c>
      <c r="T586" s="79">
        <f t="shared" si="176"/>
        <v>6.6476255999999992E-3</v>
      </c>
      <c r="U586" s="22">
        <v>6</v>
      </c>
      <c r="V586" s="22">
        <v>60</v>
      </c>
      <c r="W586" s="10">
        <f t="shared" si="178"/>
        <v>1.0471975511965976</v>
      </c>
      <c r="X586" s="22">
        <v>6</v>
      </c>
      <c r="Y586" s="22">
        <v>12</v>
      </c>
      <c r="Z586" s="10">
        <f t="shared" si="179"/>
        <v>0.20943951023931956</v>
      </c>
      <c r="AA586" s="10">
        <f t="shared" si="180"/>
        <v>6.443622567613188</v>
      </c>
      <c r="AB586" s="10">
        <f t="shared" si="181"/>
        <v>14.830283053914124</v>
      </c>
      <c r="AC586" s="10">
        <f t="shared" si="169"/>
        <v>1.8537853817392655</v>
      </c>
      <c r="AD586" s="10">
        <f t="shared" si="173"/>
        <v>7.4151415269570622</v>
      </c>
      <c r="AE586" s="65"/>
      <c r="AF586" s="10">
        <f t="shared" si="174"/>
        <v>23.429765320753337</v>
      </c>
      <c r="AG586" s="8">
        <f t="shared" si="170"/>
        <v>4.5688042375469005</v>
      </c>
      <c r="AH586" s="10">
        <f t="shared" si="171"/>
        <v>11.714882660376668</v>
      </c>
      <c r="AI586" s="63"/>
      <c r="AJ586" s="10">
        <f t="shared" si="175"/>
        <v>19.962999999999994</v>
      </c>
      <c r="AK586" s="8"/>
      <c r="AL586" s="8">
        <f t="shared" si="172"/>
        <v>9.9814999999999969</v>
      </c>
    </row>
    <row r="587" spans="1:38">
      <c r="A587" s="18">
        <v>41481</v>
      </c>
      <c r="B587" s="19" t="s">
        <v>141</v>
      </c>
      <c r="C587" s="12">
        <v>100.4</v>
      </c>
      <c r="D587" s="19" t="s">
        <v>80</v>
      </c>
      <c r="E587" s="16">
        <v>8.4086999999999996</v>
      </c>
      <c r="F587" s="8">
        <v>83.311729999999997</v>
      </c>
      <c r="G587" s="22">
        <v>100</v>
      </c>
      <c r="H587" s="22">
        <v>15</v>
      </c>
      <c r="I587" s="10">
        <f t="shared" si="163"/>
        <v>6.61659150558995</v>
      </c>
      <c r="J587" s="10">
        <f t="shared" si="164"/>
        <v>0.11548130703203342</v>
      </c>
      <c r="K587" s="10">
        <f t="shared" si="177"/>
        <v>21.140809612582899</v>
      </c>
      <c r="L587" s="22">
        <v>959</v>
      </c>
      <c r="M587" s="31" t="s">
        <v>121</v>
      </c>
      <c r="N587" s="8" t="s">
        <v>182</v>
      </c>
      <c r="O587" s="58" t="s">
        <v>183</v>
      </c>
      <c r="P587" s="10" t="s">
        <v>70</v>
      </c>
      <c r="Q587" s="22">
        <v>0.49</v>
      </c>
      <c r="R587" s="22" t="s">
        <v>190</v>
      </c>
      <c r="S587" s="31">
        <v>7.1</v>
      </c>
      <c r="T587" s="79">
        <f t="shared" si="176"/>
        <v>3.9592014E-3</v>
      </c>
      <c r="U587" s="22">
        <v>9</v>
      </c>
      <c r="V587" s="22">
        <v>20</v>
      </c>
      <c r="W587" s="10">
        <f t="shared" si="178"/>
        <v>0.3490658503988659</v>
      </c>
      <c r="X587" s="22">
        <v>10</v>
      </c>
      <c r="Y587" s="22">
        <v>6</v>
      </c>
      <c r="Z587" s="10">
        <f t="shared" si="179"/>
        <v>0.10471975511965978</v>
      </c>
      <c r="AA587" s="10">
        <f t="shared" si="180"/>
        <v>4.1234659226075534</v>
      </c>
      <c r="AB587" s="10">
        <f t="shared" si="181"/>
        <v>5.9890563220828463</v>
      </c>
      <c r="AC587" s="10">
        <f t="shared" si="169"/>
        <v>0.74863204026035579</v>
      </c>
      <c r="AD587" s="10">
        <f t="shared" si="173"/>
        <v>2.9945281610414232</v>
      </c>
      <c r="AE587" s="65"/>
      <c r="AF587" s="10">
        <f t="shared" si="174"/>
        <v>12.333451923646948</v>
      </c>
      <c r="AG587" s="8">
        <f t="shared" si="170"/>
        <v>2.4050231251111547</v>
      </c>
      <c r="AH587" s="10">
        <f t="shared" si="171"/>
        <v>6.1667259618234738</v>
      </c>
      <c r="AI587" s="63"/>
      <c r="AJ587" s="10">
        <f t="shared" si="175"/>
        <v>9.2340999999999944</v>
      </c>
      <c r="AK587" s="8"/>
      <c r="AL587" s="8">
        <f t="shared" si="172"/>
        <v>4.6170499999999972</v>
      </c>
    </row>
    <row r="588" spans="1:38">
      <c r="A588" s="18">
        <v>41481</v>
      </c>
      <c r="B588" s="19" t="s">
        <v>141</v>
      </c>
      <c r="C588" s="12">
        <v>100.4</v>
      </c>
      <c r="D588" s="19" t="s">
        <v>80</v>
      </c>
      <c r="E588" s="16">
        <v>8.4086999999999996</v>
      </c>
      <c r="F588" s="8">
        <v>83.311729999999997</v>
      </c>
      <c r="G588" s="22">
        <v>100</v>
      </c>
      <c r="H588" s="22">
        <v>15</v>
      </c>
      <c r="I588" s="10">
        <f t="shared" si="163"/>
        <v>6.61659150558995</v>
      </c>
      <c r="J588" s="10">
        <f t="shared" si="164"/>
        <v>0.11548130703203342</v>
      </c>
      <c r="K588" s="10">
        <f t="shared" si="177"/>
        <v>21.140809612582899</v>
      </c>
      <c r="L588" s="22">
        <v>960</v>
      </c>
      <c r="M588" s="31" t="s">
        <v>79</v>
      </c>
      <c r="N588" s="8" t="s">
        <v>212</v>
      </c>
      <c r="O588" s="10" t="s">
        <v>213</v>
      </c>
      <c r="P588" s="15" t="s">
        <v>92</v>
      </c>
      <c r="Q588" s="22">
        <v>0.78</v>
      </c>
      <c r="R588" s="22" t="s">
        <v>190</v>
      </c>
      <c r="S588" s="31">
        <v>14.5</v>
      </c>
      <c r="T588" s="79">
        <f t="shared" si="176"/>
        <v>1.6513035000000002E-2</v>
      </c>
      <c r="U588" s="22">
        <v>12</v>
      </c>
      <c r="V588" s="22">
        <v>63</v>
      </c>
      <c r="W588" s="10">
        <f t="shared" si="178"/>
        <v>1.0995574287564276</v>
      </c>
      <c r="X588" s="22">
        <v>6</v>
      </c>
      <c r="Y588" s="22">
        <v>14</v>
      </c>
      <c r="Z588" s="10">
        <f t="shared" si="179"/>
        <v>0.24434609527920614</v>
      </c>
      <c r="AA588" s="10">
        <f t="shared" si="180"/>
        <v>12.14360966385842</v>
      </c>
      <c r="AB588" s="10">
        <f t="shared" si="181"/>
        <v>97.969168747118587</v>
      </c>
      <c r="AC588" s="10">
        <f t="shared" si="169"/>
        <v>12.246146093389823</v>
      </c>
      <c r="AD588" s="10">
        <f t="shared" si="173"/>
        <v>48.984584373559294</v>
      </c>
      <c r="AE588" s="65"/>
      <c r="AF588" s="10">
        <f t="shared" si="174"/>
        <v>115.6152200372878</v>
      </c>
      <c r="AG588" s="8">
        <f t="shared" si="170"/>
        <v>22.544967907271122</v>
      </c>
      <c r="AH588" s="10">
        <f t="shared" si="171"/>
        <v>57.807610018643899</v>
      </c>
      <c r="AI588" s="63"/>
      <c r="AJ588" s="10">
        <f t="shared" si="175"/>
        <v>76.063500000000005</v>
      </c>
      <c r="AK588" s="8"/>
      <c r="AL588" s="8">
        <f t="shared" si="172"/>
        <v>38.031750000000002</v>
      </c>
    </row>
    <row r="589" spans="1:38">
      <c r="A589" s="18">
        <v>41481</v>
      </c>
      <c r="B589" s="19" t="s">
        <v>141</v>
      </c>
      <c r="C589" s="12">
        <v>100.4</v>
      </c>
      <c r="D589" s="19" t="s">
        <v>80</v>
      </c>
      <c r="E589" s="16">
        <v>8.4086999999999996</v>
      </c>
      <c r="F589" s="8">
        <v>83.311729999999997</v>
      </c>
      <c r="G589" s="22">
        <v>100</v>
      </c>
      <c r="H589" s="22">
        <v>15</v>
      </c>
      <c r="I589" s="10">
        <f t="shared" si="163"/>
        <v>6.61659150558995</v>
      </c>
      <c r="J589" s="10">
        <f t="shared" si="164"/>
        <v>0.11548130703203342</v>
      </c>
      <c r="K589" s="10">
        <f t="shared" si="177"/>
        <v>21.140809612582899</v>
      </c>
      <c r="L589" s="22">
        <v>634</v>
      </c>
      <c r="M589" s="31" t="s">
        <v>79</v>
      </c>
      <c r="N589" s="8" t="s">
        <v>212</v>
      </c>
      <c r="O589" s="10" t="s">
        <v>213</v>
      </c>
      <c r="P589" s="15" t="s">
        <v>92</v>
      </c>
      <c r="Q589" s="22">
        <v>0.78</v>
      </c>
      <c r="R589" s="22" t="s">
        <v>190</v>
      </c>
      <c r="S589" s="31">
        <v>18.2</v>
      </c>
      <c r="T589" s="79">
        <f t="shared" si="176"/>
        <v>2.6015589599999996E-2</v>
      </c>
      <c r="U589" s="22">
        <v>12</v>
      </c>
      <c r="V589" s="22">
        <v>63</v>
      </c>
      <c r="W589" s="10">
        <f t="shared" si="178"/>
        <v>1.0995574287564276</v>
      </c>
      <c r="X589" s="22">
        <v>6</v>
      </c>
      <c r="Y589" s="22">
        <v>14</v>
      </c>
      <c r="Z589" s="10">
        <f t="shared" si="179"/>
        <v>0.24434609527920614</v>
      </c>
      <c r="AA589" s="10">
        <f t="shared" si="180"/>
        <v>12.14360966385842</v>
      </c>
      <c r="AB589" s="10">
        <f t="shared" si="181"/>
        <v>150.19372495150472</v>
      </c>
      <c r="AC589" s="10">
        <f t="shared" si="169"/>
        <v>18.77421561893809</v>
      </c>
      <c r="AD589" s="10">
        <f t="shared" si="173"/>
        <v>75.09686247575236</v>
      </c>
      <c r="AE589" s="65"/>
      <c r="AF589" s="10">
        <f t="shared" si="174"/>
        <v>203.07824120306702</v>
      </c>
      <c r="AG589" s="8">
        <f t="shared" si="170"/>
        <v>39.600257034598073</v>
      </c>
      <c r="AH589" s="10">
        <f t="shared" si="171"/>
        <v>101.53912060153351</v>
      </c>
      <c r="AI589" s="63"/>
      <c r="AJ589" s="10">
        <f t="shared" si="175"/>
        <v>139.86999999999995</v>
      </c>
      <c r="AK589" s="8"/>
      <c r="AL589" s="8">
        <f t="shared" si="172"/>
        <v>69.934999999999974</v>
      </c>
    </row>
    <row r="590" spans="1:38">
      <c r="A590" s="18">
        <v>41481</v>
      </c>
      <c r="B590" s="19" t="s">
        <v>141</v>
      </c>
      <c r="C590" s="12">
        <v>100.4</v>
      </c>
      <c r="D590" s="19" t="s">
        <v>80</v>
      </c>
      <c r="E590" s="16">
        <v>8.4086999999999996</v>
      </c>
      <c r="F590" s="8">
        <v>83.311729999999997</v>
      </c>
      <c r="G590" s="22">
        <v>100</v>
      </c>
      <c r="H590" s="22">
        <v>15</v>
      </c>
      <c r="I590" s="10">
        <f t="shared" si="163"/>
        <v>6.61659150558995</v>
      </c>
      <c r="J590" s="10">
        <f t="shared" si="164"/>
        <v>0.11548130703203342</v>
      </c>
      <c r="K590" s="10">
        <f t="shared" si="177"/>
        <v>21.140809612582899</v>
      </c>
      <c r="L590" s="22">
        <v>590</v>
      </c>
      <c r="M590" s="31" t="s">
        <v>124</v>
      </c>
      <c r="N590" s="8" t="s">
        <v>167</v>
      </c>
      <c r="O590" s="10" t="s">
        <v>188</v>
      </c>
      <c r="P590" s="10" t="s">
        <v>189</v>
      </c>
      <c r="Q590" s="22">
        <v>0.47</v>
      </c>
      <c r="R590" s="22" t="s">
        <v>190</v>
      </c>
      <c r="S590" s="30">
        <v>6</v>
      </c>
      <c r="T590" s="79">
        <f t="shared" si="176"/>
        <v>2.8274400000000001E-3</v>
      </c>
      <c r="U590" s="22">
        <v>5</v>
      </c>
      <c r="V590" s="22">
        <v>25</v>
      </c>
      <c r="W590" s="10">
        <f t="shared" si="178"/>
        <v>0.43633231299858238</v>
      </c>
      <c r="X590" s="22">
        <v>5</v>
      </c>
      <c r="Y590" s="22">
        <v>25</v>
      </c>
      <c r="Z590" s="10">
        <f t="shared" si="179"/>
        <v>0.43633231299858238</v>
      </c>
      <c r="AA590" s="10">
        <f t="shared" si="180"/>
        <v>4.2261826174069945</v>
      </c>
      <c r="AB590" s="10">
        <f t="shared" si="181"/>
        <v>4.2948640607636426</v>
      </c>
      <c r="AC590" s="10">
        <f t="shared" si="169"/>
        <v>0.53685800759545532</v>
      </c>
      <c r="AD590" s="10">
        <f t="shared" si="173"/>
        <v>2.1474320303818213</v>
      </c>
      <c r="AE590" s="65"/>
      <c r="AF590" s="10">
        <f t="shared" si="174"/>
        <v>7.819148351292502</v>
      </c>
      <c r="AG590" s="8">
        <f t="shared" si="170"/>
        <v>1.524733928502038</v>
      </c>
      <c r="AH590" s="10">
        <f t="shared" si="171"/>
        <v>3.909574175646251</v>
      </c>
      <c r="AI590" s="63"/>
      <c r="AJ590" s="10">
        <f t="shared" si="175"/>
        <v>6.2189999999999976</v>
      </c>
      <c r="AK590" s="8"/>
      <c r="AL590" s="8">
        <f t="shared" si="172"/>
        <v>3.1094999999999988</v>
      </c>
    </row>
    <row r="591" spans="1:38">
      <c r="A591" s="18">
        <v>41481</v>
      </c>
      <c r="B591" s="19" t="s">
        <v>141</v>
      </c>
      <c r="C591" s="12">
        <v>100.4</v>
      </c>
      <c r="D591" s="19" t="s">
        <v>80</v>
      </c>
      <c r="E591" s="16">
        <v>8.4086999999999996</v>
      </c>
      <c r="F591" s="8">
        <v>83.311729999999997</v>
      </c>
      <c r="G591" s="22">
        <v>100</v>
      </c>
      <c r="H591" s="22">
        <v>15</v>
      </c>
      <c r="I591" s="10">
        <f t="shared" si="163"/>
        <v>6.61659150558995</v>
      </c>
      <c r="J591" s="10">
        <f t="shared" si="164"/>
        <v>0.11548130703203342</v>
      </c>
      <c r="K591" s="10">
        <f t="shared" si="177"/>
        <v>21.140809612582899</v>
      </c>
      <c r="L591" s="22">
        <v>955</v>
      </c>
      <c r="M591" s="8" t="s">
        <v>41</v>
      </c>
      <c r="N591" s="62" t="s">
        <v>63</v>
      </c>
      <c r="O591" s="10" t="s">
        <v>61</v>
      </c>
      <c r="P591" s="10" t="s">
        <v>62</v>
      </c>
      <c r="Q591" s="20">
        <v>0.7</v>
      </c>
      <c r="R591" s="22" t="s">
        <v>190</v>
      </c>
      <c r="S591" s="31">
        <v>42.6</v>
      </c>
      <c r="T591" s="79">
        <f t="shared" si="176"/>
        <v>0.14253125040000003</v>
      </c>
      <c r="U591" s="22">
        <v>15</v>
      </c>
      <c r="V591" s="22">
        <v>66</v>
      </c>
      <c r="W591" s="10">
        <f t="shared" si="178"/>
        <v>1.1519173063162575</v>
      </c>
      <c r="X591" s="22">
        <v>6</v>
      </c>
      <c r="Y591" s="22">
        <v>19</v>
      </c>
      <c r="Z591" s="10">
        <f t="shared" si="179"/>
        <v>0.33161255787892263</v>
      </c>
      <c r="AA591" s="10">
        <f t="shared" si="180"/>
        <v>15.656590791381953</v>
      </c>
      <c r="AB591" s="10">
        <f t="shared" si="181"/>
        <v>852.23485846181961</v>
      </c>
      <c r="AC591" s="10">
        <f t="shared" si="169"/>
        <v>106.52935730772745</v>
      </c>
      <c r="AD591" s="10">
        <f t="shared" si="173"/>
        <v>426.11742923090981</v>
      </c>
      <c r="AE591" s="65"/>
      <c r="AF591" s="10">
        <f t="shared" si="174"/>
        <v>1426.2133920393983</v>
      </c>
      <c r="AG591" s="8">
        <f t="shared" si="170"/>
        <v>278.11161144768266</v>
      </c>
      <c r="AH591" s="10">
        <f t="shared" si="171"/>
        <v>713.10669601969914</v>
      </c>
      <c r="AI591" s="63"/>
      <c r="AJ591" s="10">
        <f t="shared" si="175"/>
        <v>1068.0216</v>
      </c>
      <c r="AK591" s="8"/>
      <c r="AL591" s="8">
        <f t="shared" si="172"/>
        <v>534.01080000000002</v>
      </c>
    </row>
    <row r="592" spans="1:38">
      <c r="A592" s="18">
        <v>41481</v>
      </c>
      <c r="B592" s="19" t="s">
        <v>141</v>
      </c>
      <c r="C592" s="12">
        <v>100.4</v>
      </c>
      <c r="D592" s="19" t="s">
        <v>80</v>
      </c>
      <c r="E592" s="16">
        <v>8.4086999999999996</v>
      </c>
      <c r="F592" s="8">
        <v>83.311729999999997</v>
      </c>
      <c r="G592" s="22">
        <v>100</v>
      </c>
      <c r="H592" s="22">
        <v>15</v>
      </c>
      <c r="I592" s="10">
        <f t="shared" si="163"/>
        <v>6.61659150558995</v>
      </c>
      <c r="J592" s="10">
        <f t="shared" si="164"/>
        <v>0.11548130703203342</v>
      </c>
      <c r="K592" s="10">
        <f t="shared" si="177"/>
        <v>21.140809612582899</v>
      </c>
      <c r="L592" s="22">
        <v>882</v>
      </c>
      <c r="M592" s="22" t="s">
        <v>98</v>
      </c>
      <c r="N592" s="8" t="s">
        <v>104</v>
      </c>
      <c r="O592" s="10" t="s">
        <v>105</v>
      </c>
      <c r="P592" s="10" t="s">
        <v>106</v>
      </c>
      <c r="Q592" s="22">
        <v>0.44</v>
      </c>
      <c r="R592" s="22" t="s">
        <v>190</v>
      </c>
      <c r="S592" s="31">
        <v>6.6</v>
      </c>
      <c r="T592" s="79">
        <f t="shared" si="176"/>
        <v>3.4212023999999996E-3</v>
      </c>
      <c r="U592" s="22">
        <v>7</v>
      </c>
      <c r="V592" s="22">
        <v>46</v>
      </c>
      <c r="W592" s="10">
        <f t="shared" si="178"/>
        <v>0.8028514559173916</v>
      </c>
      <c r="X592" s="22">
        <v>5</v>
      </c>
      <c r="Y592" s="22">
        <v>20</v>
      </c>
      <c r="Z592" s="10">
        <f t="shared" si="179"/>
        <v>0.3490658503988659</v>
      </c>
      <c r="AA592" s="10">
        <f t="shared" si="180"/>
        <v>6.7454793189989015</v>
      </c>
      <c r="AB592" s="10">
        <f t="shared" si="181"/>
        <v>7.494141383640506</v>
      </c>
      <c r="AC592" s="10">
        <f t="shared" si="169"/>
        <v>0.93676767295506325</v>
      </c>
      <c r="AD592" s="10">
        <f t="shared" si="173"/>
        <v>3.747070691820253</v>
      </c>
      <c r="AE592" s="65"/>
      <c r="AF592" s="10">
        <f t="shared" si="174"/>
        <v>9.2509045190172401</v>
      </c>
      <c r="AG592" s="8">
        <f t="shared" si="170"/>
        <v>1.8039263812083619</v>
      </c>
      <c r="AH592" s="10">
        <f t="shared" si="171"/>
        <v>4.62545225950862</v>
      </c>
      <c r="AI592" s="63"/>
      <c r="AJ592" s="10">
        <f t="shared" si="175"/>
        <v>7.6415999999999933</v>
      </c>
      <c r="AK592" s="8"/>
      <c r="AL592" s="8">
        <f t="shared" si="172"/>
        <v>3.8207999999999966</v>
      </c>
    </row>
    <row r="593" spans="1:38">
      <c r="A593" s="18">
        <v>41481</v>
      </c>
      <c r="B593" s="19" t="s">
        <v>141</v>
      </c>
      <c r="C593" s="12">
        <v>100.4</v>
      </c>
      <c r="D593" s="19" t="s">
        <v>80</v>
      </c>
      <c r="E593" s="16">
        <v>8.4086999999999996</v>
      </c>
      <c r="F593" s="8">
        <v>83.311729999999997</v>
      </c>
      <c r="G593" s="22">
        <v>100</v>
      </c>
      <c r="H593" s="22">
        <v>15</v>
      </c>
      <c r="I593" s="10">
        <f t="shared" si="163"/>
        <v>6.61659150558995</v>
      </c>
      <c r="J593" s="10">
        <f t="shared" si="164"/>
        <v>0.11548130703203342</v>
      </c>
      <c r="K593" s="10">
        <f t="shared" si="177"/>
        <v>21.140809612582899</v>
      </c>
      <c r="L593" s="22">
        <v>919</v>
      </c>
      <c r="M593" s="22" t="s">
        <v>78</v>
      </c>
      <c r="N593" s="7" t="s">
        <v>87</v>
      </c>
      <c r="O593" s="33" t="s">
        <v>88</v>
      </c>
      <c r="P593" s="33" t="s">
        <v>89</v>
      </c>
      <c r="Q593" s="38">
        <v>0.64</v>
      </c>
      <c r="R593" s="7" t="s">
        <v>90</v>
      </c>
      <c r="S593" s="31">
        <v>5.6</v>
      </c>
      <c r="T593" s="79">
        <f t="shared" si="176"/>
        <v>2.4630143999999996E-3</v>
      </c>
      <c r="U593" s="22">
        <v>8</v>
      </c>
      <c r="V593" s="22">
        <v>32</v>
      </c>
      <c r="W593" s="10">
        <f t="shared" si="178"/>
        <v>0.55850536063818546</v>
      </c>
      <c r="X593" s="22">
        <v>8</v>
      </c>
      <c r="Y593" s="22">
        <v>20</v>
      </c>
      <c r="Z593" s="10">
        <f t="shared" si="179"/>
        <v>0.3490658503988659</v>
      </c>
      <c r="AA593" s="10">
        <f t="shared" si="180"/>
        <v>6.9755152604709885</v>
      </c>
      <c r="AB593" s="10">
        <f t="shared" si="181"/>
        <v>8.0765540377727429</v>
      </c>
      <c r="AC593" s="10">
        <f t="shared" si="169"/>
        <v>1.0095692547215929</v>
      </c>
      <c r="AD593" s="10">
        <f t="shared" si="173"/>
        <v>4.0382770188863715</v>
      </c>
      <c r="AE593" s="65"/>
      <c r="AF593" s="10">
        <f t="shared" si="174"/>
        <v>8.9932537647369752</v>
      </c>
      <c r="AG593" s="8">
        <f t="shared" si="170"/>
        <v>1.7536844841237103</v>
      </c>
      <c r="AH593" s="10">
        <f t="shared" si="171"/>
        <v>4.4966268823684876</v>
      </c>
      <c r="AI593" s="63"/>
      <c r="AJ593" s="10">
        <f t="shared" si="175"/>
        <v>5.5665999999999976</v>
      </c>
      <c r="AK593" s="8"/>
      <c r="AL593" s="8">
        <f t="shared" si="172"/>
        <v>2.7832999999999988</v>
      </c>
    </row>
    <row r="594" spans="1:38">
      <c r="A594" s="18">
        <v>41481</v>
      </c>
      <c r="B594" s="19" t="s">
        <v>141</v>
      </c>
      <c r="C594" s="12">
        <v>100.4</v>
      </c>
      <c r="D594" s="19" t="s">
        <v>80</v>
      </c>
      <c r="E594" s="16">
        <v>8.4086999999999996</v>
      </c>
      <c r="F594" s="8">
        <v>83.311729999999997</v>
      </c>
      <c r="G594" s="22">
        <v>100</v>
      </c>
      <c r="H594" s="22">
        <v>15</v>
      </c>
      <c r="I594" s="10">
        <f t="shared" si="163"/>
        <v>6.61659150558995</v>
      </c>
      <c r="J594" s="10">
        <f t="shared" si="164"/>
        <v>0.11548130703203342</v>
      </c>
      <c r="K594" s="10">
        <f t="shared" si="177"/>
        <v>21.140809612582899</v>
      </c>
      <c r="L594" s="22">
        <v>886</v>
      </c>
      <c r="M594" s="22" t="s">
        <v>39</v>
      </c>
      <c r="N594" s="8" t="s">
        <v>69</v>
      </c>
      <c r="O594" s="10" t="s">
        <v>65</v>
      </c>
      <c r="P594" s="10" t="s">
        <v>70</v>
      </c>
      <c r="Q594" s="8">
        <v>0.37</v>
      </c>
      <c r="R594" s="8" t="s">
        <v>71</v>
      </c>
      <c r="S594" s="30">
        <v>9</v>
      </c>
      <c r="T594" s="79">
        <f t="shared" si="176"/>
        <v>6.3617400000000003E-3</v>
      </c>
      <c r="U594" s="22">
        <v>9</v>
      </c>
      <c r="V594" s="22">
        <v>40</v>
      </c>
      <c r="W594" s="10">
        <f t="shared" si="178"/>
        <v>0.69813170079773179</v>
      </c>
      <c r="X594" s="22">
        <v>8</v>
      </c>
      <c r="Y594" s="22">
        <v>11</v>
      </c>
      <c r="Z594" s="10">
        <f t="shared" si="179"/>
        <v>0.19198621771937624</v>
      </c>
      <c r="AA594" s="10">
        <f t="shared" si="180"/>
        <v>7.3115604501912124</v>
      </c>
      <c r="AB594" s="10">
        <f t="shared" si="181"/>
        <v>12.305994881506514</v>
      </c>
      <c r="AC594" s="10">
        <f t="shared" si="169"/>
        <v>1.5382493601883143</v>
      </c>
      <c r="AD594" s="10">
        <f t="shared" si="173"/>
        <v>6.1529974407532571</v>
      </c>
      <c r="AE594" s="65"/>
      <c r="AF594" s="10">
        <f t="shared" si="174"/>
        <v>16.752178459439236</v>
      </c>
      <c r="AG594" s="8">
        <f t="shared" si="170"/>
        <v>3.2666747995906511</v>
      </c>
      <c r="AH594" s="10">
        <f t="shared" si="171"/>
        <v>8.3760892297196179</v>
      </c>
      <c r="AI594" s="63"/>
      <c r="AJ594" s="10">
        <f t="shared" si="175"/>
        <v>18.659999999999997</v>
      </c>
      <c r="AK594" s="8"/>
      <c r="AL594" s="8">
        <f t="shared" si="172"/>
        <v>9.3299999999999983</v>
      </c>
    </row>
    <row r="595" spans="1:38">
      <c r="A595" s="18">
        <v>41481</v>
      </c>
      <c r="B595" s="19" t="s">
        <v>141</v>
      </c>
      <c r="C595" s="12">
        <v>100.4</v>
      </c>
      <c r="D595" s="19" t="s">
        <v>80</v>
      </c>
      <c r="E595" s="16">
        <v>8.4086999999999996</v>
      </c>
      <c r="F595" s="8">
        <v>83.311729999999997</v>
      </c>
      <c r="G595" s="22">
        <v>100</v>
      </c>
      <c r="H595" s="22">
        <v>15</v>
      </c>
      <c r="I595" s="10">
        <f t="shared" si="163"/>
        <v>6.61659150558995</v>
      </c>
      <c r="J595" s="10">
        <f t="shared" si="164"/>
        <v>0.11548130703203342</v>
      </c>
      <c r="K595" s="10">
        <f t="shared" si="177"/>
        <v>21.140809612582899</v>
      </c>
      <c r="L595" s="22">
        <v>915</v>
      </c>
      <c r="M595" s="22" t="s">
        <v>107</v>
      </c>
      <c r="N595" s="22" t="s">
        <v>63</v>
      </c>
      <c r="O595" s="10" t="s">
        <v>108</v>
      </c>
      <c r="P595" s="15" t="s">
        <v>92</v>
      </c>
      <c r="Q595" s="8">
        <v>0.57999999999999996</v>
      </c>
      <c r="R595" s="22" t="s">
        <v>190</v>
      </c>
      <c r="S595" s="31">
        <v>12.2</v>
      </c>
      <c r="T595" s="79">
        <f t="shared" si="176"/>
        <v>1.1689893599999999E-2</v>
      </c>
      <c r="U595" s="22">
        <v>10</v>
      </c>
      <c r="V595" s="22">
        <v>45</v>
      </c>
      <c r="W595" s="10">
        <f t="shared" si="178"/>
        <v>0.78539816339744828</v>
      </c>
      <c r="X595" s="22">
        <v>7</v>
      </c>
      <c r="Y595" s="22">
        <v>10</v>
      </c>
      <c r="Z595" s="10">
        <f t="shared" si="179"/>
        <v>0.17453292519943295</v>
      </c>
      <c r="AA595" s="10">
        <f t="shared" si="180"/>
        <v>8.2866050555339861</v>
      </c>
      <c r="AB595" s="10">
        <f t="shared" si="181"/>
        <v>37.420928490995102</v>
      </c>
      <c r="AC595" s="10">
        <f t="shared" si="169"/>
        <v>4.6776160613743878</v>
      </c>
      <c r="AD595" s="10">
        <f t="shared" si="173"/>
        <v>18.710464245497551</v>
      </c>
      <c r="AE595" s="65"/>
      <c r="AF595" s="10">
        <f t="shared" si="174"/>
        <v>55.954180147410653</v>
      </c>
      <c r="AG595" s="8">
        <f t="shared" si="170"/>
        <v>10.911065128745078</v>
      </c>
      <c r="AH595" s="10">
        <f t="shared" si="171"/>
        <v>27.977090073705327</v>
      </c>
      <c r="AI595" s="63"/>
      <c r="AJ595" s="10">
        <f t="shared" si="175"/>
        <v>46.611999999999981</v>
      </c>
      <c r="AK595" s="8"/>
      <c r="AL595" s="8">
        <f t="shared" si="172"/>
        <v>23.30599999999999</v>
      </c>
    </row>
    <row r="596" spans="1:38">
      <c r="A596" s="18">
        <v>41481</v>
      </c>
      <c r="B596" s="19" t="s">
        <v>141</v>
      </c>
      <c r="C596" s="12">
        <v>100.4</v>
      </c>
      <c r="D596" s="19" t="s">
        <v>80</v>
      </c>
      <c r="E596" s="16">
        <v>8.4086999999999996</v>
      </c>
      <c r="F596" s="8">
        <v>83.311729999999997</v>
      </c>
      <c r="G596" s="22">
        <v>100</v>
      </c>
      <c r="H596" s="22">
        <v>15</v>
      </c>
      <c r="I596" s="10">
        <f t="shared" si="163"/>
        <v>6.61659150558995</v>
      </c>
      <c r="J596" s="10">
        <f t="shared" si="164"/>
        <v>0.11548130703203342</v>
      </c>
      <c r="K596" s="10">
        <f t="shared" si="177"/>
        <v>21.140809612582899</v>
      </c>
      <c r="L596" s="22">
        <v>984</v>
      </c>
      <c r="M596" s="22" t="s">
        <v>36</v>
      </c>
      <c r="N596" s="8" t="s">
        <v>46</v>
      </c>
      <c r="O596" s="10" t="s">
        <v>37</v>
      </c>
      <c r="P596" s="10" t="s">
        <v>38</v>
      </c>
      <c r="Q596" s="11">
        <v>0.48</v>
      </c>
      <c r="R596" s="8" t="s">
        <v>60</v>
      </c>
      <c r="S596" s="31">
        <v>19.7</v>
      </c>
      <c r="T596" s="79">
        <f t="shared" si="176"/>
        <v>3.0480588600000001E-2</v>
      </c>
      <c r="U596" s="22">
        <v>11</v>
      </c>
      <c r="V596" s="22">
        <v>65</v>
      </c>
      <c r="W596" s="10">
        <f t="shared" si="178"/>
        <v>1.1344640137963142</v>
      </c>
      <c r="X596" s="22">
        <v>7</v>
      </c>
      <c r="Y596" s="22">
        <v>10</v>
      </c>
      <c r="Z596" s="10">
        <f t="shared" si="179"/>
        <v>0.17453292519943295</v>
      </c>
      <c r="AA596" s="10">
        <f t="shared" si="180"/>
        <v>11.184922901071662</v>
      </c>
      <c r="AB596" s="10">
        <f t="shared" si="181"/>
        <v>102.22097162949126</v>
      </c>
      <c r="AC596" s="10">
        <f t="shared" si="169"/>
        <v>12.777621453686407</v>
      </c>
      <c r="AD596" s="10">
        <f t="shared" si="173"/>
        <v>51.11048581474563</v>
      </c>
      <c r="AE596" s="65"/>
      <c r="AF596" s="10">
        <f t="shared" si="174"/>
        <v>151.9530624026049</v>
      </c>
      <c r="AG596" s="8">
        <f t="shared" si="170"/>
        <v>29.630847168507955</v>
      </c>
      <c r="AH596" s="10">
        <f t="shared" si="171"/>
        <v>75.97653120130245</v>
      </c>
      <c r="AI596" s="63"/>
      <c r="AJ596" s="10">
        <f t="shared" si="175"/>
        <v>171.5095</v>
      </c>
      <c r="AK596" s="8"/>
      <c r="AL596" s="8">
        <f t="shared" si="172"/>
        <v>85.754750000000001</v>
      </c>
    </row>
    <row r="597" spans="1:38">
      <c r="A597" s="18">
        <v>41481</v>
      </c>
      <c r="B597" s="19" t="s">
        <v>141</v>
      </c>
      <c r="C597" s="12">
        <v>100.4</v>
      </c>
      <c r="D597" s="19" t="s">
        <v>80</v>
      </c>
      <c r="E597" s="16">
        <v>8.4086999999999996</v>
      </c>
      <c r="F597" s="8">
        <v>83.311729999999997</v>
      </c>
      <c r="G597" s="22">
        <v>100</v>
      </c>
      <c r="H597" s="22">
        <v>15</v>
      </c>
      <c r="I597" s="10">
        <f t="shared" si="163"/>
        <v>6.61659150558995</v>
      </c>
      <c r="J597" s="10">
        <f t="shared" si="164"/>
        <v>0.11548130703203342</v>
      </c>
      <c r="K597" s="10">
        <f t="shared" si="177"/>
        <v>21.140809612582899</v>
      </c>
      <c r="L597" s="22">
        <v>921</v>
      </c>
      <c r="M597" s="22" t="s">
        <v>36</v>
      </c>
      <c r="N597" s="8" t="s">
        <v>46</v>
      </c>
      <c r="O597" s="10" t="s">
        <v>37</v>
      </c>
      <c r="P597" s="10" t="s">
        <v>38</v>
      </c>
      <c r="Q597" s="11">
        <v>0.48</v>
      </c>
      <c r="R597" s="8" t="s">
        <v>60</v>
      </c>
      <c r="S597" s="31">
        <v>27.8</v>
      </c>
      <c r="T597" s="79">
        <f t="shared" si="176"/>
        <v>6.0698853600000005E-2</v>
      </c>
      <c r="U597" s="22">
        <v>11</v>
      </c>
      <c r="V597" s="22">
        <v>65</v>
      </c>
      <c r="W597" s="10">
        <f t="shared" si="178"/>
        <v>1.1344640137963142</v>
      </c>
      <c r="X597" s="22">
        <v>5</v>
      </c>
      <c r="Y597" s="22">
        <v>15</v>
      </c>
      <c r="Z597" s="10">
        <f t="shared" si="179"/>
        <v>0.26179938779914941</v>
      </c>
      <c r="AA597" s="10">
        <f t="shared" si="180"/>
        <v>11.263480882915754</v>
      </c>
      <c r="AB597" s="10">
        <f t="shared" si="181"/>
        <v>196.60971308109342</v>
      </c>
      <c r="AC597" s="10">
        <f t="shared" si="169"/>
        <v>24.576214135136677</v>
      </c>
      <c r="AD597" s="10">
        <f t="shared" si="173"/>
        <v>98.304856540546709</v>
      </c>
      <c r="AE597" s="65"/>
      <c r="AF597" s="10">
        <f t="shared" si="174"/>
        <v>352.89757230350955</v>
      </c>
      <c r="AG597" s="8">
        <f t="shared" si="170"/>
        <v>68.815026599184364</v>
      </c>
      <c r="AH597" s="10">
        <f t="shared" si="171"/>
        <v>176.44878615175477</v>
      </c>
      <c r="AI597" s="63"/>
      <c r="AJ597" s="10">
        <f t="shared" si="175"/>
        <v>399.90520000000004</v>
      </c>
      <c r="AK597" s="8"/>
      <c r="AL597" s="8">
        <f t="shared" si="172"/>
        <v>199.95260000000002</v>
      </c>
    </row>
    <row r="598" spans="1:38">
      <c r="A598" s="18">
        <v>41481</v>
      </c>
      <c r="B598" s="19" t="s">
        <v>141</v>
      </c>
      <c r="C598" s="12">
        <v>100.4</v>
      </c>
      <c r="D598" s="19" t="s">
        <v>80</v>
      </c>
      <c r="E598" s="16">
        <v>8.4086999999999996</v>
      </c>
      <c r="F598" s="8">
        <v>83.311729999999997</v>
      </c>
      <c r="G598" s="22">
        <v>100</v>
      </c>
      <c r="H598" s="22">
        <v>15</v>
      </c>
      <c r="I598" s="10">
        <f t="shared" ref="I598:I659" si="182">1/TAN(H598/100)</f>
        <v>6.61659150558995</v>
      </c>
      <c r="J598" s="10">
        <f t="shared" ref="J598:J659" si="183">RADIANS(I598)</f>
        <v>0.11548130703203342</v>
      </c>
      <c r="K598" s="10">
        <f t="shared" si="177"/>
        <v>21.140809612582899</v>
      </c>
      <c r="L598" s="22">
        <v>931</v>
      </c>
      <c r="M598" s="22" t="s">
        <v>126</v>
      </c>
      <c r="N598" s="22" t="s">
        <v>180</v>
      </c>
      <c r="O598" s="50" t="s">
        <v>216</v>
      </c>
      <c r="P598" s="51" t="s">
        <v>92</v>
      </c>
      <c r="Q598" s="8">
        <v>0.68</v>
      </c>
      <c r="R598" s="22" t="s">
        <v>190</v>
      </c>
      <c r="S598" s="31">
        <v>6.5</v>
      </c>
      <c r="T598" s="79">
        <f t="shared" si="176"/>
        <v>3.3183150000000001E-3</v>
      </c>
      <c r="U598" s="22">
        <v>11</v>
      </c>
      <c r="V598" s="22">
        <v>49</v>
      </c>
      <c r="W598" s="10">
        <f t="shared" si="178"/>
        <v>0.85521133347722145</v>
      </c>
      <c r="X598" s="22">
        <v>5</v>
      </c>
      <c r="Y598" s="22">
        <v>19</v>
      </c>
      <c r="Z598" s="10">
        <f t="shared" si="179"/>
        <v>0.33161255787892263</v>
      </c>
      <c r="AA598" s="10">
        <f t="shared" si="180"/>
        <v>9.9296461547362753</v>
      </c>
      <c r="AB598" s="10">
        <f t="shared" si="181"/>
        <v>15.769392246861749</v>
      </c>
      <c r="AC598" s="10">
        <f t="shared" si="169"/>
        <v>1.9711740308577186</v>
      </c>
      <c r="AD598" s="10">
        <f t="shared" si="173"/>
        <v>7.8846961234308743</v>
      </c>
      <c r="AE598" s="65"/>
      <c r="AF598" s="10">
        <f t="shared" si="174"/>
        <v>13.769784095529674</v>
      </c>
      <c r="AG598" s="8">
        <f t="shared" si="170"/>
        <v>2.6851078986282868</v>
      </c>
      <c r="AH598" s="10">
        <f t="shared" si="171"/>
        <v>6.8848920477648372</v>
      </c>
      <c r="AI598" s="63"/>
      <c r="AJ598" s="10">
        <f t="shared" si="175"/>
        <v>7.3674999999999962</v>
      </c>
      <c r="AK598" s="8"/>
      <c r="AL598" s="8">
        <f t="shared" si="172"/>
        <v>3.6837499999999981</v>
      </c>
    </row>
    <row r="599" spans="1:38">
      <c r="A599" s="18">
        <v>41481</v>
      </c>
      <c r="B599" s="19" t="s">
        <v>141</v>
      </c>
      <c r="C599" s="12">
        <v>100.4</v>
      </c>
      <c r="D599" s="19" t="s">
        <v>80</v>
      </c>
      <c r="E599" s="16">
        <v>8.4086999999999996</v>
      </c>
      <c r="F599" s="8">
        <v>83.311729999999997</v>
      </c>
      <c r="G599" s="22">
        <v>100</v>
      </c>
      <c r="H599" s="22">
        <v>15</v>
      </c>
      <c r="I599" s="10">
        <f t="shared" si="182"/>
        <v>6.61659150558995</v>
      </c>
      <c r="J599" s="10">
        <f t="shared" si="183"/>
        <v>0.11548130703203342</v>
      </c>
      <c r="K599" s="10">
        <f t="shared" si="177"/>
        <v>21.140809612582899</v>
      </c>
      <c r="L599" s="22">
        <v>1011</v>
      </c>
      <c r="M599" s="22" t="s">
        <v>54</v>
      </c>
      <c r="N599" s="8" t="s">
        <v>55</v>
      </c>
      <c r="O599" s="10" t="s">
        <v>56</v>
      </c>
      <c r="P599" s="10" t="s">
        <v>57</v>
      </c>
      <c r="Q599" s="11">
        <v>0.315</v>
      </c>
      <c r="R599" s="12" t="s">
        <v>66</v>
      </c>
      <c r="S599" s="31">
        <v>30.8</v>
      </c>
      <c r="T599" s="79">
        <f t="shared" si="176"/>
        <v>7.4506185600000011E-2</v>
      </c>
      <c r="U599" s="22">
        <v>20</v>
      </c>
      <c r="V599" s="22">
        <v>70</v>
      </c>
      <c r="W599" s="10">
        <f t="shared" si="178"/>
        <v>1.2217304763960306</v>
      </c>
      <c r="X599" s="22">
        <v>7</v>
      </c>
      <c r="Y599" s="22">
        <v>15</v>
      </c>
      <c r="Z599" s="10">
        <f t="shared" si="179"/>
        <v>0.26179938779914941</v>
      </c>
      <c r="AA599" s="10">
        <f t="shared" si="180"/>
        <v>20.605585731435813</v>
      </c>
      <c r="AB599" s="10">
        <f t="shared" si="181"/>
        <v>283.0706585148875</v>
      </c>
      <c r="AC599" s="10">
        <f t="shared" si="169"/>
        <v>35.383832314360937</v>
      </c>
      <c r="AD599" s="10">
        <f t="shared" si="173"/>
        <v>141.53532925744375</v>
      </c>
      <c r="AE599" s="65"/>
      <c r="AF599" s="10">
        <f t="shared" si="174"/>
        <v>296.67271924971936</v>
      </c>
      <c r="AG599" s="8">
        <f t="shared" si="170"/>
        <v>57.851180253695276</v>
      </c>
      <c r="AH599" s="10">
        <f t="shared" si="171"/>
        <v>148.33635962485968</v>
      </c>
      <c r="AI599" s="63"/>
      <c r="AJ599" s="10">
        <f t="shared" si="175"/>
        <v>509.13819999999998</v>
      </c>
      <c r="AK599" s="8"/>
      <c r="AL599" s="8">
        <f t="shared" si="172"/>
        <v>254.56909999999999</v>
      </c>
    </row>
    <row r="600" spans="1:38">
      <c r="A600" s="18">
        <v>41481</v>
      </c>
      <c r="B600" s="19" t="s">
        <v>141</v>
      </c>
      <c r="C600" s="12">
        <v>100.4</v>
      </c>
      <c r="D600" s="19" t="s">
        <v>80</v>
      </c>
      <c r="E600" s="16">
        <v>8.4086999999999996</v>
      </c>
      <c r="F600" s="8">
        <v>83.311729999999997</v>
      </c>
      <c r="G600" s="22">
        <v>100</v>
      </c>
      <c r="H600" s="22">
        <v>15</v>
      </c>
      <c r="I600" s="10">
        <f t="shared" si="182"/>
        <v>6.61659150558995</v>
      </c>
      <c r="J600" s="10">
        <f t="shared" si="183"/>
        <v>0.11548130703203342</v>
      </c>
      <c r="K600" s="10">
        <f t="shared" si="177"/>
        <v>21.140809612582899</v>
      </c>
      <c r="L600" s="22">
        <v>846</v>
      </c>
      <c r="M600" s="22" t="s">
        <v>36</v>
      </c>
      <c r="N600" s="8" t="s">
        <v>46</v>
      </c>
      <c r="O600" s="10" t="s">
        <v>37</v>
      </c>
      <c r="P600" s="10" t="s">
        <v>38</v>
      </c>
      <c r="Q600" s="11">
        <v>0.48</v>
      </c>
      <c r="R600" s="8" t="s">
        <v>60</v>
      </c>
      <c r="S600" s="31">
        <v>19.2</v>
      </c>
      <c r="T600" s="79">
        <f t="shared" si="176"/>
        <v>2.8952985600000002E-2</v>
      </c>
      <c r="U600" s="22">
        <v>11</v>
      </c>
      <c r="V600" s="22">
        <v>60</v>
      </c>
      <c r="W600" s="10">
        <f t="shared" si="178"/>
        <v>1.0471975511965976</v>
      </c>
      <c r="X600" s="22">
        <v>6</v>
      </c>
      <c r="Y600" s="22">
        <v>20</v>
      </c>
      <c r="Z600" s="10">
        <f t="shared" si="179"/>
        <v>0.3490658503988659</v>
      </c>
      <c r="AA600" s="10">
        <f t="shared" si="180"/>
        <v>11.578400301582837</v>
      </c>
      <c r="AB600" s="10">
        <f t="shared" si="181"/>
        <v>100.61539607391254</v>
      </c>
      <c r="AC600" s="10">
        <f t="shared" si="169"/>
        <v>12.576924509239067</v>
      </c>
      <c r="AD600" s="10">
        <f t="shared" si="173"/>
        <v>50.307698036956268</v>
      </c>
      <c r="AE600" s="65"/>
      <c r="AF600" s="10">
        <f t="shared" si="174"/>
        <v>142.61812058253059</v>
      </c>
      <c r="AG600" s="8">
        <f t="shared" si="170"/>
        <v>27.810533513593466</v>
      </c>
      <c r="AH600" s="10">
        <f t="shared" si="171"/>
        <v>71.309060291265297</v>
      </c>
      <c r="AI600" s="63"/>
      <c r="AJ600" s="10">
        <f t="shared" si="175"/>
        <v>160.59299999999996</v>
      </c>
      <c r="AK600" s="8"/>
      <c r="AL600" s="8">
        <f t="shared" si="172"/>
        <v>80.29649999999998</v>
      </c>
    </row>
    <row r="601" spans="1:38">
      <c r="A601" s="18">
        <v>41481</v>
      </c>
      <c r="B601" s="19" t="s">
        <v>141</v>
      </c>
      <c r="C601" s="12">
        <v>100.4</v>
      </c>
      <c r="D601" s="19" t="s">
        <v>80</v>
      </c>
      <c r="E601" s="16">
        <v>8.4086999999999996</v>
      </c>
      <c r="F601" s="8">
        <v>83.311729999999997</v>
      </c>
      <c r="G601" s="22">
        <v>100</v>
      </c>
      <c r="H601" s="22">
        <v>15</v>
      </c>
      <c r="I601" s="10">
        <f t="shared" si="182"/>
        <v>6.61659150558995</v>
      </c>
      <c r="J601" s="10">
        <f t="shared" si="183"/>
        <v>0.11548130703203342</v>
      </c>
      <c r="K601" s="10">
        <f t="shared" si="177"/>
        <v>21.140809612582899</v>
      </c>
      <c r="L601" s="22">
        <v>864</v>
      </c>
      <c r="M601" s="22" t="s">
        <v>36</v>
      </c>
      <c r="N601" s="8" t="s">
        <v>46</v>
      </c>
      <c r="O601" s="10" t="s">
        <v>37</v>
      </c>
      <c r="P601" s="10" t="s">
        <v>38</v>
      </c>
      <c r="Q601" s="11">
        <v>0.48</v>
      </c>
      <c r="R601" s="8" t="s">
        <v>60</v>
      </c>
      <c r="S601" s="31">
        <v>15.5</v>
      </c>
      <c r="T601" s="79">
        <f t="shared" si="176"/>
        <v>1.8869235000000002E-2</v>
      </c>
      <c r="U601" s="22">
        <v>10</v>
      </c>
      <c r="V601" s="22">
        <v>66</v>
      </c>
      <c r="W601" s="10">
        <f t="shared" si="178"/>
        <v>1.1519173063162575</v>
      </c>
      <c r="X601" s="22">
        <v>5</v>
      </c>
      <c r="Y601" s="22">
        <v>20</v>
      </c>
      <c r="Z601" s="10">
        <f t="shared" si="179"/>
        <v>0.3490658503988659</v>
      </c>
      <c r="AA601" s="10">
        <f t="shared" si="180"/>
        <v>10.845555293054352</v>
      </c>
      <c r="AB601" s="10">
        <f t="shared" si="181"/>
        <v>63.268678326312696</v>
      </c>
      <c r="AC601" s="10">
        <f t="shared" si="169"/>
        <v>7.9085847907890869</v>
      </c>
      <c r="AD601" s="10">
        <f t="shared" si="173"/>
        <v>31.634339163156348</v>
      </c>
      <c r="AE601" s="65"/>
      <c r="AF601" s="10">
        <f t="shared" si="174"/>
        <v>83.960659275525302</v>
      </c>
      <c r="AG601" s="8">
        <f t="shared" si="170"/>
        <v>16.372328558727435</v>
      </c>
      <c r="AH601" s="10">
        <f t="shared" si="171"/>
        <v>41.980329637762651</v>
      </c>
      <c r="AI601" s="63"/>
      <c r="AJ601" s="10">
        <f t="shared" si="175"/>
        <v>91.31049999999999</v>
      </c>
      <c r="AK601" s="8"/>
      <c r="AL601" s="8">
        <f t="shared" si="172"/>
        <v>45.655249999999995</v>
      </c>
    </row>
    <row r="602" spans="1:38">
      <c r="A602" s="18">
        <v>41481</v>
      </c>
      <c r="B602" s="19" t="s">
        <v>141</v>
      </c>
      <c r="C602" s="12">
        <v>100.4</v>
      </c>
      <c r="D602" s="19" t="s">
        <v>80</v>
      </c>
      <c r="E602" s="16">
        <v>8.4086999999999996</v>
      </c>
      <c r="F602" s="8">
        <v>83.311729999999997</v>
      </c>
      <c r="G602" s="22">
        <v>100</v>
      </c>
      <c r="H602" s="22">
        <v>15</v>
      </c>
      <c r="I602" s="10">
        <f t="shared" si="182"/>
        <v>6.61659150558995</v>
      </c>
      <c r="J602" s="10">
        <f t="shared" si="183"/>
        <v>0.11548130703203342</v>
      </c>
      <c r="K602" s="10">
        <f t="shared" si="177"/>
        <v>21.140809612582899</v>
      </c>
      <c r="L602" s="22">
        <v>968</v>
      </c>
      <c r="M602" s="31" t="s">
        <v>231</v>
      </c>
      <c r="N602" s="8" t="s">
        <v>171</v>
      </c>
      <c r="O602" s="33" t="s">
        <v>99</v>
      </c>
      <c r="P602" s="33" t="s">
        <v>99</v>
      </c>
      <c r="Q602" s="7">
        <v>0.57999999999999996</v>
      </c>
      <c r="R602" s="7" t="s">
        <v>103</v>
      </c>
      <c r="S602" s="31">
        <v>5.6</v>
      </c>
      <c r="T602" s="79">
        <f t="shared" si="176"/>
        <v>2.4630143999999996E-3</v>
      </c>
      <c r="U602" s="22">
        <v>5</v>
      </c>
      <c r="V602" s="22">
        <v>45</v>
      </c>
      <c r="W602" s="10">
        <f t="shared" si="178"/>
        <v>0.78539816339744828</v>
      </c>
      <c r="X602" s="22">
        <v>6</v>
      </c>
      <c r="Y602" s="22">
        <v>18</v>
      </c>
      <c r="Z602" s="10">
        <f t="shared" si="179"/>
        <v>0.31415926535897931</v>
      </c>
      <c r="AA602" s="10">
        <f t="shared" si="180"/>
        <v>5.3896358721824216</v>
      </c>
      <c r="AB602" s="10">
        <f t="shared" si="181"/>
        <v>5.7775456467565354</v>
      </c>
      <c r="AC602" s="10">
        <f t="shared" si="169"/>
        <v>0.72219320584456692</v>
      </c>
      <c r="AD602" s="10">
        <f t="shared" si="173"/>
        <v>2.8887728233782677</v>
      </c>
      <c r="AE602" s="65"/>
      <c r="AF602" s="10">
        <f t="shared" si="174"/>
        <v>8.1501362242928845</v>
      </c>
      <c r="AG602" s="8">
        <f t="shared" si="170"/>
        <v>1.5892765637371125</v>
      </c>
      <c r="AH602" s="10">
        <f t="shared" si="171"/>
        <v>4.0750681121464423</v>
      </c>
      <c r="AI602" s="63"/>
      <c r="AJ602" s="10">
        <f t="shared" si="175"/>
        <v>5.5665999999999976</v>
      </c>
      <c r="AK602" s="8"/>
      <c r="AL602" s="8">
        <f t="shared" si="172"/>
        <v>2.7832999999999988</v>
      </c>
    </row>
    <row r="603" spans="1:38">
      <c r="A603" s="18">
        <v>41481</v>
      </c>
      <c r="B603" s="19" t="s">
        <v>141</v>
      </c>
      <c r="C603" s="12">
        <v>100.4</v>
      </c>
      <c r="D603" s="19" t="s">
        <v>80</v>
      </c>
      <c r="E603" s="16">
        <v>8.4086999999999996</v>
      </c>
      <c r="F603" s="8">
        <v>83.311729999999997</v>
      </c>
      <c r="G603" s="22">
        <v>100</v>
      </c>
      <c r="H603" s="22">
        <v>15</v>
      </c>
      <c r="I603" s="10">
        <f t="shared" si="182"/>
        <v>6.61659150558995</v>
      </c>
      <c r="J603" s="10">
        <f t="shared" si="183"/>
        <v>0.11548130703203342</v>
      </c>
      <c r="K603" s="10">
        <f t="shared" si="177"/>
        <v>21.140809612582899</v>
      </c>
      <c r="L603" s="22">
        <v>872</v>
      </c>
      <c r="M603" s="22" t="s">
        <v>39</v>
      </c>
      <c r="N603" s="8" t="s">
        <v>69</v>
      </c>
      <c r="O603" s="10" t="s">
        <v>65</v>
      </c>
      <c r="P603" s="10" t="s">
        <v>70</v>
      </c>
      <c r="Q603" s="8">
        <v>0.37</v>
      </c>
      <c r="R603" s="8" t="s">
        <v>71</v>
      </c>
      <c r="S603" s="31">
        <v>6.3</v>
      </c>
      <c r="T603" s="79">
        <f t="shared" si="176"/>
        <v>3.1172525999999998E-3</v>
      </c>
      <c r="U603" s="22">
        <v>9</v>
      </c>
      <c r="V603" s="22">
        <v>51</v>
      </c>
      <c r="W603" s="10">
        <f t="shared" si="178"/>
        <v>0.89011791851710809</v>
      </c>
      <c r="X603" s="22">
        <v>6</v>
      </c>
      <c r="Y603" s="22">
        <v>20</v>
      </c>
      <c r="Z603" s="10">
        <f t="shared" si="179"/>
        <v>0.3490658503988659</v>
      </c>
      <c r="AA603" s="10">
        <f t="shared" si="180"/>
        <v>9.0464345130667496</v>
      </c>
      <c r="AB603" s="10">
        <f t="shared" si="181"/>
        <v>7.6881238684511688</v>
      </c>
      <c r="AC603" s="10">
        <f t="shared" si="169"/>
        <v>0.9610154835563961</v>
      </c>
      <c r="AD603" s="10">
        <f t="shared" si="173"/>
        <v>3.8440619342255844</v>
      </c>
      <c r="AE603" s="65"/>
      <c r="AF603" s="10">
        <f t="shared" si="174"/>
        <v>6.9383776146001477</v>
      </c>
      <c r="AG603" s="8">
        <f t="shared" si="170"/>
        <v>1.3529836348470288</v>
      </c>
      <c r="AH603" s="10">
        <f t="shared" si="171"/>
        <v>3.4691888073000738</v>
      </c>
      <c r="AI603" s="63"/>
      <c r="AJ603" s="10">
        <f t="shared" si="175"/>
        <v>6.8637000000000015</v>
      </c>
      <c r="AK603" s="8"/>
      <c r="AL603" s="8">
        <f t="shared" si="172"/>
        <v>3.4318500000000007</v>
      </c>
    </row>
    <row r="604" spans="1:38">
      <c r="A604" s="18">
        <v>41481</v>
      </c>
      <c r="B604" s="19" t="s">
        <v>141</v>
      </c>
      <c r="C604" s="12">
        <v>100.4</v>
      </c>
      <c r="D604" s="19" t="s">
        <v>80</v>
      </c>
      <c r="E604" s="16">
        <v>8.4086999999999996</v>
      </c>
      <c r="F604" s="8">
        <v>83.311729999999997</v>
      </c>
      <c r="G604" s="22">
        <v>100</v>
      </c>
      <c r="H604" s="22">
        <v>15</v>
      </c>
      <c r="I604" s="10">
        <f t="shared" si="182"/>
        <v>6.61659150558995</v>
      </c>
      <c r="J604" s="10">
        <f t="shared" si="183"/>
        <v>0.11548130703203342</v>
      </c>
      <c r="K604" s="10">
        <f t="shared" si="177"/>
        <v>21.140809612582899</v>
      </c>
      <c r="L604" s="22">
        <v>871</v>
      </c>
      <c r="M604" s="22" t="s">
        <v>36</v>
      </c>
      <c r="N604" s="8" t="s">
        <v>46</v>
      </c>
      <c r="O604" s="10" t="s">
        <v>37</v>
      </c>
      <c r="P604" s="10" t="s">
        <v>38</v>
      </c>
      <c r="Q604" s="11">
        <v>0.48</v>
      </c>
      <c r="R604" s="8" t="s">
        <v>60</v>
      </c>
      <c r="S604" s="31">
        <v>17.899999999999999</v>
      </c>
      <c r="T604" s="79">
        <f t="shared" si="176"/>
        <v>2.5165001399999998E-2</v>
      </c>
      <c r="U604" s="22">
        <v>8</v>
      </c>
      <c r="V604" s="22">
        <v>65</v>
      </c>
      <c r="W604" s="10">
        <f t="shared" si="178"/>
        <v>1.1344640137963142</v>
      </c>
      <c r="X604" s="22">
        <v>6</v>
      </c>
      <c r="Y604" s="22">
        <v>15</v>
      </c>
      <c r="Z604" s="10">
        <f t="shared" si="179"/>
        <v>0.26179938779914941</v>
      </c>
      <c r="AA604" s="10">
        <f t="shared" si="180"/>
        <v>8.803376566908323</v>
      </c>
      <c r="AB604" s="10">
        <f t="shared" si="181"/>
        <v>68.165167338446963</v>
      </c>
      <c r="AC604" s="10">
        <f t="shared" si="169"/>
        <v>8.5206459173058704</v>
      </c>
      <c r="AD604" s="10">
        <f t="shared" si="173"/>
        <v>34.082583669223482</v>
      </c>
      <c r="AE604" s="65"/>
      <c r="AF604" s="10">
        <f t="shared" si="174"/>
        <v>119.94031533332937</v>
      </c>
      <c r="AG604" s="8">
        <f t="shared" si="170"/>
        <v>23.388361489999227</v>
      </c>
      <c r="AH604" s="10">
        <f t="shared" si="171"/>
        <v>59.970157666664683</v>
      </c>
      <c r="AI604" s="63"/>
      <c r="AJ604" s="10">
        <f t="shared" si="175"/>
        <v>133.94169999999997</v>
      </c>
      <c r="AK604" s="8"/>
      <c r="AL604" s="8">
        <f t="shared" si="172"/>
        <v>66.970849999999984</v>
      </c>
    </row>
    <row r="605" spans="1:38">
      <c r="A605" s="18">
        <v>41481</v>
      </c>
      <c r="B605" s="19" t="s">
        <v>141</v>
      </c>
      <c r="C605" s="12">
        <v>100.4</v>
      </c>
      <c r="D605" s="19" t="s">
        <v>80</v>
      </c>
      <c r="E605" s="16">
        <v>8.4086999999999996</v>
      </c>
      <c r="F605" s="8">
        <v>83.311729999999997</v>
      </c>
      <c r="G605" s="22">
        <v>100</v>
      </c>
      <c r="H605" s="22">
        <v>15</v>
      </c>
      <c r="I605" s="10">
        <f t="shared" si="182"/>
        <v>6.61659150558995</v>
      </c>
      <c r="J605" s="10">
        <f t="shared" si="183"/>
        <v>0.11548130703203342</v>
      </c>
      <c r="K605" s="10">
        <f t="shared" si="177"/>
        <v>21.140809612582899</v>
      </c>
      <c r="L605" s="22">
        <v>998</v>
      </c>
      <c r="M605" s="22" t="s">
        <v>36</v>
      </c>
      <c r="N605" s="8" t="s">
        <v>46</v>
      </c>
      <c r="O605" s="10" t="s">
        <v>37</v>
      </c>
      <c r="P605" s="10" t="s">
        <v>38</v>
      </c>
      <c r="Q605" s="11">
        <v>0.48</v>
      </c>
      <c r="R605" s="8" t="s">
        <v>60</v>
      </c>
      <c r="S605" s="30">
        <v>25</v>
      </c>
      <c r="T605" s="79">
        <f t="shared" si="176"/>
        <v>4.9087499999999999E-2</v>
      </c>
      <c r="U605" s="22">
        <v>10</v>
      </c>
      <c r="V605" s="22">
        <v>70</v>
      </c>
      <c r="W605" s="10">
        <f t="shared" si="178"/>
        <v>1.2217304763960306</v>
      </c>
      <c r="X605" s="22">
        <v>5</v>
      </c>
      <c r="Y605" s="22">
        <v>20</v>
      </c>
      <c r="Z605" s="10">
        <f t="shared" si="179"/>
        <v>0.3490658503988659</v>
      </c>
      <c r="AA605" s="10">
        <f t="shared" si="180"/>
        <v>11.107026924487426</v>
      </c>
      <c r="AB605" s="10">
        <f t="shared" si="181"/>
        <v>158.93430818995247</v>
      </c>
      <c r="AC605" s="10">
        <f t="shared" si="169"/>
        <v>19.866788523744059</v>
      </c>
      <c r="AD605" s="10">
        <f t="shared" si="173"/>
        <v>79.467154094976237</v>
      </c>
      <c r="AE605" s="65"/>
      <c r="AF605" s="10">
        <f t="shared" si="174"/>
        <v>272.59688296238687</v>
      </c>
      <c r="AG605" s="8">
        <f t="shared" si="170"/>
        <v>53.156392177665438</v>
      </c>
      <c r="AH605" s="10">
        <f t="shared" si="171"/>
        <v>136.29844148119344</v>
      </c>
      <c r="AI605" s="63"/>
      <c r="AJ605" s="10">
        <f t="shared" si="175"/>
        <v>309.97199999999998</v>
      </c>
      <c r="AK605" s="8"/>
      <c r="AL605" s="8">
        <f t="shared" si="172"/>
        <v>154.98599999999999</v>
      </c>
    </row>
    <row r="606" spans="1:38">
      <c r="A606" s="18">
        <v>41481</v>
      </c>
      <c r="B606" s="19" t="s">
        <v>141</v>
      </c>
      <c r="C606" s="12">
        <v>100.4</v>
      </c>
      <c r="D606" s="19" t="s">
        <v>80</v>
      </c>
      <c r="E606" s="16">
        <v>8.4086999999999996</v>
      </c>
      <c r="F606" s="8">
        <v>83.311729999999997</v>
      </c>
      <c r="G606" s="22">
        <v>100</v>
      </c>
      <c r="H606" s="22">
        <v>15</v>
      </c>
      <c r="I606" s="10">
        <f t="shared" si="182"/>
        <v>6.61659150558995</v>
      </c>
      <c r="J606" s="10">
        <f t="shared" si="183"/>
        <v>0.11548130703203342</v>
      </c>
      <c r="K606" s="10">
        <f t="shared" si="177"/>
        <v>21.140809612582899</v>
      </c>
      <c r="L606" s="22">
        <v>942</v>
      </c>
      <c r="M606" s="22" t="s">
        <v>36</v>
      </c>
      <c r="N606" s="8" t="s">
        <v>46</v>
      </c>
      <c r="O606" s="10" t="s">
        <v>37</v>
      </c>
      <c r="P606" s="10" t="s">
        <v>38</v>
      </c>
      <c r="Q606" s="11">
        <v>0.48</v>
      </c>
      <c r="R606" s="8" t="s">
        <v>60</v>
      </c>
      <c r="S606" s="31">
        <v>19.7</v>
      </c>
      <c r="T606" s="79">
        <f t="shared" si="176"/>
        <v>3.0480588600000001E-2</v>
      </c>
      <c r="U606" s="22">
        <v>12</v>
      </c>
      <c r="V606" s="22">
        <v>55</v>
      </c>
      <c r="W606" s="10">
        <f t="shared" si="178"/>
        <v>0.95993108859688125</v>
      </c>
      <c r="X606" s="22">
        <v>8</v>
      </c>
      <c r="Y606" s="22">
        <v>19</v>
      </c>
      <c r="Z606" s="10">
        <f t="shared" si="179"/>
        <v>0.33161255787892263</v>
      </c>
      <c r="AA606" s="10">
        <f t="shared" si="180"/>
        <v>12.434369767125155</v>
      </c>
      <c r="AB606" s="10">
        <f t="shared" si="181"/>
        <v>112.92012258726344</v>
      </c>
      <c r="AC606" s="10">
        <f t="shared" si="169"/>
        <v>14.115015323407929</v>
      </c>
      <c r="AD606" s="10">
        <f t="shared" si="173"/>
        <v>56.460061293631718</v>
      </c>
      <c r="AE606" s="65"/>
      <c r="AF606" s="10">
        <f t="shared" si="174"/>
        <v>151.9530624026049</v>
      </c>
      <c r="AG606" s="8">
        <f t="shared" si="170"/>
        <v>29.630847168507955</v>
      </c>
      <c r="AH606" s="10">
        <f t="shared" si="171"/>
        <v>75.97653120130245</v>
      </c>
      <c r="AI606" s="63"/>
      <c r="AJ606" s="10">
        <f t="shared" si="175"/>
        <v>171.5095</v>
      </c>
      <c r="AK606" s="8"/>
      <c r="AL606" s="8">
        <f t="shared" si="172"/>
        <v>85.754750000000001</v>
      </c>
    </row>
    <row r="607" spans="1:38">
      <c r="A607" s="18">
        <v>41481</v>
      </c>
      <c r="B607" s="19" t="s">
        <v>141</v>
      </c>
      <c r="C607" s="12">
        <v>100.4</v>
      </c>
      <c r="D607" s="19" t="s">
        <v>80</v>
      </c>
      <c r="E607" s="16">
        <v>8.4086999999999996</v>
      </c>
      <c r="F607" s="8">
        <v>83.311729999999997</v>
      </c>
      <c r="G607" s="22">
        <v>100</v>
      </c>
      <c r="H607" s="22">
        <v>15</v>
      </c>
      <c r="I607" s="10">
        <f t="shared" si="182"/>
        <v>6.61659150558995</v>
      </c>
      <c r="J607" s="10">
        <f t="shared" si="183"/>
        <v>0.11548130703203342</v>
      </c>
      <c r="K607" s="10">
        <f t="shared" si="177"/>
        <v>21.140809612582899</v>
      </c>
      <c r="L607" s="22">
        <v>943</v>
      </c>
      <c r="M607" s="22" t="s">
        <v>54</v>
      </c>
      <c r="N607" s="8" t="s">
        <v>55</v>
      </c>
      <c r="O607" s="10" t="s">
        <v>56</v>
      </c>
      <c r="P607" s="10" t="s">
        <v>57</v>
      </c>
      <c r="Q607" s="11">
        <v>0.315</v>
      </c>
      <c r="R607" s="12" t="s">
        <v>66</v>
      </c>
      <c r="S607" s="31">
        <v>10.1</v>
      </c>
      <c r="T607" s="79">
        <f t="shared" si="176"/>
        <v>8.0118654000000001E-3</v>
      </c>
      <c r="U607" s="22">
        <v>9</v>
      </c>
      <c r="V607" s="22">
        <v>59</v>
      </c>
      <c r="W607" s="10">
        <f t="shared" si="178"/>
        <v>1.0297442586766545</v>
      </c>
      <c r="X607" s="22">
        <v>6</v>
      </c>
      <c r="Y607" s="22">
        <v>19</v>
      </c>
      <c r="Z607" s="10">
        <f t="shared" si="179"/>
        <v>0.33161255787892263</v>
      </c>
      <c r="AA607" s="10">
        <f t="shared" si="180"/>
        <v>9.667914633061951</v>
      </c>
      <c r="AB607" s="10">
        <f t="shared" si="181"/>
        <v>17.084830051320072</v>
      </c>
      <c r="AC607" s="10">
        <f t="shared" si="169"/>
        <v>2.135603756415009</v>
      </c>
      <c r="AD607" s="10">
        <f t="shared" si="173"/>
        <v>8.542415025660036</v>
      </c>
      <c r="AE607" s="65"/>
      <c r="AF607" s="10">
        <f t="shared" si="174"/>
        <v>18.993995439209215</v>
      </c>
      <c r="AG607" s="8">
        <f t="shared" si="170"/>
        <v>3.7038291106457968</v>
      </c>
      <c r="AH607" s="10">
        <f t="shared" si="171"/>
        <v>9.4969977196046074</v>
      </c>
      <c r="AI607" s="63"/>
      <c r="AJ607" s="10">
        <f t="shared" si="175"/>
        <v>26.559099999999987</v>
      </c>
      <c r="AK607" s="8"/>
      <c r="AL607" s="8">
        <f t="shared" si="172"/>
        <v>13.279549999999993</v>
      </c>
    </row>
    <row r="608" spans="1:38">
      <c r="A608" s="18">
        <v>41481</v>
      </c>
      <c r="B608" s="19" t="s">
        <v>141</v>
      </c>
      <c r="C608" s="12">
        <v>100.4</v>
      </c>
      <c r="D608" s="19" t="s">
        <v>80</v>
      </c>
      <c r="E608" s="16">
        <v>8.4086999999999996</v>
      </c>
      <c r="F608" s="8">
        <v>83.311729999999997</v>
      </c>
      <c r="G608" s="22">
        <v>100</v>
      </c>
      <c r="H608" s="22">
        <v>15</v>
      </c>
      <c r="I608" s="10">
        <f t="shared" si="182"/>
        <v>6.61659150558995</v>
      </c>
      <c r="J608" s="10">
        <f t="shared" si="183"/>
        <v>0.11548130703203342</v>
      </c>
      <c r="K608" s="10">
        <f t="shared" si="177"/>
        <v>21.140809612582899</v>
      </c>
      <c r="L608" s="22">
        <v>1009</v>
      </c>
      <c r="M608" s="22" t="s">
        <v>136</v>
      </c>
      <c r="N608" s="22" t="s">
        <v>203</v>
      </c>
      <c r="O608" s="33" t="s">
        <v>237</v>
      </c>
      <c r="P608" s="33" t="s">
        <v>238</v>
      </c>
      <c r="Q608" s="7">
        <v>0.57999999999999996</v>
      </c>
      <c r="R608" s="7" t="s">
        <v>190</v>
      </c>
      <c r="S608" s="31">
        <v>29.8</v>
      </c>
      <c r="T608" s="79">
        <f t="shared" si="176"/>
        <v>6.9746661600000009E-2</v>
      </c>
      <c r="U608" s="8">
        <f>8+5</f>
        <v>13</v>
      </c>
      <c r="V608" s="22">
        <v>75</v>
      </c>
      <c r="W608" s="10">
        <f t="shared" si="178"/>
        <v>1.3089969389957472</v>
      </c>
      <c r="X608" s="22">
        <v>6</v>
      </c>
      <c r="Y608" s="22">
        <v>17</v>
      </c>
      <c r="Z608" s="10">
        <f t="shared" si="179"/>
        <v>0.29670597283903605</v>
      </c>
      <c r="AA608" s="10">
        <f t="shared" si="180"/>
        <v>14.311265970094308</v>
      </c>
      <c r="AB608" s="10">
        <f t="shared" si="181"/>
        <v>335.23394012231881</v>
      </c>
      <c r="AC608" s="10">
        <f t="shared" si="169"/>
        <v>41.904242515289852</v>
      </c>
      <c r="AD608" s="10">
        <f t="shared" si="173"/>
        <v>167.61697006115941</v>
      </c>
      <c r="AE608" s="65"/>
      <c r="AF608" s="10">
        <f t="shared" si="174"/>
        <v>504.46389754347553</v>
      </c>
      <c r="AG608" s="8">
        <f t="shared" si="170"/>
        <v>98.370460020977731</v>
      </c>
      <c r="AH608" s="10">
        <f t="shared" si="171"/>
        <v>252.23194877173776</v>
      </c>
      <c r="AI608" s="63"/>
      <c r="AJ608" s="10">
        <f t="shared" si="175"/>
        <v>471.24720000000002</v>
      </c>
      <c r="AK608" s="8"/>
      <c r="AL608" s="8">
        <f t="shared" si="172"/>
        <v>235.62360000000001</v>
      </c>
    </row>
    <row r="609" spans="1:38">
      <c r="A609" s="18">
        <v>41472</v>
      </c>
      <c r="B609" s="19" t="s">
        <v>132</v>
      </c>
      <c r="C609" s="12">
        <v>100.5</v>
      </c>
      <c r="D609" s="9" t="s">
        <v>80</v>
      </c>
      <c r="E609" s="8">
        <v>8.4087700000000005</v>
      </c>
      <c r="F609" s="8">
        <v>83.312860000000001</v>
      </c>
      <c r="G609" s="22">
        <v>100</v>
      </c>
      <c r="H609" s="22">
        <v>9</v>
      </c>
      <c r="I609" s="10">
        <f t="shared" si="182"/>
        <v>11.081094898603839</v>
      </c>
      <c r="J609" s="10">
        <f t="shared" si="183"/>
        <v>0.19340159070658419</v>
      </c>
      <c r="K609" s="10">
        <v>21</v>
      </c>
      <c r="L609" s="8">
        <v>7007</v>
      </c>
      <c r="M609" s="8" t="s">
        <v>54</v>
      </c>
      <c r="N609" s="8" t="s">
        <v>55</v>
      </c>
      <c r="O609" s="10" t="s">
        <v>56</v>
      </c>
      <c r="P609" s="10" t="s">
        <v>57</v>
      </c>
      <c r="Q609" s="11">
        <v>0.315</v>
      </c>
      <c r="R609" s="12" t="s">
        <v>66</v>
      </c>
      <c r="S609" s="12">
        <v>14.6</v>
      </c>
      <c r="T609" s="79">
        <f t="shared" si="176"/>
        <v>1.6741586400000001E-2</v>
      </c>
      <c r="U609" s="8">
        <v>14</v>
      </c>
      <c r="V609" s="8">
        <v>62</v>
      </c>
      <c r="W609" s="10">
        <f t="shared" ref="W609:W637" si="184">RADIANS(V609)</f>
        <v>1.0821041362364843</v>
      </c>
      <c r="X609" s="8">
        <v>5</v>
      </c>
      <c r="Y609" s="22">
        <v>16</v>
      </c>
      <c r="Z609" s="10">
        <f t="shared" ref="Z609:Z637" si="185">RADIANS(Y609)</f>
        <v>0.27925268031909273</v>
      </c>
      <c r="AA609" s="10">
        <f t="shared" ref="AA609:AA637" si="186">(SIN(W609)*U609)+(SIN(Z609)*X609)</f>
        <v>13.739453079109971</v>
      </c>
      <c r="AB609" s="10">
        <f t="shared" ref="AB609:AB637" si="187">0.0776*(Q609*S609^2*AA609)^0.94</f>
        <v>47.527863191713557</v>
      </c>
      <c r="AC609" s="10">
        <f t="shared" si="169"/>
        <v>5.9409828989641946</v>
      </c>
      <c r="AD609" s="10">
        <f t="shared" si="173"/>
        <v>23.763931595856779</v>
      </c>
      <c r="AE609" s="65"/>
      <c r="AF609" s="10">
        <f t="shared" si="174"/>
        <v>47.494764447729523</v>
      </c>
      <c r="AG609" s="8">
        <f t="shared" si="170"/>
        <v>9.261479067307258</v>
      </c>
      <c r="AH609" s="10">
        <f t="shared" si="171"/>
        <v>23.747382223864761</v>
      </c>
      <c r="AI609" s="63"/>
      <c r="AJ609" s="10">
        <f t="shared" si="175"/>
        <v>77.521599999999978</v>
      </c>
      <c r="AK609" s="8"/>
      <c r="AL609" s="8">
        <f t="shared" si="172"/>
        <v>38.760799999999989</v>
      </c>
    </row>
    <row r="610" spans="1:38">
      <c r="A610" s="18">
        <v>41472</v>
      </c>
      <c r="B610" s="19" t="s">
        <v>132</v>
      </c>
      <c r="C610" s="12">
        <v>100.5</v>
      </c>
      <c r="D610" s="19" t="s">
        <v>80</v>
      </c>
      <c r="E610" s="8">
        <v>8.4087700000000005</v>
      </c>
      <c r="F610" s="8">
        <v>83.312860000000001</v>
      </c>
      <c r="G610" s="22">
        <v>100</v>
      </c>
      <c r="H610" s="22">
        <v>9</v>
      </c>
      <c r="I610" s="10">
        <f t="shared" si="182"/>
        <v>11.081094898603839</v>
      </c>
      <c r="J610" s="10">
        <f t="shared" si="183"/>
        <v>0.19340159070658419</v>
      </c>
      <c r="K610" s="10">
        <v>21</v>
      </c>
      <c r="L610" s="8">
        <v>7014</v>
      </c>
      <c r="M610" s="22" t="s">
        <v>107</v>
      </c>
      <c r="N610" s="22" t="s">
        <v>63</v>
      </c>
      <c r="O610" s="10" t="s">
        <v>108</v>
      </c>
      <c r="P610" s="15" t="s">
        <v>92</v>
      </c>
      <c r="Q610" s="8">
        <v>0.57999999999999996</v>
      </c>
      <c r="R610" s="22" t="s">
        <v>190</v>
      </c>
      <c r="S610" s="12">
        <v>20.100000000000001</v>
      </c>
      <c r="T610" s="79">
        <f t="shared" si="176"/>
        <v>3.1730945400000002E-2</v>
      </c>
      <c r="U610" s="8">
        <v>13</v>
      </c>
      <c r="V610" s="8">
        <v>71</v>
      </c>
      <c r="W610" s="10">
        <f t="shared" si="184"/>
        <v>1.2391837689159739</v>
      </c>
      <c r="X610" s="8">
        <v>5</v>
      </c>
      <c r="Y610" s="22">
        <v>16</v>
      </c>
      <c r="Z610" s="10">
        <f t="shared" si="185"/>
        <v>0.27925268031909273</v>
      </c>
      <c r="AA610" s="10">
        <f t="shared" si="186"/>
        <v>13.669928261876112</v>
      </c>
      <c r="AB610" s="10">
        <f t="shared" si="187"/>
        <v>153.1485483032541</v>
      </c>
      <c r="AC610" s="10">
        <f t="shared" si="169"/>
        <v>19.143568537906763</v>
      </c>
      <c r="AD610" s="10">
        <f t="shared" si="173"/>
        <v>76.574274151627051</v>
      </c>
      <c r="AE610" s="65"/>
      <c r="AF610" s="10">
        <f t="shared" si="174"/>
        <v>192.93356777178127</v>
      </c>
      <c r="AG610" s="8">
        <f t="shared" si="170"/>
        <v>37.62204571549735</v>
      </c>
      <c r="AH610" s="10">
        <f t="shared" si="171"/>
        <v>96.466783885890635</v>
      </c>
      <c r="AI610" s="63"/>
      <c r="AJ610" s="10">
        <f t="shared" si="175"/>
        <v>180.50910000000005</v>
      </c>
      <c r="AK610" s="8"/>
      <c r="AL610" s="8">
        <f t="shared" si="172"/>
        <v>90.254550000000023</v>
      </c>
    </row>
    <row r="611" spans="1:38">
      <c r="A611" s="18">
        <v>41472</v>
      </c>
      <c r="B611" s="19" t="s">
        <v>132</v>
      </c>
      <c r="C611" s="12">
        <v>100.5</v>
      </c>
      <c r="D611" s="19" t="s">
        <v>80</v>
      </c>
      <c r="E611" s="8">
        <v>8.4087700000000005</v>
      </c>
      <c r="F611" s="8">
        <v>83.312860000000001</v>
      </c>
      <c r="G611" s="22">
        <v>100</v>
      </c>
      <c r="H611" s="22">
        <v>9</v>
      </c>
      <c r="I611" s="10">
        <f t="shared" si="182"/>
        <v>11.081094898603839</v>
      </c>
      <c r="J611" s="10">
        <f t="shared" si="183"/>
        <v>0.19340159070658419</v>
      </c>
      <c r="K611" s="10">
        <v>21</v>
      </c>
      <c r="L611" s="8">
        <v>6021</v>
      </c>
      <c r="M611" s="22" t="s">
        <v>252</v>
      </c>
      <c r="N611" s="8" t="s">
        <v>198</v>
      </c>
      <c r="O611" s="10" t="s">
        <v>226</v>
      </c>
      <c r="P611" s="10" t="s">
        <v>227</v>
      </c>
      <c r="Q611" s="22">
        <v>0.54</v>
      </c>
      <c r="R611" s="22" t="s">
        <v>190</v>
      </c>
      <c r="S611" s="12">
        <v>7.3</v>
      </c>
      <c r="T611" s="79">
        <f t="shared" si="176"/>
        <v>4.1853966000000003E-3</v>
      </c>
      <c r="U611" s="8">
        <v>8</v>
      </c>
      <c r="V611" s="8">
        <v>28</v>
      </c>
      <c r="W611" s="10">
        <f t="shared" si="184"/>
        <v>0.48869219055841229</v>
      </c>
      <c r="X611" s="8">
        <v>5</v>
      </c>
      <c r="Y611" s="22">
        <v>17</v>
      </c>
      <c r="Z611" s="10">
        <f t="shared" si="185"/>
        <v>0.29670597283903605</v>
      </c>
      <c r="AA611" s="10">
        <f t="shared" si="186"/>
        <v>5.2176310259008103</v>
      </c>
      <c r="AB611" s="10">
        <f t="shared" si="187"/>
        <v>8.6254903697193637</v>
      </c>
      <c r="AC611" s="10">
        <f t="shared" si="169"/>
        <v>1.0781862962149205</v>
      </c>
      <c r="AD611" s="10">
        <f t="shared" si="173"/>
        <v>4.3127451848596818</v>
      </c>
      <c r="AE611" s="65"/>
      <c r="AF611" s="10">
        <f t="shared" si="174"/>
        <v>14.556818308208729</v>
      </c>
      <c r="AG611" s="8">
        <f t="shared" si="170"/>
        <v>2.8385795701007024</v>
      </c>
      <c r="AH611" s="10">
        <f t="shared" si="171"/>
        <v>7.2784091541043647</v>
      </c>
      <c r="AI611" s="63"/>
      <c r="AJ611" s="10">
        <f t="shared" si="175"/>
        <v>9.974699999999995</v>
      </c>
      <c r="AK611" s="8"/>
      <c r="AL611" s="8">
        <f t="shared" si="172"/>
        <v>4.9873499999999975</v>
      </c>
    </row>
    <row r="612" spans="1:38">
      <c r="A612" s="18">
        <v>41472</v>
      </c>
      <c r="B612" s="19" t="s">
        <v>132</v>
      </c>
      <c r="C612" s="12">
        <v>100.5</v>
      </c>
      <c r="D612" s="19" t="s">
        <v>80</v>
      </c>
      <c r="E612" s="8">
        <v>8.4087700000000005</v>
      </c>
      <c r="F612" s="8">
        <v>83.312860000000001</v>
      </c>
      <c r="G612" s="22">
        <v>100</v>
      </c>
      <c r="H612" s="22">
        <v>9</v>
      </c>
      <c r="I612" s="10">
        <f t="shared" si="182"/>
        <v>11.081094898603839</v>
      </c>
      <c r="J612" s="10">
        <f t="shared" si="183"/>
        <v>0.19340159070658419</v>
      </c>
      <c r="K612" s="10">
        <v>21</v>
      </c>
      <c r="L612" s="22">
        <v>6017</v>
      </c>
      <c r="M612" s="22" t="s">
        <v>252</v>
      </c>
      <c r="N612" s="8" t="s">
        <v>198</v>
      </c>
      <c r="O612" s="10" t="s">
        <v>226</v>
      </c>
      <c r="P612" s="10" t="s">
        <v>227</v>
      </c>
      <c r="Q612" s="22">
        <v>0.54</v>
      </c>
      <c r="R612" s="22" t="s">
        <v>190</v>
      </c>
      <c r="S612" s="31">
        <v>7.3</v>
      </c>
      <c r="T612" s="79">
        <f t="shared" si="176"/>
        <v>4.1853966000000003E-3</v>
      </c>
      <c r="U612" s="22">
        <v>8</v>
      </c>
      <c r="V612" s="22">
        <v>26</v>
      </c>
      <c r="W612" s="10">
        <f t="shared" si="184"/>
        <v>0.4537856055185257</v>
      </c>
      <c r="X612" s="22">
        <v>5</v>
      </c>
      <c r="Y612" s="22">
        <v>17</v>
      </c>
      <c r="Z612" s="10">
        <f t="shared" si="185"/>
        <v>0.29670597283903605</v>
      </c>
      <c r="AA612" s="10">
        <f t="shared" si="186"/>
        <v>4.9688276979263026</v>
      </c>
      <c r="AB612" s="10">
        <f t="shared" si="187"/>
        <v>8.2382986830400036</v>
      </c>
      <c r="AC612" s="10">
        <f t="shared" si="169"/>
        <v>1.0297873353800004</v>
      </c>
      <c r="AD612" s="10">
        <f t="shared" si="173"/>
        <v>4.1191493415200018</v>
      </c>
      <c r="AE612" s="65"/>
      <c r="AF612" s="10">
        <f t="shared" si="174"/>
        <v>14.556818308208729</v>
      </c>
      <c r="AG612" s="8">
        <f t="shared" si="170"/>
        <v>2.8385795701007024</v>
      </c>
      <c r="AH612" s="10">
        <f t="shared" si="171"/>
        <v>7.2784091541043647</v>
      </c>
      <c r="AI612" s="63"/>
      <c r="AJ612" s="10">
        <f t="shared" si="175"/>
        <v>9.974699999999995</v>
      </c>
      <c r="AK612" s="8"/>
      <c r="AL612" s="8">
        <f t="shared" si="172"/>
        <v>4.9873499999999975</v>
      </c>
    </row>
    <row r="613" spans="1:38">
      <c r="A613" s="18">
        <v>41472</v>
      </c>
      <c r="B613" s="19" t="s">
        <v>132</v>
      </c>
      <c r="C613" s="12">
        <v>100.5</v>
      </c>
      <c r="D613" s="19" t="s">
        <v>80</v>
      </c>
      <c r="E613" s="8">
        <v>8.4087700000000005</v>
      </c>
      <c r="F613" s="8">
        <v>83.312860000000001</v>
      </c>
      <c r="G613" s="22">
        <v>100</v>
      </c>
      <c r="H613" s="22">
        <v>9</v>
      </c>
      <c r="I613" s="10">
        <f t="shared" si="182"/>
        <v>11.081094898603839</v>
      </c>
      <c r="J613" s="10">
        <f t="shared" si="183"/>
        <v>0.19340159070658419</v>
      </c>
      <c r="K613" s="10">
        <v>21</v>
      </c>
      <c r="L613" s="22">
        <v>549</v>
      </c>
      <c r="M613" s="22" t="s">
        <v>72</v>
      </c>
      <c r="N613" s="22" t="s">
        <v>93</v>
      </c>
      <c r="O613" s="10" t="s">
        <v>91</v>
      </c>
      <c r="P613" s="15" t="s">
        <v>92</v>
      </c>
      <c r="Q613" s="8">
        <v>0.48</v>
      </c>
      <c r="R613" s="22" t="s">
        <v>190</v>
      </c>
      <c r="S613" s="31">
        <v>11.5</v>
      </c>
      <c r="T613" s="79">
        <f t="shared" si="176"/>
        <v>1.0386915E-2</v>
      </c>
      <c r="U613" s="22">
        <v>14</v>
      </c>
      <c r="V613" s="22">
        <v>67</v>
      </c>
      <c r="W613" s="10">
        <f t="shared" si="184"/>
        <v>1.1693705988362009</v>
      </c>
      <c r="X613" s="22">
        <v>5</v>
      </c>
      <c r="Y613" s="22">
        <v>9</v>
      </c>
      <c r="Z613" s="10">
        <f t="shared" si="185"/>
        <v>0.15707963267948966</v>
      </c>
      <c r="AA613" s="10">
        <f t="shared" si="186"/>
        <v>13.669240273535319</v>
      </c>
      <c r="AB613" s="10">
        <f t="shared" si="187"/>
        <v>44.868354143074676</v>
      </c>
      <c r="AC613" s="10">
        <f t="shared" si="169"/>
        <v>5.6085442678843345</v>
      </c>
      <c r="AD613" s="10">
        <f t="shared" si="173"/>
        <v>22.434177071537338</v>
      </c>
      <c r="AE613" s="65"/>
      <c r="AF613" s="10">
        <f t="shared" si="174"/>
        <v>39.975367927888335</v>
      </c>
      <c r="AG613" s="8">
        <f t="shared" si="170"/>
        <v>7.7951967459382256</v>
      </c>
      <c r="AH613" s="10">
        <f t="shared" si="171"/>
        <v>19.987683963944168</v>
      </c>
      <c r="AI613" s="63"/>
      <c r="AJ613" s="10">
        <f t="shared" si="175"/>
        <v>39.202499999999986</v>
      </c>
      <c r="AK613" s="8"/>
      <c r="AL613" s="8">
        <f t="shared" si="172"/>
        <v>19.601249999999993</v>
      </c>
    </row>
    <row r="614" spans="1:38">
      <c r="A614" s="18">
        <v>41472</v>
      </c>
      <c r="B614" s="19" t="s">
        <v>132</v>
      </c>
      <c r="C614" s="12">
        <v>100.5</v>
      </c>
      <c r="D614" s="19" t="s">
        <v>80</v>
      </c>
      <c r="E614" s="8">
        <v>8.4087700000000005</v>
      </c>
      <c r="F614" s="8">
        <v>83.312860000000001</v>
      </c>
      <c r="G614" s="22">
        <v>100</v>
      </c>
      <c r="H614" s="22">
        <v>9</v>
      </c>
      <c r="I614" s="10">
        <f t="shared" si="182"/>
        <v>11.081094898603839</v>
      </c>
      <c r="J614" s="10">
        <f t="shared" si="183"/>
        <v>0.19340159070658419</v>
      </c>
      <c r="K614" s="10">
        <v>21</v>
      </c>
      <c r="L614" s="22">
        <v>523</v>
      </c>
      <c r="M614" s="22" t="s">
        <v>252</v>
      </c>
      <c r="N614" s="8" t="s">
        <v>198</v>
      </c>
      <c r="O614" s="10" t="s">
        <v>226</v>
      </c>
      <c r="P614" s="10" t="s">
        <v>227</v>
      </c>
      <c r="Q614" s="22">
        <v>0.54</v>
      </c>
      <c r="R614" s="22" t="s">
        <v>190</v>
      </c>
      <c r="S614" s="31">
        <v>6.4</v>
      </c>
      <c r="T614" s="79">
        <f t="shared" si="176"/>
        <v>3.2169984000000006E-3</v>
      </c>
      <c r="U614" s="22">
        <v>8</v>
      </c>
      <c r="V614" s="22">
        <v>48</v>
      </c>
      <c r="W614" s="10">
        <f t="shared" si="184"/>
        <v>0.83775804095727824</v>
      </c>
      <c r="X614" s="22">
        <v>6</v>
      </c>
      <c r="Y614" s="22">
        <v>7</v>
      </c>
      <c r="Z614" s="10">
        <f t="shared" si="185"/>
        <v>0.12217304763960307</v>
      </c>
      <c r="AA614" s="10">
        <f t="shared" si="186"/>
        <v>6.676374664250039</v>
      </c>
      <c r="AB614" s="10">
        <f t="shared" si="187"/>
        <v>8.4917747354517239</v>
      </c>
      <c r="AC614" s="10">
        <f t="shared" si="169"/>
        <v>1.0614718419314655</v>
      </c>
      <c r="AD614" s="10">
        <f t="shared" si="173"/>
        <v>4.2458873677258619</v>
      </c>
      <c r="AE614" s="65"/>
      <c r="AF614" s="10">
        <f t="shared" si="174"/>
        <v>10.525820057903635</v>
      </c>
      <c r="AG614" s="8">
        <f t="shared" si="170"/>
        <v>2.0525349112912088</v>
      </c>
      <c r="AH614" s="10">
        <f t="shared" si="171"/>
        <v>5.2629100289518176</v>
      </c>
      <c r="AI614" s="63"/>
      <c r="AJ614" s="10">
        <f t="shared" si="175"/>
        <v>7.1082000000000036</v>
      </c>
      <c r="AK614" s="8"/>
      <c r="AL614" s="8">
        <f t="shared" si="172"/>
        <v>3.5541000000000018</v>
      </c>
    </row>
    <row r="615" spans="1:38">
      <c r="A615" s="18">
        <v>41472</v>
      </c>
      <c r="B615" s="19" t="s">
        <v>132</v>
      </c>
      <c r="C615" s="12">
        <v>100.5</v>
      </c>
      <c r="D615" s="19" t="s">
        <v>80</v>
      </c>
      <c r="E615" s="8">
        <v>8.4087700000000005</v>
      </c>
      <c r="F615" s="8">
        <v>83.312860000000001</v>
      </c>
      <c r="G615" s="22">
        <v>100</v>
      </c>
      <c r="H615" s="22">
        <v>9</v>
      </c>
      <c r="I615" s="10">
        <f t="shared" si="182"/>
        <v>11.081094898603839</v>
      </c>
      <c r="J615" s="10">
        <f t="shared" si="183"/>
        <v>0.19340159070658419</v>
      </c>
      <c r="K615" s="10">
        <v>21</v>
      </c>
      <c r="L615" s="22">
        <v>7008</v>
      </c>
      <c r="M615" s="22" t="s">
        <v>252</v>
      </c>
      <c r="N615" s="8" t="s">
        <v>198</v>
      </c>
      <c r="O615" s="10" t="s">
        <v>226</v>
      </c>
      <c r="P615" s="10" t="s">
        <v>227</v>
      </c>
      <c r="Q615" s="22">
        <v>0.54</v>
      </c>
      <c r="R615" s="22" t="s">
        <v>190</v>
      </c>
      <c r="S615" s="31">
        <v>9.5</v>
      </c>
      <c r="T615" s="79">
        <f t="shared" si="176"/>
        <v>7.088235E-3</v>
      </c>
      <c r="U615" s="22">
        <v>7</v>
      </c>
      <c r="V615" s="22">
        <v>65</v>
      </c>
      <c r="W615" s="10">
        <f t="shared" si="184"/>
        <v>1.1344640137963142</v>
      </c>
      <c r="X615" s="22">
        <v>5</v>
      </c>
      <c r="Y615" s="22">
        <v>7</v>
      </c>
      <c r="Z615" s="10">
        <f t="shared" si="185"/>
        <v>0.12217304763960307</v>
      </c>
      <c r="AA615" s="10">
        <f t="shared" si="186"/>
        <v>6.9535012262822864</v>
      </c>
      <c r="AB615" s="10">
        <f t="shared" si="187"/>
        <v>18.539736479965153</v>
      </c>
      <c r="AC615" s="10">
        <f t="shared" si="169"/>
        <v>2.3174670599956442</v>
      </c>
      <c r="AD615" s="10">
        <f t="shared" si="173"/>
        <v>9.2698682399825767</v>
      </c>
      <c r="AE615" s="65"/>
      <c r="AF615" s="10">
        <f t="shared" si="174"/>
        <v>27.963066874873157</v>
      </c>
      <c r="AG615" s="8">
        <f t="shared" si="170"/>
        <v>5.4527980406002658</v>
      </c>
      <c r="AH615" s="10">
        <f t="shared" si="171"/>
        <v>13.981533437436578</v>
      </c>
      <c r="AI615" s="63"/>
      <c r="AJ615" s="10">
        <f t="shared" si="175"/>
        <v>22.028499999999994</v>
      </c>
      <c r="AK615" s="8"/>
      <c r="AL615" s="8">
        <f t="shared" si="172"/>
        <v>11.014249999999997</v>
      </c>
    </row>
    <row r="616" spans="1:38">
      <c r="A616" s="18">
        <v>41472</v>
      </c>
      <c r="B616" s="19" t="s">
        <v>132</v>
      </c>
      <c r="C616" s="12">
        <v>100.5</v>
      </c>
      <c r="D616" s="19" t="s">
        <v>80</v>
      </c>
      <c r="E616" s="8">
        <v>8.4087700000000005</v>
      </c>
      <c r="F616" s="8">
        <v>83.312860000000001</v>
      </c>
      <c r="G616" s="22">
        <v>100</v>
      </c>
      <c r="H616" s="22">
        <v>9</v>
      </c>
      <c r="I616" s="10">
        <f t="shared" si="182"/>
        <v>11.081094898603839</v>
      </c>
      <c r="J616" s="10">
        <f t="shared" si="183"/>
        <v>0.19340159070658419</v>
      </c>
      <c r="K616" s="10">
        <v>21</v>
      </c>
      <c r="L616" s="22">
        <v>519</v>
      </c>
      <c r="M616" s="22" t="s">
        <v>252</v>
      </c>
      <c r="N616" s="8" t="s">
        <v>198</v>
      </c>
      <c r="O616" s="10" t="s">
        <v>226</v>
      </c>
      <c r="P616" s="10" t="s">
        <v>227</v>
      </c>
      <c r="Q616" s="22">
        <v>0.54</v>
      </c>
      <c r="R616" s="22" t="s">
        <v>190</v>
      </c>
      <c r="S616" s="31">
        <v>9.1</v>
      </c>
      <c r="T616" s="79">
        <f t="shared" si="176"/>
        <v>6.5038973999999991E-3</v>
      </c>
      <c r="U616" s="22">
        <v>7</v>
      </c>
      <c r="V616" s="22">
        <v>43</v>
      </c>
      <c r="W616" s="10">
        <f t="shared" si="184"/>
        <v>0.75049157835756175</v>
      </c>
      <c r="X616" s="22">
        <v>5</v>
      </c>
      <c r="Y616" s="22">
        <v>16</v>
      </c>
      <c r="Z616" s="10">
        <f t="shared" si="185"/>
        <v>0.27925268031909273</v>
      </c>
      <c r="AA616" s="10">
        <f t="shared" si="186"/>
        <v>6.1521752995224857</v>
      </c>
      <c r="AB616" s="10">
        <f t="shared" si="187"/>
        <v>15.240410071856411</v>
      </c>
      <c r="AC616" s="10">
        <f t="shared" si="169"/>
        <v>1.9050512589820514</v>
      </c>
      <c r="AD616" s="10">
        <f t="shared" si="173"/>
        <v>7.6202050359282056</v>
      </c>
      <c r="AE616" s="65"/>
      <c r="AF616" s="10">
        <f t="shared" si="174"/>
        <v>25.129190386235514</v>
      </c>
      <c r="AG616" s="8">
        <f t="shared" si="170"/>
        <v>4.9001921253159253</v>
      </c>
      <c r="AH616" s="10">
        <f t="shared" si="171"/>
        <v>12.564595193117757</v>
      </c>
      <c r="AI616" s="63"/>
      <c r="AJ616" s="10">
        <f t="shared" si="175"/>
        <v>19.304099999999984</v>
      </c>
      <c r="AK616" s="8"/>
      <c r="AL616" s="8">
        <f t="shared" si="172"/>
        <v>9.652049999999992</v>
      </c>
    </row>
    <row r="617" spans="1:38">
      <c r="A617" s="18">
        <v>41472</v>
      </c>
      <c r="B617" s="19" t="s">
        <v>132</v>
      </c>
      <c r="C617" s="12">
        <v>100.5</v>
      </c>
      <c r="D617" s="19" t="s">
        <v>80</v>
      </c>
      <c r="E617" s="8">
        <v>8.4087700000000005</v>
      </c>
      <c r="F617" s="8">
        <v>83.312860000000001</v>
      </c>
      <c r="G617" s="22">
        <v>100</v>
      </c>
      <c r="H617" s="22">
        <v>9</v>
      </c>
      <c r="I617" s="10">
        <f t="shared" si="182"/>
        <v>11.081094898603839</v>
      </c>
      <c r="J617" s="10">
        <f t="shared" si="183"/>
        <v>0.19340159070658419</v>
      </c>
      <c r="K617" s="10">
        <v>21</v>
      </c>
      <c r="L617" s="22">
        <v>534</v>
      </c>
      <c r="M617" s="22" t="s">
        <v>39</v>
      </c>
      <c r="N617" s="8" t="s">
        <v>69</v>
      </c>
      <c r="O617" s="10" t="s">
        <v>65</v>
      </c>
      <c r="P617" s="10" t="s">
        <v>70</v>
      </c>
      <c r="Q617" s="8">
        <v>0.37</v>
      </c>
      <c r="R617" s="8" t="s">
        <v>71</v>
      </c>
      <c r="S617" s="30">
        <v>12</v>
      </c>
      <c r="T617" s="79">
        <f t="shared" si="176"/>
        <v>1.130976E-2</v>
      </c>
      <c r="U617" s="22">
        <v>12</v>
      </c>
      <c r="V617" s="22">
        <v>56</v>
      </c>
      <c r="W617" s="10">
        <f t="shared" si="184"/>
        <v>0.97738438111682457</v>
      </c>
      <c r="X617" s="22">
        <v>7</v>
      </c>
      <c r="Y617" s="22">
        <v>15</v>
      </c>
      <c r="Z617" s="10">
        <f t="shared" si="185"/>
        <v>0.26179938779914941</v>
      </c>
      <c r="AA617" s="10">
        <f t="shared" si="186"/>
        <v>11.760184186378147</v>
      </c>
      <c r="AB617" s="10">
        <f t="shared" si="187"/>
        <v>33.038579059451564</v>
      </c>
      <c r="AC617" s="10">
        <f t="shared" si="169"/>
        <v>4.1298223824314455</v>
      </c>
      <c r="AD617" s="10">
        <f t="shared" si="173"/>
        <v>16.519289529725782</v>
      </c>
      <c r="AE617" s="65"/>
      <c r="AF617" s="10">
        <f t="shared" si="174"/>
        <v>34.256637001283615</v>
      </c>
      <c r="AG617" s="8">
        <f t="shared" si="170"/>
        <v>6.6800442152503052</v>
      </c>
      <c r="AH617" s="10">
        <f t="shared" si="171"/>
        <v>17.128318500641807</v>
      </c>
      <c r="AI617" s="63"/>
      <c r="AJ617" s="10">
        <f t="shared" si="175"/>
        <v>44.420999999999992</v>
      </c>
      <c r="AK617" s="8"/>
      <c r="AL617" s="8">
        <f t="shared" si="172"/>
        <v>22.210499999999996</v>
      </c>
    </row>
    <row r="618" spans="1:38">
      <c r="A618" s="18">
        <v>41472</v>
      </c>
      <c r="B618" s="19" t="s">
        <v>132</v>
      </c>
      <c r="C618" s="12">
        <v>100.5</v>
      </c>
      <c r="D618" s="19" t="s">
        <v>80</v>
      </c>
      <c r="E618" s="8">
        <v>8.4087700000000005</v>
      </c>
      <c r="F618" s="8">
        <v>83.312860000000001</v>
      </c>
      <c r="G618" s="22">
        <v>100</v>
      </c>
      <c r="H618" s="22">
        <v>9</v>
      </c>
      <c r="I618" s="10">
        <f t="shared" si="182"/>
        <v>11.081094898603839</v>
      </c>
      <c r="J618" s="10">
        <f t="shared" si="183"/>
        <v>0.19340159070658419</v>
      </c>
      <c r="K618" s="10">
        <v>21</v>
      </c>
      <c r="L618" s="22">
        <v>557</v>
      </c>
      <c r="M618" s="22" t="s">
        <v>252</v>
      </c>
      <c r="N618" s="8" t="s">
        <v>198</v>
      </c>
      <c r="O618" s="10" t="s">
        <v>226</v>
      </c>
      <c r="P618" s="10" t="s">
        <v>227</v>
      </c>
      <c r="Q618" s="22">
        <v>0.54</v>
      </c>
      <c r="R618" s="22" t="s">
        <v>190</v>
      </c>
      <c r="S618" s="31">
        <v>7.6</v>
      </c>
      <c r="T618" s="79">
        <f t="shared" si="176"/>
        <v>4.5364704E-3</v>
      </c>
      <c r="U618" s="22">
        <v>8</v>
      </c>
      <c r="V618" s="22">
        <v>46</v>
      </c>
      <c r="W618" s="10">
        <f t="shared" si="184"/>
        <v>0.8028514559173916</v>
      </c>
      <c r="X618" s="22">
        <v>5</v>
      </c>
      <c r="Y618" s="22">
        <v>16</v>
      </c>
      <c r="Z618" s="10">
        <f t="shared" si="185"/>
        <v>0.27925268031909273</v>
      </c>
      <c r="AA618" s="10">
        <f t="shared" si="186"/>
        <v>7.1329051817942046</v>
      </c>
      <c r="AB618" s="10">
        <f t="shared" si="187"/>
        <v>12.482795993057888</v>
      </c>
      <c r="AC618" s="10">
        <f t="shared" si="169"/>
        <v>1.560349499132236</v>
      </c>
      <c r="AD618" s="10">
        <f t="shared" si="173"/>
        <v>6.2413979965289439</v>
      </c>
      <c r="AE618" s="65"/>
      <c r="AF618" s="10">
        <f t="shared" si="174"/>
        <v>16.080258645166239</v>
      </c>
      <c r="AG618" s="8">
        <f t="shared" si="170"/>
        <v>3.1356504358074169</v>
      </c>
      <c r="AH618" s="10">
        <f t="shared" si="171"/>
        <v>8.0401293225831196</v>
      </c>
      <c r="AI618" s="63"/>
      <c r="AJ618" s="10">
        <f t="shared" si="175"/>
        <v>11.1966</v>
      </c>
      <c r="AK618" s="8"/>
      <c r="AL618" s="8">
        <f t="shared" si="172"/>
        <v>5.5983000000000001</v>
      </c>
    </row>
    <row r="619" spans="1:38">
      <c r="A619" s="18">
        <v>41472</v>
      </c>
      <c r="B619" s="19" t="s">
        <v>132</v>
      </c>
      <c r="C619" s="12">
        <v>100.5</v>
      </c>
      <c r="D619" s="19" t="s">
        <v>80</v>
      </c>
      <c r="E619" s="8">
        <v>8.4087700000000005</v>
      </c>
      <c r="F619" s="8">
        <v>83.312860000000001</v>
      </c>
      <c r="G619" s="22">
        <v>100</v>
      </c>
      <c r="H619" s="22">
        <v>9</v>
      </c>
      <c r="I619" s="10">
        <f t="shared" si="182"/>
        <v>11.081094898603839</v>
      </c>
      <c r="J619" s="10">
        <f t="shared" si="183"/>
        <v>0.19340159070658419</v>
      </c>
      <c r="K619" s="10">
        <v>21</v>
      </c>
      <c r="L619" s="22">
        <v>6031</v>
      </c>
      <c r="M619" s="31" t="s">
        <v>222</v>
      </c>
      <c r="N619" s="22" t="s">
        <v>171</v>
      </c>
      <c r="O619" s="50" t="s">
        <v>172</v>
      </c>
      <c r="P619" s="50" t="s">
        <v>173</v>
      </c>
      <c r="Q619" s="23">
        <v>0.24</v>
      </c>
      <c r="R619" s="22" t="s">
        <v>174</v>
      </c>
      <c r="S619" s="31">
        <v>12.9</v>
      </c>
      <c r="T619" s="79">
        <f t="shared" si="176"/>
        <v>1.3069841400000001E-2</v>
      </c>
      <c r="U619" s="22">
        <v>11</v>
      </c>
      <c r="V619" s="22">
        <v>64</v>
      </c>
      <c r="W619" s="10">
        <f t="shared" si="184"/>
        <v>1.1170107212763709</v>
      </c>
      <c r="X619" s="22">
        <v>5</v>
      </c>
      <c r="Y619" s="22">
        <v>8</v>
      </c>
      <c r="Z619" s="10">
        <f t="shared" si="185"/>
        <v>0.13962634015954636</v>
      </c>
      <c r="AA619" s="10">
        <f t="shared" si="186"/>
        <v>10.582600014091165</v>
      </c>
      <c r="AB619" s="10">
        <f t="shared" si="187"/>
        <v>22.818431189186477</v>
      </c>
      <c r="AC619" s="10">
        <f t="shared" si="169"/>
        <v>2.8523038986483096</v>
      </c>
      <c r="AD619" s="10">
        <f t="shared" si="173"/>
        <v>11.409215594593238</v>
      </c>
      <c r="AE619" s="65"/>
      <c r="AF619" s="10">
        <f t="shared" si="174"/>
        <v>26.600826877017671</v>
      </c>
      <c r="AG619" s="8">
        <f t="shared" si="170"/>
        <v>5.1871612410184458</v>
      </c>
      <c r="AH619" s="10">
        <f t="shared" si="171"/>
        <v>13.300413438508835</v>
      </c>
      <c r="AI619" s="63"/>
      <c r="AJ619" s="10">
        <f t="shared" si="175"/>
        <v>54.74669999999999</v>
      </c>
      <c r="AK619" s="8"/>
      <c r="AL619" s="8">
        <f t="shared" si="172"/>
        <v>27.373349999999995</v>
      </c>
    </row>
    <row r="620" spans="1:38">
      <c r="A620" s="18">
        <v>41472</v>
      </c>
      <c r="B620" s="19" t="s">
        <v>132</v>
      </c>
      <c r="C620" s="12">
        <v>100.5</v>
      </c>
      <c r="D620" s="19" t="s">
        <v>80</v>
      </c>
      <c r="E620" s="8">
        <v>8.4087700000000005</v>
      </c>
      <c r="F620" s="8">
        <v>83.312860000000001</v>
      </c>
      <c r="G620" s="22">
        <v>100</v>
      </c>
      <c r="H620" s="22">
        <v>9</v>
      </c>
      <c r="I620" s="10">
        <f t="shared" si="182"/>
        <v>11.081094898603839</v>
      </c>
      <c r="J620" s="10">
        <f t="shared" si="183"/>
        <v>0.19340159070658419</v>
      </c>
      <c r="K620" s="10">
        <v>21</v>
      </c>
      <c r="L620" s="22">
        <v>7010</v>
      </c>
      <c r="M620" s="22" t="s">
        <v>39</v>
      </c>
      <c r="N620" s="8" t="s">
        <v>69</v>
      </c>
      <c r="O620" s="10" t="s">
        <v>65</v>
      </c>
      <c r="P620" s="10" t="s">
        <v>70</v>
      </c>
      <c r="Q620" s="8">
        <v>0.37</v>
      </c>
      <c r="R620" s="8" t="s">
        <v>71</v>
      </c>
      <c r="S620" s="31">
        <v>6.4</v>
      </c>
      <c r="T620" s="79">
        <f t="shared" si="176"/>
        <v>3.2169984000000006E-3</v>
      </c>
      <c r="U620" s="22">
        <v>9</v>
      </c>
      <c r="V620" s="22">
        <v>46</v>
      </c>
      <c r="W620" s="10">
        <f t="shared" si="184"/>
        <v>0.8028514559173916</v>
      </c>
      <c r="X620" s="22">
        <v>7</v>
      </c>
      <c r="Y620" s="22">
        <v>9</v>
      </c>
      <c r="Z620" s="10">
        <f t="shared" si="185"/>
        <v>0.15707963267948966</v>
      </c>
      <c r="AA620" s="10">
        <f t="shared" si="186"/>
        <v>7.5690994583294753</v>
      </c>
      <c r="AB620" s="10">
        <f t="shared" si="187"/>
        <v>6.6971689056725561</v>
      </c>
      <c r="AC620" s="10">
        <f t="shared" si="169"/>
        <v>0.83714611320906951</v>
      </c>
      <c r="AD620" s="10">
        <f t="shared" si="173"/>
        <v>3.348584452836278</v>
      </c>
      <c r="AE620" s="65"/>
      <c r="AF620" s="10">
        <f t="shared" si="174"/>
        <v>7.2121359656006385</v>
      </c>
      <c r="AG620" s="8">
        <f t="shared" si="170"/>
        <v>1.4063665132921246</v>
      </c>
      <c r="AH620" s="10">
        <f t="shared" si="171"/>
        <v>3.6060679828003193</v>
      </c>
      <c r="AI620" s="63"/>
      <c r="AJ620" s="10">
        <f t="shared" si="175"/>
        <v>7.1082000000000036</v>
      </c>
      <c r="AK620" s="8"/>
      <c r="AL620" s="8">
        <f t="shared" si="172"/>
        <v>3.5541000000000018</v>
      </c>
    </row>
    <row r="621" spans="1:38">
      <c r="A621" s="18">
        <v>41472</v>
      </c>
      <c r="B621" s="19" t="s">
        <v>132</v>
      </c>
      <c r="C621" s="12">
        <v>100.5</v>
      </c>
      <c r="D621" s="19" t="s">
        <v>80</v>
      </c>
      <c r="E621" s="8">
        <v>8.4087700000000005</v>
      </c>
      <c r="F621" s="8">
        <v>83.312860000000001</v>
      </c>
      <c r="G621" s="22">
        <v>100</v>
      </c>
      <c r="H621" s="22">
        <v>9</v>
      </c>
      <c r="I621" s="10">
        <f t="shared" si="182"/>
        <v>11.081094898603839</v>
      </c>
      <c r="J621" s="10">
        <f t="shared" si="183"/>
        <v>0.19340159070658419</v>
      </c>
      <c r="K621" s="10">
        <v>21</v>
      </c>
      <c r="L621" s="22">
        <v>6030</v>
      </c>
      <c r="M621" s="22" t="s">
        <v>202</v>
      </c>
      <c r="N621" s="28" t="s">
        <v>111</v>
      </c>
      <c r="O621" s="10" t="s">
        <v>112</v>
      </c>
      <c r="P621" s="10" t="s">
        <v>113</v>
      </c>
      <c r="Q621" s="22">
        <v>0.51</v>
      </c>
      <c r="R621" s="59" t="s">
        <v>190</v>
      </c>
      <c r="S621" s="31">
        <v>7.2</v>
      </c>
      <c r="T621" s="79">
        <f t="shared" si="176"/>
        <v>4.0715136000000008E-3</v>
      </c>
      <c r="U621" s="22">
        <v>5</v>
      </c>
      <c r="V621" s="22">
        <v>5</v>
      </c>
      <c r="W621" s="10">
        <f t="shared" si="184"/>
        <v>8.7266462599716474E-2</v>
      </c>
      <c r="X621" s="22">
        <v>7</v>
      </c>
      <c r="Y621" s="22">
        <v>13</v>
      </c>
      <c r="Z621" s="10">
        <f t="shared" si="185"/>
        <v>0.22689280275926285</v>
      </c>
      <c r="AA621" s="10">
        <f t="shared" si="186"/>
        <v>2.0104360941453456</v>
      </c>
      <c r="AB621" s="10">
        <f t="shared" si="187"/>
        <v>3.2497925327007211</v>
      </c>
      <c r="AC621" s="10">
        <f t="shared" si="169"/>
        <v>0.40622406658759014</v>
      </c>
      <c r="AD621" s="10">
        <f t="shared" si="173"/>
        <v>1.6248962663503606</v>
      </c>
      <c r="AE621" s="65"/>
      <c r="AF621" s="10">
        <f t="shared" si="174"/>
        <v>13.287731049114836</v>
      </c>
      <c r="AG621" s="8">
        <f t="shared" si="170"/>
        <v>2.5911075545773929</v>
      </c>
      <c r="AH621" s="10">
        <f t="shared" si="171"/>
        <v>6.6438655245574179</v>
      </c>
      <c r="AI621" s="63"/>
      <c r="AJ621" s="10">
        <f t="shared" si="175"/>
        <v>9.5969999999999978</v>
      </c>
      <c r="AK621" s="8"/>
      <c r="AL621" s="8">
        <f t="shared" si="172"/>
        <v>4.7984999999999989</v>
      </c>
    </row>
    <row r="622" spans="1:38">
      <c r="A622" s="18">
        <v>41472</v>
      </c>
      <c r="B622" s="19" t="s">
        <v>132</v>
      </c>
      <c r="C622" s="12">
        <v>100.5</v>
      </c>
      <c r="D622" s="19" t="s">
        <v>80</v>
      </c>
      <c r="E622" s="8">
        <v>8.4087700000000005</v>
      </c>
      <c r="F622" s="8">
        <v>83.312860000000001</v>
      </c>
      <c r="G622" s="22">
        <v>100</v>
      </c>
      <c r="H622" s="22">
        <v>9</v>
      </c>
      <c r="I622" s="10">
        <f t="shared" si="182"/>
        <v>11.081094898603839</v>
      </c>
      <c r="J622" s="10">
        <f t="shared" si="183"/>
        <v>0.19340159070658419</v>
      </c>
      <c r="K622" s="10">
        <v>21</v>
      </c>
      <c r="L622" s="22">
        <v>6041</v>
      </c>
      <c r="M622" s="31" t="s">
        <v>231</v>
      </c>
      <c r="N622" s="8" t="s">
        <v>171</v>
      </c>
      <c r="O622" s="33" t="s">
        <v>99</v>
      </c>
      <c r="P622" s="33" t="s">
        <v>99</v>
      </c>
      <c r="Q622" s="7">
        <v>0.57999999999999996</v>
      </c>
      <c r="R622" s="7" t="s">
        <v>103</v>
      </c>
      <c r="S622" s="31">
        <v>20.5</v>
      </c>
      <c r="T622" s="79">
        <f t="shared" si="176"/>
        <v>3.3006435000000001E-2</v>
      </c>
      <c r="U622" s="22">
        <v>17</v>
      </c>
      <c r="V622" s="22">
        <v>71</v>
      </c>
      <c r="W622" s="10">
        <f t="shared" si="184"/>
        <v>1.2391837689159739</v>
      </c>
      <c r="X622" s="22">
        <v>6</v>
      </c>
      <c r="Y622" s="22">
        <v>14</v>
      </c>
      <c r="Z622" s="10">
        <f t="shared" si="185"/>
        <v>0.24434609527920614</v>
      </c>
      <c r="AA622" s="10">
        <f t="shared" si="186"/>
        <v>17.525347158786388</v>
      </c>
      <c r="AB622" s="10">
        <f t="shared" si="187"/>
        <v>200.73722948668046</v>
      </c>
      <c r="AC622" s="10">
        <f t="shared" si="169"/>
        <v>25.092153685835058</v>
      </c>
      <c r="AD622" s="10">
        <f t="shared" si="173"/>
        <v>100.36861474334023</v>
      </c>
      <c r="AE622" s="65"/>
      <c r="AF622" s="10">
        <f t="shared" si="174"/>
        <v>202.52555149056087</v>
      </c>
      <c r="AG622" s="8">
        <f t="shared" si="170"/>
        <v>39.492482540659374</v>
      </c>
      <c r="AH622" s="10">
        <f t="shared" si="171"/>
        <v>101.26277574528044</v>
      </c>
      <c r="AI622" s="63"/>
      <c r="AJ622" s="10">
        <f t="shared" si="175"/>
        <v>189.74549999999999</v>
      </c>
      <c r="AK622" s="8"/>
      <c r="AL622" s="8">
        <f t="shared" si="172"/>
        <v>94.872749999999996</v>
      </c>
    </row>
    <row r="623" spans="1:38">
      <c r="A623" s="18">
        <v>41472</v>
      </c>
      <c r="B623" s="19" t="s">
        <v>132</v>
      </c>
      <c r="C623" s="12">
        <v>100.5</v>
      </c>
      <c r="D623" s="19" t="s">
        <v>80</v>
      </c>
      <c r="E623" s="8">
        <v>8.4087700000000005</v>
      </c>
      <c r="F623" s="8">
        <v>83.312860000000001</v>
      </c>
      <c r="G623" s="22">
        <v>100</v>
      </c>
      <c r="H623" s="22">
        <v>9</v>
      </c>
      <c r="I623" s="10">
        <f t="shared" si="182"/>
        <v>11.081094898603839</v>
      </c>
      <c r="J623" s="10">
        <f t="shared" si="183"/>
        <v>0.19340159070658419</v>
      </c>
      <c r="K623" s="10">
        <v>21</v>
      </c>
      <c r="L623" s="22">
        <v>7020</v>
      </c>
      <c r="M623" s="22" t="s">
        <v>135</v>
      </c>
      <c r="N623" s="22" t="s">
        <v>180</v>
      </c>
      <c r="O623" s="10" t="s">
        <v>217</v>
      </c>
      <c r="P623" s="10" t="s">
        <v>221</v>
      </c>
      <c r="Q623" s="24">
        <v>0.38</v>
      </c>
      <c r="R623" s="31" t="s">
        <v>190</v>
      </c>
      <c r="S623" s="31">
        <v>48.8</v>
      </c>
      <c r="T623" s="79">
        <f t="shared" si="176"/>
        <v>0.18703829759999999</v>
      </c>
      <c r="U623" s="22">
        <v>10</v>
      </c>
      <c r="V623" s="22">
        <v>59</v>
      </c>
      <c r="W623" s="10">
        <f t="shared" si="184"/>
        <v>1.0297442586766545</v>
      </c>
      <c r="X623" s="22">
        <v>8</v>
      </c>
      <c r="Y623" s="22">
        <v>11</v>
      </c>
      <c r="Z623" s="10">
        <f t="shared" si="185"/>
        <v>0.19198621771937624</v>
      </c>
      <c r="AA623" s="10">
        <f t="shared" si="186"/>
        <v>10.098144970033482</v>
      </c>
      <c r="AB623" s="10">
        <f t="shared" si="187"/>
        <v>410.27463950665879</v>
      </c>
      <c r="AC623" s="10">
        <f t="shared" si="169"/>
        <v>51.284329938332348</v>
      </c>
      <c r="AD623" s="10">
        <f t="shared" si="173"/>
        <v>205.13731975332939</v>
      </c>
      <c r="AE623" s="65"/>
      <c r="AF623" s="10">
        <f t="shared" si="174"/>
        <v>1062.7672579001755</v>
      </c>
      <c r="AG623" s="8">
        <f t="shared" si="170"/>
        <v>207.23961529053423</v>
      </c>
      <c r="AH623" s="10">
        <f t="shared" si="171"/>
        <v>531.38362895008777</v>
      </c>
      <c r="AI623" s="63"/>
      <c r="AJ623" s="10">
        <f t="shared" si="175"/>
        <v>1444.2561999999998</v>
      </c>
      <c r="AK623" s="8"/>
      <c r="AL623" s="8">
        <f t="shared" si="172"/>
        <v>722.1280999999999</v>
      </c>
    </row>
    <row r="624" spans="1:38">
      <c r="A624" s="18">
        <v>41472</v>
      </c>
      <c r="B624" s="19" t="s">
        <v>132</v>
      </c>
      <c r="C624" s="12">
        <v>100.5</v>
      </c>
      <c r="D624" s="19" t="s">
        <v>80</v>
      </c>
      <c r="E624" s="8">
        <v>8.4087700000000005</v>
      </c>
      <c r="F624" s="8">
        <v>83.312860000000001</v>
      </c>
      <c r="G624" s="22">
        <v>100</v>
      </c>
      <c r="H624" s="22">
        <v>9</v>
      </c>
      <c r="I624" s="10">
        <f t="shared" si="182"/>
        <v>11.081094898603839</v>
      </c>
      <c r="J624" s="10">
        <f t="shared" si="183"/>
        <v>0.19340159070658419</v>
      </c>
      <c r="K624" s="10">
        <v>21</v>
      </c>
      <c r="L624" s="22">
        <v>6033</v>
      </c>
      <c r="M624" s="22" t="s">
        <v>252</v>
      </c>
      <c r="N624" s="8" t="s">
        <v>198</v>
      </c>
      <c r="O624" s="10" t="s">
        <v>226</v>
      </c>
      <c r="P624" s="10" t="s">
        <v>227</v>
      </c>
      <c r="Q624" s="22">
        <v>0.54</v>
      </c>
      <c r="R624" s="22" t="s">
        <v>190</v>
      </c>
      <c r="S624" s="31">
        <v>6.3</v>
      </c>
      <c r="T624" s="79">
        <f t="shared" si="176"/>
        <v>3.1172525999999998E-3</v>
      </c>
      <c r="U624" s="22">
        <v>6</v>
      </c>
      <c r="V624" s="22">
        <v>46</v>
      </c>
      <c r="W624" s="10">
        <f t="shared" si="184"/>
        <v>0.8028514559173916</v>
      </c>
      <c r="X624" s="22">
        <v>5</v>
      </c>
      <c r="Y624" s="22">
        <v>10</v>
      </c>
      <c r="Z624" s="10">
        <f t="shared" si="185"/>
        <v>0.17453292519943295</v>
      </c>
      <c r="AA624" s="10">
        <f t="shared" si="186"/>
        <v>5.1842796903665578</v>
      </c>
      <c r="AB624" s="10">
        <f t="shared" si="187"/>
        <v>6.4994889032108611</v>
      </c>
      <c r="AC624" s="10">
        <f t="shared" si="169"/>
        <v>0.81243611290135764</v>
      </c>
      <c r="AD624" s="10">
        <f t="shared" si="173"/>
        <v>3.2497444516054306</v>
      </c>
      <c r="AE624" s="65"/>
      <c r="AF624" s="10">
        <f t="shared" si="174"/>
        <v>10.126280842929946</v>
      </c>
      <c r="AG624" s="8">
        <f t="shared" si="170"/>
        <v>1.9746247643713395</v>
      </c>
      <c r="AH624" s="10">
        <f t="shared" si="171"/>
        <v>5.0631404214649729</v>
      </c>
      <c r="AI624" s="63"/>
      <c r="AJ624" s="10">
        <f t="shared" si="175"/>
        <v>6.8637000000000015</v>
      </c>
      <c r="AK624" s="8"/>
      <c r="AL624" s="8">
        <f t="shared" si="172"/>
        <v>3.4318500000000007</v>
      </c>
    </row>
    <row r="625" spans="1:38">
      <c r="A625" s="18">
        <v>41472</v>
      </c>
      <c r="B625" s="19" t="s">
        <v>132</v>
      </c>
      <c r="C625" s="12">
        <v>100.5</v>
      </c>
      <c r="D625" s="19" t="s">
        <v>80</v>
      </c>
      <c r="E625" s="8">
        <v>8.4087700000000005</v>
      </c>
      <c r="F625" s="8">
        <v>83.312860000000001</v>
      </c>
      <c r="G625" s="22">
        <v>100</v>
      </c>
      <c r="H625" s="22">
        <v>9</v>
      </c>
      <c r="I625" s="10">
        <f t="shared" si="182"/>
        <v>11.081094898603839</v>
      </c>
      <c r="J625" s="10">
        <f t="shared" si="183"/>
        <v>0.19340159070658419</v>
      </c>
      <c r="K625" s="10">
        <v>21</v>
      </c>
      <c r="L625" s="22">
        <v>6010</v>
      </c>
      <c r="M625" s="22" t="s">
        <v>252</v>
      </c>
      <c r="N625" s="8" t="s">
        <v>198</v>
      </c>
      <c r="O625" s="10" t="s">
        <v>226</v>
      </c>
      <c r="P625" s="10" t="s">
        <v>227</v>
      </c>
      <c r="Q625" s="22">
        <v>0.54</v>
      </c>
      <c r="R625" s="22" t="s">
        <v>190</v>
      </c>
      <c r="S625" s="31">
        <v>7.4</v>
      </c>
      <c r="T625" s="79">
        <f t="shared" si="176"/>
        <v>4.3008504000000003E-3</v>
      </c>
      <c r="U625" s="22">
        <v>6</v>
      </c>
      <c r="V625" s="22">
        <v>63</v>
      </c>
      <c r="W625" s="10">
        <f t="shared" si="184"/>
        <v>1.0995574287564276</v>
      </c>
      <c r="X625" s="22">
        <v>5</v>
      </c>
      <c r="Y625" s="22">
        <v>9</v>
      </c>
      <c r="Z625" s="10">
        <f t="shared" si="185"/>
        <v>0.15707963267948966</v>
      </c>
      <c r="AA625" s="10">
        <f t="shared" si="186"/>
        <v>6.1282114703313608</v>
      </c>
      <c r="AB625" s="10">
        <f t="shared" si="187"/>
        <v>10.293455879506833</v>
      </c>
      <c r="AC625" s="10">
        <f t="shared" si="169"/>
        <v>1.2866819849383542</v>
      </c>
      <c r="AD625" s="10">
        <f t="shared" si="173"/>
        <v>5.1467279397534167</v>
      </c>
      <c r="AE625" s="65"/>
      <c r="AF625" s="10">
        <f t="shared" si="174"/>
        <v>15.05440635062898</v>
      </c>
      <c r="AG625" s="8">
        <f t="shared" si="170"/>
        <v>2.9356092383726513</v>
      </c>
      <c r="AH625" s="10">
        <f t="shared" si="171"/>
        <v>7.5272031753144901</v>
      </c>
      <c r="AI625" s="63"/>
      <c r="AJ625" s="10">
        <f t="shared" si="175"/>
        <v>10.3672</v>
      </c>
      <c r="AK625" s="8"/>
      <c r="AL625" s="8">
        <f t="shared" si="172"/>
        <v>5.1836000000000002</v>
      </c>
    </row>
    <row r="626" spans="1:38">
      <c r="A626" s="18">
        <v>41472</v>
      </c>
      <c r="B626" s="19" t="s">
        <v>132</v>
      </c>
      <c r="C626" s="12">
        <v>100.5</v>
      </c>
      <c r="D626" s="19" t="s">
        <v>80</v>
      </c>
      <c r="E626" s="8">
        <v>8.4087700000000005</v>
      </c>
      <c r="F626" s="8">
        <v>83.312860000000001</v>
      </c>
      <c r="G626" s="22">
        <v>100</v>
      </c>
      <c r="H626" s="22">
        <v>9</v>
      </c>
      <c r="I626" s="10">
        <f t="shared" si="182"/>
        <v>11.081094898603839</v>
      </c>
      <c r="J626" s="10">
        <f t="shared" si="183"/>
        <v>0.19340159070658419</v>
      </c>
      <c r="K626" s="10">
        <v>21</v>
      </c>
      <c r="L626" s="22">
        <v>6002</v>
      </c>
      <c r="M626" s="22" t="s">
        <v>252</v>
      </c>
      <c r="N626" s="8" t="s">
        <v>198</v>
      </c>
      <c r="O626" s="10" t="s">
        <v>226</v>
      </c>
      <c r="P626" s="10" t="s">
        <v>227</v>
      </c>
      <c r="Q626" s="22">
        <v>0.54</v>
      </c>
      <c r="R626" s="22" t="s">
        <v>190</v>
      </c>
      <c r="S626" s="31">
        <v>5.3</v>
      </c>
      <c r="T626" s="79">
        <f t="shared" si="176"/>
        <v>2.2061886000000002E-3</v>
      </c>
      <c r="U626" s="22">
        <v>6</v>
      </c>
      <c r="V626" s="22">
        <v>53</v>
      </c>
      <c r="W626" s="10">
        <f t="shared" si="184"/>
        <v>0.92502450355699462</v>
      </c>
      <c r="X626" s="22">
        <v>5</v>
      </c>
      <c r="Y626" s="22">
        <v>1</v>
      </c>
      <c r="Z626" s="10">
        <f t="shared" si="185"/>
        <v>1.7453292519943295E-2</v>
      </c>
      <c r="AA626" s="10">
        <f t="shared" si="186"/>
        <v>4.8790750924701749</v>
      </c>
      <c r="AB626" s="10">
        <f t="shared" si="187"/>
        <v>4.4359612369813792</v>
      </c>
      <c r="AC626" s="10">
        <f t="shared" si="169"/>
        <v>0.5544951546226724</v>
      </c>
      <c r="AD626" s="10">
        <f t="shared" si="173"/>
        <v>2.2179806184906896</v>
      </c>
      <c r="AE626" s="65"/>
      <c r="AF626" s="10">
        <f t="shared" si="174"/>
        <v>6.6343120766394552</v>
      </c>
      <c r="AG626" s="8">
        <f t="shared" si="170"/>
        <v>1.2936908549446937</v>
      </c>
      <c r="AH626" s="10">
        <f t="shared" si="171"/>
        <v>3.3171560383197276</v>
      </c>
      <c r="AI626" s="63"/>
      <c r="AJ626" s="10">
        <f t="shared" si="175"/>
        <v>5.2326999999999977</v>
      </c>
      <c r="AK626" s="8"/>
      <c r="AL626" s="8">
        <f t="shared" si="172"/>
        <v>2.6163499999999988</v>
      </c>
    </row>
    <row r="627" spans="1:38">
      <c r="A627" s="18">
        <v>41472</v>
      </c>
      <c r="B627" s="19" t="s">
        <v>132</v>
      </c>
      <c r="C627" s="12">
        <v>100.5</v>
      </c>
      <c r="D627" s="19" t="s">
        <v>80</v>
      </c>
      <c r="E627" s="8">
        <v>8.4087700000000005</v>
      </c>
      <c r="F627" s="8">
        <v>83.312860000000001</v>
      </c>
      <c r="G627" s="22">
        <v>100</v>
      </c>
      <c r="H627" s="22">
        <v>9</v>
      </c>
      <c r="I627" s="10">
        <f t="shared" si="182"/>
        <v>11.081094898603839</v>
      </c>
      <c r="J627" s="10">
        <f t="shared" si="183"/>
        <v>0.19340159070658419</v>
      </c>
      <c r="K627" s="10">
        <v>21</v>
      </c>
      <c r="L627" s="22">
        <v>568</v>
      </c>
      <c r="M627" s="22" t="s">
        <v>252</v>
      </c>
      <c r="N627" s="8" t="s">
        <v>198</v>
      </c>
      <c r="O627" s="10" t="s">
        <v>226</v>
      </c>
      <c r="P627" s="10" t="s">
        <v>227</v>
      </c>
      <c r="Q627" s="22">
        <v>0.54</v>
      </c>
      <c r="R627" s="22" t="s">
        <v>190</v>
      </c>
      <c r="S627" s="31">
        <v>5.6</v>
      </c>
      <c r="T627" s="79">
        <f t="shared" si="176"/>
        <v>2.4630143999999996E-3</v>
      </c>
      <c r="U627" s="22">
        <v>6</v>
      </c>
      <c r="V627" s="22">
        <v>30</v>
      </c>
      <c r="W627" s="10">
        <f t="shared" si="184"/>
        <v>0.52359877559829882</v>
      </c>
      <c r="X627" s="22">
        <v>5</v>
      </c>
      <c r="Y627" s="22">
        <v>4</v>
      </c>
      <c r="Z627" s="10">
        <f t="shared" si="185"/>
        <v>6.9813170079773182E-2</v>
      </c>
      <c r="AA627" s="10">
        <f t="shared" si="186"/>
        <v>3.348782368720626</v>
      </c>
      <c r="AB627" s="10">
        <f t="shared" si="187"/>
        <v>3.4538148721304842</v>
      </c>
      <c r="AC627" s="10">
        <f t="shared" si="169"/>
        <v>0.43172685901631053</v>
      </c>
      <c r="AD627" s="10">
        <f t="shared" si="173"/>
        <v>1.7269074360652421</v>
      </c>
      <c r="AE627" s="65"/>
      <c r="AF627" s="10">
        <f t="shared" si="174"/>
        <v>7.5880578639968235</v>
      </c>
      <c r="AG627" s="8">
        <f t="shared" si="170"/>
        <v>1.4796712834793806</v>
      </c>
      <c r="AH627" s="10">
        <f t="shared" si="171"/>
        <v>3.7940289319984117</v>
      </c>
      <c r="AI627" s="63"/>
      <c r="AJ627" s="10">
        <f t="shared" si="175"/>
        <v>5.5665999999999976</v>
      </c>
      <c r="AK627" s="8"/>
      <c r="AL627" s="8">
        <f t="shared" si="172"/>
        <v>2.7832999999999988</v>
      </c>
    </row>
    <row r="628" spans="1:38">
      <c r="A628" s="18">
        <v>41472</v>
      </c>
      <c r="B628" s="19" t="s">
        <v>132</v>
      </c>
      <c r="C628" s="12">
        <v>100.5</v>
      </c>
      <c r="D628" s="19" t="s">
        <v>80</v>
      </c>
      <c r="E628" s="8">
        <v>8.4087700000000005</v>
      </c>
      <c r="F628" s="8">
        <v>83.312860000000001</v>
      </c>
      <c r="G628" s="22">
        <v>100</v>
      </c>
      <c r="H628" s="22">
        <v>9</v>
      </c>
      <c r="I628" s="10">
        <f t="shared" si="182"/>
        <v>11.081094898603839</v>
      </c>
      <c r="J628" s="10">
        <f t="shared" si="183"/>
        <v>0.19340159070658419</v>
      </c>
      <c r="K628" s="10">
        <v>21</v>
      </c>
      <c r="L628" s="22">
        <v>530</v>
      </c>
      <c r="M628" s="22" t="s">
        <v>39</v>
      </c>
      <c r="N628" s="8" t="s">
        <v>69</v>
      </c>
      <c r="O628" s="10" t="s">
        <v>65</v>
      </c>
      <c r="P628" s="10" t="s">
        <v>70</v>
      </c>
      <c r="Q628" s="8">
        <v>0.37</v>
      </c>
      <c r="R628" s="8" t="s">
        <v>71</v>
      </c>
      <c r="S628" s="31">
        <v>6.3</v>
      </c>
      <c r="T628" s="79">
        <f t="shared" si="176"/>
        <v>3.1172525999999998E-3</v>
      </c>
      <c r="U628" s="22">
        <v>9</v>
      </c>
      <c r="V628" s="22">
        <v>52</v>
      </c>
      <c r="W628" s="10">
        <f t="shared" si="184"/>
        <v>0.90757121103705141</v>
      </c>
      <c r="X628" s="22">
        <v>5</v>
      </c>
      <c r="Y628" s="22">
        <v>10</v>
      </c>
      <c r="Z628" s="10">
        <f t="shared" si="185"/>
        <v>0.17453292519943295</v>
      </c>
      <c r="AA628" s="10">
        <f t="shared" si="186"/>
        <v>7.9603376707951492</v>
      </c>
      <c r="AB628" s="10">
        <f t="shared" si="187"/>
        <v>6.8172179047053332</v>
      </c>
      <c r="AC628" s="10">
        <f t="shared" si="169"/>
        <v>0.85215223808816665</v>
      </c>
      <c r="AD628" s="10">
        <f t="shared" si="173"/>
        <v>3.4086089523526666</v>
      </c>
      <c r="AE628" s="65"/>
      <c r="AF628" s="10">
        <f t="shared" si="174"/>
        <v>6.9383776146001477</v>
      </c>
      <c r="AG628" s="8">
        <f t="shared" si="170"/>
        <v>1.3529836348470288</v>
      </c>
      <c r="AH628" s="10">
        <f t="shared" si="171"/>
        <v>3.4691888073000738</v>
      </c>
      <c r="AI628" s="63"/>
      <c r="AJ628" s="10">
        <f t="shared" si="175"/>
        <v>6.8637000000000015</v>
      </c>
      <c r="AK628" s="8"/>
      <c r="AL628" s="8">
        <f t="shared" si="172"/>
        <v>3.4318500000000007</v>
      </c>
    </row>
    <row r="629" spans="1:38">
      <c r="A629" s="18">
        <v>41472</v>
      </c>
      <c r="B629" s="19" t="s">
        <v>132</v>
      </c>
      <c r="C629" s="12">
        <v>100.5</v>
      </c>
      <c r="D629" s="19" t="s">
        <v>80</v>
      </c>
      <c r="E629" s="8">
        <v>8.4087700000000005</v>
      </c>
      <c r="F629" s="8">
        <v>83.312860000000001</v>
      </c>
      <c r="G629" s="22">
        <v>100</v>
      </c>
      <c r="H629" s="22">
        <v>9</v>
      </c>
      <c r="I629" s="10">
        <f t="shared" si="182"/>
        <v>11.081094898603839</v>
      </c>
      <c r="J629" s="10">
        <f t="shared" si="183"/>
        <v>0.19340159070658419</v>
      </c>
      <c r="K629" s="10">
        <v>21</v>
      </c>
      <c r="L629" s="22">
        <v>7002</v>
      </c>
      <c r="M629" s="31" t="s">
        <v>231</v>
      </c>
      <c r="N629" s="8" t="s">
        <v>171</v>
      </c>
      <c r="O629" s="33" t="s">
        <v>99</v>
      </c>
      <c r="P629" s="33" t="s">
        <v>99</v>
      </c>
      <c r="Q629" s="7">
        <v>0.57999999999999996</v>
      </c>
      <c r="R629" s="7" t="s">
        <v>103</v>
      </c>
      <c r="S629" s="30">
        <v>23</v>
      </c>
      <c r="T629" s="79">
        <f t="shared" si="176"/>
        <v>4.154766E-2</v>
      </c>
      <c r="U629" s="22">
        <v>13</v>
      </c>
      <c r="V629" s="22">
        <v>75</v>
      </c>
      <c r="W629" s="10">
        <f t="shared" si="184"/>
        <v>1.3089969389957472</v>
      </c>
      <c r="X629" s="22">
        <v>5</v>
      </c>
      <c r="Y629" s="22">
        <v>9</v>
      </c>
      <c r="Z629" s="10">
        <f t="shared" si="185"/>
        <v>0.15707963267948966</v>
      </c>
      <c r="AA629" s="10">
        <f t="shared" si="186"/>
        <v>13.339208066959042</v>
      </c>
      <c r="AB629" s="10">
        <f t="shared" si="187"/>
        <v>192.8211243418086</v>
      </c>
      <c r="AC629" s="10">
        <f t="shared" si="169"/>
        <v>24.102640542726075</v>
      </c>
      <c r="AD629" s="10">
        <f t="shared" si="173"/>
        <v>96.410562170904299</v>
      </c>
      <c r="AE629" s="65"/>
      <c r="AF629" s="10">
        <f t="shared" si="174"/>
        <v>268.65369324689408</v>
      </c>
      <c r="AG629" s="8">
        <f t="shared" si="170"/>
        <v>52.387470183144345</v>
      </c>
      <c r="AH629" s="10">
        <f t="shared" si="171"/>
        <v>134.32684662344704</v>
      </c>
      <c r="AI629" s="63"/>
      <c r="AJ629" s="10">
        <f t="shared" si="175"/>
        <v>252.83799999999997</v>
      </c>
      <c r="AK629" s="8"/>
      <c r="AL629" s="8">
        <f t="shared" si="172"/>
        <v>126.41899999999998</v>
      </c>
    </row>
    <row r="630" spans="1:38">
      <c r="A630" s="18">
        <v>41472</v>
      </c>
      <c r="B630" s="19" t="s">
        <v>132</v>
      </c>
      <c r="C630" s="12">
        <v>100.5</v>
      </c>
      <c r="D630" s="19" t="s">
        <v>80</v>
      </c>
      <c r="E630" s="8">
        <v>8.4087700000000005</v>
      </c>
      <c r="F630" s="8">
        <v>83.312860000000001</v>
      </c>
      <c r="G630" s="22">
        <v>100</v>
      </c>
      <c r="H630" s="22">
        <v>9</v>
      </c>
      <c r="I630" s="10">
        <f t="shared" si="182"/>
        <v>11.081094898603839</v>
      </c>
      <c r="J630" s="10">
        <f t="shared" si="183"/>
        <v>0.19340159070658419</v>
      </c>
      <c r="K630" s="10">
        <v>21</v>
      </c>
      <c r="L630" s="22">
        <v>6028</v>
      </c>
      <c r="M630" s="31" t="s">
        <v>122</v>
      </c>
      <c r="N630" s="8" t="s">
        <v>123</v>
      </c>
      <c r="O630" s="10" t="s">
        <v>99</v>
      </c>
      <c r="P630" s="10" t="s">
        <v>99</v>
      </c>
      <c r="Q630" s="22">
        <v>0.69</v>
      </c>
      <c r="R630" s="22" t="s">
        <v>190</v>
      </c>
      <c r="S630" s="30">
        <v>6</v>
      </c>
      <c r="T630" s="79">
        <f t="shared" si="176"/>
        <v>2.8274400000000001E-3</v>
      </c>
      <c r="U630" s="22">
        <v>7</v>
      </c>
      <c r="V630" s="22">
        <v>49</v>
      </c>
      <c r="W630" s="10">
        <f t="shared" si="184"/>
        <v>0.85521133347722145</v>
      </c>
      <c r="X630" s="22">
        <v>7</v>
      </c>
      <c r="Y630" s="22">
        <v>6</v>
      </c>
      <c r="Z630" s="10">
        <f t="shared" si="185"/>
        <v>0.10471975511965978</v>
      </c>
      <c r="AA630" s="10">
        <f t="shared" si="186"/>
        <v>6.0146663044329784</v>
      </c>
      <c r="AB630" s="10">
        <f t="shared" si="187"/>
        <v>8.5854499852336303</v>
      </c>
      <c r="AC630" s="10">
        <f t="shared" si="169"/>
        <v>1.0731812481542038</v>
      </c>
      <c r="AD630" s="10">
        <f t="shared" si="173"/>
        <v>4.2927249926168152</v>
      </c>
      <c r="AE630" s="65"/>
      <c r="AF630" s="10">
        <f t="shared" si="174"/>
        <v>11.479175239131544</v>
      </c>
      <c r="AG630" s="8">
        <f t="shared" si="170"/>
        <v>2.2384391716306511</v>
      </c>
      <c r="AH630" s="10">
        <f t="shared" si="171"/>
        <v>5.7395876195657722</v>
      </c>
      <c r="AI630" s="63"/>
      <c r="AJ630" s="10">
        <f t="shared" si="175"/>
        <v>6.2189999999999976</v>
      </c>
      <c r="AK630" s="8"/>
      <c r="AL630" s="8">
        <f t="shared" si="172"/>
        <v>3.1094999999999988</v>
      </c>
    </row>
    <row r="631" spans="1:38">
      <c r="A631" s="18">
        <v>41472</v>
      </c>
      <c r="B631" s="19" t="s">
        <v>132</v>
      </c>
      <c r="C631" s="12">
        <v>100.5</v>
      </c>
      <c r="D631" s="19" t="s">
        <v>80</v>
      </c>
      <c r="E631" s="8">
        <v>8.4087700000000005</v>
      </c>
      <c r="F631" s="8">
        <v>83.312860000000001</v>
      </c>
      <c r="G631" s="22">
        <v>100</v>
      </c>
      <c r="H631" s="22">
        <v>9</v>
      </c>
      <c r="I631" s="10">
        <f t="shared" si="182"/>
        <v>11.081094898603839</v>
      </c>
      <c r="J631" s="10">
        <f t="shared" si="183"/>
        <v>0.19340159070658419</v>
      </c>
      <c r="K631" s="10">
        <v>21</v>
      </c>
      <c r="L631" s="22">
        <v>7003</v>
      </c>
      <c r="M631" s="31" t="s">
        <v>122</v>
      </c>
      <c r="N631" s="8" t="s">
        <v>123</v>
      </c>
      <c r="O631" s="10" t="s">
        <v>99</v>
      </c>
      <c r="P631" s="10" t="s">
        <v>99</v>
      </c>
      <c r="Q631" s="22">
        <v>0.69</v>
      </c>
      <c r="R631" s="22" t="s">
        <v>190</v>
      </c>
      <c r="S631" s="31">
        <v>5.9</v>
      </c>
      <c r="T631" s="79">
        <f t="shared" si="176"/>
        <v>2.7339774000000004E-3</v>
      </c>
      <c r="U631" s="22">
        <v>9</v>
      </c>
      <c r="V631" s="22">
        <v>52</v>
      </c>
      <c r="W631" s="10">
        <f t="shared" si="184"/>
        <v>0.90757121103705141</v>
      </c>
      <c r="X631" s="22">
        <v>5</v>
      </c>
      <c r="Y631" s="22">
        <v>14</v>
      </c>
      <c r="Z631" s="10">
        <f t="shared" si="185"/>
        <v>0.24434609527920614</v>
      </c>
      <c r="AA631" s="10">
        <f t="shared" si="186"/>
        <v>8.3017062604588361</v>
      </c>
      <c r="AB631" s="10">
        <f t="shared" si="187"/>
        <v>11.261570743223038</v>
      </c>
      <c r="AC631" s="10">
        <f t="shared" si="169"/>
        <v>1.4076963429028797</v>
      </c>
      <c r="AD631" s="10">
        <f t="shared" si="173"/>
        <v>5.6307853716115188</v>
      </c>
      <c r="AE631" s="65"/>
      <c r="AF631" s="10">
        <f t="shared" si="174"/>
        <v>11.01605430059535</v>
      </c>
      <c r="AG631" s="8">
        <f t="shared" si="170"/>
        <v>2.1481305886160933</v>
      </c>
      <c r="AH631" s="10">
        <f t="shared" si="171"/>
        <v>5.508027150297675</v>
      </c>
      <c r="AI631" s="63"/>
      <c r="AJ631" s="10">
        <f t="shared" si="175"/>
        <v>6.0336999999999961</v>
      </c>
      <c r="AK631" s="8"/>
      <c r="AL631" s="8">
        <f t="shared" si="172"/>
        <v>3.016849999999998</v>
      </c>
    </row>
    <row r="632" spans="1:38">
      <c r="A632" s="18">
        <v>41472</v>
      </c>
      <c r="B632" s="19" t="s">
        <v>132</v>
      </c>
      <c r="C632" s="12">
        <v>100.5</v>
      </c>
      <c r="D632" s="19" t="s">
        <v>80</v>
      </c>
      <c r="E632" s="8">
        <v>8.4087700000000005</v>
      </c>
      <c r="F632" s="8">
        <v>83.312860000000001</v>
      </c>
      <c r="G632" s="22">
        <v>100</v>
      </c>
      <c r="H632" s="22">
        <v>9</v>
      </c>
      <c r="I632" s="10">
        <f t="shared" si="182"/>
        <v>11.081094898603839</v>
      </c>
      <c r="J632" s="10">
        <f t="shared" si="183"/>
        <v>0.19340159070658419</v>
      </c>
      <c r="K632" s="10">
        <v>21</v>
      </c>
      <c r="L632" s="22">
        <v>6012</v>
      </c>
      <c r="M632" s="22" t="s">
        <v>130</v>
      </c>
      <c r="N632" s="7" t="s">
        <v>99</v>
      </c>
      <c r="O632" s="33" t="s">
        <v>99</v>
      </c>
      <c r="P632" s="33" t="s">
        <v>99</v>
      </c>
      <c r="Q632" s="7">
        <v>0.57999999999999996</v>
      </c>
      <c r="R632" s="7" t="s">
        <v>103</v>
      </c>
      <c r="S632" s="31">
        <v>7.8</v>
      </c>
      <c r="T632" s="79">
        <f t="shared" si="176"/>
        <v>4.7783736E-3</v>
      </c>
      <c r="U632" s="22">
        <v>5</v>
      </c>
      <c r="V632" s="22">
        <v>19</v>
      </c>
      <c r="W632" s="10">
        <f t="shared" si="184"/>
        <v>0.33161255787892263</v>
      </c>
      <c r="X632" s="22">
        <v>5</v>
      </c>
      <c r="Y632" s="22">
        <v>5</v>
      </c>
      <c r="Z632" s="10">
        <f t="shared" si="185"/>
        <v>8.7266462599716474E-2</v>
      </c>
      <c r="AA632" s="10">
        <f t="shared" si="186"/>
        <v>2.0636194860240744</v>
      </c>
      <c r="AB632" s="10">
        <f t="shared" si="187"/>
        <v>4.3689163666171469</v>
      </c>
      <c r="AC632" s="10">
        <f t="shared" si="169"/>
        <v>0.54611454582714336</v>
      </c>
      <c r="AD632" s="10">
        <f t="shared" si="173"/>
        <v>2.1844581833085734</v>
      </c>
      <c r="AE632" s="65"/>
      <c r="AF632" s="10">
        <f t="shared" si="174"/>
        <v>18.417656164680125</v>
      </c>
      <c r="AG632" s="8">
        <f t="shared" si="170"/>
        <v>3.5914429521126245</v>
      </c>
      <c r="AH632" s="10">
        <f t="shared" si="171"/>
        <v>9.2088280823400623</v>
      </c>
      <c r="AI632" s="63"/>
      <c r="AJ632" s="10">
        <f t="shared" si="175"/>
        <v>12.085199999999993</v>
      </c>
      <c r="AK632" s="8"/>
      <c r="AL632" s="8">
        <f t="shared" si="172"/>
        <v>6.0425999999999966</v>
      </c>
    </row>
    <row r="633" spans="1:38">
      <c r="A633" s="18">
        <v>41472</v>
      </c>
      <c r="B633" s="19" t="s">
        <v>132</v>
      </c>
      <c r="C633" s="12">
        <v>100.5</v>
      </c>
      <c r="D633" s="19" t="s">
        <v>80</v>
      </c>
      <c r="E633" s="8">
        <v>8.4087700000000005</v>
      </c>
      <c r="F633" s="8">
        <v>83.312860000000001</v>
      </c>
      <c r="G633" s="22">
        <v>100</v>
      </c>
      <c r="H633" s="22">
        <v>9</v>
      </c>
      <c r="I633" s="10">
        <f t="shared" si="182"/>
        <v>11.081094898603839</v>
      </c>
      <c r="J633" s="10">
        <f t="shared" si="183"/>
        <v>0.19340159070658419</v>
      </c>
      <c r="K633" s="10">
        <v>21</v>
      </c>
      <c r="L633" s="22">
        <v>7004</v>
      </c>
      <c r="M633" s="22" t="s">
        <v>151</v>
      </c>
      <c r="N633" s="22" t="s">
        <v>84</v>
      </c>
      <c r="O633" s="58" t="s">
        <v>85</v>
      </c>
      <c r="P633" s="50" t="s">
        <v>86</v>
      </c>
      <c r="Q633" s="22">
        <v>0.53</v>
      </c>
      <c r="R633" s="22" t="s">
        <v>190</v>
      </c>
      <c r="S633" s="30">
        <v>6</v>
      </c>
      <c r="T633" s="79">
        <f t="shared" si="176"/>
        <v>2.8274400000000001E-3</v>
      </c>
      <c r="U633" s="22">
        <v>8</v>
      </c>
      <c r="V633" s="22">
        <v>36</v>
      </c>
      <c r="W633" s="10">
        <f t="shared" si="184"/>
        <v>0.62831853071795862</v>
      </c>
      <c r="X633" s="22">
        <v>6</v>
      </c>
      <c r="Y633" s="22">
        <v>6</v>
      </c>
      <c r="Z633" s="10">
        <f t="shared" si="185"/>
        <v>0.10471975511965978</v>
      </c>
      <c r="AA633" s="10">
        <f t="shared" si="186"/>
        <v>5.3294527979457058</v>
      </c>
      <c r="AB633" s="10">
        <f t="shared" si="187"/>
        <v>5.9798054173079178</v>
      </c>
      <c r="AC633" s="10">
        <f t="shared" si="169"/>
        <v>0.74747567716348973</v>
      </c>
      <c r="AD633" s="10">
        <f t="shared" si="173"/>
        <v>2.9899027086539589</v>
      </c>
      <c r="AE633" s="65"/>
      <c r="AF633" s="10">
        <f t="shared" si="174"/>
        <v>8.8173375025213332</v>
      </c>
      <c r="AG633" s="8">
        <f t="shared" si="170"/>
        <v>1.7193808129916601</v>
      </c>
      <c r="AH633" s="10">
        <f t="shared" si="171"/>
        <v>4.4086687512606666</v>
      </c>
      <c r="AI633" s="63"/>
      <c r="AJ633" s="10">
        <f t="shared" si="175"/>
        <v>6.2189999999999976</v>
      </c>
      <c r="AK633" s="8"/>
      <c r="AL633" s="8">
        <f t="shared" si="172"/>
        <v>3.1094999999999988</v>
      </c>
    </row>
    <row r="634" spans="1:38">
      <c r="A634" s="18">
        <v>41472</v>
      </c>
      <c r="B634" s="19" t="s">
        <v>132</v>
      </c>
      <c r="C634" s="12">
        <v>100.5</v>
      </c>
      <c r="D634" s="19" t="s">
        <v>80</v>
      </c>
      <c r="E634" s="8">
        <v>8.4087700000000005</v>
      </c>
      <c r="F634" s="8">
        <v>83.312860000000001</v>
      </c>
      <c r="G634" s="22">
        <v>100</v>
      </c>
      <c r="H634" s="22">
        <v>9</v>
      </c>
      <c r="I634" s="10">
        <f t="shared" si="182"/>
        <v>11.081094898603839</v>
      </c>
      <c r="J634" s="10">
        <f t="shared" si="183"/>
        <v>0.19340159070658419</v>
      </c>
      <c r="K634" s="10">
        <v>21</v>
      </c>
      <c r="L634" s="22">
        <v>522</v>
      </c>
      <c r="M634" s="22" t="s">
        <v>146</v>
      </c>
      <c r="N634" s="61" t="s">
        <v>241</v>
      </c>
      <c r="O634" s="33" t="s">
        <v>239</v>
      </c>
      <c r="P634" s="33" t="s">
        <v>240</v>
      </c>
      <c r="Q634" s="7">
        <v>0.69</v>
      </c>
      <c r="R634" s="7" t="s">
        <v>190</v>
      </c>
      <c r="S634" s="30">
        <v>8</v>
      </c>
      <c r="T634" s="79">
        <f t="shared" si="176"/>
        <v>5.0265600000000002E-3</v>
      </c>
      <c r="U634" s="22">
        <v>6</v>
      </c>
      <c r="V634" s="22">
        <v>43</v>
      </c>
      <c r="W634" s="10">
        <f t="shared" si="184"/>
        <v>0.75049157835756175</v>
      </c>
      <c r="X634" s="22">
        <v>6</v>
      </c>
      <c r="Y634" s="22">
        <v>21</v>
      </c>
      <c r="Z634" s="10">
        <f t="shared" si="185"/>
        <v>0.36651914291880922</v>
      </c>
      <c r="AA634" s="10">
        <f t="shared" si="186"/>
        <v>6.2421978576467918</v>
      </c>
      <c r="AB634" s="10">
        <f t="shared" si="187"/>
        <v>15.268849716075639</v>
      </c>
      <c r="AC634" s="10">
        <f t="shared" ref="AC634:AC695" si="188">AB634*0.125</f>
        <v>1.9086062145094549</v>
      </c>
      <c r="AD634" s="10">
        <f t="shared" si="173"/>
        <v>7.6344248580378196</v>
      </c>
      <c r="AE634" s="65"/>
      <c r="AF634" s="10">
        <f t="shared" si="174"/>
        <v>23.327868821766774</v>
      </c>
      <c r="AG634" s="8">
        <f t="shared" ref="AG634:AG695" si="189">AF634*0.195</f>
        <v>4.548934420244521</v>
      </c>
      <c r="AH634" s="10">
        <f t="shared" ref="AH634:AH695" si="190">AF634/2</f>
        <v>11.663934410883387</v>
      </c>
      <c r="AI634" s="63"/>
      <c r="AJ634" s="10">
        <f t="shared" si="175"/>
        <v>13.033000000000001</v>
      </c>
      <c r="AK634" s="8"/>
      <c r="AL634" s="8">
        <f t="shared" ref="AL634:AL695" si="191">AJ634/2</f>
        <v>6.5165000000000006</v>
      </c>
    </row>
    <row r="635" spans="1:38">
      <c r="A635" s="18">
        <v>41472</v>
      </c>
      <c r="B635" s="19" t="s">
        <v>132</v>
      </c>
      <c r="C635" s="12">
        <v>100.5</v>
      </c>
      <c r="D635" s="19" t="s">
        <v>80</v>
      </c>
      <c r="E635" s="8">
        <v>8.4087700000000005</v>
      </c>
      <c r="F635" s="8">
        <v>83.312860000000001</v>
      </c>
      <c r="G635" s="22">
        <v>100</v>
      </c>
      <c r="H635" s="22">
        <v>9</v>
      </c>
      <c r="I635" s="10">
        <f t="shared" si="182"/>
        <v>11.081094898603839</v>
      </c>
      <c r="J635" s="10">
        <f t="shared" si="183"/>
        <v>0.19340159070658419</v>
      </c>
      <c r="K635" s="10">
        <v>21</v>
      </c>
      <c r="L635" s="22">
        <v>548</v>
      </c>
      <c r="M635" s="22" t="s">
        <v>78</v>
      </c>
      <c r="N635" s="7" t="s">
        <v>87</v>
      </c>
      <c r="O635" s="33" t="s">
        <v>88</v>
      </c>
      <c r="P635" s="33" t="s">
        <v>89</v>
      </c>
      <c r="Q635" s="38">
        <v>0.64</v>
      </c>
      <c r="R635" s="7" t="s">
        <v>90</v>
      </c>
      <c r="S635" s="30">
        <v>6.8</v>
      </c>
      <c r="T635" s="79">
        <f t="shared" si="176"/>
        <v>3.6316895999999998E-3</v>
      </c>
      <c r="U635" s="22">
        <v>7</v>
      </c>
      <c r="V635" s="22">
        <v>23</v>
      </c>
      <c r="W635" s="10">
        <f t="shared" si="184"/>
        <v>0.4014257279586958</v>
      </c>
      <c r="X635" s="22">
        <v>7</v>
      </c>
      <c r="Y635" s="22">
        <v>18</v>
      </c>
      <c r="Z635" s="10">
        <f t="shared" si="185"/>
        <v>0.31415926535897931</v>
      </c>
      <c r="AA635" s="10">
        <f t="shared" si="186"/>
        <v>4.8982368600495487</v>
      </c>
      <c r="AB635" s="10">
        <f t="shared" si="187"/>
        <v>8.3449751524344915</v>
      </c>
      <c r="AC635" s="10">
        <f t="shared" si="188"/>
        <v>1.0431218940543114</v>
      </c>
      <c r="AD635" s="10">
        <f t="shared" si="173"/>
        <v>4.1724875762172458</v>
      </c>
      <c r="AE635" s="65"/>
      <c r="AF635" s="10">
        <f t="shared" si="174"/>
        <v>14.482288656859541</v>
      </c>
      <c r="AG635" s="8">
        <f t="shared" si="189"/>
        <v>2.8240462880876107</v>
      </c>
      <c r="AH635" s="10">
        <f t="shared" si="190"/>
        <v>7.2411443284297707</v>
      </c>
      <c r="AI635" s="63"/>
      <c r="AJ635" s="10">
        <f t="shared" si="175"/>
        <v>8.2341999999999977</v>
      </c>
      <c r="AK635" s="8"/>
      <c r="AL635" s="8">
        <f t="shared" si="191"/>
        <v>4.1170999999999989</v>
      </c>
    </row>
    <row r="636" spans="1:38">
      <c r="A636" s="18">
        <v>41472</v>
      </c>
      <c r="B636" s="19" t="s">
        <v>132</v>
      </c>
      <c r="C636" s="12">
        <v>100.5</v>
      </c>
      <c r="D636" s="19" t="s">
        <v>80</v>
      </c>
      <c r="E636" s="8">
        <v>8.4087700000000005</v>
      </c>
      <c r="F636" s="8">
        <v>83.312860000000001</v>
      </c>
      <c r="G636" s="22">
        <v>100</v>
      </c>
      <c r="H636" s="22">
        <v>9</v>
      </c>
      <c r="I636" s="10">
        <f t="shared" si="182"/>
        <v>11.081094898603839</v>
      </c>
      <c r="J636" s="10">
        <f t="shared" si="183"/>
        <v>0.19340159070658419</v>
      </c>
      <c r="K636" s="10">
        <v>21</v>
      </c>
      <c r="L636" s="22">
        <v>7016</v>
      </c>
      <c r="M636" s="22" t="s">
        <v>252</v>
      </c>
      <c r="N636" s="8" t="s">
        <v>198</v>
      </c>
      <c r="O636" s="10" t="s">
        <v>226</v>
      </c>
      <c r="P636" s="10" t="s">
        <v>227</v>
      </c>
      <c r="Q636" s="22">
        <v>0.54</v>
      </c>
      <c r="R636" s="22" t="s">
        <v>190</v>
      </c>
      <c r="S636" s="30">
        <v>7.6</v>
      </c>
      <c r="T636" s="79">
        <f t="shared" si="176"/>
        <v>4.5364704E-3</v>
      </c>
      <c r="U636" s="22">
        <v>8</v>
      </c>
      <c r="V636" s="22">
        <v>20</v>
      </c>
      <c r="W636" s="10">
        <f t="shared" si="184"/>
        <v>0.3490658503988659</v>
      </c>
      <c r="X636" s="22">
        <v>6</v>
      </c>
      <c r="Y636" s="22">
        <v>18</v>
      </c>
      <c r="Z636" s="10">
        <f t="shared" si="185"/>
        <v>0.31415926535897931</v>
      </c>
      <c r="AA636" s="10">
        <f t="shared" si="186"/>
        <v>4.590263112855034</v>
      </c>
      <c r="AB636" s="10">
        <f t="shared" si="187"/>
        <v>8.2483813972091387</v>
      </c>
      <c r="AC636" s="10">
        <f t="shared" si="188"/>
        <v>1.0310476746511423</v>
      </c>
      <c r="AD636" s="10">
        <f t="shared" si="173"/>
        <v>4.1241906986045693</v>
      </c>
      <c r="AE636" s="65"/>
      <c r="AF636" s="10">
        <f t="shared" si="174"/>
        <v>16.080258645166239</v>
      </c>
      <c r="AG636" s="8">
        <f t="shared" si="189"/>
        <v>3.1356504358074169</v>
      </c>
      <c r="AH636" s="10">
        <f t="shared" si="190"/>
        <v>8.0401293225831196</v>
      </c>
      <c r="AI636" s="63"/>
      <c r="AJ636" s="10">
        <f t="shared" si="175"/>
        <v>11.1966</v>
      </c>
      <c r="AK636" s="8"/>
      <c r="AL636" s="8">
        <f t="shared" si="191"/>
        <v>5.5983000000000001</v>
      </c>
    </row>
    <row r="637" spans="1:38">
      <c r="A637" s="18">
        <v>41472</v>
      </c>
      <c r="B637" s="19" t="s">
        <v>132</v>
      </c>
      <c r="C637" s="12">
        <v>100.5</v>
      </c>
      <c r="D637" s="19" t="s">
        <v>80</v>
      </c>
      <c r="E637" s="8">
        <v>8.4087700000000005</v>
      </c>
      <c r="F637" s="8">
        <v>83.312860000000001</v>
      </c>
      <c r="G637" s="22">
        <v>100</v>
      </c>
      <c r="H637" s="22">
        <v>9</v>
      </c>
      <c r="I637" s="10">
        <f t="shared" si="182"/>
        <v>11.081094898603839</v>
      </c>
      <c r="J637" s="10">
        <f t="shared" si="183"/>
        <v>0.19340159070658419</v>
      </c>
      <c r="K637" s="10">
        <v>21</v>
      </c>
      <c r="L637" s="22">
        <v>580</v>
      </c>
      <c r="M637" s="22" t="s">
        <v>107</v>
      </c>
      <c r="N637" s="22" t="s">
        <v>63</v>
      </c>
      <c r="O637" s="10" t="s">
        <v>108</v>
      </c>
      <c r="P637" s="15" t="s">
        <v>92</v>
      </c>
      <c r="Q637" s="8">
        <v>0.57999999999999996</v>
      </c>
      <c r="R637" s="22" t="s">
        <v>190</v>
      </c>
      <c r="S637" s="30">
        <v>7.3</v>
      </c>
      <c r="T637" s="79">
        <f t="shared" si="176"/>
        <v>4.1853966000000003E-3</v>
      </c>
      <c r="U637" s="22">
        <v>8</v>
      </c>
      <c r="V637" s="22">
        <v>30</v>
      </c>
      <c r="W637" s="10">
        <f t="shared" si="184"/>
        <v>0.52359877559829882</v>
      </c>
      <c r="X637" s="22">
        <v>7</v>
      </c>
      <c r="Y637" s="22">
        <v>19</v>
      </c>
      <c r="Z637" s="10">
        <f t="shared" si="185"/>
        <v>0.33161255787892263</v>
      </c>
      <c r="AA637" s="10">
        <f t="shared" si="186"/>
        <v>6.2789770812000967</v>
      </c>
      <c r="AB637" s="10">
        <f t="shared" si="187"/>
        <v>10.978590246113475</v>
      </c>
      <c r="AC637" s="10">
        <f t="shared" si="188"/>
        <v>1.3723237807641844</v>
      </c>
      <c r="AD637" s="10">
        <f t="shared" si="173"/>
        <v>5.4892951230567375</v>
      </c>
      <c r="AE637" s="65"/>
      <c r="AF637" s="10">
        <f t="shared" si="174"/>
        <v>15.635101145853818</v>
      </c>
      <c r="AG637" s="8">
        <f t="shared" si="189"/>
        <v>3.0488447234414946</v>
      </c>
      <c r="AH637" s="10">
        <f t="shared" si="190"/>
        <v>7.8175505729269092</v>
      </c>
      <c r="AI637" s="63"/>
      <c r="AJ637" s="10">
        <f t="shared" si="175"/>
        <v>9.974699999999995</v>
      </c>
      <c r="AK637" s="8"/>
      <c r="AL637" s="8">
        <f t="shared" si="191"/>
        <v>4.9873499999999975</v>
      </c>
    </row>
    <row r="638" spans="1:38">
      <c r="A638" s="18">
        <v>41466</v>
      </c>
      <c r="B638" s="19" t="s">
        <v>119</v>
      </c>
      <c r="C638" s="12">
        <v>100.6</v>
      </c>
      <c r="D638" s="9" t="s">
        <v>80</v>
      </c>
      <c r="E638" s="8">
        <v>8.4103899999999996</v>
      </c>
      <c r="F638" s="8">
        <v>83.313820000000007</v>
      </c>
      <c r="G638" s="22">
        <v>100</v>
      </c>
      <c r="H638" s="22">
        <v>28</v>
      </c>
      <c r="I638" s="10">
        <f t="shared" si="182"/>
        <v>3.4776037446826735</v>
      </c>
      <c r="J638" s="10">
        <f t="shared" si="183"/>
        <v>6.0695635424396897E-2</v>
      </c>
      <c r="K638" s="10">
        <f t="shared" ref="K638:K700" si="192">21/COS(J638)</f>
        <v>21.038741046347479</v>
      </c>
      <c r="L638" s="22">
        <v>320</v>
      </c>
      <c r="M638" s="8" t="s">
        <v>36</v>
      </c>
      <c r="N638" s="8" t="s">
        <v>46</v>
      </c>
      <c r="O638" s="10" t="s">
        <v>37</v>
      </c>
      <c r="P638" s="10" t="s">
        <v>38</v>
      </c>
      <c r="Q638" s="11">
        <v>0.48</v>
      </c>
      <c r="R638" s="8" t="s">
        <v>60</v>
      </c>
      <c r="S638" s="12">
        <f>AVERAGE(7.5,7.7)</f>
        <v>7.6</v>
      </c>
      <c r="T638" s="79">
        <f t="shared" si="176"/>
        <v>4.5364704E-3</v>
      </c>
      <c r="U638" s="8">
        <v>7</v>
      </c>
      <c r="V638" s="8">
        <v>25</v>
      </c>
      <c r="W638" s="10">
        <f t="shared" ref="W638:W669" si="193">RADIANS(V638)</f>
        <v>0.43633231299858238</v>
      </c>
      <c r="X638" s="8">
        <v>5</v>
      </c>
      <c r="Y638" s="22">
        <v>26</v>
      </c>
      <c r="Z638" s="10">
        <f t="shared" ref="Z638:Z669" si="194">RADIANS(Y638)</f>
        <v>0.4537856055185257</v>
      </c>
      <c r="AA638" s="10">
        <f t="shared" ref="AA638:AA669" si="195">(SIN(W638)*U638)+(SIN(Z638)*X638)</f>
        <v>5.1501835661302833</v>
      </c>
      <c r="AB638" s="10">
        <f t="shared" ref="AB638:AB669" si="196">0.0776*(Q638*S638^2*AA638)^0.94</f>
        <v>8.227566175513477</v>
      </c>
      <c r="AC638" s="10">
        <f t="shared" si="188"/>
        <v>1.0284457719391846</v>
      </c>
      <c r="AD638" s="10">
        <f t="shared" si="173"/>
        <v>4.1137830877567385</v>
      </c>
      <c r="AE638" s="65"/>
      <c r="AF638" s="10">
        <f t="shared" si="174"/>
        <v>14.293563240147765</v>
      </c>
      <c r="AG638" s="8">
        <f t="shared" si="189"/>
        <v>2.7872448318288146</v>
      </c>
      <c r="AH638" s="10">
        <f t="shared" si="190"/>
        <v>7.1467816200738827</v>
      </c>
      <c r="AI638" s="63"/>
      <c r="AJ638" s="10">
        <f t="shared" si="175"/>
        <v>11.1966</v>
      </c>
      <c r="AK638" s="8"/>
      <c r="AL638" s="8">
        <f t="shared" si="191"/>
        <v>5.5983000000000001</v>
      </c>
    </row>
    <row r="639" spans="1:38">
      <c r="A639" s="18">
        <v>41466</v>
      </c>
      <c r="B639" s="19" t="s">
        <v>119</v>
      </c>
      <c r="C639" s="12">
        <v>100.6</v>
      </c>
      <c r="D639" s="19" t="s">
        <v>80</v>
      </c>
      <c r="E639" s="8">
        <v>8.4103899999999996</v>
      </c>
      <c r="F639" s="8">
        <v>83.313820000000007</v>
      </c>
      <c r="G639" s="22">
        <v>100</v>
      </c>
      <c r="H639" s="22">
        <v>28</v>
      </c>
      <c r="I639" s="10">
        <f t="shared" si="182"/>
        <v>3.4776037446826735</v>
      </c>
      <c r="J639" s="10">
        <f t="shared" si="183"/>
        <v>6.0695635424396897E-2</v>
      </c>
      <c r="K639" s="10">
        <f t="shared" si="192"/>
        <v>21.038741046347479</v>
      </c>
      <c r="L639" s="22">
        <v>352</v>
      </c>
      <c r="M639" s="49" t="s">
        <v>97</v>
      </c>
      <c r="N639" s="22" t="s">
        <v>99</v>
      </c>
      <c r="O639" s="10" t="s">
        <v>99</v>
      </c>
      <c r="P639" s="10" t="s">
        <v>99</v>
      </c>
      <c r="Q639" s="22">
        <v>0.57999999999999996</v>
      </c>
      <c r="R639" s="22" t="s">
        <v>103</v>
      </c>
      <c r="S639" s="29">
        <f>AVERAGE(18.2,18.7)</f>
        <v>18.45</v>
      </c>
      <c r="T639" s="79">
        <f t="shared" si="176"/>
        <v>2.6735212349999999E-2</v>
      </c>
      <c r="U639" s="8">
        <v>11</v>
      </c>
      <c r="V639" s="8">
        <v>50</v>
      </c>
      <c r="W639" s="10">
        <f t="shared" si="193"/>
        <v>0.87266462599716477</v>
      </c>
      <c r="X639" s="8">
        <v>7</v>
      </c>
      <c r="Y639" s="22">
        <v>22</v>
      </c>
      <c r="Z639" s="10">
        <f t="shared" si="194"/>
        <v>0.38397243543875248</v>
      </c>
      <c r="AA639" s="10">
        <f t="shared" si="195"/>
        <v>11.048735028220142</v>
      </c>
      <c r="AB639" s="10">
        <f t="shared" si="196"/>
        <v>106.72619264034637</v>
      </c>
      <c r="AC639" s="10">
        <f t="shared" si="188"/>
        <v>13.340774080043296</v>
      </c>
      <c r="AD639" s="10">
        <f t="shared" si="173"/>
        <v>53.363096320173184</v>
      </c>
      <c r="AE639" s="65"/>
      <c r="AF639" s="10">
        <f t="shared" si="174"/>
        <v>156.18434068862905</v>
      </c>
      <c r="AG639" s="8">
        <f t="shared" si="189"/>
        <v>30.455946434282666</v>
      </c>
      <c r="AH639" s="10">
        <f t="shared" si="190"/>
        <v>78.092170344314525</v>
      </c>
      <c r="AI639" s="63"/>
      <c r="AJ639" s="10">
        <f t="shared" si="175"/>
        <v>144.91199999999998</v>
      </c>
      <c r="AK639" s="8"/>
      <c r="AL639" s="8">
        <f t="shared" si="191"/>
        <v>72.455999999999989</v>
      </c>
    </row>
    <row r="640" spans="1:38">
      <c r="A640" s="18">
        <v>41466</v>
      </c>
      <c r="B640" s="19" t="s">
        <v>119</v>
      </c>
      <c r="C640" s="12">
        <v>100.6</v>
      </c>
      <c r="D640" s="19" t="s">
        <v>80</v>
      </c>
      <c r="E640" s="8">
        <v>8.4103899999999996</v>
      </c>
      <c r="F640" s="8">
        <v>83.313820000000007</v>
      </c>
      <c r="G640" s="22">
        <v>100</v>
      </c>
      <c r="H640" s="22">
        <v>28</v>
      </c>
      <c r="I640" s="10">
        <f t="shared" si="182"/>
        <v>3.4776037446826735</v>
      </c>
      <c r="J640" s="10">
        <f t="shared" si="183"/>
        <v>6.0695635424396897E-2</v>
      </c>
      <c r="K640" s="10">
        <f t="shared" si="192"/>
        <v>21.038741046347479</v>
      </c>
      <c r="L640" s="22">
        <v>334</v>
      </c>
      <c r="M640" s="8" t="s">
        <v>36</v>
      </c>
      <c r="N640" s="8" t="s">
        <v>46</v>
      </c>
      <c r="O640" s="10" t="s">
        <v>37</v>
      </c>
      <c r="P640" s="10" t="s">
        <v>38</v>
      </c>
      <c r="Q640" s="11">
        <v>0.48</v>
      </c>
      <c r="R640" s="8" t="s">
        <v>60</v>
      </c>
      <c r="S640" s="29">
        <f>AVERAGE(7.7,8)</f>
        <v>7.85</v>
      </c>
      <c r="T640" s="79">
        <f t="shared" si="176"/>
        <v>4.8398311499999996E-3</v>
      </c>
      <c r="U640" s="8">
        <v>11</v>
      </c>
      <c r="V640" s="8">
        <v>12</v>
      </c>
      <c r="W640" s="10">
        <f t="shared" si="193"/>
        <v>0.20943951023931956</v>
      </c>
      <c r="X640" s="8">
        <v>9</v>
      </c>
      <c r="Y640" s="22">
        <v>20</v>
      </c>
      <c r="Z640" s="10">
        <f t="shared" si="194"/>
        <v>0.3490658503988659</v>
      </c>
      <c r="AA640" s="10">
        <f t="shared" si="195"/>
        <v>5.3652098889263709</v>
      </c>
      <c r="AB640" s="10">
        <f t="shared" si="196"/>
        <v>9.0864648829115673</v>
      </c>
      <c r="AC640" s="10">
        <f t="shared" si="188"/>
        <v>1.1358081103639459</v>
      </c>
      <c r="AD640" s="10">
        <f t="shared" si="173"/>
        <v>4.5432324414557836</v>
      </c>
      <c r="AE640" s="65"/>
      <c r="AF640" s="10">
        <f t="shared" si="174"/>
        <v>15.48515849828568</v>
      </c>
      <c r="AG640" s="8">
        <f t="shared" si="189"/>
        <v>3.0196059071657078</v>
      </c>
      <c r="AH640" s="10">
        <f t="shared" si="190"/>
        <v>7.7425792491428398</v>
      </c>
      <c r="AI640" s="63"/>
      <c r="AJ640" s="10">
        <f t="shared" si="175"/>
        <v>12.316600000000001</v>
      </c>
      <c r="AK640" s="8"/>
      <c r="AL640" s="8">
        <f t="shared" si="191"/>
        <v>6.1583000000000006</v>
      </c>
    </row>
    <row r="641" spans="1:38">
      <c r="A641" s="18">
        <v>41466</v>
      </c>
      <c r="B641" s="19" t="s">
        <v>119</v>
      </c>
      <c r="C641" s="12">
        <v>100.6</v>
      </c>
      <c r="D641" s="19" t="s">
        <v>80</v>
      </c>
      <c r="E641" s="8">
        <v>8.4103899999999996</v>
      </c>
      <c r="F641" s="8">
        <v>83.313820000000007</v>
      </c>
      <c r="G641" s="22">
        <v>100</v>
      </c>
      <c r="H641" s="22">
        <v>28</v>
      </c>
      <c r="I641" s="10">
        <f t="shared" si="182"/>
        <v>3.4776037446826735</v>
      </c>
      <c r="J641" s="10">
        <f t="shared" si="183"/>
        <v>6.0695635424396897E-2</v>
      </c>
      <c r="K641" s="10">
        <f t="shared" si="192"/>
        <v>21.038741046347479</v>
      </c>
      <c r="L641" s="22">
        <v>336</v>
      </c>
      <c r="M641" s="22" t="s">
        <v>39</v>
      </c>
      <c r="N641" s="8" t="s">
        <v>69</v>
      </c>
      <c r="O641" s="10" t="s">
        <v>65</v>
      </c>
      <c r="P641" s="10" t="s">
        <v>70</v>
      </c>
      <c r="Q641" s="8">
        <v>0.37</v>
      </c>
      <c r="R641" s="8" t="s">
        <v>71</v>
      </c>
      <c r="S641" s="12">
        <f>AVERAGE(13.1,13.9)</f>
        <v>13.5</v>
      </c>
      <c r="T641" s="79">
        <f t="shared" si="176"/>
        <v>1.4313915E-2</v>
      </c>
      <c r="U641" s="22">
        <v>8</v>
      </c>
      <c r="V641" s="22">
        <v>53</v>
      </c>
      <c r="W641" s="10">
        <f t="shared" si="193"/>
        <v>0.92502450355699462</v>
      </c>
      <c r="X641" s="22">
        <v>7</v>
      </c>
      <c r="Y641" s="22">
        <v>16</v>
      </c>
      <c r="Z641" s="10">
        <f t="shared" si="194"/>
        <v>0.27925268031909273</v>
      </c>
      <c r="AA641" s="10">
        <f t="shared" si="195"/>
        <v>8.3185455710973368</v>
      </c>
      <c r="AB641" s="10">
        <f t="shared" si="196"/>
        <v>29.774424971113586</v>
      </c>
      <c r="AC641" s="10">
        <f t="shared" si="188"/>
        <v>3.7218031213891982</v>
      </c>
      <c r="AD641" s="10">
        <f t="shared" si="173"/>
        <v>14.887212485556793</v>
      </c>
      <c r="AE641" s="65"/>
      <c r="AF641" s="10">
        <f t="shared" si="174"/>
        <v>45.918589125558043</v>
      </c>
      <c r="AG641" s="8">
        <f t="shared" si="189"/>
        <v>8.9541248794838193</v>
      </c>
      <c r="AH641" s="10">
        <f t="shared" si="190"/>
        <v>22.959294562779021</v>
      </c>
      <c r="AI641" s="63"/>
      <c r="AJ641" s="10">
        <f t="shared" si="175"/>
        <v>62.296500000000009</v>
      </c>
      <c r="AK641" s="8"/>
      <c r="AL641" s="8">
        <f t="shared" si="191"/>
        <v>31.148250000000004</v>
      </c>
    </row>
    <row r="642" spans="1:38">
      <c r="A642" s="18">
        <v>41466</v>
      </c>
      <c r="B642" s="19" t="s">
        <v>119</v>
      </c>
      <c r="C642" s="12">
        <v>100.6</v>
      </c>
      <c r="D642" s="19" t="s">
        <v>80</v>
      </c>
      <c r="E642" s="8">
        <v>8.4103899999999996</v>
      </c>
      <c r="F642" s="8">
        <v>83.313820000000007</v>
      </c>
      <c r="G642" s="22">
        <v>100</v>
      </c>
      <c r="H642" s="22">
        <v>28</v>
      </c>
      <c r="I642" s="10">
        <f t="shared" si="182"/>
        <v>3.4776037446826735</v>
      </c>
      <c r="J642" s="10">
        <f t="shared" si="183"/>
        <v>6.0695635424396897E-2</v>
      </c>
      <c r="K642" s="10">
        <f t="shared" si="192"/>
        <v>21.038741046347479</v>
      </c>
      <c r="L642" s="22">
        <v>369</v>
      </c>
      <c r="M642" s="22" t="s">
        <v>36</v>
      </c>
      <c r="N642" s="8" t="s">
        <v>46</v>
      </c>
      <c r="O642" s="10" t="s">
        <v>37</v>
      </c>
      <c r="P642" s="10" t="s">
        <v>38</v>
      </c>
      <c r="Q642" s="11">
        <v>0.48</v>
      </c>
      <c r="R642" s="8" t="s">
        <v>60</v>
      </c>
      <c r="S642" s="12">
        <f>AVERAGE(14.5,13.7)</f>
        <v>14.1</v>
      </c>
      <c r="T642" s="79">
        <f t="shared" si="176"/>
        <v>1.5614537400000001E-2</v>
      </c>
      <c r="U642" s="22">
        <v>7</v>
      </c>
      <c r="V642" s="22">
        <v>35</v>
      </c>
      <c r="W642" s="10">
        <f t="shared" si="193"/>
        <v>0.6108652381980153</v>
      </c>
      <c r="X642" s="22">
        <v>7</v>
      </c>
      <c r="Y642" s="22">
        <v>13</v>
      </c>
      <c r="Z642" s="10">
        <f t="shared" si="194"/>
        <v>0.22689280275926285</v>
      </c>
      <c r="AA642" s="10">
        <f t="shared" si="195"/>
        <v>5.5896924348643768</v>
      </c>
      <c r="AB642" s="10">
        <f t="shared" si="196"/>
        <v>28.399131163566036</v>
      </c>
      <c r="AC642" s="10">
        <f t="shared" si="188"/>
        <v>3.5498913954457545</v>
      </c>
      <c r="AD642" s="10">
        <f t="shared" si="173"/>
        <v>14.199565581783018</v>
      </c>
      <c r="AE642" s="65"/>
      <c r="AF642" s="10">
        <f t="shared" si="174"/>
        <v>66.370428319355142</v>
      </c>
      <c r="AG642" s="8">
        <f t="shared" si="189"/>
        <v>12.942233522274254</v>
      </c>
      <c r="AH642" s="10">
        <f t="shared" si="190"/>
        <v>33.185214159677571</v>
      </c>
      <c r="AI642" s="63"/>
      <c r="AJ642" s="10">
        <f t="shared" si="175"/>
        <v>70.379100000000008</v>
      </c>
      <c r="AK642" s="8"/>
      <c r="AL642" s="8">
        <f t="shared" si="191"/>
        <v>35.189550000000004</v>
      </c>
    </row>
    <row r="643" spans="1:38">
      <c r="A643" s="18">
        <v>41466</v>
      </c>
      <c r="B643" s="19" t="s">
        <v>119</v>
      </c>
      <c r="C643" s="12">
        <v>100.6</v>
      </c>
      <c r="D643" s="19" t="s">
        <v>80</v>
      </c>
      <c r="E643" s="8">
        <v>8.4103899999999996</v>
      </c>
      <c r="F643" s="8">
        <v>83.313820000000007</v>
      </c>
      <c r="G643" s="22">
        <v>100</v>
      </c>
      <c r="H643" s="22">
        <v>28</v>
      </c>
      <c r="I643" s="10">
        <f t="shared" si="182"/>
        <v>3.4776037446826735</v>
      </c>
      <c r="J643" s="10">
        <f t="shared" si="183"/>
        <v>6.0695635424396897E-2</v>
      </c>
      <c r="K643" s="10">
        <f t="shared" si="192"/>
        <v>21.038741046347479</v>
      </c>
      <c r="L643" s="22">
        <v>370</v>
      </c>
      <c r="M643" s="31" t="s">
        <v>122</v>
      </c>
      <c r="N643" s="8" t="s">
        <v>123</v>
      </c>
      <c r="O643" s="10" t="s">
        <v>99</v>
      </c>
      <c r="P643" s="10" t="s">
        <v>99</v>
      </c>
      <c r="Q643" s="22">
        <v>0.69</v>
      </c>
      <c r="R643" s="22" t="s">
        <v>190</v>
      </c>
      <c r="S643" s="29">
        <f>AVERAGE(5.5,5.8)</f>
        <v>5.65</v>
      </c>
      <c r="T643" s="79">
        <f t="shared" si="176"/>
        <v>2.5071931500000003E-3</v>
      </c>
      <c r="U643" s="22">
        <v>8</v>
      </c>
      <c r="V643" s="22">
        <v>40</v>
      </c>
      <c r="W643" s="10">
        <f t="shared" si="193"/>
        <v>0.69813170079773179</v>
      </c>
      <c r="X643" s="22">
        <v>7</v>
      </c>
      <c r="Y643" s="22">
        <v>13</v>
      </c>
      <c r="Z643" s="10">
        <f t="shared" si="194"/>
        <v>0.22689280275926285</v>
      </c>
      <c r="AA643" s="10">
        <f t="shared" si="195"/>
        <v>6.7169582578993694</v>
      </c>
      <c r="AB643" s="10">
        <f t="shared" si="196"/>
        <v>8.5069374377144431</v>
      </c>
      <c r="AC643" s="10">
        <f t="shared" si="188"/>
        <v>1.0633671797143054</v>
      </c>
      <c r="AD643" s="10">
        <f t="shared" si="173"/>
        <v>4.2534687188572216</v>
      </c>
      <c r="AE643" s="65"/>
      <c r="AF643" s="10">
        <f t="shared" si="174"/>
        <v>9.9087574388389665</v>
      </c>
      <c r="AG643" s="8">
        <f t="shared" si="189"/>
        <v>1.9322077005735985</v>
      </c>
      <c r="AH643" s="10">
        <f t="shared" si="190"/>
        <v>4.9543787194194833</v>
      </c>
      <c r="AI643" s="63"/>
      <c r="AJ643" s="10">
        <f t="shared" si="175"/>
        <v>5.6351999999999975</v>
      </c>
      <c r="AK643" s="8"/>
      <c r="AL643" s="8">
        <f t="shared" si="191"/>
        <v>2.8175999999999988</v>
      </c>
    </row>
    <row r="644" spans="1:38">
      <c r="A644" s="18">
        <v>41466</v>
      </c>
      <c r="B644" s="19" t="s">
        <v>119</v>
      </c>
      <c r="C644" s="12">
        <v>100.6</v>
      </c>
      <c r="D644" s="19" t="s">
        <v>80</v>
      </c>
      <c r="E644" s="8">
        <v>8.4103899999999996</v>
      </c>
      <c r="F644" s="8">
        <v>83.313820000000007</v>
      </c>
      <c r="G644" s="22">
        <v>100</v>
      </c>
      <c r="H644" s="22">
        <v>28</v>
      </c>
      <c r="I644" s="10">
        <f t="shared" si="182"/>
        <v>3.4776037446826735</v>
      </c>
      <c r="J644" s="10">
        <f t="shared" si="183"/>
        <v>6.0695635424396897E-2</v>
      </c>
      <c r="K644" s="10">
        <f t="shared" si="192"/>
        <v>21.038741046347479</v>
      </c>
      <c r="L644" s="22">
        <v>356</v>
      </c>
      <c r="M644" s="22" t="s">
        <v>39</v>
      </c>
      <c r="N644" s="7" t="s">
        <v>69</v>
      </c>
      <c r="O644" s="33" t="s">
        <v>65</v>
      </c>
      <c r="P644" s="33" t="s">
        <v>70</v>
      </c>
      <c r="Q644" s="7">
        <v>0.37</v>
      </c>
      <c r="R644" s="7" t="s">
        <v>71</v>
      </c>
      <c r="S644" s="29">
        <f>AVERAGE(5.2,5.7)</f>
        <v>5.45</v>
      </c>
      <c r="T644" s="79">
        <f t="shared" si="176"/>
        <v>2.3328343500000001E-3</v>
      </c>
      <c r="U644" s="22">
        <v>7</v>
      </c>
      <c r="V644" s="22">
        <v>50</v>
      </c>
      <c r="W644" s="10">
        <f t="shared" si="193"/>
        <v>0.87266462599716477</v>
      </c>
      <c r="X644" s="22">
        <v>6</v>
      </c>
      <c r="Y644" s="22">
        <v>5</v>
      </c>
      <c r="Z644" s="10">
        <f t="shared" si="194"/>
        <v>8.7266462599716474E-2</v>
      </c>
      <c r="AA644" s="10">
        <f t="shared" si="195"/>
        <v>5.885245558318795</v>
      </c>
      <c r="AB644" s="10">
        <f t="shared" si="196"/>
        <v>3.9081882896816711</v>
      </c>
      <c r="AC644" s="10">
        <f t="shared" si="188"/>
        <v>0.48852353621020889</v>
      </c>
      <c r="AD644" s="10">
        <f t="shared" si="173"/>
        <v>1.9540941448408355</v>
      </c>
      <c r="AE644" s="65"/>
      <c r="AF644" s="10">
        <f t="shared" si="174"/>
        <v>4.8657700170420268</v>
      </c>
      <c r="AG644" s="8">
        <f t="shared" si="189"/>
        <v>0.94882515332319528</v>
      </c>
      <c r="AH644" s="10">
        <f t="shared" si="190"/>
        <v>2.4328850085210134</v>
      </c>
      <c r="AI644" s="63"/>
      <c r="AJ644" s="10">
        <f t="shared" si="175"/>
        <v>5.3829999999999991</v>
      </c>
      <c r="AK644" s="8"/>
      <c r="AL644" s="8">
        <f t="shared" si="191"/>
        <v>2.6914999999999996</v>
      </c>
    </row>
    <row r="645" spans="1:38">
      <c r="A645" s="18">
        <v>41466</v>
      </c>
      <c r="B645" s="19" t="s">
        <v>119</v>
      </c>
      <c r="C645" s="12">
        <v>100.6</v>
      </c>
      <c r="D645" s="19" t="s">
        <v>80</v>
      </c>
      <c r="E645" s="8">
        <v>8.4103899999999996</v>
      </c>
      <c r="F645" s="8">
        <v>83.313820000000007</v>
      </c>
      <c r="G645" s="22">
        <v>100</v>
      </c>
      <c r="H645" s="22">
        <v>28</v>
      </c>
      <c r="I645" s="10">
        <f t="shared" si="182"/>
        <v>3.4776037446826735</v>
      </c>
      <c r="J645" s="10">
        <f t="shared" si="183"/>
        <v>6.0695635424396897E-2</v>
      </c>
      <c r="K645" s="10">
        <f t="shared" si="192"/>
        <v>21.038741046347479</v>
      </c>
      <c r="L645" s="22">
        <v>357</v>
      </c>
      <c r="M645" s="22" t="s">
        <v>39</v>
      </c>
      <c r="N645" s="7" t="s">
        <v>69</v>
      </c>
      <c r="O645" s="33" t="s">
        <v>65</v>
      </c>
      <c r="P645" s="33" t="s">
        <v>70</v>
      </c>
      <c r="Q645" s="7">
        <v>0.37</v>
      </c>
      <c r="R645" s="7" t="s">
        <v>71</v>
      </c>
      <c r="S645" s="12">
        <f>AVERAGE(5.4,5.4)</f>
        <v>5.4</v>
      </c>
      <c r="T645" s="79">
        <f t="shared" si="176"/>
        <v>2.2902264000000004E-3</v>
      </c>
      <c r="U645" s="22">
        <v>7</v>
      </c>
      <c r="V645" s="22">
        <v>50</v>
      </c>
      <c r="W645" s="10">
        <f t="shared" si="193"/>
        <v>0.87266462599716477</v>
      </c>
      <c r="X645" s="22">
        <v>6</v>
      </c>
      <c r="Y645" s="22">
        <v>5</v>
      </c>
      <c r="Z645" s="10">
        <f t="shared" si="194"/>
        <v>8.7266462599716474E-2</v>
      </c>
      <c r="AA645" s="10">
        <f t="shared" si="195"/>
        <v>5.885245558318795</v>
      </c>
      <c r="AB645" s="10">
        <f t="shared" si="196"/>
        <v>3.8410532083298756</v>
      </c>
      <c r="AC645" s="10">
        <f t="shared" si="188"/>
        <v>0.48013165104123445</v>
      </c>
      <c r="AD645" s="10">
        <f t="shared" si="173"/>
        <v>1.9205266041649378</v>
      </c>
      <c r="AE645" s="65"/>
      <c r="AF645" s="10">
        <f t="shared" si="174"/>
        <v>4.7576096750276804</v>
      </c>
      <c r="AG645" s="8">
        <f t="shared" si="189"/>
        <v>0.92773388663039769</v>
      </c>
      <c r="AH645" s="10">
        <f t="shared" si="190"/>
        <v>2.3788048375138402</v>
      </c>
      <c r="AI645" s="63"/>
      <c r="AJ645" s="10">
        <f t="shared" si="175"/>
        <v>5.3291999999999966</v>
      </c>
      <c r="AK645" s="8"/>
      <c r="AL645" s="8">
        <f t="shared" si="191"/>
        <v>2.6645999999999983</v>
      </c>
    </row>
    <row r="646" spans="1:38">
      <c r="A646" s="18">
        <v>41466</v>
      </c>
      <c r="B646" s="19" t="s">
        <v>119</v>
      </c>
      <c r="C646" s="12">
        <v>100.6</v>
      </c>
      <c r="D646" s="19" t="s">
        <v>80</v>
      </c>
      <c r="E646" s="8">
        <v>8.4103899999999996</v>
      </c>
      <c r="F646" s="8">
        <v>83.313820000000007</v>
      </c>
      <c r="G646" s="22">
        <v>100</v>
      </c>
      <c r="H646" s="22">
        <v>28</v>
      </c>
      <c r="I646" s="10">
        <f t="shared" si="182"/>
        <v>3.4776037446826735</v>
      </c>
      <c r="J646" s="10">
        <f t="shared" si="183"/>
        <v>6.0695635424396897E-2</v>
      </c>
      <c r="K646" s="10">
        <f t="shared" si="192"/>
        <v>21.038741046347479</v>
      </c>
      <c r="L646" s="22">
        <v>358</v>
      </c>
      <c r="M646" s="22" t="s">
        <v>39</v>
      </c>
      <c r="N646" s="7" t="s">
        <v>69</v>
      </c>
      <c r="O646" s="33" t="s">
        <v>65</v>
      </c>
      <c r="P646" s="33" t="s">
        <v>70</v>
      </c>
      <c r="Q646" s="7">
        <v>0.37</v>
      </c>
      <c r="R646" s="7" t="s">
        <v>71</v>
      </c>
      <c r="S646" s="12">
        <f>AVERAGE(6.2,6.2)</f>
        <v>6.2</v>
      </c>
      <c r="T646" s="79">
        <f t="shared" si="176"/>
        <v>3.0190776000000004E-3</v>
      </c>
      <c r="U646" s="22">
        <v>7</v>
      </c>
      <c r="V646" s="22">
        <v>50</v>
      </c>
      <c r="W646" s="10">
        <f t="shared" si="193"/>
        <v>0.87266462599716477</v>
      </c>
      <c r="X646" s="22">
        <v>6</v>
      </c>
      <c r="Y646" s="22">
        <v>5</v>
      </c>
      <c r="Z646" s="10">
        <f t="shared" si="194"/>
        <v>8.7266462599716474E-2</v>
      </c>
      <c r="AA646" s="10">
        <f t="shared" si="195"/>
        <v>5.885245558318795</v>
      </c>
      <c r="AB646" s="10">
        <f t="shared" si="196"/>
        <v>4.9801959534271125</v>
      </c>
      <c r="AC646" s="10">
        <f t="shared" si="188"/>
        <v>0.62252449417838907</v>
      </c>
      <c r="AD646" s="10">
        <f t="shared" si="173"/>
        <v>2.4900979767135563</v>
      </c>
      <c r="AE646" s="65"/>
      <c r="AF646" s="10">
        <f t="shared" si="174"/>
        <v>6.6710545294287398</v>
      </c>
      <c r="AG646" s="8">
        <f t="shared" si="189"/>
        <v>1.3008556332386043</v>
      </c>
      <c r="AH646" s="10">
        <f t="shared" si="190"/>
        <v>3.3355272647143699</v>
      </c>
      <c r="AI646" s="63"/>
      <c r="AJ646" s="10">
        <f t="shared" si="175"/>
        <v>6.6340000000000003</v>
      </c>
      <c r="AK646" s="8"/>
      <c r="AL646" s="8">
        <f t="shared" si="191"/>
        <v>3.3170000000000002</v>
      </c>
    </row>
    <row r="647" spans="1:38">
      <c r="A647" s="18">
        <v>41466</v>
      </c>
      <c r="B647" s="19" t="s">
        <v>119</v>
      </c>
      <c r="C647" s="12">
        <v>100.6</v>
      </c>
      <c r="D647" s="19" t="s">
        <v>80</v>
      </c>
      <c r="E647" s="8">
        <v>8.4103899999999996</v>
      </c>
      <c r="F647" s="8">
        <v>83.313820000000007</v>
      </c>
      <c r="G647" s="22">
        <v>100</v>
      </c>
      <c r="H647" s="22">
        <v>28</v>
      </c>
      <c r="I647" s="10">
        <f t="shared" si="182"/>
        <v>3.4776037446826735</v>
      </c>
      <c r="J647" s="10">
        <f t="shared" si="183"/>
        <v>6.0695635424396897E-2</v>
      </c>
      <c r="K647" s="10">
        <f t="shared" si="192"/>
        <v>21.038741046347479</v>
      </c>
      <c r="L647" s="22">
        <v>335</v>
      </c>
      <c r="M647" s="49" t="s">
        <v>97</v>
      </c>
      <c r="N647" s="22" t="s">
        <v>99</v>
      </c>
      <c r="O647" s="10" t="s">
        <v>99</v>
      </c>
      <c r="P647" s="10" t="s">
        <v>99</v>
      </c>
      <c r="Q647" s="22">
        <v>0.57999999999999996</v>
      </c>
      <c r="R647" s="22" t="s">
        <v>103</v>
      </c>
      <c r="S647" s="12">
        <f>AVERAGE(9,9.2)</f>
        <v>9.1</v>
      </c>
      <c r="T647" s="79">
        <f t="shared" si="176"/>
        <v>6.5038973999999991E-3</v>
      </c>
      <c r="U647" s="22">
        <v>8</v>
      </c>
      <c r="V647" s="22">
        <v>50</v>
      </c>
      <c r="W647" s="10">
        <f t="shared" si="193"/>
        <v>0.87266462599716477</v>
      </c>
      <c r="X647" s="22">
        <v>6</v>
      </c>
      <c r="Y647" s="22">
        <v>-2</v>
      </c>
      <c r="Z647" s="10">
        <f t="shared" si="194"/>
        <v>-3.4906585039886591E-2</v>
      </c>
      <c r="AA647" s="10">
        <f t="shared" si="195"/>
        <v>5.9189585647368181</v>
      </c>
      <c r="AB647" s="10">
        <f t="shared" si="196"/>
        <v>15.717824472641565</v>
      </c>
      <c r="AC647" s="10">
        <f t="shared" si="188"/>
        <v>1.9647280590801957</v>
      </c>
      <c r="AD647" s="10">
        <f t="shared" ref="AD647:AD710" si="197">AB647/2</f>
        <v>7.8589122363207826</v>
      </c>
      <c r="AE647" s="65"/>
      <c r="AF647" s="10">
        <f t="shared" ref="AF647:AF710" si="198">Q647*EXP(-1.239+1.98*LN(S647)+0.207*(LN(S647))^2-0.0281*(LN(S647))^3)</f>
        <v>26.990611896327032</v>
      </c>
      <c r="AG647" s="8">
        <f t="shared" si="189"/>
        <v>5.2631693197837714</v>
      </c>
      <c r="AH647" s="10">
        <f t="shared" si="190"/>
        <v>13.495305948163516</v>
      </c>
      <c r="AI647" s="63"/>
      <c r="AJ647" s="10">
        <f t="shared" ref="AJ647:AJ710" si="199">21.297-6.953*S647+0.74*(S647^2)</f>
        <v>19.304099999999984</v>
      </c>
      <c r="AK647" s="8"/>
      <c r="AL647" s="8">
        <f t="shared" si="191"/>
        <v>9.652049999999992</v>
      </c>
    </row>
    <row r="648" spans="1:38">
      <c r="A648" s="18">
        <v>41466</v>
      </c>
      <c r="B648" s="19" t="s">
        <v>119</v>
      </c>
      <c r="C648" s="12">
        <v>100.6</v>
      </c>
      <c r="D648" s="19" t="s">
        <v>80</v>
      </c>
      <c r="E648" s="8">
        <v>8.4103899999999996</v>
      </c>
      <c r="F648" s="8">
        <v>83.313820000000007</v>
      </c>
      <c r="G648" s="22">
        <v>100</v>
      </c>
      <c r="H648" s="22">
        <v>28</v>
      </c>
      <c r="I648" s="10">
        <f t="shared" si="182"/>
        <v>3.4776037446826735</v>
      </c>
      <c r="J648" s="10">
        <f t="shared" si="183"/>
        <v>6.0695635424396897E-2</v>
      </c>
      <c r="K648" s="10">
        <f t="shared" si="192"/>
        <v>21.038741046347479</v>
      </c>
      <c r="L648" s="22">
        <v>355</v>
      </c>
      <c r="M648" s="22" t="s">
        <v>36</v>
      </c>
      <c r="N648" s="8" t="s">
        <v>46</v>
      </c>
      <c r="O648" s="10" t="s">
        <v>37</v>
      </c>
      <c r="P648" s="10" t="s">
        <v>38</v>
      </c>
      <c r="Q648" s="11">
        <v>0.48</v>
      </c>
      <c r="R648" s="8" t="s">
        <v>60</v>
      </c>
      <c r="S648" s="29">
        <f>AVERAGE(7.7,9)</f>
        <v>8.35</v>
      </c>
      <c r="T648" s="79">
        <f t="shared" ref="T648:T711" si="200">0.00007854*S648^2</f>
        <v>5.4760051500000002E-3</v>
      </c>
      <c r="U648" s="22">
        <v>5</v>
      </c>
      <c r="V648" s="22">
        <v>25</v>
      </c>
      <c r="W648" s="10">
        <f t="shared" si="193"/>
        <v>0.43633231299858238</v>
      </c>
      <c r="X648" s="22">
        <v>5</v>
      </c>
      <c r="Y648" s="22">
        <v>-2</v>
      </c>
      <c r="Z648" s="10">
        <f t="shared" si="194"/>
        <v>-3.4906585039886591E-2</v>
      </c>
      <c r="AA648" s="10">
        <f t="shared" si="195"/>
        <v>1.9385938251909924</v>
      </c>
      <c r="AB648" s="10">
        <f t="shared" si="196"/>
        <v>3.9195541963029474</v>
      </c>
      <c r="AC648" s="10">
        <f t="shared" si="188"/>
        <v>0.48994427453786843</v>
      </c>
      <c r="AD648" s="10">
        <f t="shared" si="197"/>
        <v>1.9597770981514737</v>
      </c>
      <c r="AE648" s="65"/>
      <c r="AF648" s="10">
        <f t="shared" si="198"/>
        <v>18.044434146493678</v>
      </c>
      <c r="AG648" s="8">
        <f t="shared" si="189"/>
        <v>3.5186646585662675</v>
      </c>
      <c r="AH648" s="10">
        <f t="shared" si="190"/>
        <v>9.0222170732468392</v>
      </c>
      <c r="AI648" s="63"/>
      <c r="AJ648" s="10">
        <f t="shared" si="199"/>
        <v>14.834099999999999</v>
      </c>
      <c r="AK648" s="8"/>
      <c r="AL648" s="8">
        <f t="shared" si="191"/>
        <v>7.4170499999999997</v>
      </c>
    </row>
    <row r="649" spans="1:38">
      <c r="A649" s="18">
        <v>41466</v>
      </c>
      <c r="B649" s="19" t="s">
        <v>119</v>
      </c>
      <c r="C649" s="12">
        <v>100.6</v>
      </c>
      <c r="D649" s="19" t="s">
        <v>80</v>
      </c>
      <c r="E649" s="8">
        <v>8.4103899999999996</v>
      </c>
      <c r="F649" s="8">
        <v>83.313820000000007</v>
      </c>
      <c r="G649" s="22">
        <v>100</v>
      </c>
      <c r="H649" s="22">
        <v>28</v>
      </c>
      <c r="I649" s="10">
        <f t="shared" si="182"/>
        <v>3.4776037446826735</v>
      </c>
      <c r="J649" s="10">
        <f t="shared" si="183"/>
        <v>6.0695635424396897E-2</v>
      </c>
      <c r="K649" s="10">
        <f t="shared" si="192"/>
        <v>21.038741046347479</v>
      </c>
      <c r="L649" s="22">
        <v>368</v>
      </c>
      <c r="M649" s="49" t="s">
        <v>97</v>
      </c>
      <c r="N649" s="22" t="s">
        <v>99</v>
      </c>
      <c r="O649" s="10" t="s">
        <v>99</v>
      </c>
      <c r="P649" s="10" t="s">
        <v>99</v>
      </c>
      <c r="Q649" s="22">
        <v>0.57999999999999996</v>
      </c>
      <c r="R649" s="22" t="s">
        <v>103</v>
      </c>
      <c r="S649" s="29">
        <f>AVERAGE(10.5,10)</f>
        <v>10.25</v>
      </c>
      <c r="T649" s="79">
        <f t="shared" si="200"/>
        <v>8.2516087500000002E-3</v>
      </c>
      <c r="U649" s="22">
        <v>7</v>
      </c>
      <c r="V649" s="22">
        <v>25</v>
      </c>
      <c r="W649" s="10">
        <f t="shared" si="193"/>
        <v>0.43633231299858238</v>
      </c>
      <c r="X649" s="22">
        <v>11</v>
      </c>
      <c r="Y649" s="22">
        <v>1</v>
      </c>
      <c r="Z649" s="10">
        <f t="shared" si="194"/>
        <v>1.7453292519943295E-2</v>
      </c>
      <c r="AA649" s="10">
        <f t="shared" si="195"/>
        <v>3.1503043029950151</v>
      </c>
      <c r="AB649" s="10">
        <f t="shared" si="196"/>
        <v>10.866664485132018</v>
      </c>
      <c r="AC649" s="10">
        <f t="shared" si="188"/>
        <v>1.3583330606415023</v>
      </c>
      <c r="AD649" s="10">
        <f t="shared" si="197"/>
        <v>5.4333322425660091</v>
      </c>
      <c r="AE649" s="65"/>
      <c r="AF649" s="10">
        <f t="shared" si="198"/>
        <v>36.27898276365692</v>
      </c>
      <c r="AG649" s="8">
        <f t="shared" si="189"/>
        <v>7.0744016389130993</v>
      </c>
      <c r="AH649" s="10">
        <f t="shared" si="190"/>
        <v>18.13949138182846</v>
      </c>
      <c r="AI649" s="63"/>
      <c r="AJ649" s="10">
        <f t="shared" si="199"/>
        <v>27.774999999999991</v>
      </c>
      <c r="AK649" s="8"/>
      <c r="AL649" s="8">
        <f t="shared" si="191"/>
        <v>13.887499999999996</v>
      </c>
    </row>
    <row r="650" spans="1:38">
      <c r="A650" s="18">
        <v>41466</v>
      </c>
      <c r="B650" s="19" t="s">
        <v>119</v>
      </c>
      <c r="C650" s="12">
        <v>100.6</v>
      </c>
      <c r="D650" s="19" t="s">
        <v>80</v>
      </c>
      <c r="E650" s="8">
        <v>8.4103899999999996</v>
      </c>
      <c r="F650" s="8">
        <v>83.313820000000007</v>
      </c>
      <c r="G650" s="22">
        <v>100</v>
      </c>
      <c r="H650" s="22">
        <v>28</v>
      </c>
      <c r="I650" s="10">
        <f t="shared" si="182"/>
        <v>3.4776037446826735</v>
      </c>
      <c r="J650" s="10">
        <f t="shared" si="183"/>
        <v>6.0695635424396897E-2</v>
      </c>
      <c r="K650" s="10">
        <f t="shared" si="192"/>
        <v>21.038741046347479</v>
      </c>
      <c r="L650" s="22">
        <v>385</v>
      </c>
      <c r="M650" s="49" t="s">
        <v>97</v>
      </c>
      <c r="N650" s="22" t="s">
        <v>99</v>
      </c>
      <c r="O650" s="10" t="s">
        <v>99</v>
      </c>
      <c r="P650" s="10" t="s">
        <v>99</v>
      </c>
      <c r="Q650" s="22">
        <v>0.57999999999999996</v>
      </c>
      <c r="R650" s="22" t="s">
        <v>103</v>
      </c>
      <c r="S650" s="29">
        <f>AVERAGE(17.5,20)</f>
        <v>18.75</v>
      </c>
      <c r="T650" s="79">
        <f t="shared" si="200"/>
        <v>2.761171875E-2</v>
      </c>
      <c r="U650" s="22">
        <v>13</v>
      </c>
      <c r="V650" s="22">
        <v>63</v>
      </c>
      <c r="W650" s="10">
        <f t="shared" si="193"/>
        <v>1.0995574287564276</v>
      </c>
      <c r="X650" s="22">
        <v>5</v>
      </c>
      <c r="Y650" s="22">
        <v>15</v>
      </c>
      <c r="Z650" s="10">
        <f t="shared" si="194"/>
        <v>0.26179938779914941</v>
      </c>
      <c r="AA650" s="10">
        <f t="shared" si="195"/>
        <v>12.877180039961384</v>
      </c>
      <c r="AB650" s="10">
        <f t="shared" si="196"/>
        <v>127.04510847025708</v>
      </c>
      <c r="AC650" s="10">
        <f t="shared" si="188"/>
        <v>15.880638558782135</v>
      </c>
      <c r="AD650" s="10">
        <f t="shared" si="197"/>
        <v>63.522554235128538</v>
      </c>
      <c r="AE650" s="65"/>
      <c r="AF650" s="10">
        <f t="shared" si="198"/>
        <v>162.53189250581272</v>
      </c>
      <c r="AG650" s="8">
        <f t="shared" si="189"/>
        <v>31.693719038633482</v>
      </c>
      <c r="AH650" s="10">
        <f t="shared" si="190"/>
        <v>81.26594625290636</v>
      </c>
      <c r="AI650" s="63"/>
      <c r="AJ650" s="10">
        <f t="shared" si="199"/>
        <v>151.08449999999999</v>
      </c>
      <c r="AK650" s="8"/>
      <c r="AL650" s="8">
        <f t="shared" si="191"/>
        <v>75.542249999999996</v>
      </c>
    </row>
    <row r="651" spans="1:38">
      <c r="A651" s="18">
        <v>41466</v>
      </c>
      <c r="B651" s="19" t="s">
        <v>119</v>
      </c>
      <c r="C651" s="12">
        <v>100.6</v>
      </c>
      <c r="D651" s="19" t="s">
        <v>80</v>
      </c>
      <c r="E651" s="8">
        <v>8.4103899999999996</v>
      </c>
      <c r="F651" s="8">
        <v>83.313820000000007</v>
      </c>
      <c r="G651" s="22">
        <v>100</v>
      </c>
      <c r="H651" s="22">
        <v>28</v>
      </c>
      <c r="I651" s="10">
        <f t="shared" si="182"/>
        <v>3.4776037446826735</v>
      </c>
      <c r="J651" s="10">
        <f t="shared" si="183"/>
        <v>6.0695635424396897E-2</v>
      </c>
      <c r="K651" s="10">
        <f t="shared" si="192"/>
        <v>21.038741046347479</v>
      </c>
      <c r="L651" s="22">
        <v>321</v>
      </c>
      <c r="M651" s="22" t="s">
        <v>39</v>
      </c>
      <c r="N651" s="7" t="s">
        <v>69</v>
      </c>
      <c r="O651" s="33" t="s">
        <v>65</v>
      </c>
      <c r="P651" s="33" t="s">
        <v>70</v>
      </c>
      <c r="Q651" s="7">
        <v>0.37</v>
      </c>
      <c r="R651" s="7" t="s">
        <v>71</v>
      </c>
      <c r="S651" s="12">
        <f>AVERAGE(10.1,10.5)</f>
        <v>10.3</v>
      </c>
      <c r="T651" s="79">
        <f t="shared" si="200"/>
        <v>8.3323086000000011E-3</v>
      </c>
      <c r="U651" s="22">
        <v>7</v>
      </c>
      <c r="V651" s="22">
        <v>50</v>
      </c>
      <c r="W651" s="10">
        <f t="shared" si="193"/>
        <v>0.87266462599716477</v>
      </c>
      <c r="X651" s="22">
        <v>5</v>
      </c>
      <c r="Y651" s="22">
        <v>16</v>
      </c>
      <c r="Z651" s="10">
        <f t="shared" si="194"/>
        <v>0.27925268031909273</v>
      </c>
      <c r="AA651" s="10">
        <f t="shared" si="195"/>
        <v>6.7404978809178422</v>
      </c>
      <c r="AB651" s="10">
        <f t="shared" si="196"/>
        <v>14.691826203652994</v>
      </c>
      <c r="AC651" s="10">
        <f t="shared" si="188"/>
        <v>1.8364782754566242</v>
      </c>
      <c r="AD651" s="10">
        <f t="shared" si="197"/>
        <v>7.3459131018264969</v>
      </c>
      <c r="AE651" s="65"/>
      <c r="AF651" s="10">
        <f t="shared" si="198"/>
        <v>23.425273298255775</v>
      </c>
      <c r="AG651" s="8">
        <f t="shared" si="189"/>
        <v>4.5679282931598761</v>
      </c>
      <c r="AH651" s="10">
        <f t="shared" si="190"/>
        <v>11.712636649127887</v>
      </c>
      <c r="AI651" s="63"/>
      <c r="AJ651" s="10">
        <f t="shared" si="199"/>
        <v>28.187699999999992</v>
      </c>
      <c r="AK651" s="8"/>
      <c r="AL651" s="8">
        <f t="shared" si="191"/>
        <v>14.093849999999996</v>
      </c>
    </row>
    <row r="652" spans="1:38">
      <c r="A652" s="18">
        <v>41466</v>
      </c>
      <c r="B652" s="19" t="s">
        <v>119</v>
      </c>
      <c r="C652" s="12">
        <v>100.6</v>
      </c>
      <c r="D652" s="19" t="s">
        <v>80</v>
      </c>
      <c r="E652" s="8">
        <v>8.4103899999999996</v>
      </c>
      <c r="F652" s="8">
        <v>83.313820000000007</v>
      </c>
      <c r="G652" s="22">
        <v>100</v>
      </c>
      <c r="H652" s="22">
        <v>28</v>
      </c>
      <c r="I652" s="10">
        <f t="shared" si="182"/>
        <v>3.4776037446826735</v>
      </c>
      <c r="J652" s="10">
        <f t="shared" si="183"/>
        <v>6.0695635424396897E-2</v>
      </c>
      <c r="K652" s="10">
        <f t="shared" si="192"/>
        <v>21.038741046347479</v>
      </c>
      <c r="L652" s="22">
        <v>329</v>
      </c>
      <c r="M652" s="49" t="s">
        <v>97</v>
      </c>
      <c r="N652" s="22" t="s">
        <v>99</v>
      </c>
      <c r="O652" s="10" t="s">
        <v>99</v>
      </c>
      <c r="P652" s="10" t="s">
        <v>99</v>
      </c>
      <c r="Q652" s="22">
        <v>0.57999999999999996</v>
      </c>
      <c r="R652" s="22" t="s">
        <v>103</v>
      </c>
      <c r="S652" s="29">
        <f>AVERAGE(9.2,8.5)</f>
        <v>8.85</v>
      </c>
      <c r="T652" s="79">
        <f t="shared" si="200"/>
        <v>6.1514491499999992E-3</v>
      </c>
      <c r="U652" s="22">
        <v>9</v>
      </c>
      <c r="V652" s="22">
        <v>69</v>
      </c>
      <c r="W652" s="10">
        <f t="shared" si="193"/>
        <v>1.2042771838760873</v>
      </c>
      <c r="X652" s="22">
        <v>7</v>
      </c>
      <c r="Y652" s="22">
        <v>8</v>
      </c>
      <c r="Z652" s="10">
        <f t="shared" si="194"/>
        <v>0.13962634015954636</v>
      </c>
      <c r="AA652" s="10">
        <f t="shared" si="195"/>
        <v>9.3764355451952746</v>
      </c>
      <c r="AB652" s="10">
        <f t="shared" si="196"/>
        <v>22.98544363428563</v>
      </c>
      <c r="AC652" s="10">
        <f t="shared" si="188"/>
        <v>2.8731804542857038</v>
      </c>
      <c r="AD652" s="10">
        <f t="shared" si="197"/>
        <v>11.492721817142815</v>
      </c>
      <c r="AE652" s="65"/>
      <c r="AF652" s="10">
        <f t="shared" si="198"/>
        <v>25.187131211923109</v>
      </c>
      <c r="AG652" s="8">
        <f t="shared" si="189"/>
        <v>4.9114905863250069</v>
      </c>
      <c r="AH652" s="10">
        <f t="shared" si="190"/>
        <v>12.593565605961555</v>
      </c>
      <c r="AI652" s="63"/>
      <c r="AJ652" s="10">
        <f t="shared" si="199"/>
        <v>17.721599999999995</v>
      </c>
      <c r="AK652" s="8"/>
      <c r="AL652" s="8">
        <f t="shared" si="191"/>
        <v>8.8607999999999976</v>
      </c>
    </row>
    <row r="653" spans="1:38">
      <c r="A653" s="18">
        <v>41466</v>
      </c>
      <c r="B653" s="19" t="s">
        <v>119</v>
      </c>
      <c r="C653" s="12">
        <v>100.6</v>
      </c>
      <c r="D653" s="19" t="s">
        <v>80</v>
      </c>
      <c r="E653" s="8">
        <v>8.4103899999999996</v>
      </c>
      <c r="F653" s="8">
        <v>83.313820000000007</v>
      </c>
      <c r="G653" s="22">
        <v>100</v>
      </c>
      <c r="H653" s="22">
        <v>28</v>
      </c>
      <c r="I653" s="10">
        <f t="shared" si="182"/>
        <v>3.4776037446826735</v>
      </c>
      <c r="J653" s="10">
        <f t="shared" si="183"/>
        <v>6.0695635424396897E-2</v>
      </c>
      <c r="K653" s="10">
        <f t="shared" si="192"/>
        <v>21.038741046347479</v>
      </c>
      <c r="L653" s="22">
        <v>354</v>
      </c>
      <c r="M653" s="22" t="s">
        <v>36</v>
      </c>
      <c r="N653" s="8" t="s">
        <v>46</v>
      </c>
      <c r="O653" s="10" t="s">
        <v>37</v>
      </c>
      <c r="P653" s="10" t="s">
        <v>38</v>
      </c>
      <c r="Q653" s="11">
        <v>0.48</v>
      </c>
      <c r="R653" s="8" t="s">
        <v>60</v>
      </c>
      <c r="S653" s="12">
        <f>AVERAGE(9.2,9)</f>
        <v>9.1</v>
      </c>
      <c r="T653" s="79">
        <f t="shared" si="200"/>
        <v>6.5038973999999991E-3</v>
      </c>
      <c r="U653" s="22">
        <v>5</v>
      </c>
      <c r="V653" s="22">
        <v>30</v>
      </c>
      <c r="W653" s="10">
        <f t="shared" si="193"/>
        <v>0.52359877559829882</v>
      </c>
      <c r="X653" s="22">
        <v>6</v>
      </c>
      <c r="Y653" s="22">
        <v>5</v>
      </c>
      <c r="Z653" s="10">
        <f t="shared" si="194"/>
        <v>8.7266462599716474E-2</v>
      </c>
      <c r="AA653" s="10">
        <f t="shared" si="195"/>
        <v>3.0229344564859488</v>
      </c>
      <c r="AB653" s="10">
        <f t="shared" si="196"/>
        <v>6.9956699072022044</v>
      </c>
      <c r="AC653" s="10">
        <f t="shared" si="188"/>
        <v>0.87445873840027555</v>
      </c>
      <c r="AD653" s="10">
        <f t="shared" si="197"/>
        <v>3.4978349536011022</v>
      </c>
      <c r="AE653" s="65"/>
      <c r="AF653" s="10">
        <f t="shared" si="198"/>
        <v>22.337058121098231</v>
      </c>
      <c r="AG653" s="8">
        <f t="shared" si="189"/>
        <v>4.3557263336141547</v>
      </c>
      <c r="AH653" s="10">
        <f t="shared" si="190"/>
        <v>11.168529060549115</v>
      </c>
      <c r="AI653" s="63"/>
      <c r="AJ653" s="10">
        <f t="shared" si="199"/>
        <v>19.304099999999984</v>
      </c>
      <c r="AK653" s="8"/>
      <c r="AL653" s="8">
        <f t="shared" si="191"/>
        <v>9.652049999999992</v>
      </c>
    </row>
    <row r="654" spans="1:38">
      <c r="A654" s="18">
        <v>41466</v>
      </c>
      <c r="B654" s="19" t="s">
        <v>119</v>
      </c>
      <c r="C654" s="12">
        <v>100.6</v>
      </c>
      <c r="D654" s="19" t="s">
        <v>80</v>
      </c>
      <c r="E654" s="8">
        <v>8.4103899999999996</v>
      </c>
      <c r="F654" s="8">
        <v>83.313820000000007</v>
      </c>
      <c r="G654" s="22">
        <v>100</v>
      </c>
      <c r="H654" s="22">
        <v>28</v>
      </c>
      <c r="I654" s="10">
        <f t="shared" si="182"/>
        <v>3.4776037446826735</v>
      </c>
      <c r="J654" s="10">
        <f t="shared" si="183"/>
        <v>6.0695635424396897E-2</v>
      </c>
      <c r="K654" s="10">
        <f t="shared" si="192"/>
        <v>21.038741046347479</v>
      </c>
      <c r="L654" s="22">
        <v>318</v>
      </c>
      <c r="M654" s="49" t="s">
        <v>97</v>
      </c>
      <c r="N654" s="22" t="s">
        <v>99</v>
      </c>
      <c r="O654" s="10" t="s">
        <v>99</v>
      </c>
      <c r="P654" s="10" t="s">
        <v>99</v>
      </c>
      <c r="Q654" s="22">
        <v>0.57999999999999996</v>
      </c>
      <c r="R654" s="22" t="s">
        <v>103</v>
      </c>
      <c r="S654" s="29">
        <f>AVERAGE(17.2,17.9)</f>
        <v>17.549999999999997</v>
      </c>
      <c r="T654" s="79">
        <f t="shared" si="200"/>
        <v>2.4190516349999993E-2</v>
      </c>
      <c r="U654" s="22">
        <v>14</v>
      </c>
      <c r="V654" s="22">
        <v>50</v>
      </c>
      <c r="W654" s="10">
        <f t="shared" si="193"/>
        <v>0.87266462599716477</v>
      </c>
      <c r="X654" s="22">
        <v>5</v>
      </c>
      <c r="Y654" s="22">
        <v>-2</v>
      </c>
      <c r="Z654" s="10">
        <f t="shared" si="194"/>
        <v>-3.4906585039886591E-2</v>
      </c>
      <c r="AA654" s="10">
        <f t="shared" si="195"/>
        <v>10.550124720153187</v>
      </c>
      <c r="AB654" s="10">
        <f t="shared" si="196"/>
        <v>93.022318654518742</v>
      </c>
      <c r="AC654" s="10">
        <f t="shared" si="188"/>
        <v>11.627789831814843</v>
      </c>
      <c r="AD654" s="10">
        <f t="shared" si="197"/>
        <v>46.511159327259371</v>
      </c>
      <c r="AE654" s="65"/>
      <c r="AF654" s="10">
        <f t="shared" si="198"/>
        <v>138.01928393134952</v>
      </c>
      <c r="AG654" s="8">
        <f t="shared" si="189"/>
        <v>26.913760366613158</v>
      </c>
      <c r="AH654" s="10">
        <f t="shared" si="190"/>
        <v>69.00964196567476</v>
      </c>
      <c r="AI654" s="63"/>
      <c r="AJ654" s="10">
        <f t="shared" si="199"/>
        <v>127.19369999999994</v>
      </c>
      <c r="AK654" s="8"/>
      <c r="AL654" s="8">
        <f t="shared" si="191"/>
        <v>63.596849999999968</v>
      </c>
    </row>
    <row r="655" spans="1:38">
      <c r="A655" s="18">
        <v>41466</v>
      </c>
      <c r="B655" s="19" t="s">
        <v>119</v>
      </c>
      <c r="C655" s="12">
        <v>100.6</v>
      </c>
      <c r="D655" s="19" t="s">
        <v>80</v>
      </c>
      <c r="E655" s="8">
        <v>8.4103899999999996</v>
      </c>
      <c r="F655" s="8">
        <v>83.313820000000007</v>
      </c>
      <c r="G655" s="22">
        <v>100</v>
      </c>
      <c r="H655" s="22">
        <v>28</v>
      </c>
      <c r="I655" s="10">
        <f t="shared" si="182"/>
        <v>3.4776037446826735</v>
      </c>
      <c r="J655" s="10">
        <f t="shared" si="183"/>
        <v>6.0695635424396897E-2</v>
      </c>
      <c r="K655" s="10">
        <f t="shared" si="192"/>
        <v>21.038741046347479</v>
      </c>
      <c r="L655" s="22">
        <v>319</v>
      </c>
      <c r="M655" s="49" t="s">
        <v>97</v>
      </c>
      <c r="N655" s="22" t="s">
        <v>99</v>
      </c>
      <c r="O655" s="10" t="s">
        <v>99</v>
      </c>
      <c r="P655" s="10" t="s">
        <v>99</v>
      </c>
      <c r="Q655" s="22">
        <v>0.57999999999999996</v>
      </c>
      <c r="R655" s="22" t="s">
        <v>103</v>
      </c>
      <c r="S655" s="29">
        <f>AVERAGE(19.4,16.1)</f>
        <v>17.75</v>
      </c>
      <c r="T655" s="79">
        <f t="shared" si="200"/>
        <v>2.4745008750000002E-2</v>
      </c>
      <c r="U655" s="22">
        <v>14</v>
      </c>
      <c r="V655" s="22">
        <v>60</v>
      </c>
      <c r="W655" s="10">
        <f t="shared" si="193"/>
        <v>1.0471975511965976</v>
      </c>
      <c r="X655" s="22">
        <v>5</v>
      </c>
      <c r="Y655" s="22">
        <v>-2</v>
      </c>
      <c r="Z655" s="10">
        <f t="shared" si="194"/>
        <v>-3.4906585039886591E-2</v>
      </c>
      <c r="AA655" s="10">
        <f t="shared" si="195"/>
        <v>11.949858169469636</v>
      </c>
      <c r="AB655" s="10">
        <f t="shared" si="196"/>
        <v>106.83115722420943</v>
      </c>
      <c r="AC655" s="10">
        <f t="shared" si="188"/>
        <v>13.353894653026179</v>
      </c>
      <c r="AD655" s="10">
        <f t="shared" si="197"/>
        <v>53.415578612104717</v>
      </c>
      <c r="AE655" s="65"/>
      <c r="AF655" s="10">
        <f t="shared" si="198"/>
        <v>141.94291462526925</v>
      </c>
      <c r="AG655" s="8">
        <f t="shared" si="189"/>
        <v>27.678868351927505</v>
      </c>
      <c r="AH655" s="10">
        <f t="shared" si="190"/>
        <v>70.971457312634627</v>
      </c>
      <c r="AI655" s="63"/>
      <c r="AJ655" s="10">
        <f t="shared" si="199"/>
        <v>131.0275</v>
      </c>
      <c r="AK655" s="8"/>
      <c r="AL655" s="8">
        <f t="shared" si="191"/>
        <v>65.513750000000002</v>
      </c>
    </row>
    <row r="656" spans="1:38">
      <c r="A656" s="18">
        <v>41466</v>
      </c>
      <c r="B656" s="19" t="s">
        <v>119</v>
      </c>
      <c r="C656" s="12">
        <v>100.6</v>
      </c>
      <c r="D656" s="19" t="s">
        <v>80</v>
      </c>
      <c r="E656" s="8">
        <v>8.4103899999999996</v>
      </c>
      <c r="F656" s="8">
        <v>83.313820000000007</v>
      </c>
      <c r="G656" s="22">
        <v>100</v>
      </c>
      <c r="H656" s="22">
        <v>28</v>
      </c>
      <c r="I656" s="10">
        <f t="shared" si="182"/>
        <v>3.4776037446826735</v>
      </c>
      <c r="J656" s="10">
        <f t="shared" si="183"/>
        <v>6.0695635424396897E-2</v>
      </c>
      <c r="K656" s="10">
        <f t="shared" si="192"/>
        <v>21.038741046347479</v>
      </c>
      <c r="L656" s="22">
        <v>325</v>
      </c>
      <c r="M656" s="22" t="s">
        <v>36</v>
      </c>
      <c r="N656" s="8" t="s">
        <v>46</v>
      </c>
      <c r="O656" s="10" t="s">
        <v>37</v>
      </c>
      <c r="P656" s="10" t="s">
        <v>38</v>
      </c>
      <c r="Q656" s="11">
        <v>0.48</v>
      </c>
      <c r="R656" s="8" t="s">
        <v>60</v>
      </c>
      <c r="S656" s="12">
        <f>AVERAGE(6.1,6.3)</f>
        <v>6.1999999999999993</v>
      </c>
      <c r="T656" s="79">
        <f t="shared" si="200"/>
        <v>3.0190775999999996E-3</v>
      </c>
      <c r="U656" s="22">
        <v>6</v>
      </c>
      <c r="V656" s="22">
        <v>25</v>
      </c>
      <c r="W656" s="10">
        <f t="shared" si="193"/>
        <v>0.43633231299858238</v>
      </c>
      <c r="X656" s="22">
        <v>7</v>
      </c>
      <c r="Y656" s="22">
        <v>23</v>
      </c>
      <c r="Z656" s="10">
        <f t="shared" si="194"/>
        <v>0.4014257279586958</v>
      </c>
      <c r="AA656" s="10">
        <f t="shared" si="195"/>
        <v>5.2708274698691131</v>
      </c>
      <c r="AB656" s="10">
        <f t="shared" si="196"/>
        <v>5.7344389469689245</v>
      </c>
      <c r="AC656" s="10">
        <f t="shared" si="188"/>
        <v>0.71680486837111557</v>
      </c>
      <c r="AD656" s="10">
        <f t="shared" si="197"/>
        <v>2.8672194734844623</v>
      </c>
      <c r="AE656" s="65"/>
      <c r="AF656" s="10">
        <f t="shared" si="198"/>
        <v>8.6543410111507963</v>
      </c>
      <c r="AG656" s="8">
        <f t="shared" si="189"/>
        <v>1.6875964971744053</v>
      </c>
      <c r="AH656" s="10">
        <f t="shared" si="190"/>
        <v>4.3271705055753982</v>
      </c>
      <c r="AI656" s="63"/>
      <c r="AJ656" s="10">
        <f t="shared" si="199"/>
        <v>6.6339999999999968</v>
      </c>
      <c r="AK656" s="8"/>
      <c r="AL656" s="8">
        <f t="shared" si="191"/>
        <v>3.3169999999999984</v>
      </c>
    </row>
    <row r="657" spans="1:38">
      <c r="A657" s="18">
        <v>41466</v>
      </c>
      <c r="B657" s="19" t="s">
        <v>119</v>
      </c>
      <c r="C657" s="12">
        <v>100.6</v>
      </c>
      <c r="D657" s="19" t="s">
        <v>80</v>
      </c>
      <c r="E657" s="8">
        <v>8.4103899999999996</v>
      </c>
      <c r="F657" s="8">
        <v>83.313820000000007</v>
      </c>
      <c r="G657" s="22">
        <v>100</v>
      </c>
      <c r="H657" s="22">
        <v>28</v>
      </c>
      <c r="I657" s="10">
        <f t="shared" si="182"/>
        <v>3.4776037446826735</v>
      </c>
      <c r="J657" s="10">
        <f t="shared" si="183"/>
        <v>6.0695635424396897E-2</v>
      </c>
      <c r="K657" s="10">
        <f t="shared" si="192"/>
        <v>21.038741046347479</v>
      </c>
      <c r="L657" s="22">
        <v>317</v>
      </c>
      <c r="M657" s="22" t="s">
        <v>54</v>
      </c>
      <c r="N657" s="8" t="s">
        <v>55</v>
      </c>
      <c r="O657" s="10" t="s">
        <v>56</v>
      </c>
      <c r="P657" s="10" t="s">
        <v>57</v>
      </c>
      <c r="Q657" s="11">
        <v>0.315</v>
      </c>
      <c r="R657" s="12" t="s">
        <v>66</v>
      </c>
      <c r="S657" s="12">
        <f>AVERAGE(12.7,12.1)</f>
        <v>12.399999999999999</v>
      </c>
      <c r="T657" s="79">
        <f t="shared" si="200"/>
        <v>1.2076310399999998E-2</v>
      </c>
      <c r="U657" s="22">
        <v>11</v>
      </c>
      <c r="V657" s="22">
        <v>65</v>
      </c>
      <c r="W657" s="10">
        <f t="shared" si="193"/>
        <v>1.1344640137963142</v>
      </c>
      <c r="X657" s="22">
        <v>5</v>
      </c>
      <c r="Y657" s="22">
        <v>17</v>
      </c>
      <c r="Z657" s="10">
        <f t="shared" si="194"/>
        <v>0.29670597283903605</v>
      </c>
      <c r="AA657" s="10">
        <f t="shared" si="195"/>
        <v>11.431244181016833</v>
      </c>
      <c r="AB657" s="10">
        <f t="shared" si="196"/>
        <v>29.411305452729302</v>
      </c>
      <c r="AC657" s="10">
        <f t="shared" si="188"/>
        <v>3.6764131815911627</v>
      </c>
      <c r="AD657" s="10">
        <f t="shared" si="197"/>
        <v>14.705652726364651</v>
      </c>
      <c r="AE657" s="65"/>
      <c r="AF657" s="10">
        <f t="shared" si="198"/>
        <v>31.643557256146519</v>
      </c>
      <c r="AG657" s="8">
        <f t="shared" si="189"/>
        <v>6.1704936649485713</v>
      </c>
      <c r="AH657" s="10">
        <f t="shared" si="190"/>
        <v>15.821778628073259</v>
      </c>
      <c r="AI657" s="63"/>
      <c r="AJ657" s="10">
        <f t="shared" si="199"/>
        <v>48.862199999999973</v>
      </c>
      <c r="AK657" s="8"/>
      <c r="AL657" s="8">
        <f t="shared" si="191"/>
        <v>24.431099999999986</v>
      </c>
    </row>
    <row r="658" spans="1:38">
      <c r="A658" s="18">
        <v>41466</v>
      </c>
      <c r="B658" s="19" t="s">
        <v>119</v>
      </c>
      <c r="C658" s="12">
        <v>100.6</v>
      </c>
      <c r="D658" s="19" t="s">
        <v>80</v>
      </c>
      <c r="E658" s="8">
        <v>8.4103899999999996</v>
      </c>
      <c r="F658" s="8">
        <v>83.313820000000007</v>
      </c>
      <c r="G658" s="22">
        <v>100</v>
      </c>
      <c r="H658" s="22">
        <v>28</v>
      </c>
      <c r="I658" s="10">
        <f t="shared" si="182"/>
        <v>3.4776037446826735</v>
      </c>
      <c r="J658" s="10">
        <f t="shared" si="183"/>
        <v>6.0695635424396897E-2</v>
      </c>
      <c r="K658" s="10">
        <f t="shared" si="192"/>
        <v>21.038741046347479</v>
      </c>
      <c r="L658" s="22">
        <v>327</v>
      </c>
      <c r="M658" s="22" t="s">
        <v>39</v>
      </c>
      <c r="N658" s="7" t="s">
        <v>69</v>
      </c>
      <c r="O658" s="33" t="s">
        <v>65</v>
      </c>
      <c r="P658" s="33" t="s">
        <v>70</v>
      </c>
      <c r="Q658" s="7">
        <v>0.37</v>
      </c>
      <c r="R658" s="7" t="s">
        <v>71</v>
      </c>
      <c r="S658" s="29">
        <f>AVERAGE(11.3,12)</f>
        <v>11.65</v>
      </c>
      <c r="T658" s="79">
        <f t="shared" si="200"/>
        <v>1.0659645150000001E-2</v>
      </c>
      <c r="U658" s="22">
        <v>10</v>
      </c>
      <c r="V658" s="22">
        <v>65</v>
      </c>
      <c r="W658" s="10">
        <f t="shared" si="193"/>
        <v>1.1344640137963142</v>
      </c>
      <c r="X658" s="22">
        <v>5</v>
      </c>
      <c r="Y658" s="22">
        <v>22</v>
      </c>
      <c r="Z658" s="10">
        <f t="shared" si="194"/>
        <v>0.38397243543875248</v>
      </c>
      <c r="AA658" s="10">
        <f t="shared" si="195"/>
        <v>10.936110837446058</v>
      </c>
      <c r="AB658" s="10">
        <f t="shared" si="196"/>
        <v>29.187386596804238</v>
      </c>
      <c r="AC658" s="10">
        <f t="shared" si="188"/>
        <v>3.6484233246005298</v>
      </c>
      <c r="AD658" s="10">
        <f t="shared" si="197"/>
        <v>14.593693298402119</v>
      </c>
      <c r="AE658" s="65"/>
      <c r="AF658" s="10">
        <f t="shared" si="198"/>
        <v>31.824181767128419</v>
      </c>
      <c r="AG658" s="8">
        <f t="shared" si="189"/>
        <v>6.2057154445900418</v>
      </c>
      <c r="AH658" s="10">
        <f t="shared" si="190"/>
        <v>15.912090883564209</v>
      </c>
      <c r="AI658" s="63"/>
      <c r="AJ658" s="10">
        <f t="shared" si="199"/>
        <v>40.729199999999977</v>
      </c>
      <c r="AK658" s="8"/>
      <c r="AL658" s="8">
        <f t="shared" si="191"/>
        <v>20.364599999999989</v>
      </c>
    </row>
    <row r="659" spans="1:38">
      <c r="A659" s="18">
        <v>41466</v>
      </c>
      <c r="B659" s="19" t="s">
        <v>119</v>
      </c>
      <c r="C659" s="12">
        <v>100.6</v>
      </c>
      <c r="D659" s="19" t="s">
        <v>80</v>
      </c>
      <c r="E659" s="8">
        <v>8.4103899999999996</v>
      </c>
      <c r="F659" s="8">
        <v>83.313820000000007</v>
      </c>
      <c r="G659" s="22">
        <v>100</v>
      </c>
      <c r="H659" s="22">
        <v>28</v>
      </c>
      <c r="I659" s="10">
        <f t="shared" si="182"/>
        <v>3.4776037446826735</v>
      </c>
      <c r="J659" s="10">
        <f t="shared" si="183"/>
        <v>6.0695635424396897E-2</v>
      </c>
      <c r="K659" s="10">
        <f t="shared" si="192"/>
        <v>21.038741046347479</v>
      </c>
      <c r="L659" s="22">
        <v>328</v>
      </c>
      <c r="M659" s="22" t="s">
        <v>36</v>
      </c>
      <c r="N659" s="8" t="s">
        <v>46</v>
      </c>
      <c r="O659" s="10" t="s">
        <v>37</v>
      </c>
      <c r="P659" s="10" t="s">
        <v>38</v>
      </c>
      <c r="Q659" s="11">
        <v>0.48</v>
      </c>
      <c r="R659" s="8" t="s">
        <v>60</v>
      </c>
      <c r="S659" s="12">
        <f>AVERAGE(11.5,12.7)</f>
        <v>12.1</v>
      </c>
      <c r="T659" s="79">
        <f t="shared" si="200"/>
        <v>1.14990414E-2</v>
      </c>
      <c r="U659" s="22">
        <v>9</v>
      </c>
      <c r="V659" s="22">
        <v>-5</v>
      </c>
      <c r="W659" s="10">
        <f t="shared" si="193"/>
        <v>-8.7266462599716474E-2</v>
      </c>
      <c r="X659" s="22">
        <v>10</v>
      </c>
      <c r="Y659" s="22">
        <v>20</v>
      </c>
      <c r="Z659" s="10">
        <f t="shared" si="194"/>
        <v>0.3490658503988659</v>
      </c>
      <c r="AA659" s="10">
        <f t="shared" si="195"/>
        <v>2.6357997485277638</v>
      </c>
      <c r="AB659" s="10">
        <f t="shared" si="196"/>
        <v>10.508062520404634</v>
      </c>
      <c r="AC659" s="10">
        <f t="shared" si="188"/>
        <v>1.3135078150505792</v>
      </c>
      <c r="AD659" s="10">
        <f t="shared" si="197"/>
        <v>5.2540312602023169</v>
      </c>
      <c r="AE659" s="65"/>
      <c r="AF659" s="10">
        <f t="shared" si="198"/>
        <v>45.368248011992037</v>
      </c>
      <c r="AG659" s="8">
        <f t="shared" si="189"/>
        <v>8.8468083623384484</v>
      </c>
      <c r="AH659" s="10">
        <f t="shared" si="190"/>
        <v>22.684124005996019</v>
      </c>
      <c r="AI659" s="63"/>
      <c r="AJ659" s="10">
        <f t="shared" si="199"/>
        <v>45.509100000000004</v>
      </c>
      <c r="AK659" s="8"/>
      <c r="AL659" s="8">
        <f t="shared" si="191"/>
        <v>22.754550000000002</v>
      </c>
    </row>
    <row r="660" spans="1:38">
      <c r="A660" s="18">
        <v>41466</v>
      </c>
      <c r="B660" s="19" t="s">
        <v>119</v>
      </c>
      <c r="C660" s="12">
        <v>100.6</v>
      </c>
      <c r="D660" s="19" t="s">
        <v>80</v>
      </c>
      <c r="E660" s="8">
        <v>8.4103899999999996</v>
      </c>
      <c r="F660" s="8">
        <v>83.313820000000007</v>
      </c>
      <c r="G660" s="22">
        <v>100</v>
      </c>
      <c r="H660" s="22">
        <v>28</v>
      </c>
      <c r="I660" s="10">
        <f t="shared" ref="I660:I721" si="201">1/TAN(H660/100)</f>
        <v>3.4776037446826735</v>
      </c>
      <c r="J660" s="10">
        <f t="shared" ref="J660:J721" si="202">RADIANS(I660)</f>
        <v>6.0695635424396897E-2</v>
      </c>
      <c r="K660" s="10">
        <f t="shared" si="192"/>
        <v>21.038741046347479</v>
      </c>
      <c r="L660" s="22">
        <v>323</v>
      </c>
      <c r="M660" s="49" t="s">
        <v>97</v>
      </c>
      <c r="N660" s="22" t="s">
        <v>99</v>
      </c>
      <c r="O660" s="10" t="s">
        <v>99</v>
      </c>
      <c r="P660" s="10" t="s">
        <v>99</v>
      </c>
      <c r="Q660" s="22">
        <v>0.57999999999999996</v>
      </c>
      <c r="R660" s="22" t="s">
        <v>103</v>
      </c>
      <c r="S660" s="29">
        <f>AVERAGE(20.1,19.6)</f>
        <v>19.850000000000001</v>
      </c>
      <c r="T660" s="79">
        <f t="shared" si="200"/>
        <v>3.0946527150000003E-2</v>
      </c>
      <c r="U660" s="22">
        <v>12</v>
      </c>
      <c r="V660" s="22">
        <v>68</v>
      </c>
      <c r="W660" s="10">
        <f t="shared" si="193"/>
        <v>1.1868238913561442</v>
      </c>
      <c r="X660" s="22">
        <v>9</v>
      </c>
      <c r="Y660" s="22">
        <v>5</v>
      </c>
      <c r="Z660" s="10">
        <f t="shared" si="194"/>
        <v>8.7266462599716474E-2</v>
      </c>
      <c r="AA660" s="10">
        <f t="shared" si="195"/>
        <v>11.910607939530372</v>
      </c>
      <c r="AB660" s="10">
        <f t="shared" si="196"/>
        <v>131.41704257947845</v>
      </c>
      <c r="AC660" s="10">
        <f t="shared" si="188"/>
        <v>16.427130322434806</v>
      </c>
      <c r="AD660" s="10">
        <f t="shared" si="197"/>
        <v>65.708521289739224</v>
      </c>
      <c r="AE660" s="65"/>
      <c r="AF660" s="10">
        <f t="shared" si="198"/>
        <v>187.07496421428533</v>
      </c>
      <c r="AG660" s="8">
        <f t="shared" si="189"/>
        <v>36.47961802178564</v>
      </c>
      <c r="AH660" s="10">
        <f t="shared" si="190"/>
        <v>93.537482107142665</v>
      </c>
      <c r="AI660" s="63"/>
      <c r="AJ660" s="10">
        <f t="shared" si="199"/>
        <v>174.85660000000001</v>
      </c>
      <c r="AK660" s="8"/>
      <c r="AL660" s="8">
        <f t="shared" si="191"/>
        <v>87.428300000000007</v>
      </c>
    </row>
    <row r="661" spans="1:38">
      <c r="A661" s="18">
        <v>41466</v>
      </c>
      <c r="B661" s="19" t="s">
        <v>119</v>
      </c>
      <c r="C661" s="12">
        <v>100.6</v>
      </c>
      <c r="D661" s="19" t="s">
        <v>80</v>
      </c>
      <c r="E661" s="8">
        <v>8.4103899999999996</v>
      </c>
      <c r="F661" s="8">
        <v>83.313820000000007</v>
      </c>
      <c r="G661" s="22">
        <v>100</v>
      </c>
      <c r="H661" s="22">
        <v>28</v>
      </c>
      <c r="I661" s="10">
        <f t="shared" si="201"/>
        <v>3.4776037446826735</v>
      </c>
      <c r="J661" s="10">
        <f t="shared" si="202"/>
        <v>6.0695635424396897E-2</v>
      </c>
      <c r="K661" s="10">
        <f t="shared" si="192"/>
        <v>21.038741046347479</v>
      </c>
      <c r="L661" s="22">
        <v>346</v>
      </c>
      <c r="M661" s="49" t="s">
        <v>97</v>
      </c>
      <c r="N661" s="22" t="s">
        <v>99</v>
      </c>
      <c r="O661" s="10" t="s">
        <v>99</v>
      </c>
      <c r="P661" s="10" t="s">
        <v>99</v>
      </c>
      <c r="Q661" s="22">
        <v>0.57999999999999996</v>
      </c>
      <c r="R661" s="22" t="s">
        <v>103</v>
      </c>
      <c r="S661" s="12">
        <f>AVERAGE(8,8.2)</f>
        <v>8.1</v>
      </c>
      <c r="T661" s="79">
        <f t="shared" si="200"/>
        <v>5.1530094000000002E-3</v>
      </c>
      <c r="U661" s="22">
        <v>12</v>
      </c>
      <c r="V661" s="22">
        <v>55</v>
      </c>
      <c r="W661" s="10">
        <f t="shared" si="193"/>
        <v>0.95993108859688125</v>
      </c>
      <c r="X661" s="22">
        <v>7</v>
      </c>
      <c r="Y661" s="22">
        <v>12</v>
      </c>
      <c r="Z661" s="10">
        <f t="shared" si="194"/>
        <v>0.20943951023931956</v>
      </c>
      <c r="AA661" s="10">
        <f t="shared" si="195"/>
        <v>11.285206367192217</v>
      </c>
      <c r="AB661" s="10">
        <f t="shared" si="196"/>
        <v>23.162999916499853</v>
      </c>
      <c r="AC661" s="10">
        <f t="shared" si="188"/>
        <v>2.8953749895624816</v>
      </c>
      <c r="AD661" s="10">
        <f t="shared" si="197"/>
        <v>11.581499958249927</v>
      </c>
      <c r="AE661" s="65"/>
      <c r="AF661" s="10">
        <f t="shared" si="198"/>
        <v>20.221629961531495</v>
      </c>
      <c r="AG661" s="8">
        <f t="shared" si="189"/>
        <v>3.9432178424986417</v>
      </c>
      <c r="AH661" s="10">
        <f t="shared" si="190"/>
        <v>10.110814980765747</v>
      </c>
      <c r="AI661" s="63"/>
      <c r="AJ661" s="10">
        <f t="shared" si="199"/>
        <v>13.5291</v>
      </c>
      <c r="AK661" s="8"/>
      <c r="AL661" s="8">
        <f t="shared" si="191"/>
        <v>6.7645499999999998</v>
      </c>
    </row>
    <row r="662" spans="1:38">
      <c r="A662" s="18">
        <v>41466</v>
      </c>
      <c r="B662" s="19" t="s">
        <v>119</v>
      </c>
      <c r="C662" s="12">
        <v>100.6</v>
      </c>
      <c r="D662" s="19" t="s">
        <v>80</v>
      </c>
      <c r="E662" s="8">
        <v>8.4103899999999996</v>
      </c>
      <c r="F662" s="8">
        <v>83.313820000000007</v>
      </c>
      <c r="G662" s="22">
        <v>100</v>
      </c>
      <c r="H662" s="22">
        <v>28</v>
      </c>
      <c r="I662" s="10">
        <f t="shared" si="201"/>
        <v>3.4776037446826735</v>
      </c>
      <c r="J662" s="10">
        <f t="shared" si="202"/>
        <v>6.0695635424396897E-2</v>
      </c>
      <c r="K662" s="10">
        <f t="shared" si="192"/>
        <v>21.038741046347479</v>
      </c>
      <c r="L662" s="22">
        <v>333</v>
      </c>
      <c r="M662" s="22" t="s">
        <v>36</v>
      </c>
      <c r="N662" s="8" t="s">
        <v>46</v>
      </c>
      <c r="O662" s="10" t="s">
        <v>37</v>
      </c>
      <c r="P662" s="10" t="s">
        <v>38</v>
      </c>
      <c r="Q662" s="11">
        <v>0.48</v>
      </c>
      <c r="R662" s="8" t="s">
        <v>60</v>
      </c>
      <c r="S662" s="12">
        <f>AVERAGE(11.5,12.7)</f>
        <v>12.1</v>
      </c>
      <c r="T662" s="79">
        <f t="shared" si="200"/>
        <v>1.14990414E-2</v>
      </c>
      <c r="U662" s="22">
        <v>7</v>
      </c>
      <c r="V662" s="22">
        <v>20</v>
      </c>
      <c r="W662" s="10">
        <f t="shared" si="193"/>
        <v>0.3490658503988659</v>
      </c>
      <c r="X662" s="22">
        <v>5</v>
      </c>
      <c r="Y662" s="22">
        <v>25</v>
      </c>
      <c r="Z662" s="10">
        <f t="shared" si="194"/>
        <v>0.43633231299858238</v>
      </c>
      <c r="AA662" s="10">
        <f t="shared" si="195"/>
        <v>4.5072323119831781</v>
      </c>
      <c r="AB662" s="10">
        <f t="shared" si="196"/>
        <v>17.39964257572089</v>
      </c>
      <c r="AC662" s="10">
        <f t="shared" si="188"/>
        <v>2.1749553219651112</v>
      </c>
      <c r="AD662" s="10">
        <f t="shared" si="197"/>
        <v>8.6998212878604448</v>
      </c>
      <c r="AE662" s="65"/>
      <c r="AF662" s="10">
        <f t="shared" si="198"/>
        <v>45.368248011992037</v>
      </c>
      <c r="AG662" s="8">
        <f t="shared" si="189"/>
        <v>8.8468083623384484</v>
      </c>
      <c r="AH662" s="10">
        <f t="shared" si="190"/>
        <v>22.684124005996019</v>
      </c>
      <c r="AI662" s="63"/>
      <c r="AJ662" s="10">
        <f t="shared" si="199"/>
        <v>45.509100000000004</v>
      </c>
      <c r="AK662" s="8"/>
      <c r="AL662" s="8">
        <f t="shared" si="191"/>
        <v>22.754550000000002</v>
      </c>
    </row>
    <row r="663" spans="1:38">
      <c r="A663" s="18">
        <v>41466</v>
      </c>
      <c r="B663" s="19" t="s">
        <v>119</v>
      </c>
      <c r="C663" s="12">
        <v>100.6</v>
      </c>
      <c r="D663" s="19" t="s">
        <v>80</v>
      </c>
      <c r="E663" s="8">
        <v>8.4103899999999996</v>
      </c>
      <c r="F663" s="8">
        <v>83.313820000000007</v>
      </c>
      <c r="G663" s="22">
        <v>100</v>
      </c>
      <c r="H663" s="22">
        <v>28</v>
      </c>
      <c r="I663" s="10">
        <f t="shared" si="201"/>
        <v>3.4776037446826735</v>
      </c>
      <c r="J663" s="10">
        <f t="shared" si="202"/>
        <v>6.0695635424396897E-2</v>
      </c>
      <c r="K663" s="10">
        <f t="shared" si="192"/>
        <v>21.038741046347479</v>
      </c>
      <c r="L663" s="22">
        <v>332</v>
      </c>
      <c r="M663" s="49" t="s">
        <v>97</v>
      </c>
      <c r="N663" s="22" t="s">
        <v>99</v>
      </c>
      <c r="O663" s="10" t="s">
        <v>99</v>
      </c>
      <c r="P663" s="10" t="s">
        <v>99</v>
      </c>
      <c r="Q663" s="22">
        <v>0.57999999999999996</v>
      </c>
      <c r="R663" s="22" t="s">
        <v>103</v>
      </c>
      <c r="S663" s="12">
        <f>AVERAGE(20.4,15.8)</f>
        <v>18.100000000000001</v>
      </c>
      <c r="T663" s="79">
        <f t="shared" si="200"/>
        <v>2.5730489400000008E-2</v>
      </c>
      <c r="U663" s="22">
        <v>10</v>
      </c>
      <c r="V663" s="22">
        <v>70</v>
      </c>
      <c r="W663" s="10">
        <f t="shared" si="193"/>
        <v>1.2217304763960306</v>
      </c>
      <c r="X663" s="22">
        <v>6</v>
      </c>
      <c r="Y663" s="22">
        <v>15</v>
      </c>
      <c r="Z663" s="10">
        <f t="shared" si="194"/>
        <v>0.26179938779914941</v>
      </c>
      <c r="AA663" s="10">
        <f t="shared" si="195"/>
        <v>10.949840478474208</v>
      </c>
      <c r="AB663" s="10">
        <f t="shared" si="196"/>
        <v>102.08526974530309</v>
      </c>
      <c r="AC663" s="10">
        <f t="shared" si="188"/>
        <v>12.760658718162887</v>
      </c>
      <c r="AD663" s="10">
        <f t="shared" si="197"/>
        <v>51.042634872651547</v>
      </c>
      <c r="AE663" s="65"/>
      <c r="AF663" s="10">
        <f t="shared" si="198"/>
        <v>148.96436192781348</v>
      </c>
      <c r="AG663" s="8">
        <f t="shared" si="189"/>
        <v>29.048050575923632</v>
      </c>
      <c r="AH663" s="10">
        <f t="shared" si="190"/>
        <v>74.482180963906742</v>
      </c>
      <c r="AI663" s="63"/>
      <c r="AJ663" s="10">
        <f t="shared" si="199"/>
        <v>137.87910000000005</v>
      </c>
      <c r="AK663" s="8"/>
      <c r="AL663" s="8">
        <f t="shared" si="191"/>
        <v>68.939550000000025</v>
      </c>
    </row>
    <row r="664" spans="1:38">
      <c r="A664" s="18">
        <v>41466</v>
      </c>
      <c r="B664" s="19" t="s">
        <v>119</v>
      </c>
      <c r="C664" s="12">
        <v>100.6</v>
      </c>
      <c r="D664" s="19" t="s">
        <v>80</v>
      </c>
      <c r="E664" s="8">
        <v>8.4103899999999996</v>
      </c>
      <c r="F664" s="8">
        <v>83.313820000000007</v>
      </c>
      <c r="G664" s="22">
        <v>100</v>
      </c>
      <c r="H664" s="22">
        <v>28</v>
      </c>
      <c r="I664" s="10">
        <f t="shared" si="201"/>
        <v>3.4776037446826735</v>
      </c>
      <c r="J664" s="10">
        <f t="shared" si="202"/>
        <v>6.0695635424396897E-2</v>
      </c>
      <c r="K664" s="10">
        <f t="shared" si="192"/>
        <v>21.038741046347479</v>
      </c>
      <c r="L664" s="22">
        <v>331</v>
      </c>
      <c r="M664" s="22" t="s">
        <v>39</v>
      </c>
      <c r="N664" s="7" t="s">
        <v>69</v>
      </c>
      <c r="O664" s="33" t="s">
        <v>65</v>
      </c>
      <c r="P664" s="33" t="s">
        <v>70</v>
      </c>
      <c r="Q664" s="7">
        <v>0.37</v>
      </c>
      <c r="R664" s="7" t="s">
        <v>71</v>
      </c>
      <c r="S664" s="12">
        <f>AVERAGE(18.7,18.5)</f>
        <v>18.600000000000001</v>
      </c>
      <c r="T664" s="79">
        <f t="shared" si="200"/>
        <v>2.7171698400000003E-2</v>
      </c>
      <c r="U664" s="22">
        <v>14</v>
      </c>
      <c r="V664" s="22">
        <v>70</v>
      </c>
      <c r="W664" s="10">
        <f t="shared" si="193"/>
        <v>1.2217304763960306</v>
      </c>
      <c r="X664" s="22">
        <v>5</v>
      </c>
      <c r="Y664" s="22">
        <v>5</v>
      </c>
      <c r="Z664" s="10">
        <f t="shared" si="194"/>
        <v>8.7266462599716474E-2</v>
      </c>
      <c r="AA664" s="10">
        <f t="shared" si="195"/>
        <v>13.591475404741008</v>
      </c>
      <c r="AB664" s="10">
        <f t="shared" si="196"/>
        <v>86.283208120095026</v>
      </c>
      <c r="AC664" s="10">
        <f t="shared" si="188"/>
        <v>10.785401015011878</v>
      </c>
      <c r="AD664" s="10">
        <f t="shared" si="197"/>
        <v>43.141604060047513</v>
      </c>
      <c r="AE664" s="65"/>
      <c r="AF664" s="10">
        <f t="shared" si="198"/>
        <v>101.64774910812005</v>
      </c>
      <c r="AG664" s="8">
        <f t="shared" si="189"/>
        <v>19.821311076083411</v>
      </c>
      <c r="AH664" s="10">
        <f t="shared" si="190"/>
        <v>50.823874554060026</v>
      </c>
      <c r="AI664" s="63"/>
      <c r="AJ664" s="10">
        <f t="shared" si="199"/>
        <v>147.98159999999999</v>
      </c>
      <c r="AK664" s="8"/>
      <c r="AL664" s="8">
        <f t="shared" si="191"/>
        <v>73.990799999999993</v>
      </c>
    </row>
    <row r="665" spans="1:38">
      <c r="A665" s="18">
        <v>41466</v>
      </c>
      <c r="B665" s="19" t="s">
        <v>119</v>
      </c>
      <c r="C665" s="12">
        <v>100.6</v>
      </c>
      <c r="D665" s="19" t="s">
        <v>80</v>
      </c>
      <c r="E665" s="8">
        <v>8.4103899999999996</v>
      </c>
      <c r="F665" s="8">
        <v>83.313820000000007</v>
      </c>
      <c r="G665" s="22">
        <v>100</v>
      </c>
      <c r="H665" s="22">
        <v>28</v>
      </c>
      <c r="I665" s="10">
        <f t="shared" si="201"/>
        <v>3.4776037446826735</v>
      </c>
      <c r="J665" s="10">
        <f t="shared" si="202"/>
        <v>6.0695635424396897E-2</v>
      </c>
      <c r="K665" s="10">
        <f t="shared" si="192"/>
        <v>21.038741046347479</v>
      </c>
      <c r="L665" s="22">
        <v>330</v>
      </c>
      <c r="M665" s="49" t="s">
        <v>97</v>
      </c>
      <c r="N665" s="22" t="s">
        <v>99</v>
      </c>
      <c r="O665" s="10" t="s">
        <v>99</v>
      </c>
      <c r="P665" s="10" t="s">
        <v>99</v>
      </c>
      <c r="Q665" s="22">
        <v>0.57999999999999996</v>
      </c>
      <c r="R665" s="22" t="s">
        <v>103</v>
      </c>
      <c r="S665" s="12">
        <f>AVERAGE(16.5,15.3)</f>
        <v>15.9</v>
      </c>
      <c r="T665" s="79">
        <f t="shared" si="200"/>
        <v>1.98556974E-2</v>
      </c>
      <c r="U665" s="22">
        <v>11</v>
      </c>
      <c r="V665" s="22">
        <v>74</v>
      </c>
      <c r="W665" s="10">
        <f t="shared" si="193"/>
        <v>1.2915436464758039</v>
      </c>
      <c r="X665" s="22">
        <v>6</v>
      </c>
      <c r="Y665" s="22">
        <v>0</v>
      </c>
      <c r="Z665" s="10">
        <f t="shared" si="194"/>
        <v>0</v>
      </c>
      <c r="AA665" s="10">
        <f t="shared" si="195"/>
        <v>10.573878655321508</v>
      </c>
      <c r="AB665" s="10">
        <f t="shared" si="196"/>
        <v>77.426725346053004</v>
      </c>
      <c r="AC665" s="10">
        <f t="shared" si="188"/>
        <v>9.6783406682566255</v>
      </c>
      <c r="AD665" s="10">
        <f t="shared" si="197"/>
        <v>38.713362673026502</v>
      </c>
      <c r="AE665" s="65"/>
      <c r="AF665" s="10">
        <f t="shared" si="198"/>
        <v>108.07212277494182</v>
      </c>
      <c r="AG665" s="8">
        <f t="shared" si="189"/>
        <v>21.074063941113653</v>
      </c>
      <c r="AH665" s="10">
        <f t="shared" si="190"/>
        <v>54.036061387470909</v>
      </c>
      <c r="AI665" s="63"/>
      <c r="AJ665" s="10">
        <f t="shared" si="199"/>
        <v>97.823699999999988</v>
      </c>
      <c r="AK665" s="8"/>
      <c r="AL665" s="8">
        <f t="shared" si="191"/>
        <v>48.911849999999994</v>
      </c>
    </row>
    <row r="666" spans="1:38">
      <c r="A666" s="18">
        <v>41466</v>
      </c>
      <c r="B666" s="19" t="s">
        <v>119</v>
      </c>
      <c r="C666" s="12">
        <v>100.6</v>
      </c>
      <c r="D666" s="19" t="s">
        <v>80</v>
      </c>
      <c r="E666" s="8">
        <v>8.4103899999999996</v>
      </c>
      <c r="F666" s="8">
        <v>83.313820000000007</v>
      </c>
      <c r="G666" s="22">
        <v>100</v>
      </c>
      <c r="H666" s="22">
        <v>28</v>
      </c>
      <c r="I666" s="10">
        <f t="shared" si="201"/>
        <v>3.4776037446826735</v>
      </c>
      <c r="J666" s="10">
        <f t="shared" si="202"/>
        <v>6.0695635424396897E-2</v>
      </c>
      <c r="K666" s="10">
        <f t="shared" si="192"/>
        <v>21.038741046347479</v>
      </c>
      <c r="L666" s="22">
        <v>341</v>
      </c>
      <c r="M666" s="22" t="s">
        <v>36</v>
      </c>
      <c r="N666" s="8" t="s">
        <v>46</v>
      </c>
      <c r="O666" s="10" t="s">
        <v>37</v>
      </c>
      <c r="P666" s="10" t="s">
        <v>38</v>
      </c>
      <c r="Q666" s="11">
        <v>0.48</v>
      </c>
      <c r="R666" s="8" t="s">
        <v>60</v>
      </c>
      <c r="S666" s="12">
        <f>AVERAGE(16.6,13.6)</f>
        <v>15.100000000000001</v>
      </c>
      <c r="T666" s="79">
        <f t="shared" si="200"/>
        <v>1.7907905400000004E-2</v>
      </c>
      <c r="U666" s="22">
        <v>7</v>
      </c>
      <c r="V666" s="22">
        <v>74</v>
      </c>
      <c r="W666" s="10">
        <f t="shared" si="193"/>
        <v>1.2915436464758039</v>
      </c>
      <c r="X666" s="22">
        <v>5</v>
      </c>
      <c r="Y666" s="22">
        <v>5</v>
      </c>
      <c r="Z666" s="10">
        <f t="shared" si="194"/>
        <v>8.7266462599716474E-2</v>
      </c>
      <c r="AA666" s="10">
        <f t="shared" si="195"/>
        <v>7.1646105853065229</v>
      </c>
      <c r="AB666" s="10">
        <f t="shared" si="196"/>
        <v>40.793050239374764</v>
      </c>
      <c r="AC666" s="10">
        <f t="shared" si="188"/>
        <v>5.0991312799218456</v>
      </c>
      <c r="AD666" s="10">
        <f t="shared" si="197"/>
        <v>20.396525119687382</v>
      </c>
      <c r="AE666" s="65"/>
      <c r="AF666" s="10">
        <f t="shared" si="198"/>
        <v>78.685174047418954</v>
      </c>
      <c r="AG666" s="8">
        <f t="shared" si="189"/>
        <v>15.343608939246696</v>
      </c>
      <c r="AH666" s="10">
        <f t="shared" si="190"/>
        <v>39.342587023709477</v>
      </c>
      <c r="AI666" s="63"/>
      <c r="AJ666" s="10">
        <f t="shared" si="199"/>
        <v>85.034100000000024</v>
      </c>
      <c r="AK666" s="8"/>
      <c r="AL666" s="8">
        <f t="shared" si="191"/>
        <v>42.517050000000012</v>
      </c>
    </row>
    <row r="667" spans="1:38">
      <c r="A667" s="18">
        <v>41466</v>
      </c>
      <c r="B667" s="19" t="s">
        <v>119</v>
      </c>
      <c r="C667" s="12">
        <v>100.6</v>
      </c>
      <c r="D667" s="19" t="s">
        <v>80</v>
      </c>
      <c r="E667" s="8">
        <v>8.4103899999999996</v>
      </c>
      <c r="F667" s="8">
        <v>83.313820000000007</v>
      </c>
      <c r="G667" s="22">
        <v>100</v>
      </c>
      <c r="H667" s="22">
        <v>28</v>
      </c>
      <c r="I667" s="10">
        <f t="shared" si="201"/>
        <v>3.4776037446826735</v>
      </c>
      <c r="J667" s="10">
        <f t="shared" si="202"/>
        <v>6.0695635424396897E-2</v>
      </c>
      <c r="K667" s="10">
        <f t="shared" si="192"/>
        <v>21.038741046347479</v>
      </c>
      <c r="L667" s="22">
        <v>367</v>
      </c>
      <c r="M667" s="22" t="s">
        <v>151</v>
      </c>
      <c r="N667" s="22" t="s">
        <v>84</v>
      </c>
      <c r="O667" s="58" t="s">
        <v>85</v>
      </c>
      <c r="P667" s="50" t="s">
        <v>86</v>
      </c>
      <c r="Q667" s="22">
        <v>0.53</v>
      </c>
      <c r="R667" s="22" t="s">
        <v>190</v>
      </c>
      <c r="S667" s="12">
        <f>AVERAGE(12.5,12.9)</f>
        <v>12.7</v>
      </c>
      <c r="T667" s="79">
        <f t="shared" si="200"/>
        <v>1.26677166E-2</v>
      </c>
      <c r="U667" s="22">
        <v>12</v>
      </c>
      <c r="V667" s="22">
        <v>60</v>
      </c>
      <c r="W667" s="10">
        <f t="shared" si="193"/>
        <v>1.0471975511965976</v>
      </c>
      <c r="X667" s="22">
        <v>7</v>
      </c>
      <c r="Y667" s="22">
        <v>0</v>
      </c>
      <c r="Z667" s="10">
        <f t="shared" si="194"/>
        <v>0</v>
      </c>
      <c r="AA667" s="10">
        <f t="shared" si="195"/>
        <v>10.392304845413264</v>
      </c>
      <c r="AB667" s="10">
        <f t="shared" si="196"/>
        <v>45.871315936053705</v>
      </c>
      <c r="AC667" s="10">
        <f t="shared" si="188"/>
        <v>5.7339144920067131</v>
      </c>
      <c r="AD667" s="10">
        <f t="shared" si="197"/>
        <v>22.935657968026852</v>
      </c>
      <c r="AE667" s="65"/>
      <c r="AF667" s="10">
        <f t="shared" si="198"/>
        <v>56.504013672735375</v>
      </c>
      <c r="AG667" s="8">
        <f t="shared" si="189"/>
        <v>11.018282666183399</v>
      </c>
      <c r="AH667" s="10">
        <f t="shared" si="190"/>
        <v>28.252006836367688</v>
      </c>
      <c r="AI667" s="63"/>
      <c r="AJ667" s="10">
        <f t="shared" si="199"/>
        <v>52.348499999999987</v>
      </c>
      <c r="AK667" s="8"/>
      <c r="AL667" s="8">
        <f t="shared" si="191"/>
        <v>26.174249999999994</v>
      </c>
    </row>
    <row r="668" spans="1:38">
      <c r="A668" s="18">
        <v>41466</v>
      </c>
      <c r="B668" s="19" t="s">
        <v>119</v>
      </c>
      <c r="C668" s="12">
        <v>100.6</v>
      </c>
      <c r="D668" s="19" t="s">
        <v>80</v>
      </c>
      <c r="E668" s="8">
        <v>8.4103899999999996</v>
      </c>
      <c r="F668" s="8">
        <v>83.313820000000007</v>
      </c>
      <c r="G668" s="22">
        <v>100</v>
      </c>
      <c r="H668" s="22">
        <v>28</v>
      </c>
      <c r="I668" s="10">
        <f t="shared" si="201"/>
        <v>3.4776037446826735</v>
      </c>
      <c r="J668" s="10">
        <f t="shared" si="202"/>
        <v>6.0695635424396897E-2</v>
      </c>
      <c r="K668" s="10">
        <f t="shared" si="192"/>
        <v>21.038741046347479</v>
      </c>
      <c r="L668" s="22">
        <v>322</v>
      </c>
      <c r="M668" s="22" t="s">
        <v>96</v>
      </c>
      <c r="N668" s="8" t="s">
        <v>69</v>
      </c>
      <c r="O668" s="58" t="s">
        <v>65</v>
      </c>
      <c r="P668" s="10" t="s">
        <v>102</v>
      </c>
      <c r="Q668" s="22">
        <v>0.48</v>
      </c>
      <c r="R668" s="22" t="s">
        <v>190</v>
      </c>
      <c r="S668" s="29">
        <f>AVERAGE(12.8,12.9)</f>
        <v>12.850000000000001</v>
      </c>
      <c r="T668" s="79">
        <f t="shared" si="200"/>
        <v>1.2968721150000003E-2</v>
      </c>
      <c r="U668" s="22">
        <v>9</v>
      </c>
      <c r="V668" s="22">
        <v>55</v>
      </c>
      <c r="W668" s="10">
        <f t="shared" si="193"/>
        <v>0.95993108859688125</v>
      </c>
      <c r="X668" s="22">
        <v>6</v>
      </c>
      <c r="Y668" s="22">
        <v>10</v>
      </c>
      <c r="Z668" s="10">
        <f t="shared" si="194"/>
        <v>0.17453292519943295</v>
      </c>
      <c r="AA668" s="10">
        <f t="shared" si="195"/>
        <v>8.4142574646025086</v>
      </c>
      <c r="AB668" s="10">
        <f t="shared" si="196"/>
        <v>35.033313326933047</v>
      </c>
      <c r="AC668" s="10">
        <f t="shared" si="188"/>
        <v>4.3791641658666309</v>
      </c>
      <c r="AD668" s="10">
        <f t="shared" si="197"/>
        <v>17.516656663466524</v>
      </c>
      <c r="AE668" s="65"/>
      <c r="AF668" s="10">
        <f t="shared" si="198"/>
        <v>52.690198907584154</v>
      </c>
      <c r="AG668" s="8">
        <f t="shared" si="189"/>
        <v>10.27458878697891</v>
      </c>
      <c r="AH668" s="10">
        <f t="shared" si="190"/>
        <v>26.345099453792077</v>
      </c>
      <c r="AI668" s="63"/>
      <c r="AJ668" s="10">
        <f t="shared" si="199"/>
        <v>54.141599999999997</v>
      </c>
      <c r="AK668" s="8"/>
      <c r="AL668" s="8">
        <f t="shared" si="191"/>
        <v>27.070799999999998</v>
      </c>
    </row>
    <row r="669" spans="1:38">
      <c r="A669" s="18">
        <v>41466</v>
      </c>
      <c r="B669" s="19" t="s">
        <v>119</v>
      </c>
      <c r="C669" s="12">
        <v>100.6</v>
      </c>
      <c r="D669" s="19" t="s">
        <v>80</v>
      </c>
      <c r="E669" s="8">
        <v>8.4103899999999996</v>
      </c>
      <c r="F669" s="8">
        <v>83.313820000000007</v>
      </c>
      <c r="G669" s="22">
        <v>100</v>
      </c>
      <c r="H669" s="22">
        <v>28</v>
      </c>
      <c r="I669" s="10">
        <f t="shared" si="201"/>
        <v>3.4776037446826735</v>
      </c>
      <c r="J669" s="10">
        <f t="shared" si="202"/>
        <v>6.0695635424396897E-2</v>
      </c>
      <c r="K669" s="10">
        <f t="shared" si="192"/>
        <v>21.038741046347479</v>
      </c>
      <c r="L669" s="22">
        <v>311</v>
      </c>
      <c r="M669" s="22" t="s">
        <v>96</v>
      </c>
      <c r="N669" s="8" t="s">
        <v>69</v>
      </c>
      <c r="O669" s="58" t="s">
        <v>65</v>
      </c>
      <c r="P669" s="10" t="s">
        <v>102</v>
      </c>
      <c r="Q669" s="22">
        <v>0.48</v>
      </c>
      <c r="R669" s="22" t="s">
        <v>190</v>
      </c>
      <c r="S669" s="29">
        <f>AVERAGE(6.5,6.6)</f>
        <v>6.55</v>
      </c>
      <c r="T669" s="79">
        <f t="shared" si="200"/>
        <v>3.3695623499999999E-3</v>
      </c>
      <c r="U669" s="22">
        <v>11</v>
      </c>
      <c r="V669" s="22">
        <v>53</v>
      </c>
      <c r="W669" s="10">
        <f t="shared" si="193"/>
        <v>0.92502450355699462</v>
      </c>
      <c r="X669" s="22">
        <v>5</v>
      </c>
      <c r="Y669" s="22">
        <v>7</v>
      </c>
      <c r="Z669" s="10">
        <f t="shared" si="194"/>
        <v>0.12217304763960307</v>
      </c>
      <c r="AA669" s="10">
        <f t="shared" si="195"/>
        <v>9.3943373275459585</v>
      </c>
      <c r="AB669" s="10">
        <f t="shared" si="196"/>
        <v>10.946021829508799</v>
      </c>
      <c r="AC669" s="10">
        <f t="shared" si="188"/>
        <v>1.3682527286885999</v>
      </c>
      <c r="AD669" s="10">
        <f t="shared" si="197"/>
        <v>5.4730109147543997</v>
      </c>
      <c r="AE669" s="65"/>
      <c r="AF669" s="10">
        <f t="shared" si="198"/>
        <v>9.904806850570715</v>
      </c>
      <c r="AG669" s="8">
        <f t="shared" si="189"/>
        <v>1.9314373358612895</v>
      </c>
      <c r="AH669" s="10">
        <f t="shared" si="190"/>
        <v>4.9524034252853575</v>
      </c>
      <c r="AI669" s="63"/>
      <c r="AJ669" s="10">
        <f t="shared" si="199"/>
        <v>7.5026999999999973</v>
      </c>
      <c r="AK669" s="8"/>
      <c r="AL669" s="8">
        <f t="shared" si="191"/>
        <v>3.7513499999999986</v>
      </c>
    </row>
    <row r="670" spans="1:38">
      <c r="A670" s="18">
        <v>41466</v>
      </c>
      <c r="B670" s="19" t="s">
        <v>119</v>
      </c>
      <c r="C670" s="12">
        <v>100.6</v>
      </c>
      <c r="D670" s="19" t="s">
        <v>80</v>
      </c>
      <c r="E670" s="8">
        <v>8.4103899999999996</v>
      </c>
      <c r="F670" s="8">
        <v>83.313820000000007</v>
      </c>
      <c r="G670" s="22">
        <v>100</v>
      </c>
      <c r="H670" s="22">
        <v>28</v>
      </c>
      <c r="I670" s="10">
        <f t="shared" si="201"/>
        <v>3.4776037446826735</v>
      </c>
      <c r="J670" s="10">
        <f t="shared" si="202"/>
        <v>6.0695635424396897E-2</v>
      </c>
      <c r="K670" s="10">
        <f t="shared" si="192"/>
        <v>21.038741046347479</v>
      </c>
      <c r="L670" s="22">
        <v>342</v>
      </c>
      <c r="M670" s="22" t="s">
        <v>36</v>
      </c>
      <c r="N670" s="8" t="s">
        <v>46</v>
      </c>
      <c r="O670" s="10" t="s">
        <v>37</v>
      </c>
      <c r="P670" s="10" t="s">
        <v>38</v>
      </c>
      <c r="Q670" s="11">
        <v>0.48</v>
      </c>
      <c r="R670" s="8" t="s">
        <v>60</v>
      </c>
      <c r="S670" s="12">
        <f>AVERAGE(14.6,10.6)</f>
        <v>12.6</v>
      </c>
      <c r="T670" s="79">
        <f t="shared" si="200"/>
        <v>1.2469010399999999E-2</v>
      </c>
      <c r="U670" s="22">
        <v>6</v>
      </c>
      <c r="V670" s="22">
        <v>33</v>
      </c>
      <c r="W670" s="10">
        <f t="shared" ref="W670:W693" si="203">RADIANS(V670)</f>
        <v>0.57595865315812877</v>
      </c>
      <c r="X670" s="22">
        <v>5</v>
      </c>
      <c r="Y670" s="22">
        <v>23</v>
      </c>
      <c r="Z670" s="10">
        <f t="shared" ref="Z670:Z693" si="204">RADIANS(Y670)</f>
        <v>0.4014257279586958</v>
      </c>
      <c r="AA670" s="10">
        <f t="shared" ref="AA670:AA693" si="205">(SIN(W670)*U670)+(SIN(Z670)*X670)</f>
        <v>5.2214898525365321</v>
      </c>
      <c r="AB670" s="10">
        <f t="shared" ref="AB670:AB693" si="206">0.0776*(Q670*S670^2*AA670)^0.94</f>
        <v>21.560155123770635</v>
      </c>
      <c r="AC670" s="10">
        <f t="shared" si="188"/>
        <v>2.6950193904713293</v>
      </c>
      <c r="AD670" s="10">
        <f t="shared" si="197"/>
        <v>10.780077561885317</v>
      </c>
      <c r="AE670" s="65"/>
      <c r="AF670" s="10">
        <f t="shared" si="198"/>
        <v>50.176905796771216</v>
      </c>
      <c r="AG670" s="8">
        <f t="shared" si="189"/>
        <v>9.7844966303703877</v>
      </c>
      <c r="AH670" s="10">
        <f t="shared" si="190"/>
        <v>25.088452898385608</v>
      </c>
      <c r="AI670" s="63"/>
      <c r="AJ670" s="10">
        <f t="shared" si="199"/>
        <v>51.171599999999998</v>
      </c>
      <c r="AK670" s="8"/>
      <c r="AL670" s="8">
        <f t="shared" si="191"/>
        <v>25.585799999999999</v>
      </c>
    </row>
    <row r="671" spans="1:38">
      <c r="A671" s="18">
        <v>41466</v>
      </c>
      <c r="B671" s="19" t="s">
        <v>119</v>
      </c>
      <c r="C671" s="12">
        <v>100.6</v>
      </c>
      <c r="D671" s="19" t="s">
        <v>80</v>
      </c>
      <c r="E671" s="8">
        <v>8.4103899999999996</v>
      </c>
      <c r="F671" s="8">
        <v>83.313820000000007</v>
      </c>
      <c r="G671" s="22">
        <v>100</v>
      </c>
      <c r="H671" s="22">
        <v>28</v>
      </c>
      <c r="I671" s="10">
        <f t="shared" si="201"/>
        <v>3.4776037446826735</v>
      </c>
      <c r="J671" s="10">
        <f t="shared" si="202"/>
        <v>6.0695635424396897E-2</v>
      </c>
      <c r="K671" s="10">
        <f t="shared" si="192"/>
        <v>21.038741046347479</v>
      </c>
      <c r="L671" s="22">
        <v>338</v>
      </c>
      <c r="M671" s="22" t="s">
        <v>36</v>
      </c>
      <c r="N671" s="8" t="s">
        <v>46</v>
      </c>
      <c r="O671" s="10" t="s">
        <v>37</v>
      </c>
      <c r="P671" s="10" t="s">
        <v>38</v>
      </c>
      <c r="Q671" s="11">
        <v>0.48</v>
      </c>
      <c r="R671" s="8" t="s">
        <v>60</v>
      </c>
      <c r="S671" s="29">
        <f>AVERAGE(9.8,10.1)</f>
        <v>9.9499999999999993</v>
      </c>
      <c r="T671" s="79">
        <f t="shared" si="200"/>
        <v>7.7756563499999992E-3</v>
      </c>
      <c r="U671" s="22">
        <v>7</v>
      </c>
      <c r="V671" s="22">
        <v>23</v>
      </c>
      <c r="W671" s="10">
        <f t="shared" si="203"/>
        <v>0.4014257279586958</v>
      </c>
      <c r="X671" s="22">
        <v>6</v>
      </c>
      <c r="Y671" s="22">
        <v>6</v>
      </c>
      <c r="Z671" s="10">
        <f t="shared" si="204"/>
        <v>0.10471975511965978</v>
      </c>
      <c r="AA671" s="10">
        <f t="shared" si="205"/>
        <v>3.3622886790308373</v>
      </c>
      <c r="AB671" s="10">
        <f t="shared" si="206"/>
        <v>9.1447697387804876</v>
      </c>
      <c r="AC671" s="10">
        <f t="shared" si="188"/>
        <v>1.143096217347561</v>
      </c>
      <c r="AD671" s="10">
        <f t="shared" si="197"/>
        <v>4.5723848693902438</v>
      </c>
      <c r="AE671" s="65"/>
      <c r="AF671" s="10">
        <f t="shared" si="198"/>
        <v>27.886228104648183</v>
      </c>
      <c r="AG671" s="8">
        <f t="shared" si="189"/>
        <v>5.4378144804063959</v>
      </c>
      <c r="AH671" s="10">
        <f t="shared" si="190"/>
        <v>13.943114052324091</v>
      </c>
      <c r="AI671" s="63"/>
      <c r="AJ671" s="10">
        <f t="shared" si="199"/>
        <v>25.376499999999979</v>
      </c>
      <c r="AK671" s="8"/>
      <c r="AL671" s="8">
        <f t="shared" si="191"/>
        <v>12.688249999999989</v>
      </c>
    </row>
    <row r="672" spans="1:38">
      <c r="A672" s="18">
        <v>41466</v>
      </c>
      <c r="B672" s="19" t="s">
        <v>119</v>
      </c>
      <c r="C672" s="12">
        <v>100.6</v>
      </c>
      <c r="D672" s="19" t="s">
        <v>80</v>
      </c>
      <c r="E672" s="8">
        <v>8.4103899999999996</v>
      </c>
      <c r="F672" s="8">
        <v>83.313820000000007</v>
      </c>
      <c r="G672" s="22">
        <v>100</v>
      </c>
      <c r="H672" s="22">
        <v>28</v>
      </c>
      <c r="I672" s="10">
        <f t="shared" si="201"/>
        <v>3.4776037446826735</v>
      </c>
      <c r="J672" s="10">
        <f t="shared" si="202"/>
        <v>6.0695635424396897E-2</v>
      </c>
      <c r="K672" s="10">
        <f t="shared" si="192"/>
        <v>21.038741046347479</v>
      </c>
      <c r="L672" s="22">
        <v>362</v>
      </c>
      <c r="M672" s="22" t="s">
        <v>107</v>
      </c>
      <c r="N672" s="22" t="s">
        <v>63</v>
      </c>
      <c r="O672" s="10" t="s">
        <v>108</v>
      </c>
      <c r="P672" s="15" t="s">
        <v>92</v>
      </c>
      <c r="Q672" s="8">
        <v>0.57999999999999996</v>
      </c>
      <c r="R672" s="22" t="s">
        <v>190</v>
      </c>
      <c r="S672" s="12">
        <f>AVERAGE(10.6,11)</f>
        <v>10.8</v>
      </c>
      <c r="T672" s="79">
        <f t="shared" si="200"/>
        <v>9.1609056000000015E-3</v>
      </c>
      <c r="U672" s="22">
        <v>10</v>
      </c>
      <c r="V672" s="22">
        <v>40</v>
      </c>
      <c r="W672" s="10">
        <f t="shared" si="203"/>
        <v>0.69813170079773179</v>
      </c>
      <c r="X672" s="22">
        <v>8</v>
      </c>
      <c r="Y672" s="22">
        <v>7</v>
      </c>
      <c r="Z672" s="10">
        <f t="shared" si="204"/>
        <v>0.12217304763960307</v>
      </c>
      <c r="AA672" s="10">
        <f t="shared" si="205"/>
        <v>7.402830844106572</v>
      </c>
      <c r="AB672" s="10">
        <f t="shared" si="206"/>
        <v>26.764223739444194</v>
      </c>
      <c r="AC672" s="10">
        <f t="shared" si="188"/>
        <v>3.3455279674305243</v>
      </c>
      <c r="AD672" s="10">
        <f t="shared" si="197"/>
        <v>13.382111869722097</v>
      </c>
      <c r="AE672" s="65"/>
      <c r="AF672" s="10">
        <f t="shared" si="198"/>
        <v>41.316037844983313</v>
      </c>
      <c r="AG672" s="8">
        <f t="shared" si="189"/>
        <v>8.0566273797717471</v>
      </c>
      <c r="AH672" s="10">
        <f t="shared" si="190"/>
        <v>20.658018922491657</v>
      </c>
      <c r="AI672" s="63"/>
      <c r="AJ672" s="10">
        <f t="shared" si="199"/>
        <v>32.518199999999993</v>
      </c>
      <c r="AK672" s="8"/>
      <c r="AL672" s="8">
        <f t="shared" si="191"/>
        <v>16.259099999999997</v>
      </c>
    </row>
    <row r="673" spans="1:38">
      <c r="A673" s="18">
        <v>41466</v>
      </c>
      <c r="B673" s="19" t="s">
        <v>119</v>
      </c>
      <c r="C673" s="12">
        <v>100.6</v>
      </c>
      <c r="D673" s="19" t="s">
        <v>80</v>
      </c>
      <c r="E673" s="8">
        <v>8.4103899999999996</v>
      </c>
      <c r="F673" s="8">
        <v>83.313820000000007</v>
      </c>
      <c r="G673" s="22">
        <v>100</v>
      </c>
      <c r="H673" s="22">
        <v>28</v>
      </c>
      <c r="I673" s="10">
        <f t="shared" si="201"/>
        <v>3.4776037446826735</v>
      </c>
      <c r="J673" s="10">
        <f t="shared" si="202"/>
        <v>6.0695635424396897E-2</v>
      </c>
      <c r="K673" s="10">
        <f t="shared" si="192"/>
        <v>21.038741046347479</v>
      </c>
      <c r="L673" s="22">
        <v>364</v>
      </c>
      <c r="M673" s="22" t="s">
        <v>36</v>
      </c>
      <c r="N673" s="8" t="s">
        <v>46</v>
      </c>
      <c r="O673" s="10" t="s">
        <v>37</v>
      </c>
      <c r="P673" s="10" t="s">
        <v>38</v>
      </c>
      <c r="Q673" s="11">
        <v>0.48</v>
      </c>
      <c r="R673" s="8" t="s">
        <v>60</v>
      </c>
      <c r="S673" s="29">
        <f>AVERAGE(16,17.9)</f>
        <v>16.95</v>
      </c>
      <c r="T673" s="79">
        <f t="shared" si="200"/>
        <v>2.2564738349999999E-2</v>
      </c>
      <c r="U673" s="22">
        <v>9</v>
      </c>
      <c r="V673" s="22">
        <v>23</v>
      </c>
      <c r="W673" s="10">
        <f t="shared" si="203"/>
        <v>0.4014257279586958</v>
      </c>
      <c r="X673" s="22">
        <v>8</v>
      </c>
      <c r="Y673" s="22">
        <v>5</v>
      </c>
      <c r="Z673" s="10">
        <f t="shared" si="204"/>
        <v>8.7266462599716474E-2</v>
      </c>
      <c r="AA673" s="10">
        <f t="shared" si="205"/>
        <v>4.2138260983847289</v>
      </c>
      <c r="AB673" s="10">
        <f t="shared" si="206"/>
        <v>30.779640089739033</v>
      </c>
      <c r="AC673" s="10">
        <f t="shared" si="188"/>
        <v>3.8474550112173791</v>
      </c>
      <c r="AD673" s="10">
        <f t="shared" si="197"/>
        <v>15.389820044869516</v>
      </c>
      <c r="AE673" s="65"/>
      <c r="AF673" s="10">
        <f t="shared" si="198"/>
        <v>104.79904406399282</v>
      </c>
      <c r="AG673" s="8">
        <f t="shared" si="189"/>
        <v>20.435813592478603</v>
      </c>
      <c r="AH673" s="10">
        <f t="shared" si="190"/>
        <v>52.399522031996412</v>
      </c>
      <c r="AI673" s="63"/>
      <c r="AJ673" s="10">
        <f t="shared" si="199"/>
        <v>116.04749999999996</v>
      </c>
      <c r="AK673" s="8"/>
      <c r="AL673" s="8">
        <f t="shared" si="191"/>
        <v>58.023749999999978</v>
      </c>
    </row>
    <row r="674" spans="1:38">
      <c r="A674" s="18">
        <v>41466</v>
      </c>
      <c r="B674" s="19" t="s">
        <v>119</v>
      </c>
      <c r="C674" s="12">
        <v>100.6</v>
      </c>
      <c r="D674" s="19" t="s">
        <v>80</v>
      </c>
      <c r="E674" s="8">
        <v>8.4103899999999996</v>
      </c>
      <c r="F674" s="8">
        <v>83.313820000000007</v>
      </c>
      <c r="G674" s="22">
        <v>100</v>
      </c>
      <c r="H674" s="22">
        <v>28</v>
      </c>
      <c r="I674" s="10">
        <f t="shared" si="201"/>
        <v>3.4776037446826735</v>
      </c>
      <c r="J674" s="10">
        <f t="shared" si="202"/>
        <v>6.0695635424396897E-2</v>
      </c>
      <c r="K674" s="10">
        <f t="shared" si="192"/>
        <v>21.038741046347479</v>
      </c>
      <c r="L674" s="22">
        <v>203</v>
      </c>
      <c r="M674" s="22" t="s">
        <v>36</v>
      </c>
      <c r="N674" s="8" t="s">
        <v>46</v>
      </c>
      <c r="O674" s="10" t="s">
        <v>37</v>
      </c>
      <c r="P674" s="10" t="s">
        <v>38</v>
      </c>
      <c r="Q674" s="11">
        <v>0.48</v>
      </c>
      <c r="R674" s="8" t="s">
        <v>60</v>
      </c>
      <c r="S674" s="29">
        <f>AVERAGE(6.1,6.6)</f>
        <v>6.35</v>
      </c>
      <c r="T674" s="79">
        <f t="shared" si="200"/>
        <v>3.16692915E-3</v>
      </c>
      <c r="U674" s="22">
        <v>6</v>
      </c>
      <c r="V674" s="22">
        <v>35</v>
      </c>
      <c r="W674" s="10">
        <f t="shared" si="203"/>
        <v>0.6108652381980153</v>
      </c>
      <c r="X674" s="22">
        <v>6</v>
      </c>
      <c r="Y674" s="22">
        <v>-1</v>
      </c>
      <c r="Z674" s="10">
        <f t="shared" si="204"/>
        <v>-1.7453292519943295E-2</v>
      </c>
      <c r="AA674" s="10">
        <f t="shared" si="205"/>
        <v>3.3367441794825754</v>
      </c>
      <c r="AB674" s="10">
        <f t="shared" si="206"/>
        <v>3.9027130877340448</v>
      </c>
      <c r="AC674" s="10">
        <f t="shared" si="188"/>
        <v>0.4878391359667556</v>
      </c>
      <c r="AD674" s="10">
        <f t="shared" si="197"/>
        <v>1.9513565438670224</v>
      </c>
      <c r="AE674" s="65"/>
      <c r="AF674" s="10">
        <f t="shared" si="198"/>
        <v>9.1776636465946186</v>
      </c>
      <c r="AG674" s="8">
        <f t="shared" si="189"/>
        <v>1.7896444110859506</v>
      </c>
      <c r="AH674" s="10">
        <f t="shared" si="190"/>
        <v>4.5888318232973093</v>
      </c>
      <c r="AI674" s="63"/>
      <c r="AJ674" s="10">
        <f t="shared" si="199"/>
        <v>6.984099999999998</v>
      </c>
      <c r="AK674" s="8"/>
      <c r="AL674" s="8">
        <f t="shared" si="191"/>
        <v>3.492049999999999</v>
      </c>
    </row>
    <row r="675" spans="1:38">
      <c r="A675" s="18">
        <v>41466</v>
      </c>
      <c r="B675" s="19" t="s">
        <v>119</v>
      </c>
      <c r="C675" s="12">
        <v>100.6</v>
      </c>
      <c r="D675" s="19" t="s">
        <v>80</v>
      </c>
      <c r="E675" s="8">
        <v>8.4103899999999996</v>
      </c>
      <c r="F675" s="8">
        <v>83.313820000000007</v>
      </c>
      <c r="G675" s="22">
        <v>100</v>
      </c>
      <c r="H675" s="22">
        <v>28</v>
      </c>
      <c r="I675" s="10">
        <f t="shared" si="201"/>
        <v>3.4776037446826735</v>
      </c>
      <c r="J675" s="10">
        <f t="shared" si="202"/>
        <v>6.0695635424396897E-2</v>
      </c>
      <c r="K675" s="10">
        <f t="shared" si="192"/>
        <v>21.038741046347479</v>
      </c>
      <c r="L675" s="22">
        <v>208</v>
      </c>
      <c r="M675" s="22" t="s">
        <v>107</v>
      </c>
      <c r="N675" s="22" t="s">
        <v>63</v>
      </c>
      <c r="O675" s="10" t="s">
        <v>108</v>
      </c>
      <c r="P675" s="15" t="s">
        <v>92</v>
      </c>
      <c r="Q675" s="8">
        <v>0.57999999999999996</v>
      </c>
      <c r="R675" s="22" t="s">
        <v>190</v>
      </c>
      <c r="S675" s="29">
        <f>AVERAGE(25.2,28.3)</f>
        <v>26.75</v>
      </c>
      <c r="T675" s="79">
        <f t="shared" si="200"/>
        <v>5.6200278750000006E-2</v>
      </c>
      <c r="U675" s="22">
        <v>9</v>
      </c>
      <c r="V675" s="22">
        <v>80</v>
      </c>
      <c r="W675" s="10">
        <f t="shared" si="203"/>
        <v>1.3962634015954636</v>
      </c>
      <c r="X675" s="22">
        <v>6</v>
      </c>
      <c r="Y675" s="22">
        <v>-2</v>
      </c>
      <c r="Z675" s="10">
        <f t="shared" si="204"/>
        <v>-3.4906585039886591E-2</v>
      </c>
      <c r="AA675" s="10">
        <f t="shared" si="205"/>
        <v>8.6538727968948663</v>
      </c>
      <c r="AB675" s="10">
        <f t="shared" si="206"/>
        <v>170.5417167010512</v>
      </c>
      <c r="AC675" s="10">
        <f t="shared" si="188"/>
        <v>21.3177145876314</v>
      </c>
      <c r="AD675" s="10">
        <f t="shared" si="197"/>
        <v>85.2708583505256</v>
      </c>
      <c r="AE675" s="65"/>
      <c r="AF675" s="10">
        <f t="shared" si="198"/>
        <v>388.37200524874083</v>
      </c>
      <c r="AG675" s="8">
        <f t="shared" si="189"/>
        <v>75.732541023504467</v>
      </c>
      <c r="AH675" s="10">
        <f t="shared" si="190"/>
        <v>194.18600262437042</v>
      </c>
      <c r="AI675" s="63"/>
      <c r="AJ675" s="10">
        <f t="shared" si="199"/>
        <v>364.82050000000004</v>
      </c>
      <c r="AK675" s="8"/>
      <c r="AL675" s="8">
        <f t="shared" si="191"/>
        <v>182.41025000000002</v>
      </c>
    </row>
    <row r="676" spans="1:38">
      <c r="A676" s="18">
        <v>41466</v>
      </c>
      <c r="B676" s="19" t="s">
        <v>119</v>
      </c>
      <c r="C676" s="12">
        <v>100.6</v>
      </c>
      <c r="D676" s="19" t="s">
        <v>80</v>
      </c>
      <c r="E676" s="8">
        <v>8.4103899999999996</v>
      </c>
      <c r="F676" s="8">
        <v>83.313820000000007</v>
      </c>
      <c r="G676" s="22">
        <v>100</v>
      </c>
      <c r="H676" s="22">
        <v>28</v>
      </c>
      <c r="I676" s="10">
        <f t="shared" si="201"/>
        <v>3.4776037446826735</v>
      </c>
      <c r="J676" s="10">
        <f t="shared" si="202"/>
        <v>6.0695635424396897E-2</v>
      </c>
      <c r="K676" s="10">
        <f t="shared" si="192"/>
        <v>21.038741046347479</v>
      </c>
      <c r="L676" s="22">
        <v>209</v>
      </c>
      <c r="M676" s="22" t="s">
        <v>72</v>
      </c>
      <c r="N676" s="22" t="s">
        <v>93</v>
      </c>
      <c r="O676" s="10" t="s">
        <v>91</v>
      </c>
      <c r="P676" s="15" t="s">
        <v>92</v>
      </c>
      <c r="Q676" s="8">
        <v>0.48</v>
      </c>
      <c r="R676" s="22" t="s">
        <v>190</v>
      </c>
      <c r="S676" s="29">
        <f>AVERAGE(9.4,9.5)</f>
        <v>9.4499999999999993</v>
      </c>
      <c r="T676" s="79">
        <f t="shared" si="200"/>
        <v>7.0138183499999984E-3</v>
      </c>
      <c r="U676" s="22">
        <v>6</v>
      </c>
      <c r="V676" s="22">
        <v>65</v>
      </c>
      <c r="W676" s="10">
        <f t="shared" si="203"/>
        <v>1.1344640137963142</v>
      </c>
      <c r="X676" s="22">
        <v>6</v>
      </c>
      <c r="Y676" s="22">
        <v>2</v>
      </c>
      <c r="Z676" s="10">
        <f t="shared" si="204"/>
        <v>3.4906585039886591E-2</v>
      </c>
      <c r="AA676" s="10">
        <f t="shared" si="205"/>
        <v>5.6472437024349054</v>
      </c>
      <c r="AB676" s="10">
        <f t="shared" si="206"/>
        <v>13.51346192688157</v>
      </c>
      <c r="AC676" s="10">
        <f t="shared" si="188"/>
        <v>1.6891827408601963</v>
      </c>
      <c r="AD676" s="10">
        <f t="shared" si="197"/>
        <v>6.7567309634407851</v>
      </c>
      <c r="AE676" s="65"/>
      <c r="AF676" s="10">
        <f t="shared" si="198"/>
        <v>24.532278569188097</v>
      </c>
      <c r="AG676" s="8">
        <f t="shared" si="189"/>
        <v>4.7837943209916789</v>
      </c>
      <c r="AH676" s="10">
        <f t="shared" si="190"/>
        <v>12.266139284594049</v>
      </c>
      <c r="AI676" s="63"/>
      <c r="AJ676" s="10">
        <f t="shared" si="199"/>
        <v>21.674999999999983</v>
      </c>
      <c r="AK676" s="8"/>
      <c r="AL676" s="8">
        <f t="shared" si="191"/>
        <v>10.837499999999991</v>
      </c>
    </row>
    <row r="677" spans="1:38">
      <c r="A677" s="18">
        <v>41466</v>
      </c>
      <c r="B677" s="19" t="s">
        <v>119</v>
      </c>
      <c r="C677" s="12">
        <v>100.6</v>
      </c>
      <c r="D677" s="19" t="s">
        <v>80</v>
      </c>
      <c r="E677" s="8">
        <v>8.4103899999999996</v>
      </c>
      <c r="F677" s="8">
        <v>83.313820000000007</v>
      </c>
      <c r="G677" s="22">
        <v>100</v>
      </c>
      <c r="H677" s="22">
        <v>28</v>
      </c>
      <c r="I677" s="10">
        <f t="shared" si="201"/>
        <v>3.4776037446826735</v>
      </c>
      <c r="J677" s="10">
        <f t="shared" si="202"/>
        <v>6.0695635424396897E-2</v>
      </c>
      <c r="K677" s="10">
        <f t="shared" si="192"/>
        <v>21.038741046347479</v>
      </c>
      <c r="L677" s="22">
        <v>363</v>
      </c>
      <c r="M677" s="49" t="s">
        <v>97</v>
      </c>
      <c r="N677" s="22" t="s">
        <v>99</v>
      </c>
      <c r="O677" s="10" t="s">
        <v>99</v>
      </c>
      <c r="P677" s="10" t="s">
        <v>99</v>
      </c>
      <c r="Q677" s="22">
        <v>0.57999999999999996</v>
      </c>
      <c r="R677" s="22" t="s">
        <v>103</v>
      </c>
      <c r="S677" s="29">
        <f>AVERAGE(6.6,6.3)</f>
        <v>6.4499999999999993</v>
      </c>
      <c r="T677" s="79">
        <f t="shared" si="200"/>
        <v>3.2674603499999997E-3</v>
      </c>
      <c r="U677" s="22">
        <v>11</v>
      </c>
      <c r="V677" s="22">
        <v>62</v>
      </c>
      <c r="W677" s="10">
        <f t="shared" si="203"/>
        <v>1.0821041362364843</v>
      </c>
      <c r="X677" s="22">
        <v>6</v>
      </c>
      <c r="Y677" s="22">
        <v>-4</v>
      </c>
      <c r="Z677" s="10">
        <f t="shared" si="204"/>
        <v>-6.9813170079773182E-2</v>
      </c>
      <c r="AA677" s="10">
        <f t="shared" si="205"/>
        <v>9.2938846789834439</v>
      </c>
      <c r="AB677" s="10">
        <f t="shared" si="206"/>
        <v>12.576556357523799</v>
      </c>
      <c r="AC677" s="10">
        <f t="shared" si="188"/>
        <v>1.5720695446904749</v>
      </c>
      <c r="AD677" s="10">
        <f t="shared" si="197"/>
        <v>6.2882781787618995</v>
      </c>
      <c r="AE677" s="65"/>
      <c r="AF677" s="10">
        <f t="shared" si="198"/>
        <v>11.523886646784929</v>
      </c>
      <c r="AG677" s="8">
        <f t="shared" si="189"/>
        <v>2.2471578961230612</v>
      </c>
      <c r="AH677" s="10">
        <f t="shared" si="190"/>
        <v>5.7619433233924644</v>
      </c>
      <c r="AI677" s="63"/>
      <c r="AJ677" s="10">
        <f t="shared" si="199"/>
        <v>7.2359999999999971</v>
      </c>
      <c r="AK677" s="8"/>
      <c r="AL677" s="8">
        <f t="shared" si="191"/>
        <v>3.6179999999999986</v>
      </c>
    </row>
    <row r="678" spans="1:38">
      <c r="A678" s="18">
        <v>41466</v>
      </c>
      <c r="B678" s="19" t="s">
        <v>119</v>
      </c>
      <c r="C678" s="12">
        <v>100.6</v>
      </c>
      <c r="D678" s="19" t="s">
        <v>80</v>
      </c>
      <c r="E678" s="8">
        <v>8.4103899999999996</v>
      </c>
      <c r="F678" s="8">
        <v>83.313820000000007</v>
      </c>
      <c r="G678" s="22">
        <v>100</v>
      </c>
      <c r="H678" s="22">
        <v>28</v>
      </c>
      <c r="I678" s="10">
        <f t="shared" si="201"/>
        <v>3.4776037446826735</v>
      </c>
      <c r="J678" s="10">
        <f t="shared" si="202"/>
        <v>6.0695635424396897E-2</v>
      </c>
      <c r="K678" s="10">
        <f t="shared" si="192"/>
        <v>21.038741046347479</v>
      </c>
      <c r="L678" s="22">
        <v>220</v>
      </c>
      <c r="M678" s="49" t="s">
        <v>97</v>
      </c>
      <c r="N678" s="22" t="s">
        <v>99</v>
      </c>
      <c r="O678" s="10" t="s">
        <v>99</v>
      </c>
      <c r="P678" s="10" t="s">
        <v>99</v>
      </c>
      <c r="Q678" s="22">
        <v>0.57999999999999996</v>
      </c>
      <c r="R678" s="22" t="s">
        <v>103</v>
      </c>
      <c r="S678" s="29">
        <f>AVERAGE(9.7,9.4)</f>
        <v>9.5500000000000007</v>
      </c>
      <c r="T678" s="79">
        <f t="shared" si="200"/>
        <v>7.1630443500000016E-3</v>
      </c>
      <c r="U678" s="22">
        <v>12</v>
      </c>
      <c r="V678" s="22">
        <v>72</v>
      </c>
      <c r="W678" s="10">
        <f t="shared" si="203"/>
        <v>1.2566370614359172</v>
      </c>
      <c r="X678" s="22">
        <v>6</v>
      </c>
      <c r="Y678" s="22">
        <v>-4</v>
      </c>
      <c r="Z678" s="10">
        <f t="shared" si="204"/>
        <v>-6.9813170079773182E-2</v>
      </c>
      <c r="AA678" s="10">
        <f t="shared" si="205"/>
        <v>10.99413935307709</v>
      </c>
      <c r="AB678" s="10">
        <f t="shared" si="206"/>
        <v>30.802214224073786</v>
      </c>
      <c r="AC678" s="10">
        <f t="shared" si="188"/>
        <v>3.8502767780092233</v>
      </c>
      <c r="AD678" s="10">
        <f t="shared" si="197"/>
        <v>15.401107112036893</v>
      </c>
      <c r="AE678" s="65"/>
      <c r="AF678" s="10">
        <f t="shared" si="198"/>
        <v>30.428738475749572</v>
      </c>
      <c r="AG678" s="8">
        <f t="shared" si="189"/>
        <v>5.9336040027711672</v>
      </c>
      <c r="AH678" s="10">
        <f t="shared" si="190"/>
        <v>15.214369237874786</v>
      </c>
      <c r="AI678" s="63"/>
      <c r="AJ678" s="10">
        <f t="shared" si="199"/>
        <v>22.3857</v>
      </c>
      <c r="AK678" s="8"/>
      <c r="AL678" s="8">
        <f t="shared" si="191"/>
        <v>11.19285</v>
      </c>
    </row>
    <row r="679" spans="1:38">
      <c r="A679" s="18">
        <v>41466</v>
      </c>
      <c r="B679" s="19" t="s">
        <v>119</v>
      </c>
      <c r="C679" s="12">
        <v>100.6</v>
      </c>
      <c r="D679" s="19" t="s">
        <v>80</v>
      </c>
      <c r="E679" s="8">
        <v>8.4103899999999996</v>
      </c>
      <c r="F679" s="8">
        <v>83.313820000000007</v>
      </c>
      <c r="G679" s="22">
        <v>100</v>
      </c>
      <c r="H679" s="22">
        <v>28</v>
      </c>
      <c r="I679" s="10">
        <f t="shared" si="201"/>
        <v>3.4776037446826735</v>
      </c>
      <c r="J679" s="10">
        <f t="shared" si="202"/>
        <v>6.0695635424396897E-2</v>
      </c>
      <c r="K679" s="10">
        <f t="shared" si="192"/>
        <v>21.038741046347479</v>
      </c>
      <c r="L679" s="22">
        <v>339</v>
      </c>
      <c r="M679" s="22" t="s">
        <v>107</v>
      </c>
      <c r="N679" s="22" t="s">
        <v>63</v>
      </c>
      <c r="O679" s="10" t="s">
        <v>108</v>
      </c>
      <c r="P679" s="15" t="s">
        <v>92</v>
      </c>
      <c r="Q679" s="8">
        <v>0.57999999999999996</v>
      </c>
      <c r="R679" s="22" t="s">
        <v>190</v>
      </c>
      <c r="S679" s="29">
        <f>AVERAGE(13.6,16.7)</f>
        <v>15.149999999999999</v>
      </c>
      <c r="T679" s="79">
        <f t="shared" si="200"/>
        <v>1.8026697149999996E-2</v>
      </c>
      <c r="U679" s="22">
        <v>12</v>
      </c>
      <c r="V679" s="22">
        <v>71</v>
      </c>
      <c r="W679" s="10">
        <f t="shared" si="203"/>
        <v>1.2391837689159739</v>
      </c>
      <c r="X679" s="22">
        <v>5</v>
      </c>
      <c r="Y679" s="22">
        <v>0</v>
      </c>
      <c r="Z679" s="10">
        <f t="shared" si="204"/>
        <v>0</v>
      </c>
      <c r="AA679" s="10">
        <f t="shared" si="205"/>
        <v>11.346222907191802</v>
      </c>
      <c r="AB679" s="10">
        <f t="shared" si="206"/>
        <v>75.547486144469346</v>
      </c>
      <c r="AC679" s="10">
        <f t="shared" si="188"/>
        <v>9.4434357680586682</v>
      </c>
      <c r="AD679" s="10">
        <f t="shared" si="197"/>
        <v>37.773743072234673</v>
      </c>
      <c r="AE679" s="65"/>
      <c r="AF679" s="10">
        <f t="shared" si="198"/>
        <v>95.861415275812263</v>
      </c>
      <c r="AG679" s="8">
        <f t="shared" si="189"/>
        <v>18.692975978783391</v>
      </c>
      <c r="AH679" s="10">
        <f t="shared" si="190"/>
        <v>47.930707637906131</v>
      </c>
      <c r="AI679" s="63"/>
      <c r="AJ679" s="10">
        <f t="shared" si="199"/>
        <v>85.805699999999959</v>
      </c>
      <c r="AK679" s="8"/>
      <c r="AL679" s="8">
        <f t="shared" si="191"/>
        <v>42.90284999999998</v>
      </c>
    </row>
    <row r="680" spans="1:38">
      <c r="A680" s="18">
        <v>41466</v>
      </c>
      <c r="B680" s="19" t="s">
        <v>119</v>
      </c>
      <c r="C680" s="12">
        <v>100.6</v>
      </c>
      <c r="D680" s="19" t="s">
        <v>80</v>
      </c>
      <c r="E680" s="8">
        <v>8.4103899999999996</v>
      </c>
      <c r="F680" s="8">
        <v>83.313820000000007</v>
      </c>
      <c r="G680" s="22">
        <v>100</v>
      </c>
      <c r="H680" s="22">
        <v>28</v>
      </c>
      <c r="I680" s="10">
        <f t="shared" si="201"/>
        <v>3.4776037446826735</v>
      </c>
      <c r="J680" s="10">
        <f t="shared" si="202"/>
        <v>6.0695635424396897E-2</v>
      </c>
      <c r="K680" s="10">
        <f t="shared" si="192"/>
        <v>21.038741046347479</v>
      </c>
      <c r="L680" s="22">
        <v>384</v>
      </c>
      <c r="M680" s="49" t="s">
        <v>97</v>
      </c>
      <c r="N680" s="22" t="s">
        <v>99</v>
      </c>
      <c r="O680" s="10" t="s">
        <v>99</v>
      </c>
      <c r="P680" s="10" t="s">
        <v>99</v>
      </c>
      <c r="Q680" s="22">
        <v>0.57999999999999996</v>
      </c>
      <c r="R680" s="22" t="s">
        <v>103</v>
      </c>
      <c r="S680" s="12">
        <f>AVERAGE(8.8,9.2)</f>
        <v>9</v>
      </c>
      <c r="T680" s="79">
        <f t="shared" si="200"/>
        <v>6.3617400000000003E-3</v>
      </c>
      <c r="U680" s="22">
        <v>14</v>
      </c>
      <c r="V680" s="22">
        <v>64</v>
      </c>
      <c r="W680" s="10">
        <f t="shared" si="203"/>
        <v>1.1170107212763709</v>
      </c>
      <c r="X680" s="22">
        <v>5</v>
      </c>
      <c r="Y680" s="22">
        <v>1</v>
      </c>
      <c r="Z680" s="10">
        <f t="shared" si="204"/>
        <v>1.7453292519943295E-2</v>
      </c>
      <c r="AA680" s="10">
        <f t="shared" si="205"/>
        <v>12.670378680374757</v>
      </c>
      <c r="AB680" s="10">
        <f t="shared" si="206"/>
        <v>31.483439505838955</v>
      </c>
      <c r="AC680" s="10">
        <f t="shared" si="188"/>
        <v>3.9354299382298694</v>
      </c>
      <c r="AD680" s="10">
        <f t="shared" si="197"/>
        <v>15.741719752919478</v>
      </c>
      <c r="AE680" s="65"/>
      <c r="AF680" s="10">
        <f t="shared" si="198"/>
        <v>26.260171639120962</v>
      </c>
      <c r="AG680" s="8">
        <f t="shared" si="189"/>
        <v>5.120733469628588</v>
      </c>
      <c r="AH680" s="10">
        <f t="shared" si="190"/>
        <v>13.130085819560481</v>
      </c>
      <c r="AI680" s="63"/>
      <c r="AJ680" s="10">
        <f t="shared" si="199"/>
        <v>18.659999999999997</v>
      </c>
      <c r="AK680" s="8"/>
      <c r="AL680" s="8">
        <f t="shared" si="191"/>
        <v>9.3299999999999983</v>
      </c>
    </row>
    <row r="681" spans="1:38">
      <c r="A681" s="18">
        <v>41466</v>
      </c>
      <c r="B681" s="19" t="s">
        <v>119</v>
      </c>
      <c r="C681" s="12">
        <v>100.6</v>
      </c>
      <c r="D681" s="19" t="s">
        <v>80</v>
      </c>
      <c r="E681" s="8">
        <v>8.4103899999999996</v>
      </c>
      <c r="F681" s="8">
        <v>83.313820000000007</v>
      </c>
      <c r="G681" s="22">
        <v>100</v>
      </c>
      <c r="H681" s="22">
        <v>28</v>
      </c>
      <c r="I681" s="10">
        <f t="shared" si="201"/>
        <v>3.4776037446826735</v>
      </c>
      <c r="J681" s="10">
        <f t="shared" si="202"/>
        <v>6.0695635424396897E-2</v>
      </c>
      <c r="K681" s="10">
        <f t="shared" si="192"/>
        <v>21.038741046347479</v>
      </c>
      <c r="L681" s="22">
        <v>366</v>
      </c>
      <c r="M681" s="49" t="s">
        <v>97</v>
      </c>
      <c r="N681" s="22" t="s">
        <v>99</v>
      </c>
      <c r="O681" s="10" t="s">
        <v>99</v>
      </c>
      <c r="P681" s="10" t="s">
        <v>99</v>
      </c>
      <c r="Q681" s="22">
        <v>0.57999999999999996</v>
      </c>
      <c r="R681" s="22" t="s">
        <v>103</v>
      </c>
      <c r="S681" s="12">
        <f>AVERAGE(17.2,17.2)</f>
        <v>17.2</v>
      </c>
      <c r="T681" s="79">
        <f t="shared" si="200"/>
        <v>2.3235273599999998E-2</v>
      </c>
      <c r="U681" s="22">
        <v>15</v>
      </c>
      <c r="V681" s="22">
        <v>60</v>
      </c>
      <c r="W681" s="10">
        <f t="shared" si="203"/>
        <v>1.0471975511965976</v>
      </c>
      <c r="X681" s="22">
        <v>6</v>
      </c>
      <c r="Y681" s="22">
        <v>20</v>
      </c>
      <c r="Z681" s="10">
        <f t="shared" si="204"/>
        <v>0.3490658503988659</v>
      </c>
      <c r="AA681" s="10">
        <f t="shared" si="205"/>
        <v>15.042501916720591</v>
      </c>
      <c r="AB681" s="10">
        <f t="shared" si="206"/>
        <v>125.01392374677482</v>
      </c>
      <c r="AC681" s="10">
        <f t="shared" si="188"/>
        <v>15.626740468346853</v>
      </c>
      <c r="AD681" s="10">
        <f t="shared" si="197"/>
        <v>62.506961873387411</v>
      </c>
      <c r="AE681" s="65"/>
      <c r="AF681" s="10">
        <f t="shared" si="198"/>
        <v>131.30710558075967</v>
      </c>
      <c r="AG681" s="8">
        <f t="shared" si="189"/>
        <v>25.604885588248138</v>
      </c>
      <c r="AH681" s="10">
        <f t="shared" si="190"/>
        <v>65.653552790379834</v>
      </c>
      <c r="AI681" s="63"/>
      <c r="AJ681" s="10">
        <f t="shared" si="199"/>
        <v>120.62699999999998</v>
      </c>
      <c r="AK681" s="8"/>
      <c r="AL681" s="8">
        <f t="shared" si="191"/>
        <v>60.313499999999991</v>
      </c>
    </row>
    <row r="682" spans="1:38">
      <c r="A682" s="18">
        <v>41466</v>
      </c>
      <c r="B682" s="19" t="s">
        <v>119</v>
      </c>
      <c r="C682" s="12">
        <v>100.6</v>
      </c>
      <c r="D682" s="19" t="s">
        <v>80</v>
      </c>
      <c r="E682" s="8">
        <v>8.4103899999999996</v>
      </c>
      <c r="F682" s="8">
        <v>83.313820000000007</v>
      </c>
      <c r="G682" s="22">
        <v>100</v>
      </c>
      <c r="H682" s="22">
        <v>28</v>
      </c>
      <c r="I682" s="10">
        <f t="shared" si="201"/>
        <v>3.4776037446826735</v>
      </c>
      <c r="J682" s="10">
        <f t="shared" si="202"/>
        <v>6.0695635424396897E-2</v>
      </c>
      <c r="K682" s="10">
        <f t="shared" si="192"/>
        <v>21.038741046347479</v>
      </c>
      <c r="L682" s="22">
        <v>210</v>
      </c>
      <c r="M682" s="49" t="s">
        <v>97</v>
      </c>
      <c r="N682" s="22" t="s">
        <v>99</v>
      </c>
      <c r="O682" s="10" t="s">
        <v>99</v>
      </c>
      <c r="P682" s="10" t="s">
        <v>99</v>
      </c>
      <c r="Q682" s="22">
        <v>0.57999999999999996</v>
      </c>
      <c r="R682" s="22" t="s">
        <v>103</v>
      </c>
      <c r="S682" s="12">
        <f>AVERAGE(9,9.6)</f>
        <v>9.3000000000000007</v>
      </c>
      <c r="T682" s="79">
        <f t="shared" si="200"/>
        <v>6.7929246000000007E-3</v>
      </c>
      <c r="U682" s="22">
        <v>14</v>
      </c>
      <c r="V682" s="22">
        <v>63</v>
      </c>
      <c r="W682" s="10">
        <f t="shared" si="203"/>
        <v>1.0995574287564276</v>
      </c>
      <c r="X682" s="22">
        <v>6</v>
      </c>
      <c r="Y682" s="22">
        <v>15</v>
      </c>
      <c r="Z682" s="10">
        <f t="shared" si="204"/>
        <v>0.26179938779914941</v>
      </c>
      <c r="AA682" s="10">
        <f t="shared" si="205"/>
        <v>14.027005609252273</v>
      </c>
      <c r="AB682" s="10">
        <f t="shared" si="206"/>
        <v>36.845041575247386</v>
      </c>
      <c r="AC682" s="10">
        <f t="shared" si="188"/>
        <v>4.6056301969059232</v>
      </c>
      <c r="AD682" s="10">
        <f t="shared" si="197"/>
        <v>18.422520787623693</v>
      </c>
      <c r="AE682" s="65"/>
      <c r="AF682" s="10">
        <f t="shared" si="198"/>
        <v>28.487974815123653</v>
      </c>
      <c r="AG682" s="8">
        <f t="shared" si="189"/>
        <v>5.555155088949113</v>
      </c>
      <c r="AH682" s="10">
        <f t="shared" si="190"/>
        <v>14.243987407561827</v>
      </c>
      <c r="AI682" s="63"/>
      <c r="AJ682" s="10">
        <f t="shared" si="199"/>
        <v>20.63669999999999</v>
      </c>
      <c r="AK682" s="8"/>
      <c r="AL682" s="8">
        <f t="shared" si="191"/>
        <v>10.318349999999995</v>
      </c>
    </row>
    <row r="683" spans="1:38">
      <c r="A683" s="18">
        <v>41466</v>
      </c>
      <c r="B683" s="19" t="s">
        <v>119</v>
      </c>
      <c r="C683" s="12">
        <v>100.6</v>
      </c>
      <c r="D683" s="19" t="s">
        <v>80</v>
      </c>
      <c r="E683" s="8">
        <v>8.4103899999999996</v>
      </c>
      <c r="F683" s="8">
        <v>83.313820000000007</v>
      </c>
      <c r="G683" s="22">
        <v>100</v>
      </c>
      <c r="H683" s="22">
        <v>28</v>
      </c>
      <c r="I683" s="10">
        <f t="shared" si="201"/>
        <v>3.4776037446826735</v>
      </c>
      <c r="J683" s="10">
        <f t="shared" si="202"/>
        <v>6.0695635424396897E-2</v>
      </c>
      <c r="K683" s="10">
        <f t="shared" si="192"/>
        <v>21.038741046347479</v>
      </c>
      <c r="L683" s="22">
        <v>294</v>
      </c>
      <c r="M683" s="49" t="s">
        <v>97</v>
      </c>
      <c r="N683" s="22" t="s">
        <v>99</v>
      </c>
      <c r="O683" s="10" t="s">
        <v>99</v>
      </c>
      <c r="P683" s="10" t="s">
        <v>99</v>
      </c>
      <c r="Q683" s="22">
        <v>0.57999999999999996</v>
      </c>
      <c r="R683" s="22" t="s">
        <v>103</v>
      </c>
      <c r="S683" s="12">
        <f>AVERAGE(6.6,7.2)</f>
        <v>6.9</v>
      </c>
      <c r="T683" s="79">
        <f t="shared" si="200"/>
        <v>3.7392894000000008E-3</v>
      </c>
      <c r="U683" s="22">
        <v>12</v>
      </c>
      <c r="V683" s="22">
        <v>60</v>
      </c>
      <c r="W683" s="10">
        <f t="shared" si="203"/>
        <v>1.0471975511965976</v>
      </c>
      <c r="X683" s="22">
        <v>5</v>
      </c>
      <c r="Y683" s="22">
        <v>15</v>
      </c>
      <c r="Z683" s="10">
        <f t="shared" si="204"/>
        <v>0.26179938779914941</v>
      </c>
      <c r="AA683" s="10">
        <f t="shared" si="205"/>
        <v>11.686400070925867</v>
      </c>
      <c r="AB683" s="10">
        <f t="shared" si="206"/>
        <v>17.706806062893531</v>
      </c>
      <c r="AC683" s="10">
        <f t="shared" si="188"/>
        <v>2.2133507578616913</v>
      </c>
      <c r="AD683" s="10">
        <f t="shared" si="197"/>
        <v>8.8534030314467653</v>
      </c>
      <c r="AE683" s="65"/>
      <c r="AF683" s="10">
        <f t="shared" si="198"/>
        <v>13.605376173904341</v>
      </c>
      <c r="AG683" s="8">
        <f t="shared" si="189"/>
        <v>2.6530483539113465</v>
      </c>
      <c r="AH683" s="10">
        <f t="shared" si="190"/>
        <v>6.8026880869521706</v>
      </c>
      <c r="AI683" s="63"/>
      <c r="AJ683" s="10">
        <f t="shared" si="199"/>
        <v>8.5527000000000051</v>
      </c>
      <c r="AK683" s="8"/>
      <c r="AL683" s="8">
        <f t="shared" si="191"/>
        <v>4.2763500000000025</v>
      </c>
    </row>
    <row r="684" spans="1:38">
      <c r="A684" s="18">
        <v>41466</v>
      </c>
      <c r="B684" s="19" t="s">
        <v>119</v>
      </c>
      <c r="C684" s="12">
        <v>100.6</v>
      </c>
      <c r="D684" s="19" t="s">
        <v>80</v>
      </c>
      <c r="E684" s="8">
        <v>8.4103899999999996</v>
      </c>
      <c r="F684" s="8">
        <v>83.313820000000007</v>
      </c>
      <c r="G684" s="22">
        <v>100</v>
      </c>
      <c r="H684" s="22">
        <v>28</v>
      </c>
      <c r="I684" s="10">
        <f t="shared" si="201"/>
        <v>3.4776037446826735</v>
      </c>
      <c r="J684" s="10">
        <f t="shared" si="202"/>
        <v>6.0695635424396897E-2</v>
      </c>
      <c r="K684" s="10">
        <f t="shared" si="192"/>
        <v>21.038741046347479</v>
      </c>
      <c r="L684" s="22">
        <v>298</v>
      </c>
      <c r="M684" s="49" t="s">
        <v>97</v>
      </c>
      <c r="N684" s="22" t="s">
        <v>99</v>
      </c>
      <c r="O684" s="10" t="s">
        <v>99</v>
      </c>
      <c r="P684" s="10" t="s">
        <v>99</v>
      </c>
      <c r="Q684" s="22">
        <v>0.57999999999999996</v>
      </c>
      <c r="R684" s="22" t="s">
        <v>103</v>
      </c>
      <c r="S684" s="12">
        <f>AVERAGE(17,20.8)</f>
        <v>18.899999999999999</v>
      </c>
      <c r="T684" s="79">
        <f t="shared" si="200"/>
        <v>2.8055273399999994E-2</v>
      </c>
      <c r="U684" s="22">
        <v>16</v>
      </c>
      <c r="V684" s="22">
        <v>55</v>
      </c>
      <c r="W684" s="10">
        <f t="shared" si="203"/>
        <v>0.95993108859688125</v>
      </c>
      <c r="X684" s="22">
        <v>5</v>
      </c>
      <c r="Y684" s="22">
        <v>20</v>
      </c>
      <c r="Z684" s="10">
        <f t="shared" si="204"/>
        <v>0.3490658503988659</v>
      </c>
      <c r="AA684" s="10">
        <f t="shared" si="205"/>
        <v>14.816533425252212</v>
      </c>
      <c r="AB684" s="10">
        <f t="shared" si="206"/>
        <v>147.14111267927746</v>
      </c>
      <c r="AC684" s="10">
        <f t="shared" si="188"/>
        <v>18.392639084909682</v>
      </c>
      <c r="AD684" s="10">
        <f t="shared" si="197"/>
        <v>73.570556339638728</v>
      </c>
      <c r="AE684" s="65"/>
      <c r="AF684" s="10">
        <f t="shared" si="198"/>
        <v>165.76097255791129</v>
      </c>
      <c r="AG684" s="8">
        <f t="shared" si="189"/>
        <v>32.323389648792705</v>
      </c>
      <c r="AH684" s="10">
        <f t="shared" si="190"/>
        <v>82.880486278955644</v>
      </c>
      <c r="AI684" s="63"/>
      <c r="AJ684" s="10">
        <f t="shared" si="199"/>
        <v>154.22069999999994</v>
      </c>
      <c r="AK684" s="8"/>
      <c r="AL684" s="8">
        <f t="shared" si="191"/>
        <v>77.110349999999968</v>
      </c>
    </row>
    <row r="685" spans="1:38">
      <c r="A685" s="18">
        <v>41466</v>
      </c>
      <c r="B685" s="19" t="s">
        <v>119</v>
      </c>
      <c r="C685" s="12">
        <v>100.6</v>
      </c>
      <c r="D685" s="19" t="s">
        <v>80</v>
      </c>
      <c r="E685" s="8">
        <v>8.4103899999999996</v>
      </c>
      <c r="F685" s="8">
        <v>83.313820000000007</v>
      </c>
      <c r="G685" s="22">
        <v>100</v>
      </c>
      <c r="H685" s="22">
        <v>28</v>
      </c>
      <c r="I685" s="10">
        <f t="shared" si="201"/>
        <v>3.4776037446826735</v>
      </c>
      <c r="J685" s="10">
        <f t="shared" si="202"/>
        <v>6.0695635424396897E-2</v>
      </c>
      <c r="K685" s="10">
        <f t="shared" si="192"/>
        <v>21.038741046347479</v>
      </c>
      <c r="L685" s="22">
        <v>350</v>
      </c>
      <c r="M685" s="22" t="s">
        <v>39</v>
      </c>
      <c r="N685" s="7" t="s">
        <v>69</v>
      </c>
      <c r="O685" s="33" t="s">
        <v>65</v>
      </c>
      <c r="P685" s="33" t="s">
        <v>70</v>
      </c>
      <c r="Q685" s="7">
        <v>0.37</v>
      </c>
      <c r="R685" s="7" t="s">
        <v>71</v>
      </c>
      <c r="S685" s="29">
        <f>AVERAGE(27.5,29.2)</f>
        <v>28.35</v>
      </c>
      <c r="T685" s="79">
        <f t="shared" si="200"/>
        <v>6.3124365150000014E-2</v>
      </c>
      <c r="U685" s="22">
        <v>9</v>
      </c>
      <c r="V685" s="22">
        <v>69</v>
      </c>
      <c r="W685" s="10">
        <f t="shared" si="203"/>
        <v>1.2042771838760873</v>
      </c>
      <c r="X685" s="22">
        <v>6</v>
      </c>
      <c r="Y685" s="22">
        <v>10</v>
      </c>
      <c r="Z685" s="10">
        <f t="shared" si="204"/>
        <v>0.17453292519943295</v>
      </c>
      <c r="AA685" s="10">
        <f t="shared" si="205"/>
        <v>9.4441129044763983</v>
      </c>
      <c r="AB685" s="10">
        <f t="shared" si="206"/>
        <v>135.33888710836388</v>
      </c>
      <c r="AC685" s="10">
        <f t="shared" si="188"/>
        <v>16.917360888545485</v>
      </c>
      <c r="AD685" s="10">
        <f t="shared" si="197"/>
        <v>67.669443554181939</v>
      </c>
      <c r="AE685" s="65"/>
      <c r="AF685" s="10">
        <f t="shared" si="198"/>
        <v>285.24997438000059</v>
      </c>
      <c r="AG685" s="8">
        <f t="shared" si="189"/>
        <v>55.623745004100115</v>
      </c>
      <c r="AH685" s="10">
        <f t="shared" si="190"/>
        <v>142.6249871900003</v>
      </c>
      <c r="AI685" s="63"/>
      <c r="AJ685" s="10">
        <f t="shared" si="199"/>
        <v>418.93410000000006</v>
      </c>
      <c r="AK685" s="8"/>
      <c r="AL685" s="8">
        <f t="shared" si="191"/>
        <v>209.46705000000003</v>
      </c>
    </row>
    <row r="686" spans="1:38">
      <c r="A686" s="18">
        <v>41466</v>
      </c>
      <c r="B686" s="19" t="s">
        <v>119</v>
      </c>
      <c r="C686" s="12">
        <v>100.6</v>
      </c>
      <c r="D686" s="19" t="s">
        <v>80</v>
      </c>
      <c r="E686" s="8">
        <v>8.4103899999999996</v>
      </c>
      <c r="F686" s="8">
        <v>83.313820000000007</v>
      </c>
      <c r="G686" s="22">
        <v>100</v>
      </c>
      <c r="H686" s="22">
        <v>28</v>
      </c>
      <c r="I686" s="10">
        <f t="shared" si="201"/>
        <v>3.4776037446826735</v>
      </c>
      <c r="J686" s="10">
        <f t="shared" si="202"/>
        <v>6.0695635424396897E-2</v>
      </c>
      <c r="K686" s="10">
        <f t="shared" si="192"/>
        <v>21.038741046347479</v>
      </c>
      <c r="L686" s="22">
        <v>348</v>
      </c>
      <c r="M686" s="31" t="s">
        <v>231</v>
      </c>
      <c r="N686" s="8" t="s">
        <v>171</v>
      </c>
      <c r="O686" s="33" t="s">
        <v>99</v>
      </c>
      <c r="P686" s="33" t="s">
        <v>99</v>
      </c>
      <c r="Q686" s="7">
        <v>0.57999999999999996</v>
      </c>
      <c r="R686" s="7" t="s">
        <v>103</v>
      </c>
      <c r="S686" s="29">
        <f>AVERAGE(15.2,16.3)</f>
        <v>15.75</v>
      </c>
      <c r="T686" s="79">
        <f t="shared" si="200"/>
        <v>1.948282875E-2</v>
      </c>
      <c r="U686" s="22">
        <v>10</v>
      </c>
      <c r="V686" s="22">
        <v>55</v>
      </c>
      <c r="W686" s="10">
        <f t="shared" si="203"/>
        <v>0.95993108859688125</v>
      </c>
      <c r="X686" s="22">
        <v>7</v>
      </c>
      <c r="Y686" s="22">
        <v>10</v>
      </c>
      <c r="Z686" s="10">
        <f t="shared" si="204"/>
        <v>0.17453292519943295</v>
      </c>
      <c r="AA686" s="10">
        <f t="shared" si="205"/>
        <v>9.4070576865584297</v>
      </c>
      <c r="AB686" s="10">
        <f t="shared" si="206"/>
        <v>68.14250007014499</v>
      </c>
      <c r="AC686" s="10">
        <f t="shared" si="188"/>
        <v>8.5178125087681238</v>
      </c>
      <c r="AD686" s="10">
        <f t="shared" si="197"/>
        <v>34.071250035072495</v>
      </c>
      <c r="AE686" s="65"/>
      <c r="AF686" s="10">
        <f t="shared" si="198"/>
        <v>105.5608732840651</v>
      </c>
      <c r="AG686" s="8">
        <f t="shared" si="189"/>
        <v>20.584370290392695</v>
      </c>
      <c r="AH686" s="10">
        <f t="shared" si="190"/>
        <v>52.780436642032548</v>
      </c>
      <c r="AI686" s="63"/>
      <c r="AJ686" s="10">
        <f t="shared" si="199"/>
        <v>95.353499999999983</v>
      </c>
      <c r="AK686" s="8"/>
      <c r="AL686" s="8">
        <f t="shared" si="191"/>
        <v>47.676749999999991</v>
      </c>
    </row>
    <row r="687" spans="1:38">
      <c r="A687" s="18">
        <v>41466</v>
      </c>
      <c r="B687" s="19" t="s">
        <v>119</v>
      </c>
      <c r="C687" s="12">
        <v>100.6</v>
      </c>
      <c r="D687" s="19" t="s">
        <v>80</v>
      </c>
      <c r="E687" s="8">
        <v>8.4103899999999996</v>
      </c>
      <c r="F687" s="8">
        <v>83.313820000000007</v>
      </c>
      <c r="G687" s="22">
        <v>100</v>
      </c>
      <c r="H687" s="22">
        <v>28</v>
      </c>
      <c r="I687" s="10">
        <f t="shared" si="201"/>
        <v>3.4776037446826735</v>
      </c>
      <c r="J687" s="10">
        <f t="shared" si="202"/>
        <v>6.0695635424396897E-2</v>
      </c>
      <c r="K687" s="10">
        <f t="shared" si="192"/>
        <v>21.038741046347479</v>
      </c>
      <c r="L687" s="22">
        <v>373</v>
      </c>
      <c r="M687" s="22" t="s">
        <v>151</v>
      </c>
      <c r="N687" s="22" t="s">
        <v>84</v>
      </c>
      <c r="O687" s="58" t="s">
        <v>85</v>
      </c>
      <c r="P687" s="50" t="s">
        <v>86</v>
      </c>
      <c r="Q687" s="22">
        <v>0.53</v>
      </c>
      <c r="R687" s="22" t="s">
        <v>190</v>
      </c>
      <c r="S687" s="12">
        <f>AVERAGE(6.7,6.3)</f>
        <v>6.5</v>
      </c>
      <c r="T687" s="79">
        <f t="shared" si="200"/>
        <v>3.3183150000000001E-3</v>
      </c>
      <c r="U687" s="22">
        <v>6</v>
      </c>
      <c r="V687" s="22">
        <v>43</v>
      </c>
      <c r="W687" s="10">
        <f t="shared" si="203"/>
        <v>0.75049157835756175</v>
      </c>
      <c r="X687" s="22">
        <v>6</v>
      </c>
      <c r="Y687" s="22">
        <v>13</v>
      </c>
      <c r="Z687" s="10">
        <f t="shared" si="204"/>
        <v>0.22689280275926285</v>
      </c>
      <c r="AA687" s="10">
        <f t="shared" si="205"/>
        <v>5.4416964864381807</v>
      </c>
      <c r="AB687" s="10">
        <f t="shared" si="206"/>
        <v>7.0884030761303842</v>
      </c>
      <c r="AC687" s="10">
        <f t="shared" si="188"/>
        <v>0.88605038451629803</v>
      </c>
      <c r="AD687" s="10">
        <f t="shared" si="197"/>
        <v>3.5442015380651921</v>
      </c>
      <c r="AE687" s="65"/>
      <c r="AF687" s="10">
        <f t="shared" si="198"/>
        <v>10.732331721515775</v>
      </c>
      <c r="AG687" s="8">
        <f t="shared" si="189"/>
        <v>2.0928046856955764</v>
      </c>
      <c r="AH687" s="10">
        <f t="shared" si="190"/>
        <v>5.3661658607578877</v>
      </c>
      <c r="AI687" s="63"/>
      <c r="AJ687" s="10">
        <f t="shared" si="199"/>
        <v>7.3674999999999962</v>
      </c>
      <c r="AK687" s="8"/>
      <c r="AL687" s="8">
        <f t="shared" si="191"/>
        <v>3.6837499999999981</v>
      </c>
    </row>
    <row r="688" spans="1:38">
      <c r="A688" s="18">
        <v>41466</v>
      </c>
      <c r="B688" s="19" t="s">
        <v>119</v>
      </c>
      <c r="C688" s="12">
        <v>100.6</v>
      </c>
      <c r="D688" s="19" t="s">
        <v>80</v>
      </c>
      <c r="E688" s="8">
        <v>8.4103899999999996</v>
      </c>
      <c r="F688" s="8">
        <v>83.313820000000007</v>
      </c>
      <c r="G688" s="22">
        <v>100</v>
      </c>
      <c r="H688" s="22">
        <v>28</v>
      </c>
      <c r="I688" s="10">
        <f t="shared" si="201"/>
        <v>3.4776037446826735</v>
      </c>
      <c r="J688" s="10">
        <f t="shared" si="202"/>
        <v>6.0695635424396897E-2</v>
      </c>
      <c r="K688" s="10">
        <f t="shared" si="192"/>
        <v>21.038741046347479</v>
      </c>
      <c r="L688" s="22">
        <v>315</v>
      </c>
      <c r="M688" s="31" t="s">
        <v>222</v>
      </c>
      <c r="N688" s="22" t="s">
        <v>171</v>
      </c>
      <c r="O688" s="50" t="s">
        <v>172</v>
      </c>
      <c r="P688" s="50" t="s">
        <v>173</v>
      </c>
      <c r="Q688" s="23">
        <v>0.24</v>
      </c>
      <c r="R688" s="22" t="s">
        <v>174</v>
      </c>
      <c r="S688" s="12">
        <f>AVERAGE(8.5,11.7)</f>
        <v>10.1</v>
      </c>
      <c r="T688" s="79">
        <f t="shared" si="200"/>
        <v>8.0118654000000001E-3</v>
      </c>
      <c r="U688" s="22">
        <v>6</v>
      </c>
      <c r="V688" s="22">
        <v>40</v>
      </c>
      <c r="W688" s="10">
        <f t="shared" si="203"/>
        <v>0.69813170079773179</v>
      </c>
      <c r="X688" s="22">
        <v>5</v>
      </c>
      <c r="Y688" s="22">
        <v>15</v>
      </c>
      <c r="Z688" s="10">
        <f t="shared" si="204"/>
        <v>0.26179938779914941</v>
      </c>
      <c r="AA688" s="10">
        <f t="shared" si="205"/>
        <v>5.1508208836318392</v>
      </c>
      <c r="AB688" s="10">
        <f t="shared" si="206"/>
        <v>7.3206278911968026</v>
      </c>
      <c r="AC688" s="10">
        <f t="shared" si="188"/>
        <v>0.91507848639960032</v>
      </c>
      <c r="AD688" s="10">
        <f t="shared" si="197"/>
        <v>3.6603139455984013</v>
      </c>
      <c r="AE688" s="65"/>
      <c r="AF688" s="10">
        <f t="shared" si="198"/>
        <v>14.47161557273083</v>
      </c>
      <c r="AG688" s="8">
        <f t="shared" si="189"/>
        <v>2.8219650366825118</v>
      </c>
      <c r="AH688" s="10">
        <f t="shared" si="190"/>
        <v>7.2358077863654149</v>
      </c>
      <c r="AI688" s="63"/>
      <c r="AJ688" s="10">
        <f t="shared" si="199"/>
        <v>26.559099999999987</v>
      </c>
      <c r="AK688" s="8"/>
      <c r="AL688" s="8">
        <f t="shared" si="191"/>
        <v>13.279549999999993</v>
      </c>
    </row>
    <row r="689" spans="1:38">
      <c r="A689" s="18">
        <v>41466</v>
      </c>
      <c r="B689" s="19" t="s">
        <v>119</v>
      </c>
      <c r="C689" s="12">
        <v>100.6</v>
      </c>
      <c r="D689" s="19" t="s">
        <v>80</v>
      </c>
      <c r="E689" s="8">
        <v>8.4103899999999996</v>
      </c>
      <c r="F689" s="8">
        <v>83.313820000000007</v>
      </c>
      <c r="G689" s="22">
        <v>100</v>
      </c>
      <c r="H689" s="22">
        <v>28</v>
      </c>
      <c r="I689" s="10">
        <f t="shared" si="201"/>
        <v>3.4776037446826735</v>
      </c>
      <c r="J689" s="10">
        <f t="shared" si="202"/>
        <v>6.0695635424396897E-2</v>
      </c>
      <c r="K689" s="10">
        <f t="shared" si="192"/>
        <v>21.038741046347479</v>
      </c>
      <c r="L689" s="22">
        <v>305</v>
      </c>
      <c r="M689" s="22" t="s">
        <v>252</v>
      </c>
      <c r="N689" s="8" t="s">
        <v>198</v>
      </c>
      <c r="O689" s="10" t="s">
        <v>226</v>
      </c>
      <c r="P689" s="10" t="s">
        <v>227</v>
      </c>
      <c r="Q689" s="22">
        <v>0.54</v>
      </c>
      <c r="R689" s="22" t="s">
        <v>190</v>
      </c>
      <c r="S689" s="12">
        <f>AVERAGE(6.2,6.8)</f>
        <v>6.5</v>
      </c>
      <c r="T689" s="79">
        <f t="shared" si="200"/>
        <v>3.3183150000000001E-3</v>
      </c>
      <c r="U689" s="22">
        <v>8</v>
      </c>
      <c r="V689" s="22">
        <v>25</v>
      </c>
      <c r="W689" s="10">
        <f t="shared" si="203"/>
        <v>0.43633231299858238</v>
      </c>
      <c r="X689" s="22">
        <v>8</v>
      </c>
      <c r="Y689" s="22">
        <v>22</v>
      </c>
      <c r="Z689" s="10">
        <f t="shared" si="204"/>
        <v>0.38397243543875248</v>
      </c>
      <c r="AA689" s="10">
        <f t="shared" si="205"/>
        <v>6.3777988412528916</v>
      </c>
      <c r="AB689" s="10">
        <f t="shared" si="206"/>
        <v>8.3748981515296492</v>
      </c>
      <c r="AC689" s="10">
        <f t="shared" si="188"/>
        <v>1.0468622689412062</v>
      </c>
      <c r="AD689" s="10">
        <f t="shared" si="197"/>
        <v>4.1874490757648246</v>
      </c>
      <c r="AE689" s="65"/>
      <c r="AF689" s="10">
        <f t="shared" si="198"/>
        <v>10.934828546450035</v>
      </c>
      <c r="AG689" s="8">
        <f t="shared" si="189"/>
        <v>2.1322915665577571</v>
      </c>
      <c r="AH689" s="10">
        <f t="shared" si="190"/>
        <v>5.4674142732250175</v>
      </c>
      <c r="AI689" s="63"/>
      <c r="AJ689" s="10">
        <f t="shared" si="199"/>
        <v>7.3674999999999962</v>
      </c>
      <c r="AK689" s="8"/>
      <c r="AL689" s="8">
        <f t="shared" si="191"/>
        <v>3.6837499999999981</v>
      </c>
    </row>
    <row r="690" spans="1:38">
      <c r="A690" s="18">
        <v>41466</v>
      </c>
      <c r="B690" s="19" t="s">
        <v>119</v>
      </c>
      <c r="C690" s="12">
        <v>100.6</v>
      </c>
      <c r="D690" s="19" t="s">
        <v>80</v>
      </c>
      <c r="E690" s="8">
        <v>8.4103899999999996</v>
      </c>
      <c r="F690" s="8">
        <v>83.313820000000007</v>
      </c>
      <c r="G690" s="22">
        <v>100</v>
      </c>
      <c r="H690" s="22">
        <v>28</v>
      </c>
      <c r="I690" s="10">
        <f t="shared" si="201"/>
        <v>3.4776037446826735</v>
      </c>
      <c r="J690" s="10">
        <f t="shared" si="202"/>
        <v>6.0695635424396897E-2</v>
      </c>
      <c r="K690" s="10">
        <f t="shared" si="192"/>
        <v>21.038741046347479</v>
      </c>
      <c r="L690" s="22">
        <v>202</v>
      </c>
      <c r="M690" s="49" t="s">
        <v>97</v>
      </c>
      <c r="N690" s="22" t="s">
        <v>99</v>
      </c>
      <c r="O690" s="10" t="s">
        <v>99</v>
      </c>
      <c r="P690" s="10" t="s">
        <v>99</v>
      </c>
      <c r="Q690" s="22">
        <v>0.57999999999999996</v>
      </c>
      <c r="R690" s="22" t="s">
        <v>103</v>
      </c>
      <c r="S690" s="29">
        <f>AVERAGE(10.6,11.9)</f>
        <v>11.25</v>
      </c>
      <c r="T690" s="79">
        <f t="shared" si="200"/>
        <v>9.9402187500000003E-3</v>
      </c>
      <c r="U690" s="22">
        <v>10</v>
      </c>
      <c r="V690" s="22">
        <v>55</v>
      </c>
      <c r="W690" s="10">
        <f t="shared" si="203"/>
        <v>0.95993108859688125</v>
      </c>
      <c r="X690" s="22">
        <v>7</v>
      </c>
      <c r="Y690" s="22">
        <v>28</v>
      </c>
      <c r="Z690" s="10">
        <f t="shared" si="204"/>
        <v>0.48869219055841229</v>
      </c>
      <c r="AA690" s="10">
        <f t="shared" si="205"/>
        <v>11.477821382391152</v>
      </c>
      <c r="AB690" s="10">
        <f t="shared" si="206"/>
        <v>43.643409558323732</v>
      </c>
      <c r="AC690" s="10">
        <f t="shared" si="188"/>
        <v>5.4554261947904665</v>
      </c>
      <c r="AD690" s="10">
        <f t="shared" si="197"/>
        <v>21.821704779161866</v>
      </c>
      <c r="AE690" s="65"/>
      <c r="AF690" s="10">
        <f t="shared" si="198"/>
        <v>45.732842064012601</v>
      </c>
      <c r="AG690" s="8">
        <f t="shared" si="189"/>
        <v>8.9179042024824575</v>
      </c>
      <c r="AH690" s="10">
        <f t="shared" si="190"/>
        <v>22.866421032006301</v>
      </c>
      <c r="AI690" s="63"/>
      <c r="AJ690" s="10">
        <f t="shared" si="199"/>
        <v>36.731999999999999</v>
      </c>
      <c r="AK690" s="8"/>
      <c r="AL690" s="8">
        <f t="shared" si="191"/>
        <v>18.366</v>
      </c>
    </row>
    <row r="691" spans="1:38">
      <c r="A691" s="18">
        <v>41466</v>
      </c>
      <c r="B691" s="19" t="s">
        <v>119</v>
      </c>
      <c r="C691" s="12">
        <v>100.6</v>
      </c>
      <c r="D691" s="19" t="s">
        <v>80</v>
      </c>
      <c r="E691" s="8">
        <v>8.4103899999999996</v>
      </c>
      <c r="F691" s="8">
        <v>83.313820000000007</v>
      </c>
      <c r="G691" s="22">
        <v>100</v>
      </c>
      <c r="H691" s="22">
        <v>28</v>
      </c>
      <c r="I691" s="10">
        <f t="shared" si="201"/>
        <v>3.4776037446826735</v>
      </c>
      <c r="J691" s="10">
        <f t="shared" si="202"/>
        <v>6.0695635424396897E-2</v>
      </c>
      <c r="K691" s="10">
        <f t="shared" si="192"/>
        <v>21.038741046347479</v>
      </c>
      <c r="L691" s="22">
        <v>205</v>
      </c>
      <c r="M691" s="22" t="s">
        <v>107</v>
      </c>
      <c r="N691" s="22" t="s">
        <v>63</v>
      </c>
      <c r="O691" s="10" t="s">
        <v>108</v>
      </c>
      <c r="P691" s="15" t="s">
        <v>92</v>
      </c>
      <c r="Q691" s="8">
        <v>0.57999999999999996</v>
      </c>
      <c r="R691" s="22" t="s">
        <v>190</v>
      </c>
      <c r="S691" s="29">
        <f>AVERAGE(10.7,11)</f>
        <v>10.85</v>
      </c>
      <c r="T691" s="79">
        <f t="shared" si="200"/>
        <v>9.2459251500000006E-3</v>
      </c>
      <c r="U691" s="22">
        <v>8</v>
      </c>
      <c r="V691" s="22">
        <v>30</v>
      </c>
      <c r="W691" s="10">
        <f t="shared" si="203"/>
        <v>0.52359877559829882</v>
      </c>
      <c r="X691" s="22">
        <v>7</v>
      </c>
      <c r="Y691" s="22">
        <v>28</v>
      </c>
      <c r="Z691" s="10">
        <f t="shared" si="204"/>
        <v>0.48869219055841229</v>
      </c>
      <c r="AA691" s="10">
        <f t="shared" si="205"/>
        <v>7.2863009395012348</v>
      </c>
      <c r="AB691" s="10">
        <f t="shared" si="206"/>
        <v>26.597977926826495</v>
      </c>
      <c r="AC691" s="10">
        <f t="shared" si="188"/>
        <v>3.3247472408533119</v>
      </c>
      <c r="AD691" s="10">
        <f t="shared" si="197"/>
        <v>13.298988963413247</v>
      </c>
      <c r="AE691" s="65"/>
      <c r="AF691" s="10">
        <f t="shared" si="198"/>
        <v>41.79354584153635</v>
      </c>
      <c r="AG691" s="8">
        <f t="shared" si="189"/>
        <v>8.1497414390995893</v>
      </c>
      <c r="AH691" s="10">
        <f t="shared" si="190"/>
        <v>20.896772920768175</v>
      </c>
      <c r="AI691" s="63"/>
      <c r="AJ691" s="10">
        <f t="shared" si="199"/>
        <v>32.971599999999995</v>
      </c>
      <c r="AK691" s="8"/>
      <c r="AL691" s="8">
        <f t="shared" si="191"/>
        <v>16.485799999999998</v>
      </c>
    </row>
    <row r="692" spans="1:38">
      <c r="A692" s="18">
        <v>41466</v>
      </c>
      <c r="B692" s="19" t="s">
        <v>119</v>
      </c>
      <c r="C692" s="12">
        <v>100.6</v>
      </c>
      <c r="D692" s="19" t="s">
        <v>80</v>
      </c>
      <c r="E692" s="8">
        <v>8.4103899999999996</v>
      </c>
      <c r="F692" s="8">
        <v>83.313820000000007</v>
      </c>
      <c r="G692" s="22">
        <v>100</v>
      </c>
      <c r="H692" s="22">
        <v>28</v>
      </c>
      <c r="I692" s="10">
        <f t="shared" si="201"/>
        <v>3.4776037446826735</v>
      </c>
      <c r="J692" s="10">
        <f t="shared" si="202"/>
        <v>6.0695635424396897E-2</v>
      </c>
      <c r="K692" s="10">
        <f t="shared" si="192"/>
        <v>21.038741046347479</v>
      </c>
      <c r="L692" s="22">
        <v>215</v>
      </c>
      <c r="M692" s="22" t="s">
        <v>107</v>
      </c>
      <c r="N692" s="22" t="s">
        <v>63</v>
      </c>
      <c r="O692" s="10" t="s">
        <v>108</v>
      </c>
      <c r="P692" s="15" t="s">
        <v>92</v>
      </c>
      <c r="Q692" s="8">
        <v>0.57999999999999996</v>
      </c>
      <c r="R692" s="22" t="s">
        <v>190</v>
      </c>
      <c r="S692" s="29">
        <f>AVERAGE(11,12.5)</f>
        <v>11.75</v>
      </c>
      <c r="T692" s="79">
        <f t="shared" si="200"/>
        <v>1.084342875E-2</v>
      </c>
      <c r="U692" s="22">
        <v>8</v>
      </c>
      <c r="V692" s="22">
        <v>15</v>
      </c>
      <c r="W692" s="10">
        <f t="shared" si="203"/>
        <v>0.26179938779914941</v>
      </c>
      <c r="X692" s="22">
        <v>7</v>
      </c>
      <c r="Y692" s="22">
        <v>28</v>
      </c>
      <c r="Z692" s="10">
        <f t="shared" si="204"/>
        <v>0.48869219055841229</v>
      </c>
      <c r="AA692" s="10">
        <f t="shared" si="205"/>
        <v>5.3568533003214016</v>
      </c>
      <c r="AB692" s="10">
        <f t="shared" si="206"/>
        <v>23.138243781795943</v>
      </c>
      <c r="AC692" s="10">
        <f t="shared" si="188"/>
        <v>2.8922804727244928</v>
      </c>
      <c r="AD692" s="10">
        <f t="shared" si="197"/>
        <v>11.569121890897971</v>
      </c>
      <c r="AE692" s="65"/>
      <c r="AF692" s="10">
        <f t="shared" si="198"/>
        <v>50.95888322205117</v>
      </c>
      <c r="AG692" s="8">
        <f t="shared" si="189"/>
        <v>9.9369822282999785</v>
      </c>
      <c r="AH692" s="10">
        <f t="shared" si="190"/>
        <v>25.479441611025585</v>
      </c>
      <c r="AI692" s="63"/>
      <c r="AJ692" s="10">
        <f t="shared" si="199"/>
        <v>41.765500000000003</v>
      </c>
      <c r="AK692" s="8"/>
      <c r="AL692" s="8">
        <f t="shared" si="191"/>
        <v>20.882750000000001</v>
      </c>
    </row>
    <row r="693" spans="1:38">
      <c r="A693" s="18">
        <v>41466</v>
      </c>
      <c r="B693" s="19" t="s">
        <v>119</v>
      </c>
      <c r="C693" s="12">
        <v>100.6</v>
      </c>
      <c r="D693" s="19" t="s">
        <v>80</v>
      </c>
      <c r="E693" s="8">
        <v>8.4103899999999996</v>
      </c>
      <c r="F693" s="8">
        <v>83.313820000000007</v>
      </c>
      <c r="G693" s="22">
        <v>100</v>
      </c>
      <c r="H693" s="22">
        <v>28</v>
      </c>
      <c r="I693" s="10">
        <f t="shared" si="201"/>
        <v>3.4776037446826735</v>
      </c>
      <c r="J693" s="10">
        <f t="shared" si="202"/>
        <v>6.0695635424396897E-2</v>
      </c>
      <c r="K693" s="10">
        <f t="shared" si="192"/>
        <v>21.038741046347479</v>
      </c>
      <c r="L693" s="22">
        <v>326</v>
      </c>
      <c r="M693" s="22" t="s">
        <v>129</v>
      </c>
      <c r="N693" s="22" t="s">
        <v>171</v>
      </c>
      <c r="O693" s="58" t="s">
        <v>175</v>
      </c>
      <c r="P693" s="10" t="s">
        <v>176</v>
      </c>
      <c r="Q693" s="22">
        <v>0.23</v>
      </c>
      <c r="R693" s="22" t="s">
        <v>190</v>
      </c>
      <c r="S693" s="12">
        <f>AVERAGE(13.2,11.8)</f>
        <v>12.5</v>
      </c>
      <c r="T693" s="79">
        <f t="shared" si="200"/>
        <v>1.2271875E-2</v>
      </c>
      <c r="U693" s="22">
        <v>10</v>
      </c>
      <c r="V693" s="22">
        <v>58</v>
      </c>
      <c r="W693" s="10">
        <f t="shared" si="203"/>
        <v>1.0122909661567112</v>
      </c>
      <c r="X693" s="22">
        <v>6</v>
      </c>
      <c r="Y693" s="22">
        <v>18</v>
      </c>
      <c r="Z693" s="10">
        <f t="shared" si="204"/>
        <v>0.31415926535897931</v>
      </c>
      <c r="AA693" s="10">
        <f t="shared" si="205"/>
        <v>10.334582927813944</v>
      </c>
      <c r="AB693" s="10">
        <f t="shared" si="206"/>
        <v>20.207476797942746</v>
      </c>
      <c r="AC693" s="10">
        <f t="shared" si="188"/>
        <v>2.5259345997428433</v>
      </c>
      <c r="AD693" s="10">
        <f t="shared" si="197"/>
        <v>10.103738398971373</v>
      </c>
      <c r="AE693" s="65"/>
      <c r="AF693" s="10">
        <f t="shared" si="198"/>
        <v>23.571177001296228</v>
      </c>
      <c r="AG693" s="8">
        <f t="shared" si="189"/>
        <v>4.5963795152527647</v>
      </c>
      <c r="AH693" s="10">
        <f t="shared" si="190"/>
        <v>11.785588500648114</v>
      </c>
      <c r="AI693" s="63"/>
      <c r="AJ693" s="10">
        <f t="shared" si="199"/>
        <v>50.009499999999989</v>
      </c>
      <c r="AK693" s="8"/>
      <c r="AL693" s="8">
        <f t="shared" si="191"/>
        <v>25.004749999999994</v>
      </c>
    </row>
    <row r="694" spans="1:38">
      <c r="A694" s="18">
        <v>41473</v>
      </c>
      <c r="B694" s="19" t="s">
        <v>141</v>
      </c>
      <c r="C694" s="12">
        <v>100.7</v>
      </c>
      <c r="D694" s="9" t="s">
        <v>32</v>
      </c>
      <c r="E694" s="8">
        <v>8.4085599999999996</v>
      </c>
      <c r="F694" s="16">
        <v>83.312899999999999</v>
      </c>
      <c r="G694" s="22">
        <v>100</v>
      </c>
      <c r="H694" s="22">
        <v>-17</v>
      </c>
      <c r="I694" s="10">
        <f t="shared" si="201"/>
        <v>-5.8255767953622053</v>
      </c>
      <c r="J694" s="10">
        <f t="shared" si="202"/>
        <v>-0.1016754959068504</v>
      </c>
      <c r="K694" s="10">
        <f t="shared" si="192"/>
        <v>21.109017558230889</v>
      </c>
      <c r="L694" s="22">
        <v>672</v>
      </c>
      <c r="M694" s="22" t="s">
        <v>129</v>
      </c>
      <c r="N694" s="22" t="s">
        <v>171</v>
      </c>
      <c r="O694" s="58" t="s">
        <v>175</v>
      </c>
      <c r="P694" s="10" t="s">
        <v>176</v>
      </c>
      <c r="Q694" s="22">
        <v>0.23</v>
      </c>
      <c r="R694" s="22" t="s">
        <v>190</v>
      </c>
      <c r="S694" s="12">
        <v>8.1999999999999993</v>
      </c>
      <c r="T694" s="79">
        <f t="shared" si="200"/>
        <v>5.2810295999999998E-3</v>
      </c>
      <c r="U694" s="22">
        <v>6</v>
      </c>
      <c r="V694" s="22">
        <v>48</v>
      </c>
      <c r="W694" s="10">
        <f t="shared" ref="W694:W714" si="207">RADIANS(V694)</f>
        <v>0.83775804095727824</v>
      </c>
      <c r="X694" s="22">
        <v>5</v>
      </c>
      <c r="Y694" s="22">
        <v>20</v>
      </c>
      <c r="Z694" s="10">
        <f t="shared" ref="Z694:Z714" si="208">RADIANS(Y694)</f>
        <v>0.3490658503988659</v>
      </c>
      <c r="AA694" s="10">
        <f t="shared" ref="AA694:AA714" si="209">(SIN(W694)*U694)+(SIN(Z694)*X694)</f>
        <v>6.168969669492709</v>
      </c>
      <c r="AB694" s="10">
        <f t="shared" ref="AB694:AB714" si="210">0.0776*(Q694*S694^2*AA694)^0.94</f>
        <v>5.6319113030180006</v>
      </c>
      <c r="AC694" s="10">
        <f t="shared" si="188"/>
        <v>0.70398891287725007</v>
      </c>
      <c r="AD694" s="10">
        <f t="shared" si="197"/>
        <v>2.8159556515090003</v>
      </c>
      <c r="AE694" s="65"/>
      <c r="AF694" s="10">
        <f t="shared" si="198"/>
        <v>8.2664352797920824</v>
      </c>
      <c r="AG694" s="8">
        <f t="shared" si="189"/>
        <v>1.611954879559456</v>
      </c>
      <c r="AH694" s="10">
        <f t="shared" si="190"/>
        <v>4.1332176398960412</v>
      </c>
      <c r="AI694" s="63"/>
      <c r="AJ694" s="10">
        <f t="shared" si="199"/>
        <v>14.040000000000006</v>
      </c>
      <c r="AK694" s="8"/>
      <c r="AL694" s="8">
        <f t="shared" si="191"/>
        <v>7.0200000000000031</v>
      </c>
    </row>
    <row r="695" spans="1:38">
      <c r="A695" s="18">
        <v>41473</v>
      </c>
      <c r="B695" s="19" t="s">
        <v>141</v>
      </c>
      <c r="C695" s="12">
        <v>100.7</v>
      </c>
      <c r="D695" s="19" t="s">
        <v>32</v>
      </c>
      <c r="E695" s="8">
        <v>8.4085599999999996</v>
      </c>
      <c r="F695" s="16">
        <v>83.312899999999999</v>
      </c>
      <c r="G695" s="22">
        <v>100</v>
      </c>
      <c r="H695" s="22">
        <v>-17</v>
      </c>
      <c r="I695" s="10">
        <f t="shared" si="201"/>
        <v>-5.8255767953622053</v>
      </c>
      <c r="J695" s="10">
        <f t="shared" si="202"/>
        <v>-0.1016754959068504</v>
      </c>
      <c r="K695" s="10">
        <f t="shared" si="192"/>
        <v>21.109017558230889</v>
      </c>
      <c r="L695" s="22">
        <v>754</v>
      </c>
      <c r="M695" s="31" t="s">
        <v>222</v>
      </c>
      <c r="N695" s="22" t="s">
        <v>171</v>
      </c>
      <c r="O695" s="50" t="s">
        <v>172</v>
      </c>
      <c r="P695" s="50" t="s">
        <v>173</v>
      </c>
      <c r="Q695" s="23">
        <v>0.24</v>
      </c>
      <c r="R695" s="22" t="s">
        <v>174</v>
      </c>
      <c r="S695" s="12">
        <v>20.8</v>
      </c>
      <c r="T695" s="79">
        <f t="shared" si="200"/>
        <v>3.3979545600000008E-2</v>
      </c>
      <c r="U695" s="22">
        <v>8</v>
      </c>
      <c r="V695" s="22">
        <v>50</v>
      </c>
      <c r="W695" s="10">
        <f t="shared" si="207"/>
        <v>0.87266462599716477</v>
      </c>
      <c r="X695" s="22">
        <v>7</v>
      </c>
      <c r="Y695" s="22">
        <v>20</v>
      </c>
      <c r="Z695" s="10">
        <f t="shared" si="208"/>
        <v>0.3490658503988659</v>
      </c>
      <c r="AA695" s="10">
        <f t="shared" si="209"/>
        <v>8.5224965482315049</v>
      </c>
      <c r="AB695" s="10">
        <f t="shared" si="210"/>
        <v>45.703786485288845</v>
      </c>
      <c r="AC695" s="10">
        <f t="shared" si="188"/>
        <v>5.7129733106611056</v>
      </c>
      <c r="AD695" s="10">
        <f t="shared" si="197"/>
        <v>22.851893242644422</v>
      </c>
      <c r="AE695" s="65"/>
      <c r="AF695" s="10">
        <f t="shared" si="198"/>
        <v>86.853783906075151</v>
      </c>
      <c r="AG695" s="8">
        <f t="shared" si="189"/>
        <v>16.936487861684654</v>
      </c>
      <c r="AH695" s="10">
        <f t="shared" si="190"/>
        <v>43.426891953037575</v>
      </c>
      <c r="AI695" s="63"/>
      <c r="AJ695" s="10">
        <f t="shared" si="199"/>
        <v>196.82820000000004</v>
      </c>
      <c r="AK695" s="8"/>
      <c r="AL695" s="8">
        <f t="shared" si="191"/>
        <v>98.414100000000019</v>
      </c>
    </row>
    <row r="696" spans="1:38">
      <c r="A696" s="18">
        <v>41473</v>
      </c>
      <c r="B696" s="19" t="s">
        <v>141</v>
      </c>
      <c r="C696" s="12">
        <v>100.7</v>
      </c>
      <c r="D696" s="19" t="s">
        <v>32</v>
      </c>
      <c r="E696" s="8">
        <v>8.4085599999999996</v>
      </c>
      <c r="F696" s="16">
        <v>83.312899999999999</v>
      </c>
      <c r="G696" s="22">
        <v>100</v>
      </c>
      <c r="H696" s="22">
        <v>-17</v>
      </c>
      <c r="I696" s="10">
        <f t="shared" si="201"/>
        <v>-5.8255767953622053</v>
      </c>
      <c r="J696" s="10">
        <f t="shared" si="202"/>
        <v>-0.1016754959068504</v>
      </c>
      <c r="K696" s="10">
        <f t="shared" si="192"/>
        <v>21.109017558230889</v>
      </c>
      <c r="L696" s="22">
        <v>769</v>
      </c>
      <c r="M696" s="22" t="s">
        <v>230</v>
      </c>
      <c r="N696" s="22" t="s">
        <v>225</v>
      </c>
      <c r="O696" s="10" t="s">
        <v>223</v>
      </c>
      <c r="P696" s="10" t="s">
        <v>224</v>
      </c>
      <c r="Q696" s="22">
        <v>0.55000000000000004</v>
      </c>
      <c r="R696" s="22" t="s">
        <v>190</v>
      </c>
      <c r="S696" s="12">
        <v>26.2</v>
      </c>
      <c r="T696" s="79">
        <f t="shared" si="200"/>
        <v>5.3912997599999998E-2</v>
      </c>
      <c r="U696" s="22">
        <v>17</v>
      </c>
      <c r="V696" s="22">
        <v>53</v>
      </c>
      <c r="W696" s="10">
        <f t="shared" si="207"/>
        <v>0.92502450355699462</v>
      </c>
      <c r="X696" s="22">
        <v>7</v>
      </c>
      <c r="Y696" s="22">
        <v>15</v>
      </c>
      <c r="Z696" s="10">
        <f t="shared" si="208"/>
        <v>0.26179938779914941</v>
      </c>
      <c r="AA696" s="10">
        <f t="shared" si="209"/>
        <v>15.388536986521622</v>
      </c>
      <c r="AB696" s="10">
        <f t="shared" si="210"/>
        <v>268.02454647010916</v>
      </c>
      <c r="AC696" s="10">
        <f t="shared" ref="AC696:AC757" si="211">AB696*0.125</f>
        <v>33.503068308763645</v>
      </c>
      <c r="AD696" s="10">
        <f t="shared" si="197"/>
        <v>134.01227323505458</v>
      </c>
      <c r="AE696" s="65"/>
      <c r="AF696" s="10">
        <f t="shared" si="198"/>
        <v>350.14203574804066</v>
      </c>
      <c r="AG696" s="8">
        <f t="shared" ref="AG696:AG757" si="212">AF696*0.195</f>
        <v>68.277696970867936</v>
      </c>
      <c r="AH696" s="10">
        <f t="shared" ref="AH696:AH757" si="213">AF696/2</f>
        <v>175.07101787402033</v>
      </c>
      <c r="AI696" s="63"/>
      <c r="AJ696" s="10">
        <f t="shared" si="199"/>
        <v>347.09399999999994</v>
      </c>
      <c r="AK696" s="8"/>
      <c r="AL696" s="8">
        <f t="shared" ref="AL696:AL757" si="214">AJ696/2</f>
        <v>173.54699999999997</v>
      </c>
    </row>
    <row r="697" spans="1:38">
      <c r="A697" s="18">
        <v>41473</v>
      </c>
      <c r="B697" s="19" t="s">
        <v>141</v>
      </c>
      <c r="C697" s="12">
        <v>100.7</v>
      </c>
      <c r="D697" s="19" t="s">
        <v>32</v>
      </c>
      <c r="E697" s="8">
        <v>8.4085599999999996</v>
      </c>
      <c r="F697" s="16">
        <v>83.312899999999999</v>
      </c>
      <c r="G697" s="22">
        <v>100</v>
      </c>
      <c r="H697" s="22">
        <v>-17</v>
      </c>
      <c r="I697" s="10">
        <f t="shared" si="201"/>
        <v>-5.8255767953622053</v>
      </c>
      <c r="J697" s="10">
        <f t="shared" si="202"/>
        <v>-0.1016754959068504</v>
      </c>
      <c r="K697" s="10">
        <f t="shared" si="192"/>
        <v>21.109017558230889</v>
      </c>
      <c r="L697" s="22">
        <v>692</v>
      </c>
      <c r="M697" s="22" t="s">
        <v>54</v>
      </c>
      <c r="N697" s="8" t="s">
        <v>55</v>
      </c>
      <c r="O697" s="10" t="s">
        <v>56</v>
      </c>
      <c r="P697" s="10" t="s">
        <v>57</v>
      </c>
      <c r="Q697" s="11">
        <v>0.315</v>
      </c>
      <c r="R697" s="12" t="s">
        <v>66</v>
      </c>
      <c r="S697" s="31">
        <v>17.5</v>
      </c>
      <c r="T697" s="79">
        <f t="shared" si="200"/>
        <v>2.4052875000000001E-2</v>
      </c>
      <c r="U697" s="22">
        <v>23</v>
      </c>
      <c r="V697" s="22">
        <v>56</v>
      </c>
      <c r="W697" s="10">
        <f t="shared" si="207"/>
        <v>0.97738438111682457</v>
      </c>
      <c r="X697" s="22">
        <v>10</v>
      </c>
      <c r="Y697" s="22">
        <v>12</v>
      </c>
      <c r="Z697" s="10">
        <f t="shared" si="208"/>
        <v>0.20943951023931956</v>
      </c>
      <c r="AA697" s="10">
        <f t="shared" si="209"/>
        <v>21.146981076943554</v>
      </c>
      <c r="AB697" s="10">
        <f t="shared" si="210"/>
        <v>100.21175025958784</v>
      </c>
      <c r="AC697" s="10">
        <f t="shared" si="211"/>
        <v>12.526468782448481</v>
      </c>
      <c r="AD697" s="10">
        <f t="shared" si="197"/>
        <v>50.105875129793922</v>
      </c>
      <c r="AE697" s="65"/>
      <c r="AF697" s="10">
        <f t="shared" si="198"/>
        <v>74.431462835493761</v>
      </c>
      <c r="AG697" s="8">
        <f t="shared" si="212"/>
        <v>14.514135252921283</v>
      </c>
      <c r="AH697" s="10">
        <f t="shared" si="213"/>
        <v>37.215731417746881</v>
      </c>
      <c r="AI697" s="63"/>
      <c r="AJ697" s="10">
        <f t="shared" si="199"/>
        <v>126.24449999999999</v>
      </c>
      <c r="AK697" s="8"/>
      <c r="AL697" s="8">
        <f t="shared" si="214"/>
        <v>63.122249999999994</v>
      </c>
    </row>
    <row r="698" spans="1:38">
      <c r="A698" s="18">
        <v>41473</v>
      </c>
      <c r="B698" s="19" t="s">
        <v>141</v>
      </c>
      <c r="C698" s="12">
        <v>100.7</v>
      </c>
      <c r="D698" s="19" t="s">
        <v>32</v>
      </c>
      <c r="E698" s="8">
        <v>8.4085599999999996</v>
      </c>
      <c r="F698" s="16">
        <v>83.312899999999999</v>
      </c>
      <c r="G698" s="22">
        <v>100</v>
      </c>
      <c r="H698" s="22">
        <v>-17</v>
      </c>
      <c r="I698" s="10">
        <f t="shared" si="201"/>
        <v>-5.8255767953622053</v>
      </c>
      <c r="J698" s="10">
        <f t="shared" si="202"/>
        <v>-0.1016754959068504</v>
      </c>
      <c r="K698" s="10">
        <f t="shared" si="192"/>
        <v>21.109017558230889</v>
      </c>
      <c r="L698" s="22">
        <v>766</v>
      </c>
      <c r="M698" s="22" t="s">
        <v>54</v>
      </c>
      <c r="N698" s="8" t="s">
        <v>55</v>
      </c>
      <c r="O698" s="10" t="s">
        <v>56</v>
      </c>
      <c r="P698" s="10" t="s">
        <v>57</v>
      </c>
      <c r="Q698" s="11">
        <v>0.315</v>
      </c>
      <c r="R698" s="12" t="s">
        <v>66</v>
      </c>
      <c r="S698" s="30">
        <v>23</v>
      </c>
      <c r="T698" s="79">
        <f t="shared" si="200"/>
        <v>4.154766E-2</v>
      </c>
      <c r="U698" s="22">
        <v>21</v>
      </c>
      <c r="V698" s="22">
        <v>71</v>
      </c>
      <c r="W698" s="10">
        <f t="shared" si="207"/>
        <v>1.2391837689159739</v>
      </c>
      <c r="X698" s="22">
        <v>5</v>
      </c>
      <c r="Y698" s="22">
        <v>10</v>
      </c>
      <c r="Z698" s="10">
        <f t="shared" si="208"/>
        <v>0.17453292519943295</v>
      </c>
      <c r="AA698" s="10">
        <f t="shared" si="209"/>
        <v>20.724130975920303</v>
      </c>
      <c r="AB698" s="10">
        <f t="shared" si="210"/>
        <v>164.36514310193922</v>
      </c>
      <c r="AC698" s="10">
        <f t="shared" si="211"/>
        <v>20.545642887742403</v>
      </c>
      <c r="AD698" s="10">
        <f t="shared" si="197"/>
        <v>82.182571550969612</v>
      </c>
      <c r="AE698" s="65"/>
      <c r="AF698" s="10">
        <f t="shared" si="198"/>
        <v>145.90674719443388</v>
      </c>
      <c r="AG698" s="8">
        <f t="shared" si="212"/>
        <v>28.451815702914608</v>
      </c>
      <c r="AH698" s="10">
        <f t="shared" si="213"/>
        <v>72.953373597216938</v>
      </c>
      <c r="AI698" s="63"/>
      <c r="AJ698" s="10">
        <f t="shared" si="199"/>
        <v>252.83799999999997</v>
      </c>
      <c r="AK698" s="8"/>
      <c r="AL698" s="8">
        <f t="shared" si="214"/>
        <v>126.41899999999998</v>
      </c>
    </row>
    <row r="699" spans="1:38">
      <c r="A699" s="18">
        <v>41473</v>
      </c>
      <c r="B699" s="19" t="s">
        <v>141</v>
      </c>
      <c r="C699" s="12">
        <v>100.7</v>
      </c>
      <c r="D699" s="19" t="s">
        <v>32</v>
      </c>
      <c r="E699" s="8">
        <v>8.4085599999999996</v>
      </c>
      <c r="F699" s="16">
        <v>83.312899999999999</v>
      </c>
      <c r="G699" s="22">
        <v>100</v>
      </c>
      <c r="H699" s="22">
        <v>-17</v>
      </c>
      <c r="I699" s="10">
        <f t="shared" si="201"/>
        <v>-5.8255767953622053</v>
      </c>
      <c r="J699" s="10">
        <f t="shared" si="202"/>
        <v>-0.1016754959068504</v>
      </c>
      <c r="K699" s="10">
        <f t="shared" si="192"/>
        <v>21.109017558230889</v>
      </c>
      <c r="L699" s="22">
        <v>674</v>
      </c>
      <c r="M699" s="22" t="s">
        <v>54</v>
      </c>
      <c r="N699" s="8" t="s">
        <v>55</v>
      </c>
      <c r="O699" s="10" t="s">
        <v>56</v>
      </c>
      <c r="P699" s="10" t="s">
        <v>57</v>
      </c>
      <c r="Q699" s="11">
        <v>0.315</v>
      </c>
      <c r="R699" s="12" t="s">
        <v>66</v>
      </c>
      <c r="S699" s="31">
        <v>9.8000000000000007</v>
      </c>
      <c r="T699" s="79">
        <f t="shared" si="200"/>
        <v>7.5429816000000018E-3</v>
      </c>
      <c r="U699" s="22">
        <v>11</v>
      </c>
      <c r="V699" s="22">
        <v>58</v>
      </c>
      <c r="W699" s="10">
        <f t="shared" si="207"/>
        <v>1.0122909661567112</v>
      </c>
      <c r="X699" s="22">
        <v>5</v>
      </c>
      <c r="Y699" s="22">
        <v>10</v>
      </c>
      <c r="Z699" s="10">
        <f t="shared" si="208"/>
        <v>0.17453292519943295</v>
      </c>
      <c r="AA699" s="10">
        <f t="shared" si="209"/>
        <v>10.196769946055337</v>
      </c>
      <c r="AB699" s="10">
        <f t="shared" si="210"/>
        <v>16.972019729696786</v>
      </c>
      <c r="AC699" s="10">
        <f t="shared" si="211"/>
        <v>2.1215024662120983</v>
      </c>
      <c r="AD699" s="10">
        <f t="shared" si="197"/>
        <v>8.486009864848393</v>
      </c>
      <c r="AE699" s="65"/>
      <c r="AF699" s="10">
        <f t="shared" si="198"/>
        <v>17.622157095118737</v>
      </c>
      <c r="AG699" s="8">
        <f t="shared" si="212"/>
        <v>3.4363206335481538</v>
      </c>
      <c r="AH699" s="10">
        <f t="shared" si="213"/>
        <v>8.8110785475593687</v>
      </c>
      <c r="AI699" s="63"/>
      <c r="AJ699" s="10">
        <f t="shared" si="199"/>
        <v>24.227199999999996</v>
      </c>
      <c r="AK699" s="8"/>
      <c r="AL699" s="8">
        <f t="shared" si="214"/>
        <v>12.113599999999998</v>
      </c>
    </row>
    <row r="700" spans="1:38">
      <c r="A700" s="18">
        <v>41473</v>
      </c>
      <c r="B700" s="19" t="s">
        <v>141</v>
      </c>
      <c r="C700" s="12">
        <v>100.7</v>
      </c>
      <c r="D700" s="19" t="s">
        <v>32</v>
      </c>
      <c r="E700" s="8">
        <v>8.4085599999999996</v>
      </c>
      <c r="F700" s="16">
        <v>83.312899999999999</v>
      </c>
      <c r="G700" s="22">
        <v>100</v>
      </c>
      <c r="H700" s="22">
        <v>-17</v>
      </c>
      <c r="I700" s="10">
        <f t="shared" si="201"/>
        <v>-5.8255767953622053</v>
      </c>
      <c r="J700" s="10">
        <f t="shared" si="202"/>
        <v>-0.1016754959068504</v>
      </c>
      <c r="K700" s="10">
        <f t="shared" si="192"/>
        <v>21.109017558230889</v>
      </c>
      <c r="L700" s="22">
        <v>720</v>
      </c>
      <c r="M700" s="22" t="s">
        <v>54</v>
      </c>
      <c r="N700" s="8" t="s">
        <v>55</v>
      </c>
      <c r="O700" s="10" t="s">
        <v>56</v>
      </c>
      <c r="P700" s="10" t="s">
        <v>57</v>
      </c>
      <c r="Q700" s="11">
        <v>0.315</v>
      </c>
      <c r="R700" s="12" t="s">
        <v>66</v>
      </c>
      <c r="S700" s="30">
        <v>14</v>
      </c>
      <c r="T700" s="79">
        <f t="shared" si="200"/>
        <v>1.5393840000000001E-2</v>
      </c>
      <c r="U700" s="22">
        <v>14</v>
      </c>
      <c r="V700" s="22">
        <v>60</v>
      </c>
      <c r="W700" s="10">
        <f t="shared" si="207"/>
        <v>1.0471975511965976</v>
      </c>
      <c r="X700" s="22">
        <v>5</v>
      </c>
      <c r="Y700" s="22">
        <v>19</v>
      </c>
      <c r="Z700" s="10">
        <f t="shared" si="208"/>
        <v>0.33161255787892263</v>
      </c>
      <c r="AA700" s="10">
        <f t="shared" si="209"/>
        <v>13.752196425267924</v>
      </c>
      <c r="AB700" s="10">
        <f t="shared" si="210"/>
        <v>43.960648629911176</v>
      </c>
      <c r="AC700" s="10">
        <f t="shared" si="211"/>
        <v>5.4950810787388971</v>
      </c>
      <c r="AD700" s="10">
        <f t="shared" si="197"/>
        <v>21.980324314955588</v>
      </c>
      <c r="AE700" s="65"/>
      <c r="AF700" s="10">
        <f t="shared" si="198"/>
        <v>42.791898840963192</v>
      </c>
      <c r="AG700" s="8">
        <f t="shared" si="212"/>
        <v>8.3444202739878222</v>
      </c>
      <c r="AH700" s="10">
        <f t="shared" si="213"/>
        <v>21.395949420481596</v>
      </c>
      <c r="AI700" s="63"/>
      <c r="AJ700" s="10">
        <f t="shared" si="199"/>
        <v>68.99499999999999</v>
      </c>
      <c r="AK700" s="8"/>
      <c r="AL700" s="8">
        <f t="shared" si="214"/>
        <v>34.497499999999995</v>
      </c>
    </row>
    <row r="701" spans="1:38">
      <c r="A701" s="18">
        <v>41473</v>
      </c>
      <c r="B701" s="19" t="s">
        <v>141</v>
      </c>
      <c r="C701" s="12">
        <v>100.7</v>
      </c>
      <c r="D701" s="19" t="s">
        <v>32</v>
      </c>
      <c r="E701" s="8">
        <v>8.4085599999999996</v>
      </c>
      <c r="F701" s="16">
        <v>83.312899999999999</v>
      </c>
      <c r="G701" s="22">
        <v>100</v>
      </c>
      <c r="H701" s="22">
        <v>-17</v>
      </c>
      <c r="I701" s="10">
        <f t="shared" si="201"/>
        <v>-5.8255767953622053</v>
      </c>
      <c r="J701" s="10">
        <f t="shared" si="202"/>
        <v>-0.1016754959068504</v>
      </c>
      <c r="K701" s="10">
        <f t="shared" ref="K701:K762" si="215">21/COS(J701)</f>
        <v>21.109017558230889</v>
      </c>
      <c r="L701" s="22">
        <v>589</v>
      </c>
      <c r="M701" s="22" t="s">
        <v>54</v>
      </c>
      <c r="N701" s="8" t="s">
        <v>55</v>
      </c>
      <c r="O701" s="10" t="s">
        <v>56</v>
      </c>
      <c r="P701" s="10" t="s">
        <v>57</v>
      </c>
      <c r="Q701" s="11">
        <v>0.315</v>
      </c>
      <c r="R701" s="12" t="s">
        <v>66</v>
      </c>
      <c r="S701" s="31">
        <v>7.9</v>
      </c>
      <c r="T701" s="79">
        <f t="shared" si="200"/>
        <v>4.9016814000000008E-3</v>
      </c>
      <c r="U701" s="22">
        <v>8</v>
      </c>
      <c r="V701" s="22">
        <v>42</v>
      </c>
      <c r="W701" s="10">
        <f t="shared" si="207"/>
        <v>0.73303828583761843</v>
      </c>
      <c r="X701" s="22">
        <v>5</v>
      </c>
      <c r="Y701" s="22">
        <v>12</v>
      </c>
      <c r="Z701" s="10">
        <f t="shared" si="208"/>
        <v>0.20943951023931956</v>
      </c>
      <c r="AA701" s="10">
        <f t="shared" si="209"/>
        <v>6.3926033049596622</v>
      </c>
      <c r="AB701" s="10">
        <f t="shared" si="210"/>
        <v>7.2970893345996588</v>
      </c>
      <c r="AC701" s="10">
        <f t="shared" si="211"/>
        <v>0.91213616682495735</v>
      </c>
      <c r="AD701" s="10">
        <f t="shared" si="197"/>
        <v>3.6485446672998294</v>
      </c>
      <c r="AE701" s="65"/>
      <c r="AF701" s="10">
        <f t="shared" si="198"/>
        <v>10.323110694046106</v>
      </c>
      <c r="AG701" s="8">
        <f t="shared" si="212"/>
        <v>2.0130065853389905</v>
      </c>
      <c r="AH701" s="10">
        <f t="shared" si="213"/>
        <v>5.1615553470230529</v>
      </c>
      <c r="AI701" s="63"/>
      <c r="AJ701" s="10">
        <f t="shared" si="199"/>
        <v>12.55169999999999</v>
      </c>
      <c r="AK701" s="8"/>
      <c r="AL701" s="8">
        <f t="shared" si="214"/>
        <v>6.2758499999999948</v>
      </c>
    </row>
    <row r="702" spans="1:38">
      <c r="A702" s="18">
        <v>41473</v>
      </c>
      <c r="B702" s="19" t="s">
        <v>141</v>
      </c>
      <c r="C702" s="12">
        <v>100.7</v>
      </c>
      <c r="D702" s="19" t="s">
        <v>32</v>
      </c>
      <c r="E702" s="8">
        <v>8.4085599999999996</v>
      </c>
      <c r="F702" s="16">
        <v>83.312899999999999</v>
      </c>
      <c r="G702" s="22">
        <v>100</v>
      </c>
      <c r="H702" s="22">
        <v>-17</v>
      </c>
      <c r="I702" s="10">
        <f t="shared" si="201"/>
        <v>-5.8255767953622053</v>
      </c>
      <c r="J702" s="10">
        <f t="shared" si="202"/>
        <v>-0.1016754959068504</v>
      </c>
      <c r="K702" s="10">
        <f t="shared" si="215"/>
        <v>21.109017558230889</v>
      </c>
      <c r="L702" s="22">
        <v>777</v>
      </c>
      <c r="M702" s="22" t="s">
        <v>39</v>
      </c>
      <c r="N702" s="7" t="s">
        <v>69</v>
      </c>
      <c r="O702" s="33" t="s">
        <v>65</v>
      </c>
      <c r="P702" s="33" t="s">
        <v>70</v>
      </c>
      <c r="Q702" s="7">
        <v>0.37</v>
      </c>
      <c r="R702" s="7" t="s">
        <v>71</v>
      </c>
      <c r="S702" s="30">
        <v>45.8</v>
      </c>
      <c r="T702" s="79">
        <f t="shared" si="200"/>
        <v>0.16474864559999999</v>
      </c>
      <c r="U702" s="22">
        <v>14</v>
      </c>
      <c r="V702" s="22">
        <v>70</v>
      </c>
      <c r="W702" s="10">
        <f t="shared" si="207"/>
        <v>1.2217304763960306</v>
      </c>
      <c r="X702" s="22">
        <v>6</v>
      </c>
      <c r="Y702" s="22">
        <v>22</v>
      </c>
      <c r="Z702" s="10">
        <f t="shared" si="208"/>
        <v>0.38397243543875248</v>
      </c>
      <c r="AA702" s="10">
        <f t="shared" si="209"/>
        <v>15.403336251498189</v>
      </c>
      <c r="AB702" s="10">
        <f t="shared" si="210"/>
        <v>528.14886259053583</v>
      </c>
      <c r="AC702" s="10">
        <f t="shared" si="211"/>
        <v>66.018607823816978</v>
      </c>
      <c r="AD702" s="10">
        <f t="shared" si="197"/>
        <v>264.07443129526791</v>
      </c>
      <c r="AE702" s="65"/>
      <c r="AF702" s="10">
        <f t="shared" si="198"/>
        <v>892.99652405158236</v>
      </c>
      <c r="AG702" s="8">
        <f t="shared" si="212"/>
        <v>174.13432219005855</v>
      </c>
      <c r="AH702" s="10">
        <f t="shared" si="213"/>
        <v>446.49826202579118</v>
      </c>
      <c r="AI702" s="63"/>
      <c r="AJ702" s="10">
        <f t="shared" si="199"/>
        <v>1255.1031999999998</v>
      </c>
      <c r="AK702" s="8"/>
      <c r="AL702" s="8">
        <f t="shared" si="214"/>
        <v>627.55159999999989</v>
      </c>
    </row>
    <row r="703" spans="1:38">
      <c r="A703" s="18">
        <v>41473</v>
      </c>
      <c r="B703" s="19" t="s">
        <v>141</v>
      </c>
      <c r="C703" s="12">
        <v>100.7</v>
      </c>
      <c r="D703" s="19" t="s">
        <v>32</v>
      </c>
      <c r="E703" s="8">
        <v>8.4085599999999996</v>
      </c>
      <c r="F703" s="16">
        <v>83.312899999999999</v>
      </c>
      <c r="G703" s="22">
        <v>100</v>
      </c>
      <c r="H703" s="22">
        <v>-17</v>
      </c>
      <c r="I703" s="10">
        <f t="shared" si="201"/>
        <v>-5.8255767953622053</v>
      </c>
      <c r="J703" s="10">
        <f t="shared" si="202"/>
        <v>-0.1016754959068504</v>
      </c>
      <c r="K703" s="10">
        <f t="shared" si="215"/>
        <v>21.109017558230889</v>
      </c>
      <c r="L703" s="22">
        <v>603</v>
      </c>
      <c r="M703" s="22" t="s">
        <v>54</v>
      </c>
      <c r="N703" s="8" t="s">
        <v>55</v>
      </c>
      <c r="O703" s="10" t="s">
        <v>56</v>
      </c>
      <c r="P703" s="10" t="s">
        <v>57</v>
      </c>
      <c r="Q703" s="11">
        <v>0.315</v>
      </c>
      <c r="R703" s="12" t="s">
        <v>66</v>
      </c>
      <c r="S703" s="31">
        <v>16</v>
      </c>
      <c r="T703" s="79">
        <f t="shared" si="200"/>
        <v>2.0106240000000001E-2</v>
      </c>
      <c r="U703" s="22">
        <v>13</v>
      </c>
      <c r="V703" s="22">
        <v>68</v>
      </c>
      <c r="W703" s="10">
        <f t="shared" si="207"/>
        <v>1.1868238913561442</v>
      </c>
      <c r="X703" s="22">
        <v>5</v>
      </c>
      <c r="Y703" s="22">
        <v>22</v>
      </c>
      <c r="Z703" s="10">
        <f t="shared" si="208"/>
        <v>0.38397243543875248</v>
      </c>
      <c r="AA703" s="10">
        <f t="shared" si="209"/>
        <v>13.926423076447797</v>
      </c>
      <c r="AB703" s="10">
        <f t="shared" si="210"/>
        <v>57.177928702321296</v>
      </c>
      <c r="AC703" s="10">
        <f t="shared" si="211"/>
        <v>7.147241087790162</v>
      </c>
      <c r="AD703" s="10">
        <f t="shared" si="197"/>
        <v>28.588964351160648</v>
      </c>
      <c r="AE703" s="65"/>
      <c r="AF703" s="10">
        <f t="shared" si="198"/>
        <v>59.614085368669485</v>
      </c>
      <c r="AG703" s="8">
        <f t="shared" si="212"/>
        <v>11.62474664689055</v>
      </c>
      <c r="AH703" s="10">
        <f t="shared" si="213"/>
        <v>29.807042684334743</v>
      </c>
      <c r="AI703" s="63"/>
      <c r="AJ703" s="10">
        <f t="shared" si="199"/>
        <v>99.48899999999999</v>
      </c>
      <c r="AK703" s="8"/>
      <c r="AL703" s="8">
        <f t="shared" si="214"/>
        <v>49.744499999999995</v>
      </c>
    </row>
    <row r="704" spans="1:38">
      <c r="A704" s="18">
        <v>41473</v>
      </c>
      <c r="B704" s="19" t="s">
        <v>141</v>
      </c>
      <c r="C704" s="12">
        <v>100.7</v>
      </c>
      <c r="D704" s="19" t="s">
        <v>32</v>
      </c>
      <c r="E704" s="8">
        <v>8.4085599999999996</v>
      </c>
      <c r="F704" s="16">
        <v>83.312899999999999</v>
      </c>
      <c r="G704" s="22">
        <v>100</v>
      </c>
      <c r="H704" s="22">
        <v>-17</v>
      </c>
      <c r="I704" s="10">
        <f t="shared" si="201"/>
        <v>-5.8255767953622053</v>
      </c>
      <c r="J704" s="10">
        <f t="shared" si="202"/>
        <v>-0.1016754959068504</v>
      </c>
      <c r="K704" s="10">
        <f t="shared" si="215"/>
        <v>21.109017558230889</v>
      </c>
      <c r="L704" s="22">
        <v>752</v>
      </c>
      <c r="M704" s="22" t="s">
        <v>130</v>
      </c>
      <c r="N704" s="8" t="s">
        <v>99</v>
      </c>
      <c r="O704" s="10" t="s">
        <v>99</v>
      </c>
      <c r="P704" s="10" t="s">
        <v>99</v>
      </c>
      <c r="Q704" s="8">
        <v>0.57999999999999996</v>
      </c>
      <c r="R704" s="8" t="s">
        <v>103</v>
      </c>
      <c r="S704" s="30">
        <v>8.5</v>
      </c>
      <c r="T704" s="79">
        <f t="shared" si="200"/>
        <v>5.6745150000000006E-3</v>
      </c>
      <c r="U704" s="22">
        <v>7</v>
      </c>
      <c r="V704" s="22">
        <v>30</v>
      </c>
      <c r="W704" s="10">
        <f t="shared" si="207"/>
        <v>0.52359877559829882</v>
      </c>
      <c r="X704" s="22">
        <v>6</v>
      </c>
      <c r="Y704" s="22">
        <v>21</v>
      </c>
      <c r="Z704" s="10">
        <f t="shared" si="208"/>
        <v>0.36651914291880922</v>
      </c>
      <c r="AA704" s="10">
        <f t="shared" si="209"/>
        <v>5.6502076972718012</v>
      </c>
      <c r="AB704" s="10">
        <f t="shared" si="210"/>
        <v>13.235250431649249</v>
      </c>
      <c r="AC704" s="10">
        <f t="shared" si="211"/>
        <v>1.6544063039561561</v>
      </c>
      <c r="AD704" s="10">
        <f t="shared" si="197"/>
        <v>6.6176252158246243</v>
      </c>
      <c r="AE704" s="65"/>
      <c r="AF704" s="10">
        <f t="shared" si="198"/>
        <v>22.787780222022516</v>
      </c>
      <c r="AG704" s="8">
        <f t="shared" si="212"/>
        <v>4.4436171432943903</v>
      </c>
      <c r="AH704" s="10">
        <f t="shared" si="213"/>
        <v>11.393890111011258</v>
      </c>
      <c r="AI704" s="63"/>
      <c r="AJ704" s="10">
        <f t="shared" si="199"/>
        <v>15.661499999999997</v>
      </c>
      <c r="AK704" s="8"/>
      <c r="AL704" s="8">
        <f t="shared" si="214"/>
        <v>7.8307499999999983</v>
      </c>
    </row>
    <row r="705" spans="1:38">
      <c r="A705" s="18">
        <v>41473</v>
      </c>
      <c r="B705" s="19" t="s">
        <v>141</v>
      </c>
      <c r="C705" s="12">
        <v>100.7</v>
      </c>
      <c r="D705" s="19" t="s">
        <v>32</v>
      </c>
      <c r="E705" s="8">
        <v>8.4085599999999996</v>
      </c>
      <c r="F705" s="16">
        <v>83.312899999999999</v>
      </c>
      <c r="G705" s="22">
        <v>100</v>
      </c>
      <c r="H705" s="22">
        <v>-17</v>
      </c>
      <c r="I705" s="10">
        <f t="shared" si="201"/>
        <v>-5.8255767953622053</v>
      </c>
      <c r="J705" s="10">
        <f t="shared" si="202"/>
        <v>-0.1016754959068504</v>
      </c>
      <c r="K705" s="10">
        <f t="shared" si="215"/>
        <v>21.109017558230889</v>
      </c>
      <c r="L705" s="22">
        <v>595</v>
      </c>
      <c r="M705" s="22" t="s">
        <v>130</v>
      </c>
      <c r="N705" s="8" t="s">
        <v>99</v>
      </c>
      <c r="O705" s="10" t="s">
        <v>99</v>
      </c>
      <c r="P705" s="10" t="s">
        <v>99</v>
      </c>
      <c r="Q705" s="8">
        <v>0.57999999999999996</v>
      </c>
      <c r="R705" s="8" t="s">
        <v>103</v>
      </c>
      <c r="S705" s="31">
        <v>11.5</v>
      </c>
      <c r="T705" s="79">
        <f t="shared" si="200"/>
        <v>1.0386915E-2</v>
      </c>
      <c r="U705" s="22">
        <v>7</v>
      </c>
      <c r="V705" s="22">
        <v>10</v>
      </c>
      <c r="W705" s="10">
        <f t="shared" si="207"/>
        <v>0.17453292519943295</v>
      </c>
      <c r="X705" s="22">
        <v>6</v>
      </c>
      <c r="Y705" s="22">
        <v>18</v>
      </c>
      <c r="Z705" s="10">
        <f t="shared" si="208"/>
        <v>0.31415926535897931</v>
      </c>
      <c r="AA705" s="10">
        <f t="shared" si="209"/>
        <v>3.0696392099181966</v>
      </c>
      <c r="AB705" s="10">
        <f t="shared" si="210"/>
        <v>13.166127871766461</v>
      </c>
      <c r="AC705" s="10">
        <f t="shared" si="211"/>
        <v>1.6457659839708076</v>
      </c>
      <c r="AD705" s="10">
        <f t="shared" si="197"/>
        <v>6.5830639358832306</v>
      </c>
      <c r="AE705" s="65"/>
      <c r="AF705" s="10">
        <f t="shared" si="198"/>
        <v>48.303569579531739</v>
      </c>
      <c r="AG705" s="8">
        <f t="shared" si="212"/>
        <v>9.4191960680086897</v>
      </c>
      <c r="AH705" s="10">
        <f t="shared" si="213"/>
        <v>24.15178478976587</v>
      </c>
      <c r="AI705" s="63"/>
      <c r="AJ705" s="10">
        <f t="shared" si="199"/>
        <v>39.202499999999986</v>
      </c>
      <c r="AK705" s="8"/>
      <c r="AL705" s="8">
        <f t="shared" si="214"/>
        <v>19.601249999999993</v>
      </c>
    </row>
    <row r="706" spans="1:38">
      <c r="A706" s="18">
        <v>41473</v>
      </c>
      <c r="B706" s="19" t="s">
        <v>141</v>
      </c>
      <c r="C706" s="12">
        <v>100.7</v>
      </c>
      <c r="D706" s="19" t="s">
        <v>32</v>
      </c>
      <c r="E706" s="8">
        <v>8.4085599999999996</v>
      </c>
      <c r="F706" s="16">
        <v>83.312899999999999</v>
      </c>
      <c r="G706" s="22">
        <v>100</v>
      </c>
      <c r="H706" s="22">
        <v>-17</v>
      </c>
      <c r="I706" s="10">
        <f t="shared" si="201"/>
        <v>-5.8255767953622053</v>
      </c>
      <c r="J706" s="10">
        <f t="shared" si="202"/>
        <v>-0.1016754959068504</v>
      </c>
      <c r="K706" s="10">
        <f t="shared" si="215"/>
        <v>21.109017558230889</v>
      </c>
      <c r="L706" s="22">
        <v>649</v>
      </c>
      <c r="M706" s="22" t="s">
        <v>39</v>
      </c>
      <c r="N706" s="7" t="s">
        <v>69</v>
      </c>
      <c r="O706" s="33" t="s">
        <v>65</v>
      </c>
      <c r="P706" s="33" t="s">
        <v>70</v>
      </c>
      <c r="Q706" s="7">
        <v>0.37</v>
      </c>
      <c r="R706" s="7" t="s">
        <v>71</v>
      </c>
      <c r="S706" s="30">
        <v>12.3</v>
      </c>
      <c r="T706" s="79">
        <f t="shared" si="200"/>
        <v>1.1882316600000001E-2</v>
      </c>
      <c r="U706" s="22">
        <v>7</v>
      </c>
      <c r="V706" s="22">
        <v>30</v>
      </c>
      <c r="W706" s="10">
        <f t="shared" si="207"/>
        <v>0.52359877559829882</v>
      </c>
      <c r="X706" s="22">
        <v>6</v>
      </c>
      <c r="Y706" s="22">
        <v>18</v>
      </c>
      <c r="Z706" s="10">
        <f t="shared" si="208"/>
        <v>0.31415926535897931</v>
      </c>
      <c r="AA706" s="10">
        <f t="shared" si="209"/>
        <v>5.3541019662496838</v>
      </c>
      <c r="AB706" s="10">
        <f t="shared" si="210"/>
        <v>16.518035341107737</v>
      </c>
      <c r="AC706" s="10">
        <f t="shared" si="211"/>
        <v>2.0647544176384671</v>
      </c>
      <c r="AD706" s="10">
        <f t="shared" si="197"/>
        <v>8.2590176705538685</v>
      </c>
      <c r="AE706" s="65"/>
      <c r="AF706" s="10">
        <f t="shared" si="198"/>
        <v>36.427319212704134</v>
      </c>
      <c r="AG706" s="8">
        <f t="shared" si="212"/>
        <v>7.1033272464773063</v>
      </c>
      <c r="AH706" s="10">
        <f t="shared" si="213"/>
        <v>18.213659606352067</v>
      </c>
      <c r="AI706" s="63"/>
      <c r="AJ706" s="10">
        <f t="shared" si="199"/>
        <v>47.729700000000008</v>
      </c>
      <c r="AK706" s="8"/>
      <c r="AL706" s="8">
        <f t="shared" si="214"/>
        <v>23.864850000000004</v>
      </c>
    </row>
    <row r="707" spans="1:38">
      <c r="A707" s="18">
        <v>41473</v>
      </c>
      <c r="B707" s="19" t="s">
        <v>141</v>
      </c>
      <c r="C707" s="12">
        <v>100.7</v>
      </c>
      <c r="D707" s="19" t="s">
        <v>32</v>
      </c>
      <c r="E707" s="8">
        <v>8.4085599999999996</v>
      </c>
      <c r="F707" s="16">
        <v>83.312899999999999</v>
      </c>
      <c r="G707" s="22">
        <v>100</v>
      </c>
      <c r="H707" s="22">
        <v>-17</v>
      </c>
      <c r="I707" s="10">
        <f t="shared" si="201"/>
        <v>-5.8255767953622053</v>
      </c>
      <c r="J707" s="10">
        <f t="shared" si="202"/>
        <v>-0.1016754959068504</v>
      </c>
      <c r="K707" s="10">
        <f t="shared" si="215"/>
        <v>21.109017558230889</v>
      </c>
      <c r="L707" s="22">
        <v>749</v>
      </c>
      <c r="M707" s="22" t="s">
        <v>39</v>
      </c>
      <c r="N707" s="7" t="s">
        <v>69</v>
      </c>
      <c r="O707" s="33" t="s">
        <v>65</v>
      </c>
      <c r="P707" s="33" t="s">
        <v>70</v>
      </c>
      <c r="Q707" s="7">
        <v>0.37</v>
      </c>
      <c r="R707" s="7" t="s">
        <v>71</v>
      </c>
      <c r="S707" s="31">
        <v>6.3</v>
      </c>
      <c r="T707" s="79">
        <f t="shared" si="200"/>
        <v>3.1172525999999998E-3</v>
      </c>
      <c r="U707" s="22">
        <v>9</v>
      </c>
      <c r="V707" s="22">
        <v>20</v>
      </c>
      <c r="W707" s="10">
        <f t="shared" si="207"/>
        <v>0.3490658503988659</v>
      </c>
      <c r="X707" s="22">
        <v>7</v>
      </c>
      <c r="Y707" s="22">
        <v>20</v>
      </c>
      <c r="Z707" s="10">
        <f t="shared" si="208"/>
        <v>0.3490658503988659</v>
      </c>
      <c r="AA707" s="10">
        <f t="shared" si="209"/>
        <v>5.4723222932106994</v>
      </c>
      <c r="AB707" s="10">
        <f t="shared" si="210"/>
        <v>4.7930608448395615</v>
      </c>
      <c r="AC707" s="10">
        <f t="shared" si="211"/>
        <v>0.59913260560494519</v>
      </c>
      <c r="AD707" s="10">
        <f t="shared" si="197"/>
        <v>2.3965304224197808</v>
      </c>
      <c r="AE707" s="65"/>
      <c r="AF707" s="10">
        <f t="shared" si="198"/>
        <v>6.9383776146001477</v>
      </c>
      <c r="AG707" s="8">
        <f t="shared" si="212"/>
        <v>1.3529836348470288</v>
      </c>
      <c r="AH707" s="10">
        <f t="shared" si="213"/>
        <v>3.4691888073000738</v>
      </c>
      <c r="AI707" s="63"/>
      <c r="AJ707" s="10">
        <f t="shared" si="199"/>
        <v>6.8637000000000015</v>
      </c>
      <c r="AK707" s="8"/>
      <c r="AL707" s="8">
        <f t="shared" si="214"/>
        <v>3.4318500000000007</v>
      </c>
    </row>
    <row r="708" spans="1:38">
      <c r="A708" s="18">
        <v>41473</v>
      </c>
      <c r="B708" s="19" t="s">
        <v>141</v>
      </c>
      <c r="C708" s="12">
        <v>100.7</v>
      </c>
      <c r="D708" s="19" t="s">
        <v>32</v>
      </c>
      <c r="E708" s="8">
        <v>8.4085599999999996</v>
      </c>
      <c r="F708" s="16">
        <v>83.312899999999999</v>
      </c>
      <c r="G708" s="22">
        <v>100</v>
      </c>
      <c r="H708" s="22">
        <v>-17</v>
      </c>
      <c r="I708" s="10">
        <f t="shared" si="201"/>
        <v>-5.8255767953622053</v>
      </c>
      <c r="J708" s="10">
        <f t="shared" si="202"/>
        <v>-0.1016754959068504</v>
      </c>
      <c r="K708" s="10">
        <f t="shared" si="215"/>
        <v>21.109017558230889</v>
      </c>
      <c r="L708" s="22">
        <v>730</v>
      </c>
      <c r="M708" s="22" t="s">
        <v>73</v>
      </c>
      <c r="N708" s="22" t="s">
        <v>81</v>
      </c>
      <c r="O708" s="10" t="s">
        <v>82</v>
      </c>
      <c r="P708" s="10" t="s">
        <v>83</v>
      </c>
      <c r="Q708" s="22">
        <v>0.46</v>
      </c>
      <c r="R708" s="22" t="s">
        <v>190</v>
      </c>
      <c r="S708" s="30">
        <v>10.9</v>
      </c>
      <c r="T708" s="79">
        <f t="shared" si="200"/>
        <v>9.3313374000000004E-3</v>
      </c>
      <c r="U708" s="22">
        <v>9</v>
      </c>
      <c r="V708" s="22">
        <v>50</v>
      </c>
      <c r="W708" s="10">
        <f t="shared" si="207"/>
        <v>0.87266462599716477</v>
      </c>
      <c r="X708" s="22">
        <v>5</v>
      </c>
      <c r="Y708" s="22">
        <v>16</v>
      </c>
      <c r="Z708" s="10">
        <f t="shared" si="208"/>
        <v>0.27925268031909273</v>
      </c>
      <c r="AA708" s="10">
        <f t="shared" si="209"/>
        <v>8.2725867671557971</v>
      </c>
      <c r="AB708" s="10">
        <f t="shared" si="210"/>
        <v>24.31077199899288</v>
      </c>
      <c r="AC708" s="10">
        <f t="shared" si="211"/>
        <v>3.03884649987411</v>
      </c>
      <c r="AD708" s="10">
        <f t="shared" si="197"/>
        <v>12.15538599949644</v>
      </c>
      <c r="AE708" s="65"/>
      <c r="AF708" s="10">
        <f t="shared" si="198"/>
        <v>33.527932633740747</v>
      </c>
      <c r="AG708" s="8">
        <f t="shared" si="212"/>
        <v>6.537946863579446</v>
      </c>
      <c r="AH708" s="10">
        <f t="shared" si="213"/>
        <v>16.763966316870373</v>
      </c>
      <c r="AI708" s="63"/>
      <c r="AJ708" s="10">
        <f t="shared" si="199"/>
        <v>33.428699999999992</v>
      </c>
      <c r="AK708" s="8"/>
      <c r="AL708" s="8">
        <f t="shared" si="214"/>
        <v>16.714349999999996</v>
      </c>
    </row>
    <row r="709" spans="1:38">
      <c r="A709" s="18">
        <v>41473</v>
      </c>
      <c r="B709" s="19" t="s">
        <v>141</v>
      </c>
      <c r="C709" s="12">
        <v>100.7</v>
      </c>
      <c r="D709" s="19" t="s">
        <v>32</v>
      </c>
      <c r="E709" s="8">
        <v>8.4085599999999996</v>
      </c>
      <c r="F709" s="16">
        <v>83.312899999999999</v>
      </c>
      <c r="G709" s="22">
        <v>100</v>
      </c>
      <c r="H709" s="22">
        <v>-17</v>
      </c>
      <c r="I709" s="10">
        <f t="shared" si="201"/>
        <v>-5.8255767953622053</v>
      </c>
      <c r="J709" s="10">
        <f t="shared" si="202"/>
        <v>-0.1016754959068504</v>
      </c>
      <c r="K709" s="10">
        <f t="shared" si="215"/>
        <v>21.109017558230889</v>
      </c>
      <c r="L709" s="22">
        <v>643</v>
      </c>
      <c r="M709" s="22" t="s">
        <v>54</v>
      </c>
      <c r="N709" s="8" t="s">
        <v>55</v>
      </c>
      <c r="O709" s="10" t="s">
        <v>56</v>
      </c>
      <c r="P709" s="10" t="s">
        <v>57</v>
      </c>
      <c r="Q709" s="11">
        <v>0.315</v>
      </c>
      <c r="R709" s="12" t="s">
        <v>66</v>
      </c>
      <c r="S709" s="31">
        <v>11.5</v>
      </c>
      <c r="T709" s="79">
        <f t="shared" si="200"/>
        <v>1.0386915E-2</v>
      </c>
      <c r="U709" s="22">
        <v>13</v>
      </c>
      <c r="V709" s="22">
        <v>52</v>
      </c>
      <c r="W709" s="10">
        <f t="shared" si="207"/>
        <v>0.90757121103705141</v>
      </c>
      <c r="X709" s="22">
        <v>5</v>
      </c>
      <c r="Y709" s="22">
        <v>10</v>
      </c>
      <c r="Z709" s="10">
        <f t="shared" si="208"/>
        <v>0.17453292519943295</v>
      </c>
      <c r="AA709" s="10">
        <f t="shared" si="209"/>
        <v>11.112380685222039</v>
      </c>
      <c r="AB709" s="10">
        <f t="shared" si="210"/>
        <v>24.856745512964899</v>
      </c>
      <c r="AC709" s="10">
        <f t="shared" si="211"/>
        <v>3.1070931891206124</v>
      </c>
      <c r="AD709" s="10">
        <f t="shared" si="197"/>
        <v>12.42837275648245</v>
      </c>
      <c r="AE709" s="65"/>
      <c r="AF709" s="10">
        <f t="shared" si="198"/>
        <v>26.233835202676723</v>
      </c>
      <c r="AG709" s="8">
        <f t="shared" si="212"/>
        <v>5.1155978645219609</v>
      </c>
      <c r="AH709" s="10">
        <f t="shared" si="213"/>
        <v>13.116917601338361</v>
      </c>
      <c r="AI709" s="63"/>
      <c r="AJ709" s="10">
        <f t="shared" si="199"/>
        <v>39.202499999999986</v>
      </c>
      <c r="AK709" s="8"/>
      <c r="AL709" s="8">
        <f t="shared" si="214"/>
        <v>19.601249999999993</v>
      </c>
    </row>
    <row r="710" spans="1:38">
      <c r="A710" s="18">
        <v>41473</v>
      </c>
      <c r="B710" s="19" t="s">
        <v>141</v>
      </c>
      <c r="C710" s="12">
        <v>100.7</v>
      </c>
      <c r="D710" s="19" t="s">
        <v>32</v>
      </c>
      <c r="E710" s="8">
        <v>8.4085599999999996</v>
      </c>
      <c r="F710" s="16">
        <v>83.312899999999999</v>
      </c>
      <c r="G710" s="22">
        <v>100</v>
      </c>
      <c r="H710" s="22">
        <v>-17</v>
      </c>
      <c r="I710" s="10">
        <f t="shared" si="201"/>
        <v>-5.8255767953622053</v>
      </c>
      <c r="J710" s="10">
        <f t="shared" si="202"/>
        <v>-0.1016754959068504</v>
      </c>
      <c r="K710" s="10">
        <f t="shared" si="215"/>
        <v>21.109017558230889</v>
      </c>
      <c r="L710" s="22">
        <v>591</v>
      </c>
      <c r="M710" s="22" t="s">
        <v>54</v>
      </c>
      <c r="N710" s="8" t="s">
        <v>55</v>
      </c>
      <c r="O710" s="10" t="s">
        <v>56</v>
      </c>
      <c r="P710" s="10" t="s">
        <v>57</v>
      </c>
      <c r="Q710" s="11">
        <v>0.315</v>
      </c>
      <c r="R710" s="12" t="s">
        <v>66</v>
      </c>
      <c r="S710" s="30">
        <v>5.8</v>
      </c>
      <c r="T710" s="79">
        <f t="shared" si="200"/>
        <v>2.6420856E-3</v>
      </c>
      <c r="U710" s="22">
        <v>9</v>
      </c>
      <c r="V710" s="22">
        <v>30</v>
      </c>
      <c r="W710" s="10">
        <f t="shared" si="207"/>
        <v>0.52359877559829882</v>
      </c>
      <c r="X710" s="22">
        <v>5</v>
      </c>
      <c r="Y710" s="22">
        <v>11</v>
      </c>
      <c r="Z710" s="10">
        <f t="shared" si="208"/>
        <v>0.19198621771937624</v>
      </c>
      <c r="AA710" s="10">
        <f t="shared" si="209"/>
        <v>5.4540449768827228</v>
      </c>
      <c r="AB710" s="10">
        <f t="shared" si="210"/>
        <v>3.5158785269452077</v>
      </c>
      <c r="AC710" s="10">
        <f t="shared" si="211"/>
        <v>0.43948481586815097</v>
      </c>
      <c r="AD710" s="10">
        <f t="shared" si="197"/>
        <v>1.7579392634726039</v>
      </c>
      <c r="AE710" s="65"/>
      <c r="AF710" s="10">
        <f t="shared" si="198"/>
        <v>4.8229373461922549</v>
      </c>
      <c r="AG710" s="8">
        <f t="shared" si="212"/>
        <v>0.94047278250748978</v>
      </c>
      <c r="AH710" s="10">
        <f t="shared" si="213"/>
        <v>2.4114686730961274</v>
      </c>
      <c r="AI710" s="63"/>
      <c r="AJ710" s="10">
        <f t="shared" si="199"/>
        <v>5.8632000000000026</v>
      </c>
      <c r="AK710" s="8"/>
      <c r="AL710" s="8">
        <f t="shared" si="214"/>
        <v>2.9316000000000013</v>
      </c>
    </row>
    <row r="711" spans="1:38">
      <c r="A711" s="18">
        <v>41473</v>
      </c>
      <c r="B711" s="19" t="s">
        <v>141</v>
      </c>
      <c r="C711" s="12">
        <v>100.7</v>
      </c>
      <c r="D711" s="19" t="s">
        <v>32</v>
      </c>
      <c r="E711" s="8">
        <v>8.4085599999999996</v>
      </c>
      <c r="F711" s="16">
        <v>83.312899999999999</v>
      </c>
      <c r="G711" s="22">
        <v>100</v>
      </c>
      <c r="H711" s="22">
        <v>-17</v>
      </c>
      <c r="I711" s="10">
        <f t="shared" si="201"/>
        <v>-5.8255767953622053</v>
      </c>
      <c r="J711" s="10">
        <f t="shared" si="202"/>
        <v>-0.1016754959068504</v>
      </c>
      <c r="K711" s="10">
        <f t="shared" si="215"/>
        <v>21.109017558230889</v>
      </c>
      <c r="L711" s="22">
        <v>775</v>
      </c>
      <c r="M711" s="31" t="s">
        <v>231</v>
      </c>
      <c r="N711" s="8" t="s">
        <v>171</v>
      </c>
      <c r="O711" s="10" t="s">
        <v>99</v>
      </c>
      <c r="P711" s="10" t="s">
        <v>99</v>
      </c>
      <c r="Q711" s="8">
        <v>0.57999999999999996</v>
      </c>
      <c r="R711" s="8" t="s">
        <v>103</v>
      </c>
      <c r="S711" s="31">
        <v>6.2</v>
      </c>
      <c r="T711" s="79">
        <f t="shared" si="200"/>
        <v>3.0190776000000004E-3</v>
      </c>
      <c r="U711" s="22">
        <v>7</v>
      </c>
      <c r="V711" s="22">
        <v>40</v>
      </c>
      <c r="W711" s="10">
        <f t="shared" si="207"/>
        <v>0.69813170079773179</v>
      </c>
      <c r="X711" s="22">
        <v>6</v>
      </c>
      <c r="Y711" s="22">
        <v>15</v>
      </c>
      <c r="Z711" s="10">
        <f t="shared" si="208"/>
        <v>0.26179938779914941</v>
      </c>
      <c r="AA711" s="10">
        <f t="shared" si="209"/>
        <v>6.0524275384208988</v>
      </c>
      <c r="AB711" s="10">
        <f t="shared" si="210"/>
        <v>7.8017896031301568</v>
      </c>
      <c r="AC711" s="10">
        <f t="shared" si="211"/>
        <v>0.9752237003912696</v>
      </c>
      <c r="AD711" s="10">
        <f t="shared" ref="AD711:AD774" si="216">AB711/2</f>
        <v>3.9008948015650784</v>
      </c>
      <c r="AE711" s="65"/>
      <c r="AF711" s="10">
        <f t="shared" ref="AF711:AF774" si="217">Q711*EXP(-1.239+1.98*LN(S711)+0.207*(LN(S711))^2-0.0281*(LN(S711))^3)</f>
        <v>10.457328721807214</v>
      </c>
      <c r="AG711" s="8">
        <f t="shared" si="212"/>
        <v>2.0391791007524067</v>
      </c>
      <c r="AH711" s="10">
        <f t="shared" si="213"/>
        <v>5.2286643609036068</v>
      </c>
      <c r="AI711" s="63"/>
      <c r="AJ711" s="10">
        <f t="shared" ref="AJ711:AJ774" si="218">21.297-6.953*S711+0.74*(S711^2)</f>
        <v>6.6340000000000003</v>
      </c>
      <c r="AK711" s="8"/>
      <c r="AL711" s="8">
        <f t="shared" si="214"/>
        <v>3.3170000000000002</v>
      </c>
    </row>
    <row r="712" spans="1:38">
      <c r="A712" s="18">
        <v>41473</v>
      </c>
      <c r="B712" s="19" t="s">
        <v>141</v>
      </c>
      <c r="C712" s="12">
        <v>100.7</v>
      </c>
      <c r="D712" s="19" t="s">
        <v>32</v>
      </c>
      <c r="E712" s="8">
        <v>8.4085599999999996</v>
      </c>
      <c r="F712" s="16">
        <v>83.312899999999999</v>
      </c>
      <c r="G712" s="22">
        <v>100</v>
      </c>
      <c r="H712" s="22">
        <v>-17</v>
      </c>
      <c r="I712" s="10">
        <f t="shared" si="201"/>
        <v>-5.8255767953622053</v>
      </c>
      <c r="J712" s="10">
        <f t="shared" si="202"/>
        <v>-0.1016754959068504</v>
      </c>
      <c r="K712" s="10">
        <f t="shared" si="215"/>
        <v>21.109017558230889</v>
      </c>
      <c r="L712" s="22">
        <v>746</v>
      </c>
      <c r="M712" s="31" t="s">
        <v>121</v>
      </c>
      <c r="N712" s="8" t="s">
        <v>182</v>
      </c>
      <c r="O712" s="58" t="s">
        <v>183</v>
      </c>
      <c r="P712" s="10" t="s">
        <v>70</v>
      </c>
      <c r="Q712" s="22">
        <v>0.49</v>
      </c>
      <c r="R712" s="22" t="s">
        <v>190</v>
      </c>
      <c r="S712" s="30">
        <v>7.7</v>
      </c>
      <c r="T712" s="79">
        <f t="shared" ref="T712:T775" si="219">0.00007854*S712^2</f>
        <v>4.6566366000000007E-3</v>
      </c>
      <c r="U712" s="22">
        <v>7</v>
      </c>
      <c r="V712" s="22">
        <v>30</v>
      </c>
      <c r="W712" s="10">
        <f t="shared" si="207"/>
        <v>0.52359877559829882</v>
      </c>
      <c r="X712" s="22">
        <v>5</v>
      </c>
      <c r="Y712" s="22">
        <v>19</v>
      </c>
      <c r="Z712" s="10">
        <f t="shared" si="208"/>
        <v>0.33161255787892263</v>
      </c>
      <c r="AA712" s="10">
        <f t="shared" si="209"/>
        <v>5.1278407722857828</v>
      </c>
      <c r="AB712" s="10">
        <f t="shared" si="210"/>
        <v>8.562233339223015</v>
      </c>
      <c r="AC712" s="10">
        <f t="shared" si="211"/>
        <v>1.0702791674028769</v>
      </c>
      <c r="AD712" s="10">
        <f t="shared" si="216"/>
        <v>4.2811166696115075</v>
      </c>
      <c r="AE712" s="65"/>
      <c r="AF712" s="10">
        <f t="shared" si="217"/>
        <v>15.070822331988335</v>
      </c>
      <c r="AG712" s="8">
        <f t="shared" si="212"/>
        <v>2.9388103547377256</v>
      </c>
      <c r="AH712" s="10">
        <f t="shared" si="213"/>
        <v>7.5354111659941676</v>
      </c>
      <c r="AI712" s="63"/>
      <c r="AJ712" s="10">
        <f t="shared" si="218"/>
        <v>11.633499999999998</v>
      </c>
      <c r="AK712" s="8"/>
      <c r="AL712" s="8">
        <f t="shared" si="214"/>
        <v>5.816749999999999</v>
      </c>
    </row>
    <row r="713" spans="1:38">
      <c r="A713" s="18">
        <v>41473</v>
      </c>
      <c r="B713" s="19" t="s">
        <v>141</v>
      </c>
      <c r="C713" s="12">
        <v>100.7</v>
      </c>
      <c r="D713" s="19" t="s">
        <v>32</v>
      </c>
      <c r="E713" s="8">
        <v>8.4085599999999996</v>
      </c>
      <c r="F713" s="16">
        <v>83.312899999999999</v>
      </c>
      <c r="G713" s="22">
        <v>100</v>
      </c>
      <c r="H713" s="22">
        <v>-17</v>
      </c>
      <c r="I713" s="10">
        <f t="shared" si="201"/>
        <v>-5.8255767953622053</v>
      </c>
      <c r="J713" s="10">
        <f t="shared" si="202"/>
        <v>-0.1016754959068504</v>
      </c>
      <c r="K713" s="10">
        <f t="shared" si="215"/>
        <v>21.109017558230889</v>
      </c>
      <c r="L713" s="22">
        <v>619</v>
      </c>
      <c r="M713" s="22" t="s">
        <v>129</v>
      </c>
      <c r="N713" s="22" t="s">
        <v>171</v>
      </c>
      <c r="O713" s="58" t="s">
        <v>175</v>
      </c>
      <c r="P713" s="10" t="s">
        <v>176</v>
      </c>
      <c r="Q713" s="22">
        <v>0.23</v>
      </c>
      <c r="R713" s="22" t="s">
        <v>190</v>
      </c>
      <c r="S713" s="31">
        <v>7.9</v>
      </c>
      <c r="T713" s="79">
        <f t="shared" si="219"/>
        <v>4.9016814000000008E-3</v>
      </c>
      <c r="U713" s="22">
        <v>8</v>
      </c>
      <c r="V713" s="22">
        <v>30</v>
      </c>
      <c r="W713" s="10">
        <f t="shared" si="207"/>
        <v>0.52359877559829882</v>
      </c>
      <c r="X713" s="22">
        <v>7</v>
      </c>
      <c r="Y713" s="22">
        <v>13</v>
      </c>
      <c r="Z713" s="10">
        <f t="shared" si="208"/>
        <v>0.22689280275926285</v>
      </c>
      <c r="AA713" s="10">
        <f t="shared" si="209"/>
        <v>5.5746573804070545</v>
      </c>
      <c r="AB713" s="10">
        <f t="shared" si="210"/>
        <v>4.7738625285907155</v>
      </c>
      <c r="AC713" s="10">
        <f t="shared" si="211"/>
        <v>0.59673281607383943</v>
      </c>
      <c r="AD713" s="10">
        <f t="shared" si="216"/>
        <v>2.3869312642953577</v>
      </c>
      <c r="AE713" s="65"/>
      <c r="AF713" s="10">
        <f t="shared" si="217"/>
        <v>7.5375093956527115</v>
      </c>
      <c r="AG713" s="8">
        <f t="shared" si="212"/>
        <v>1.4698143321522787</v>
      </c>
      <c r="AH713" s="10">
        <f t="shared" si="213"/>
        <v>3.7687546978263557</v>
      </c>
      <c r="AI713" s="63"/>
      <c r="AJ713" s="10">
        <f t="shared" si="218"/>
        <v>12.55169999999999</v>
      </c>
      <c r="AK713" s="8"/>
      <c r="AL713" s="8">
        <f t="shared" si="214"/>
        <v>6.2758499999999948</v>
      </c>
    </row>
    <row r="714" spans="1:38">
      <c r="A714" s="18">
        <v>41473</v>
      </c>
      <c r="B714" s="19" t="s">
        <v>141</v>
      </c>
      <c r="C714" s="12">
        <v>100.7</v>
      </c>
      <c r="D714" s="19" t="s">
        <v>32</v>
      </c>
      <c r="E714" s="8">
        <v>8.4085599999999996</v>
      </c>
      <c r="F714" s="16">
        <v>83.312899999999999</v>
      </c>
      <c r="G714" s="22">
        <v>100</v>
      </c>
      <c r="H714" s="22">
        <v>-17</v>
      </c>
      <c r="I714" s="10">
        <f t="shared" si="201"/>
        <v>-5.8255767953622053</v>
      </c>
      <c r="J714" s="10">
        <f t="shared" si="202"/>
        <v>-0.1016754959068504</v>
      </c>
      <c r="K714" s="10">
        <f t="shared" si="215"/>
        <v>21.109017558230889</v>
      </c>
      <c r="L714" s="22">
        <v>654</v>
      </c>
      <c r="M714" s="22" t="s">
        <v>54</v>
      </c>
      <c r="N714" s="8" t="s">
        <v>55</v>
      </c>
      <c r="O714" s="10" t="s">
        <v>56</v>
      </c>
      <c r="P714" s="10" t="s">
        <v>57</v>
      </c>
      <c r="Q714" s="11">
        <v>0.315</v>
      </c>
      <c r="R714" s="12" t="s">
        <v>66</v>
      </c>
      <c r="S714" s="30">
        <v>10.4</v>
      </c>
      <c r="T714" s="79">
        <f t="shared" si="219"/>
        <v>8.494886400000002E-3</v>
      </c>
      <c r="U714" s="22">
        <v>12</v>
      </c>
      <c r="V714" s="22">
        <v>38</v>
      </c>
      <c r="W714" s="10">
        <f t="shared" si="207"/>
        <v>0.66322511575784526</v>
      </c>
      <c r="X714" s="22">
        <v>6</v>
      </c>
      <c r="Y714" s="22">
        <v>19</v>
      </c>
      <c r="Z714" s="10">
        <f t="shared" si="208"/>
        <v>0.33161255787892263</v>
      </c>
      <c r="AA714" s="10">
        <f t="shared" si="209"/>
        <v>9.3413466306508397</v>
      </c>
      <c r="AB714" s="10">
        <f t="shared" si="210"/>
        <v>17.477577566860369</v>
      </c>
      <c r="AC714" s="10">
        <f t="shared" si="211"/>
        <v>2.1846971958575461</v>
      </c>
      <c r="AD714" s="10">
        <f t="shared" si="216"/>
        <v>8.7387887834301843</v>
      </c>
      <c r="AE714" s="65"/>
      <c r="AF714" s="10">
        <f t="shared" si="217"/>
        <v>20.428180207646765</v>
      </c>
      <c r="AG714" s="8">
        <f t="shared" si="212"/>
        <v>3.9834951404911192</v>
      </c>
      <c r="AH714" s="10">
        <f t="shared" si="213"/>
        <v>10.214090103823382</v>
      </c>
      <c r="AI714" s="63"/>
      <c r="AJ714" s="10">
        <f t="shared" si="218"/>
        <v>29.024200000000008</v>
      </c>
      <c r="AK714" s="8"/>
      <c r="AL714" s="8">
        <f t="shared" si="214"/>
        <v>14.512100000000004</v>
      </c>
    </row>
    <row r="715" spans="1:38">
      <c r="A715" s="18">
        <v>41481</v>
      </c>
      <c r="B715" s="19" t="s">
        <v>141</v>
      </c>
      <c r="C715" s="12">
        <v>100.8</v>
      </c>
      <c r="D715" s="9" t="s">
        <v>80</v>
      </c>
      <c r="E715" s="8">
        <v>8.4100400000000004</v>
      </c>
      <c r="F715" s="8">
        <v>83.314229999999995</v>
      </c>
      <c r="G715" s="22">
        <v>100</v>
      </c>
      <c r="H715" s="22">
        <v>19</v>
      </c>
      <c r="I715" s="10">
        <f t="shared" si="201"/>
        <v>5.1996716132404543</v>
      </c>
      <c r="J715" s="10">
        <f t="shared" si="202"/>
        <v>9.0751389673531108E-2</v>
      </c>
      <c r="K715" s="10">
        <f t="shared" si="215"/>
        <v>21.086773802174438</v>
      </c>
      <c r="L715" s="22">
        <v>823</v>
      </c>
      <c r="M715" s="22" t="s">
        <v>107</v>
      </c>
      <c r="N715" s="22" t="s">
        <v>63</v>
      </c>
      <c r="O715" s="10" t="s">
        <v>108</v>
      </c>
      <c r="P715" s="15" t="s">
        <v>92</v>
      </c>
      <c r="Q715" s="8">
        <v>0.57999999999999996</v>
      </c>
      <c r="R715" s="22" t="s">
        <v>190</v>
      </c>
      <c r="S715" s="29">
        <v>22</v>
      </c>
      <c r="T715" s="79">
        <f t="shared" si="219"/>
        <v>3.8013360000000003E-2</v>
      </c>
      <c r="U715" s="22">
        <v>17</v>
      </c>
      <c r="V715" s="22">
        <v>65</v>
      </c>
      <c r="W715" s="10">
        <f t="shared" ref="W715:W743" si="220">RADIANS(V715)</f>
        <v>1.1344640137963142</v>
      </c>
      <c r="X715" s="22">
        <v>6</v>
      </c>
      <c r="Y715" s="22">
        <v>16</v>
      </c>
      <c r="Z715" s="10">
        <f t="shared" ref="Z715:Z743" si="221">RADIANS(Y715)</f>
        <v>0.27925268031909273</v>
      </c>
      <c r="AA715" s="10">
        <f t="shared" ref="AA715:AA743" si="222">(SIN(W715)*U715)+(SIN(Z715)*X715)</f>
        <v>17.061056514525042</v>
      </c>
      <c r="AB715" s="10">
        <f t="shared" ref="AB715:AB743" si="223">0.0776*(Q715*S715^2*AA715)^0.94</f>
        <v>223.5240415939345</v>
      </c>
      <c r="AC715" s="10">
        <f t="shared" si="211"/>
        <v>27.940505199241812</v>
      </c>
      <c r="AD715" s="10">
        <f t="shared" si="216"/>
        <v>111.76202079696725</v>
      </c>
      <c r="AE715" s="65"/>
      <c r="AF715" s="10">
        <f t="shared" si="217"/>
        <v>240.91304091324946</v>
      </c>
      <c r="AG715" s="8">
        <f t="shared" si="212"/>
        <v>46.97804297808365</v>
      </c>
      <c r="AH715" s="10">
        <f t="shared" si="213"/>
        <v>120.45652045662473</v>
      </c>
      <c r="AI715" s="63"/>
      <c r="AJ715" s="10">
        <f t="shared" si="218"/>
        <v>226.49099999999996</v>
      </c>
      <c r="AK715" s="8"/>
      <c r="AL715" s="8">
        <f t="shared" si="214"/>
        <v>113.24549999999998</v>
      </c>
    </row>
    <row r="716" spans="1:38">
      <c r="A716" s="18">
        <v>41481</v>
      </c>
      <c r="B716" s="19" t="s">
        <v>141</v>
      </c>
      <c r="C716" s="12">
        <v>100.8</v>
      </c>
      <c r="D716" s="19" t="s">
        <v>80</v>
      </c>
      <c r="E716" s="8">
        <v>8.4100400000000004</v>
      </c>
      <c r="F716" s="8">
        <v>83.314229999999995</v>
      </c>
      <c r="G716" s="22">
        <v>100</v>
      </c>
      <c r="H716" s="22">
        <v>19</v>
      </c>
      <c r="I716" s="10">
        <f t="shared" si="201"/>
        <v>5.1996716132404543</v>
      </c>
      <c r="J716" s="10">
        <f t="shared" si="202"/>
        <v>9.0751389673531108E-2</v>
      </c>
      <c r="K716" s="10">
        <f t="shared" si="215"/>
        <v>21.086773802174438</v>
      </c>
      <c r="L716" s="22">
        <v>913</v>
      </c>
      <c r="M716" s="22" t="s">
        <v>39</v>
      </c>
      <c r="N716" s="7" t="s">
        <v>69</v>
      </c>
      <c r="O716" s="33" t="s">
        <v>65</v>
      </c>
      <c r="P716" s="33" t="s">
        <v>70</v>
      </c>
      <c r="Q716" s="7">
        <v>0.37</v>
      </c>
      <c r="R716" s="7" t="s">
        <v>71</v>
      </c>
      <c r="S716" s="30">
        <v>11</v>
      </c>
      <c r="T716" s="79">
        <f t="shared" si="219"/>
        <v>9.5033400000000007E-3</v>
      </c>
      <c r="U716" s="22">
        <v>9</v>
      </c>
      <c r="V716" s="22">
        <v>57</v>
      </c>
      <c r="W716" s="10">
        <f t="shared" si="220"/>
        <v>0.99483767363676789</v>
      </c>
      <c r="X716" s="22">
        <v>7</v>
      </c>
      <c r="Y716" s="22">
        <v>8</v>
      </c>
      <c r="Z716" s="10">
        <f t="shared" si="221"/>
        <v>0.13962634015954636</v>
      </c>
      <c r="AA716" s="10">
        <f t="shared" si="222"/>
        <v>8.5222468182292754</v>
      </c>
      <c r="AB716" s="10">
        <f t="shared" si="223"/>
        <v>20.725759361550935</v>
      </c>
      <c r="AC716" s="10">
        <f t="shared" si="211"/>
        <v>2.5907199201938669</v>
      </c>
      <c r="AD716" s="10">
        <f t="shared" si="216"/>
        <v>10.362879680775468</v>
      </c>
      <c r="AE716" s="65"/>
      <c r="AF716" s="10">
        <f t="shared" si="217"/>
        <v>27.587884777633903</v>
      </c>
      <c r="AG716" s="8">
        <f t="shared" si="212"/>
        <v>5.3796375316386111</v>
      </c>
      <c r="AH716" s="10">
        <f t="shared" si="213"/>
        <v>13.793942388816951</v>
      </c>
      <c r="AI716" s="63"/>
      <c r="AJ716" s="10">
        <f t="shared" si="218"/>
        <v>34.353999999999985</v>
      </c>
      <c r="AK716" s="8"/>
      <c r="AL716" s="8">
        <f t="shared" si="214"/>
        <v>17.176999999999992</v>
      </c>
    </row>
    <row r="717" spans="1:38">
      <c r="A717" s="18">
        <v>41481</v>
      </c>
      <c r="B717" s="19" t="s">
        <v>141</v>
      </c>
      <c r="C717" s="12">
        <v>100.8</v>
      </c>
      <c r="D717" s="19" t="s">
        <v>80</v>
      </c>
      <c r="E717" s="8">
        <v>8.4100400000000004</v>
      </c>
      <c r="F717" s="8">
        <v>83.314229999999995</v>
      </c>
      <c r="G717" s="22">
        <v>100</v>
      </c>
      <c r="H717" s="22">
        <v>19</v>
      </c>
      <c r="I717" s="10">
        <f t="shared" si="201"/>
        <v>5.1996716132404543</v>
      </c>
      <c r="J717" s="10">
        <f t="shared" si="202"/>
        <v>9.0751389673531108E-2</v>
      </c>
      <c r="K717" s="10">
        <f t="shared" si="215"/>
        <v>21.086773802174438</v>
      </c>
      <c r="L717" s="22">
        <v>929</v>
      </c>
      <c r="M717" s="22" t="s">
        <v>120</v>
      </c>
      <c r="N717" s="7" t="s">
        <v>55</v>
      </c>
      <c r="O717" s="33" t="s">
        <v>177</v>
      </c>
      <c r="P717" s="33" t="s">
        <v>178</v>
      </c>
      <c r="Q717" s="7">
        <v>0.54300000000000004</v>
      </c>
      <c r="R717" s="7" t="s">
        <v>179</v>
      </c>
      <c r="S717" s="30">
        <v>7</v>
      </c>
      <c r="T717" s="79">
        <f t="shared" si="219"/>
        <v>3.8484600000000002E-3</v>
      </c>
      <c r="U717" s="22">
        <v>9</v>
      </c>
      <c r="V717" s="22">
        <v>45</v>
      </c>
      <c r="W717" s="10">
        <f t="shared" si="220"/>
        <v>0.78539816339744828</v>
      </c>
      <c r="X717" s="22">
        <v>5</v>
      </c>
      <c r="Y717" s="22">
        <v>16</v>
      </c>
      <c r="Z717" s="10">
        <f t="shared" si="221"/>
        <v>0.27925268031909273</v>
      </c>
      <c r="AA717" s="10">
        <f t="shared" si="222"/>
        <v>7.7421478097639236</v>
      </c>
      <c r="AB717" s="10">
        <f t="shared" si="223"/>
        <v>11.611481838107942</v>
      </c>
      <c r="AC717" s="10">
        <f t="shared" si="211"/>
        <v>1.4514352297634927</v>
      </c>
      <c r="AD717" s="10">
        <f t="shared" si="216"/>
        <v>5.8057409190539708</v>
      </c>
      <c r="AE717" s="65"/>
      <c r="AF717" s="10">
        <f t="shared" si="217"/>
        <v>13.197476425644902</v>
      </c>
      <c r="AG717" s="8">
        <f t="shared" si="212"/>
        <v>2.5735079030007562</v>
      </c>
      <c r="AH717" s="10">
        <f t="shared" si="213"/>
        <v>6.5987382128224512</v>
      </c>
      <c r="AI717" s="63"/>
      <c r="AJ717" s="10">
        <f t="shared" si="218"/>
        <v>8.8859999999999992</v>
      </c>
      <c r="AK717" s="8"/>
      <c r="AL717" s="8">
        <f t="shared" si="214"/>
        <v>4.4429999999999996</v>
      </c>
    </row>
    <row r="718" spans="1:38">
      <c r="A718" s="18">
        <v>41481</v>
      </c>
      <c r="B718" s="19" t="s">
        <v>141</v>
      </c>
      <c r="C718" s="12">
        <v>100.8</v>
      </c>
      <c r="D718" s="19" t="s">
        <v>80</v>
      </c>
      <c r="E718" s="8">
        <v>8.4100400000000004</v>
      </c>
      <c r="F718" s="8">
        <v>83.314229999999995</v>
      </c>
      <c r="G718" s="22">
        <v>100</v>
      </c>
      <c r="H718" s="22">
        <v>19</v>
      </c>
      <c r="I718" s="10">
        <f t="shared" si="201"/>
        <v>5.1996716132404543</v>
      </c>
      <c r="J718" s="10">
        <f t="shared" si="202"/>
        <v>9.0751389673531108E-2</v>
      </c>
      <c r="K718" s="10">
        <f t="shared" si="215"/>
        <v>21.086773802174438</v>
      </c>
      <c r="L718" s="22">
        <v>923</v>
      </c>
      <c r="M718" s="22" t="s">
        <v>162</v>
      </c>
      <c r="N718" s="22" t="s">
        <v>84</v>
      </c>
      <c r="O718" s="58" t="s">
        <v>85</v>
      </c>
      <c r="P718" s="51" t="s">
        <v>92</v>
      </c>
      <c r="Q718" s="22">
        <v>0.53</v>
      </c>
      <c r="R718" s="22" t="s">
        <v>190</v>
      </c>
      <c r="S718" s="30">
        <v>16.600000000000001</v>
      </c>
      <c r="T718" s="79">
        <f t="shared" si="219"/>
        <v>2.1642482400000006E-2</v>
      </c>
      <c r="U718" s="22">
        <v>11</v>
      </c>
      <c r="V718" s="22">
        <v>55</v>
      </c>
      <c r="W718" s="10">
        <f t="shared" si="220"/>
        <v>0.95993108859688125</v>
      </c>
      <c r="X718" s="22">
        <v>7</v>
      </c>
      <c r="Y718" s="22">
        <v>12</v>
      </c>
      <c r="Z718" s="10">
        <f t="shared" si="221"/>
        <v>0.20943951023931956</v>
      </c>
      <c r="AA718" s="10">
        <f t="shared" si="222"/>
        <v>10.466054322903226</v>
      </c>
      <c r="AB718" s="10">
        <f t="shared" si="223"/>
        <v>76.397693952639287</v>
      </c>
      <c r="AC718" s="10">
        <f t="shared" si="211"/>
        <v>9.5497117440799109</v>
      </c>
      <c r="AD718" s="10">
        <f t="shared" si="216"/>
        <v>38.198846976319643</v>
      </c>
      <c r="AE718" s="65"/>
      <c r="AF718" s="10">
        <f t="shared" si="217"/>
        <v>109.88677569713097</v>
      </c>
      <c r="AG718" s="8">
        <f t="shared" si="212"/>
        <v>21.42792126094054</v>
      </c>
      <c r="AH718" s="10">
        <f t="shared" si="213"/>
        <v>54.943387848565486</v>
      </c>
      <c r="AI718" s="63"/>
      <c r="AJ718" s="10">
        <f t="shared" si="218"/>
        <v>109.79160000000002</v>
      </c>
      <c r="AK718" s="8"/>
      <c r="AL718" s="8">
        <f t="shared" si="214"/>
        <v>54.895800000000008</v>
      </c>
    </row>
    <row r="719" spans="1:38">
      <c r="A719" s="18">
        <v>41481</v>
      </c>
      <c r="B719" s="19" t="s">
        <v>141</v>
      </c>
      <c r="C719" s="12">
        <v>100.8</v>
      </c>
      <c r="D719" s="19" t="s">
        <v>80</v>
      </c>
      <c r="E719" s="8">
        <v>8.4100400000000004</v>
      </c>
      <c r="F719" s="8">
        <v>83.314229999999995</v>
      </c>
      <c r="G719" s="22">
        <v>100</v>
      </c>
      <c r="H719" s="22">
        <v>19</v>
      </c>
      <c r="I719" s="10">
        <f t="shared" si="201"/>
        <v>5.1996716132404543</v>
      </c>
      <c r="J719" s="10">
        <f t="shared" si="202"/>
        <v>9.0751389673531108E-2</v>
      </c>
      <c r="K719" s="10">
        <f t="shared" si="215"/>
        <v>21.086773802174438</v>
      </c>
      <c r="L719" s="22">
        <v>906</v>
      </c>
      <c r="M719" s="7" t="s">
        <v>220</v>
      </c>
      <c r="N719" s="7" t="s">
        <v>46</v>
      </c>
      <c r="O719" s="33" t="s">
        <v>214</v>
      </c>
      <c r="P719" s="33" t="s">
        <v>215</v>
      </c>
      <c r="Q719" s="7">
        <v>0.35</v>
      </c>
      <c r="R719" s="7" t="s">
        <v>190</v>
      </c>
      <c r="S719" s="30">
        <v>123.5</v>
      </c>
      <c r="T719" s="79">
        <f t="shared" si="219"/>
        <v>1.197911715</v>
      </c>
      <c r="U719" s="22">
        <v>27</v>
      </c>
      <c r="V719" s="22">
        <v>54</v>
      </c>
      <c r="W719" s="10">
        <f t="shared" si="220"/>
        <v>0.94247779607693793</v>
      </c>
      <c r="X719" s="22">
        <v>14</v>
      </c>
      <c r="Y719" s="22">
        <v>10</v>
      </c>
      <c r="Z719" s="10">
        <f t="shared" si="221"/>
        <v>0.17453292519943295</v>
      </c>
      <c r="AA719" s="10">
        <f t="shared" si="222"/>
        <v>24.274533335460607</v>
      </c>
      <c r="AB719" s="10">
        <f t="shared" si="223"/>
        <v>4962.0530085966529</v>
      </c>
      <c r="AC719" s="10">
        <f t="shared" si="211"/>
        <v>620.25662607458162</v>
      </c>
      <c r="AD719" s="10">
        <f t="shared" si="216"/>
        <v>2481.0265042983265</v>
      </c>
      <c r="AE719" s="65"/>
      <c r="AF719" s="10">
        <f t="shared" si="217"/>
        <v>7403.125791595422</v>
      </c>
      <c r="AG719" s="8">
        <f t="shared" si="212"/>
        <v>1443.6095293611074</v>
      </c>
      <c r="AH719" s="10">
        <f t="shared" si="213"/>
        <v>3701.562895797711</v>
      </c>
      <c r="AI719" s="63"/>
      <c r="AJ719" s="10">
        <f t="shared" si="218"/>
        <v>10449.2665</v>
      </c>
      <c r="AK719" s="8"/>
      <c r="AL719" s="8">
        <f t="shared" si="214"/>
        <v>5224.6332499999999</v>
      </c>
    </row>
    <row r="720" spans="1:38">
      <c r="A720" s="18">
        <v>41481</v>
      </c>
      <c r="B720" s="19" t="s">
        <v>141</v>
      </c>
      <c r="C720" s="12">
        <v>100.8</v>
      </c>
      <c r="D720" s="19" t="s">
        <v>80</v>
      </c>
      <c r="E720" s="8">
        <v>8.4100400000000004</v>
      </c>
      <c r="F720" s="8">
        <v>83.314229999999995</v>
      </c>
      <c r="G720" s="22">
        <v>100</v>
      </c>
      <c r="H720" s="22">
        <v>19</v>
      </c>
      <c r="I720" s="10">
        <f t="shared" si="201"/>
        <v>5.1996716132404543</v>
      </c>
      <c r="J720" s="10">
        <f t="shared" si="202"/>
        <v>9.0751389673531108E-2</v>
      </c>
      <c r="K720" s="10">
        <f t="shared" si="215"/>
        <v>21.086773802174438</v>
      </c>
      <c r="L720" s="22">
        <v>1017</v>
      </c>
      <c r="M720" s="22" t="s">
        <v>36</v>
      </c>
      <c r="N720" s="8" t="s">
        <v>46</v>
      </c>
      <c r="O720" s="10" t="s">
        <v>37</v>
      </c>
      <c r="P720" s="10" t="s">
        <v>38</v>
      </c>
      <c r="Q720" s="11">
        <v>0.48</v>
      </c>
      <c r="R720" s="8" t="s">
        <v>60</v>
      </c>
      <c r="S720" s="30">
        <v>13.1</v>
      </c>
      <c r="T720" s="79">
        <f t="shared" si="219"/>
        <v>1.34782494E-2</v>
      </c>
      <c r="U720" s="22">
        <v>6</v>
      </c>
      <c r="V720" s="22">
        <v>26</v>
      </c>
      <c r="W720" s="10">
        <f t="shared" si="220"/>
        <v>0.4537856055185257</v>
      </c>
      <c r="X720" s="22">
        <v>7</v>
      </c>
      <c r="Y720" s="22">
        <v>26</v>
      </c>
      <c r="Z720" s="10">
        <f t="shared" si="221"/>
        <v>0.4537856055185257</v>
      </c>
      <c r="AA720" s="10">
        <f t="shared" si="222"/>
        <v>5.6988249082580058</v>
      </c>
      <c r="AB720" s="10">
        <f t="shared" si="223"/>
        <v>25.184696133129577</v>
      </c>
      <c r="AC720" s="10">
        <f t="shared" si="211"/>
        <v>3.1480870166411972</v>
      </c>
      <c r="AD720" s="10">
        <f t="shared" si="216"/>
        <v>12.592348066564789</v>
      </c>
      <c r="AE720" s="65"/>
      <c r="AF720" s="10">
        <f t="shared" si="217"/>
        <v>55.276955296431161</v>
      </c>
      <c r="AG720" s="8">
        <f t="shared" si="212"/>
        <v>10.779006282804076</v>
      </c>
      <c r="AH720" s="10">
        <f t="shared" si="213"/>
        <v>27.638477648215581</v>
      </c>
      <c r="AI720" s="63"/>
      <c r="AJ720" s="10">
        <f t="shared" si="218"/>
        <v>57.204099999999983</v>
      </c>
      <c r="AK720" s="8"/>
      <c r="AL720" s="8">
        <f t="shared" si="214"/>
        <v>28.602049999999991</v>
      </c>
    </row>
    <row r="721" spans="1:38">
      <c r="A721" s="18">
        <v>41481</v>
      </c>
      <c r="B721" s="19" t="s">
        <v>141</v>
      </c>
      <c r="C721" s="12">
        <v>100.8</v>
      </c>
      <c r="D721" s="19" t="s">
        <v>80</v>
      </c>
      <c r="E721" s="8">
        <v>8.4100400000000004</v>
      </c>
      <c r="F721" s="8">
        <v>83.314229999999995</v>
      </c>
      <c r="G721" s="22">
        <v>100</v>
      </c>
      <c r="H721" s="22">
        <v>19</v>
      </c>
      <c r="I721" s="10">
        <f t="shared" si="201"/>
        <v>5.1996716132404543</v>
      </c>
      <c r="J721" s="10">
        <f t="shared" si="202"/>
        <v>9.0751389673531108E-2</v>
      </c>
      <c r="K721" s="10">
        <f t="shared" si="215"/>
        <v>21.086773802174438</v>
      </c>
      <c r="L721" s="22">
        <v>892</v>
      </c>
      <c r="M721" s="22" t="s">
        <v>36</v>
      </c>
      <c r="N721" s="8" t="s">
        <v>46</v>
      </c>
      <c r="O721" s="10" t="s">
        <v>37</v>
      </c>
      <c r="P721" s="10" t="s">
        <v>38</v>
      </c>
      <c r="Q721" s="11">
        <v>0.48</v>
      </c>
      <c r="R721" s="8" t="s">
        <v>60</v>
      </c>
      <c r="S721" s="30">
        <v>14.6</v>
      </c>
      <c r="T721" s="79">
        <f t="shared" si="219"/>
        <v>1.6741586400000001E-2</v>
      </c>
      <c r="U721" s="22">
        <v>9</v>
      </c>
      <c r="V721" s="22">
        <v>36</v>
      </c>
      <c r="W721" s="10">
        <f t="shared" si="220"/>
        <v>0.62831853071795862</v>
      </c>
      <c r="X721" s="22">
        <v>8</v>
      </c>
      <c r="Y721" s="22">
        <v>22</v>
      </c>
      <c r="Z721" s="10">
        <f t="shared" si="221"/>
        <v>0.38397243543875248</v>
      </c>
      <c r="AA721" s="10">
        <f t="shared" si="222"/>
        <v>8.2869200179595541</v>
      </c>
      <c r="AB721" s="10">
        <f t="shared" si="223"/>
        <v>43.90372927144638</v>
      </c>
      <c r="AC721" s="10">
        <f t="shared" si="211"/>
        <v>5.4879661589307975</v>
      </c>
      <c r="AD721" s="10">
        <f t="shared" si="216"/>
        <v>21.95186463572319</v>
      </c>
      <c r="AE721" s="65"/>
      <c r="AF721" s="10">
        <f t="shared" si="217"/>
        <v>72.372974396540229</v>
      </c>
      <c r="AG721" s="8">
        <f t="shared" si="212"/>
        <v>14.112730007325345</v>
      </c>
      <c r="AH721" s="10">
        <f t="shared" si="213"/>
        <v>36.186487198270115</v>
      </c>
      <c r="AI721" s="63"/>
      <c r="AJ721" s="10">
        <f t="shared" si="218"/>
        <v>77.521599999999978</v>
      </c>
      <c r="AK721" s="8"/>
      <c r="AL721" s="8">
        <f t="shared" si="214"/>
        <v>38.760799999999989</v>
      </c>
    </row>
    <row r="722" spans="1:38">
      <c r="A722" s="18">
        <v>41481</v>
      </c>
      <c r="B722" s="19" t="s">
        <v>141</v>
      </c>
      <c r="C722" s="12">
        <v>100.8</v>
      </c>
      <c r="D722" s="19" t="s">
        <v>80</v>
      </c>
      <c r="E722" s="8">
        <v>8.4100400000000004</v>
      </c>
      <c r="F722" s="8">
        <v>83.314229999999995</v>
      </c>
      <c r="G722" s="22">
        <v>100</v>
      </c>
      <c r="H722" s="22">
        <v>19</v>
      </c>
      <c r="I722" s="10">
        <f t="shared" ref="I722:I783" si="224">1/TAN(H722/100)</f>
        <v>5.1996716132404543</v>
      </c>
      <c r="J722" s="10">
        <f t="shared" ref="J722:J778" si="225">RADIANS(I722)</f>
        <v>9.0751389673531108E-2</v>
      </c>
      <c r="K722" s="10">
        <f t="shared" si="215"/>
        <v>21.086773802174438</v>
      </c>
      <c r="L722" s="22">
        <v>987</v>
      </c>
      <c r="M722" s="22" t="s">
        <v>39</v>
      </c>
      <c r="N722" s="7" t="s">
        <v>69</v>
      </c>
      <c r="O722" s="33" t="s">
        <v>65</v>
      </c>
      <c r="P722" s="33" t="s">
        <v>70</v>
      </c>
      <c r="Q722" s="7">
        <v>0.37</v>
      </c>
      <c r="R722" s="7" t="s">
        <v>71</v>
      </c>
      <c r="S722" s="30">
        <v>7.7</v>
      </c>
      <c r="T722" s="79">
        <f t="shared" si="219"/>
        <v>4.6566366000000007E-3</v>
      </c>
      <c r="U722" s="22">
        <v>11</v>
      </c>
      <c r="V722" s="22">
        <v>42</v>
      </c>
      <c r="W722" s="10">
        <f t="shared" si="220"/>
        <v>0.73303828583761843</v>
      </c>
      <c r="X722" s="22">
        <v>7</v>
      </c>
      <c r="Y722" s="22">
        <v>20</v>
      </c>
      <c r="Z722" s="10">
        <f t="shared" si="221"/>
        <v>0.3490658503988659</v>
      </c>
      <c r="AA722" s="10">
        <f t="shared" si="222"/>
        <v>9.7545776732271214</v>
      </c>
      <c r="AB722" s="10">
        <f t="shared" si="223"/>
        <v>12.034550347964609</v>
      </c>
      <c r="AC722" s="10">
        <f t="shared" si="211"/>
        <v>1.5043187934955762</v>
      </c>
      <c r="AD722" s="10">
        <f t="shared" si="216"/>
        <v>6.0172751739823047</v>
      </c>
      <c r="AE722" s="65"/>
      <c r="AF722" s="10">
        <f t="shared" si="217"/>
        <v>11.380008699664662</v>
      </c>
      <c r="AG722" s="8">
        <f t="shared" si="212"/>
        <v>2.2191016964346093</v>
      </c>
      <c r="AH722" s="10">
        <f t="shared" si="213"/>
        <v>5.6900043498323312</v>
      </c>
      <c r="AI722" s="63"/>
      <c r="AJ722" s="10">
        <f t="shared" si="218"/>
        <v>11.633499999999998</v>
      </c>
      <c r="AK722" s="8"/>
      <c r="AL722" s="8">
        <f t="shared" si="214"/>
        <v>5.816749999999999</v>
      </c>
    </row>
    <row r="723" spans="1:38">
      <c r="A723" s="18">
        <v>41481</v>
      </c>
      <c r="B723" s="19" t="s">
        <v>141</v>
      </c>
      <c r="C723" s="12">
        <v>100.8</v>
      </c>
      <c r="D723" s="19" t="s">
        <v>80</v>
      </c>
      <c r="E723" s="8">
        <v>8.4100400000000004</v>
      </c>
      <c r="F723" s="8">
        <v>83.314229999999995</v>
      </c>
      <c r="G723" s="22">
        <v>100</v>
      </c>
      <c r="H723" s="22">
        <v>19</v>
      </c>
      <c r="I723" s="10">
        <f t="shared" si="224"/>
        <v>5.1996716132404543</v>
      </c>
      <c r="J723" s="10">
        <f t="shared" si="225"/>
        <v>9.0751389673531108E-2</v>
      </c>
      <c r="K723" s="10">
        <f t="shared" si="215"/>
        <v>21.086773802174438</v>
      </c>
      <c r="L723" s="22">
        <v>856</v>
      </c>
      <c r="M723" s="22" t="s">
        <v>36</v>
      </c>
      <c r="N723" s="8" t="s">
        <v>46</v>
      </c>
      <c r="O723" s="10" t="s">
        <v>37</v>
      </c>
      <c r="P723" s="10" t="s">
        <v>38</v>
      </c>
      <c r="Q723" s="11">
        <v>0.48</v>
      </c>
      <c r="R723" s="8" t="s">
        <v>60</v>
      </c>
      <c r="S723" s="30">
        <v>16</v>
      </c>
      <c r="T723" s="79">
        <f t="shared" si="219"/>
        <v>2.0106240000000001E-2</v>
      </c>
      <c r="U723" s="22">
        <v>8</v>
      </c>
      <c r="V723" s="22">
        <v>38</v>
      </c>
      <c r="W723" s="10">
        <f t="shared" si="220"/>
        <v>0.66322511575784526</v>
      </c>
      <c r="X723" s="22">
        <v>7</v>
      </c>
      <c r="Y723" s="22">
        <v>23</v>
      </c>
      <c r="Z723" s="10">
        <f t="shared" si="221"/>
        <v>0.4014257279586958</v>
      </c>
      <c r="AA723" s="10">
        <f t="shared" si="222"/>
        <v>7.6604097020301829</v>
      </c>
      <c r="AB723" s="10">
        <f t="shared" si="223"/>
        <v>48.436296559210966</v>
      </c>
      <c r="AC723" s="10">
        <f t="shared" si="211"/>
        <v>6.0545370699013707</v>
      </c>
      <c r="AD723" s="10">
        <f t="shared" si="216"/>
        <v>24.218148279605483</v>
      </c>
      <c r="AE723" s="65"/>
      <c r="AF723" s="10">
        <f t="shared" si="217"/>
        <v>90.840511037972547</v>
      </c>
      <c r="AG723" s="8">
        <f t="shared" si="212"/>
        <v>17.713899652404649</v>
      </c>
      <c r="AH723" s="10">
        <f t="shared" si="213"/>
        <v>45.420255518986274</v>
      </c>
      <c r="AI723" s="63"/>
      <c r="AJ723" s="10">
        <f t="shared" si="218"/>
        <v>99.48899999999999</v>
      </c>
      <c r="AK723" s="8"/>
      <c r="AL723" s="8">
        <f t="shared" si="214"/>
        <v>49.744499999999995</v>
      </c>
    </row>
    <row r="724" spans="1:38">
      <c r="A724" s="18">
        <v>41481</v>
      </c>
      <c r="B724" s="19" t="s">
        <v>141</v>
      </c>
      <c r="C724" s="12">
        <v>100.8</v>
      </c>
      <c r="D724" s="19" t="s">
        <v>80</v>
      </c>
      <c r="E724" s="8">
        <v>8.4100400000000004</v>
      </c>
      <c r="F724" s="8">
        <v>83.314229999999995</v>
      </c>
      <c r="G724" s="22">
        <v>100</v>
      </c>
      <c r="H724" s="22">
        <v>19</v>
      </c>
      <c r="I724" s="10">
        <f t="shared" si="224"/>
        <v>5.1996716132404543</v>
      </c>
      <c r="J724" s="10">
        <f t="shared" si="225"/>
        <v>9.0751389673531108E-2</v>
      </c>
      <c r="K724" s="10">
        <f t="shared" si="215"/>
        <v>21.086773802174438</v>
      </c>
      <c r="L724" s="22">
        <v>987</v>
      </c>
      <c r="M724" s="22" t="s">
        <v>39</v>
      </c>
      <c r="N724" s="7" t="s">
        <v>69</v>
      </c>
      <c r="O724" s="33" t="s">
        <v>65</v>
      </c>
      <c r="P724" s="33" t="s">
        <v>70</v>
      </c>
      <c r="Q724" s="7">
        <v>0.37</v>
      </c>
      <c r="R724" s="7" t="s">
        <v>71</v>
      </c>
      <c r="S724" s="30">
        <v>7.6</v>
      </c>
      <c r="T724" s="79">
        <f t="shared" si="219"/>
        <v>4.5364704E-3</v>
      </c>
      <c r="U724" s="22">
        <v>11</v>
      </c>
      <c r="V724" s="22">
        <v>35</v>
      </c>
      <c r="W724" s="10">
        <f t="shared" si="220"/>
        <v>0.6108652381980153</v>
      </c>
      <c r="X724" s="22">
        <v>8</v>
      </c>
      <c r="Y724" s="22">
        <v>19</v>
      </c>
      <c r="Z724" s="10">
        <f t="shared" si="221"/>
        <v>0.33161255787892263</v>
      </c>
      <c r="AA724" s="10">
        <f t="shared" si="222"/>
        <v>8.913886035518761</v>
      </c>
      <c r="AB724" s="10">
        <f t="shared" si="223"/>
        <v>10.788571596590696</v>
      </c>
      <c r="AC724" s="10">
        <f t="shared" si="211"/>
        <v>1.348571449573837</v>
      </c>
      <c r="AD724" s="10">
        <f t="shared" si="216"/>
        <v>5.394285798295348</v>
      </c>
      <c r="AE724" s="65"/>
      <c r="AF724" s="10">
        <f t="shared" si="217"/>
        <v>11.017954997613904</v>
      </c>
      <c r="AG724" s="8">
        <f t="shared" si="212"/>
        <v>2.1485012245347113</v>
      </c>
      <c r="AH724" s="10">
        <f t="shared" si="213"/>
        <v>5.508977498806952</v>
      </c>
      <c r="AI724" s="63"/>
      <c r="AJ724" s="10">
        <f t="shared" si="218"/>
        <v>11.1966</v>
      </c>
      <c r="AK724" s="8"/>
      <c r="AL724" s="8">
        <f t="shared" si="214"/>
        <v>5.5983000000000001</v>
      </c>
    </row>
    <row r="725" spans="1:38">
      <c r="A725" s="18">
        <v>41481</v>
      </c>
      <c r="B725" s="19" t="s">
        <v>141</v>
      </c>
      <c r="C725" s="12">
        <v>100.8</v>
      </c>
      <c r="D725" s="19" t="s">
        <v>80</v>
      </c>
      <c r="E725" s="8">
        <v>8.4100400000000004</v>
      </c>
      <c r="F725" s="8">
        <v>83.314229999999995</v>
      </c>
      <c r="G725" s="22">
        <v>100</v>
      </c>
      <c r="H725" s="22">
        <v>19</v>
      </c>
      <c r="I725" s="10">
        <f t="shared" si="224"/>
        <v>5.1996716132404543</v>
      </c>
      <c r="J725" s="10">
        <f t="shared" si="225"/>
        <v>9.0751389673531108E-2</v>
      </c>
      <c r="K725" s="10">
        <f t="shared" si="215"/>
        <v>21.086773802174438</v>
      </c>
      <c r="L725" s="22">
        <v>894</v>
      </c>
      <c r="M725" s="22" t="s">
        <v>96</v>
      </c>
      <c r="N725" s="8" t="s">
        <v>69</v>
      </c>
      <c r="O725" s="58" t="s">
        <v>65</v>
      </c>
      <c r="P725" s="10" t="s">
        <v>102</v>
      </c>
      <c r="Q725" s="22">
        <v>0.48</v>
      </c>
      <c r="R725" s="22" t="s">
        <v>190</v>
      </c>
      <c r="S725" s="30">
        <v>6.8</v>
      </c>
      <c r="T725" s="79">
        <f t="shared" si="219"/>
        <v>3.6316895999999998E-3</v>
      </c>
      <c r="U725" s="22">
        <v>8</v>
      </c>
      <c r="V725" s="22">
        <v>35</v>
      </c>
      <c r="W725" s="10">
        <f t="shared" si="220"/>
        <v>0.6108652381980153</v>
      </c>
      <c r="X725" s="22">
        <v>6</v>
      </c>
      <c r="Y725" s="22">
        <v>20</v>
      </c>
      <c r="Z725" s="10">
        <f t="shared" si="221"/>
        <v>0.3490658503988659</v>
      </c>
      <c r="AA725" s="10">
        <f t="shared" si="222"/>
        <v>6.6407323507623808</v>
      </c>
      <c r="AB725" s="10">
        <f t="shared" si="223"/>
        <v>8.4767282065761993</v>
      </c>
      <c r="AC725" s="10">
        <f t="shared" si="211"/>
        <v>1.0595910258220249</v>
      </c>
      <c r="AD725" s="10">
        <f t="shared" si="216"/>
        <v>4.2383641032880996</v>
      </c>
      <c r="AE725" s="65"/>
      <c r="AF725" s="10">
        <f t="shared" si="217"/>
        <v>10.861716492644655</v>
      </c>
      <c r="AG725" s="8">
        <f t="shared" si="212"/>
        <v>2.1180347160657078</v>
      </c>
      <c r="AH725" s="10">
        <f t="shared" si="213"/>
        <v>5.4308582463223276</v>
      </c>
      <c r="AI725" s="63"/>
      <c r="AJ725" s="10">
        <f t="shared" si="218"/>
        <v>8.2341999999999977</v>
      </c>
      <c r="AK725" s="8"/>
      <c r="AL725" s="8">
        <f t="shared" si="214"/>
        <v>4.1170999999999989</v>
      </c>
    </row>
    <row r="726" spans="1:38">
      <c r="A726" s="18">
        <v>41481</v>
      </c>
      <c r="B726" s="19" t="s">
        <v>141</v>
      </c>
      <c r="C726" s="12">
        <v>100.8</v>
      </c>
      <c r="D726" s="19" t="s">
        <v>80</v>
      </c>
      <c r="E726" s="8">
        <v>8.4100400000000004</v>
      </c>
      <c r="F726" s="8">
        <v>83.314229999999995</v>
      </c>
      <c r="G726" s="22">
        <v>100</v>
      </c>
      <c r="H726" s="22">
        <v>19</v>
      </c>
      <c r="I726" s="10">
        <f t="shared" si="224"/>
        <v>5.1996716132404543</v>
      </c>
      <c r="J726" s="10">
        <f t="shared" si="225"/>
        <v>9.0751389673531108E-2</v>
      </c>
      <c r="K726" s="10">
        <f t="shared" si="215"/>
        <v>21.086773802174438</v>
      </c>
      <c r="L726" s="22">
        <v>910</v>
      </c>
      <c r="M726" s="22" t="s">
        <v>39</v>
      </c>
      <c r="N726" s="7" t="s">
        <v>69</v>
      </c>
      <c r="O726" s="33" t="s">
        <v>65</v>
      </c>
      <c r="P726" s="33" t="s">
        <v>70</v>
      </c>
      <c r="Q726" s="7">
        <v>0.37</v>
      </c>
      <c r="R726" s="7" t="s">
        <v>71</v>
      </c>
      <c r="S726" s="30">
        <v>7</v>
      </c>
      <c r="T726" s="79">
        <f t="shared" si="219"/>
        <v>3.8484600000000002E-3</v>
      </c>
      <c r="U726" s="22">
        <v>8</v>
      </c>
      <c r="V726" s="22">
        <v>28</v>
      </c>
      <c r="W726" s="10">
        <f t="shared" si="220"/>
        <v>0.48869219055841229</v>
      </c>
      <c r="X726" s="22">
        <v>6</v>
      </c>
      <c r="Y726" s="22">
        <v>15</v>
      </c>
      <c r="Z726" s="10">
        <f t="shared" si="221"/>
        <v>0.26179938779914941</v>
      </c>
      <c r="AA726" s="10">
        <f t="shared" si="222"/>
        <v>5.3086867729022504</v>
      </c>
      <c r="AB726" s="10">
        <f t="shared" si="223"/>
        <v>5.6786294779682276</v>
      </c>
      <c r="AC726" s="10">
        <f t="shared" si="211"/>
        <v>0.70982868474602845</v>
      </c>
      <c r="AD726" s="10">
        <f t="shared" si="216"/>
        <v>2.8393147389841138</v>
      </c>
      <c r="AE726" s="65"/>
      <c r="AF726" s="10">
        <f t="shared" si="217"/>
        <v>8.9927555754854769</v>
      </c>
      <c r="AG726" s="8">
        <f t="shared" si="212"/>
        <v>1.753587337219668</v>
      </c>
      <c r="AH726" s="10">
        <f t="shared" si="213"/>
        <v>4.4963777877427384</v>
      </c>
      <c r="AI726" s="63"/>
      <c r="AJ726" s="10">
        <f t="shared" si="218"/>
        <v>8.8859999999999992</v>
      </c>
      <c r="AK726" s="8"/>
      <c r="AL726" s="8">
        <f t="shared" si="214"/>
        <v>4.4429999999999996</v>
      </c>
    </row>
    <row r="727" spans="1:38">
      <c r="A727" s="18">
        <v>41481</v>
      </c>
      <c r="B727" s="19" t="s">
        <v>141</v>
      </c>
      <c r="C727" s="12">
        <v>100.8</v>
      </c>
      <c r="D727" s="19" t="s">
        <v>80</v>
      </c>
      <c r="E727" s="8">
        <v>8.4100400000000004</v>
      </c>
      <c r="F727" s="8">
        <v>83.314229999999995</v>
      </c>
      <c r="G727" s="22">
        <v>100</v>
      </c>
      <c r="H727" s="22">
        <v>19</v>
      </c>
      <c r="I727" s="10">
        <f t="shared" si="224"/>
        <v>5.1996716132404543</v>
      </c>
      <c r="J727" s="10">
        <f t="shared" si="225"/>
        <v>9.0751389673531108E-2</v>
      </c>
      <c r="K727" s="10">
        <f t="shared" si="215"/>
        <v>21.086773802174438</v>
      </c>
      <c r="L727" s="22">
        <v>988</v>
      </c>
      <c r="M727" s="22" t="s">
        <v>39</v>
      </c>
      <c r="N727" s="7" t="s">
        <v>69</v>
      </c>
      <c r="O727" s="33" t="s">
        <v>65</v>
      </c>
      <c r="P727" s="33" t="s">
        <v>70</v>
      </c>
      <c r="Q727" s="7">
        <v>0.37</v>
      </c>
      <c r="R727" s="7" t="s">
        <v>71</v>
      </c>
      <c r="S727" s="30">
        <v>7</v>
      </c>
      <c r="T727" s="79">
        <f t="shared" si="219"/>
        <v>3.8484600000000002E-3</v>
      </c>
      <c r="U727" s="22">
        <v>10</v>
      </c>
      <c r="V727" s="22">
        <v>35</v>
      </c>
      <c r="W727" s="10">
        <f t="shared" si="220"/>
        <v>0.6108652381980153</v>
      </c>
      <c r="X727" s="22">
        <v>8</v>
      </c>
      <c r="Y727" s="22">
        <v>18</v>
      </c>
      <c r="Z727" s="10">
        <f t="shared" si="221"/>
        <v>0.31415926535897931</v>
      </c>
      <c r="AA727" s="10">
        <f t="shared" si="222"/>
        <v>8.2079003185100401</v>
      </c>
      <c r="AB727" s="10">
        <f t="shared" si="223"/>
        <v>8.5533019961723866</v>
      </c>
      <c r="AC727" s="10">
        <f t="shared" si="211"/>
        <v>1.0691627495215483</v>
      </c>
      <c r="AD727" s="10">
        <f t="shared" si="216"/>
        <v>4.2766509980861933</v>
      </c>
      <c r="AE727" s="65"/>
      <c r="AF727" s="10">
        <f t="shared" si="217"/>
        <v>8.9927555754854769</v>
      </c>
      <c r="AG727" s="8">
        <f t="shared" si="212"/>
        <v>1.753587337219668</v>
      </c>
      <c r="AH727" s="10">
        <f t="shared" si="213"/>
        <v>4.4963777877427384</v>
      </c>
      <c r="AI727" s="63"/>
      <c r="AJ727" s="10">
        <f t="shared" si="218"/>
        <v>8.8859999999999992</v>
      </c>
      <c r="AK727" s="8"/>
      <c r="AL727" s="8">
        <f t="shared" si="214"/>
        <v>4.4429999999999996</v>
      </c>
    </row>
    <row r="728" spans="1:38">
      <c r="A728" s="18">
        <v>41481</v>
      </c>
      <c r="B728" s="19" t="s">
        <v>141</v>
      </c>
      <c r="C728" s="12">
        <v>100.8</v>
      </c>
      <c r="D728" s="19" t="s">
        <v>80</v>
      </c>
      <c r="E728" s="8">
        <v>8.4100400000000004</v>
      </c>
      <c r="F728" s="8">
        <v>83.314229999999995</v>
      </c>
      <c r="G728" s="22">
        <v>100</v>
      </c>
      <c r="H728" s="22">
        <v>19</v>
      </c>
      <c r="I728" s="10">
        <f t="shared" si="224"/>
        <v>5.1996716132404543</v>
      </c>
      <c r="J728" s="10">
        <f t="shared" si="225"/>
        <v>9.0751389673531108E-2</v>
      </c>
      <c r="K728" s="10">
        <f t="shared" si="215"/>
        <v>21.086773802174438</v>
      </c>
      <c r="L728" s="22">
        <v>1003</v>
      </c>
      <c r="M728" s="22" t="s">
        <v>39</v>
      </c>
      <c r="N728" s="7" t="s">
        <v>69</v>
      </c>
      <c r="O728" s="33" t="s">
        <v>65</v>
      </c>
      <c r="P728" s="33" t="s">
        <v>70</v>
      </c>
      <c r="Q728" s="7">
        <v>0.37</v>
      </c>
      <c r="R728" s="7" t="s">
        <v>71</v>
      </c>
      <c r="S728" s="30">
        <v>10.1</v>
      </c>
      <c r="T728" s="79">
        <f t="shared" si="219"/>
        <v>8.0118654000000001E-3</v>
      </c>
      <c r="U728" s="22">
        <v>7</v>
      </c>
      <c r="V728" s="22">
        <v>53</v>
      </c>
      <c r="W728" s="10">
        <f t="shared" si="220"/>
        <v>0.92502450355699462</v>
      </c>
      <c r="X728" s="22">
        <v>5</v>
      </c>
      <c r="Y728" s="22">
        <v>15</v>
      </c>
      <c r="Z728" s="10">
        <f t="shared" si="221"/>
        <v>0.26179938779914941</v>
      </c>
      <c r="AA728" s="10">
        <f t="shared" si="222"/>
        <v>6.8845437958436539</v>
      </c>
      <c r="AB728" s="10">
        <f t="shared" si="223"/>
        <v>14.444355932187101</v>
      </c>
      <c r="AC728" s="10">
        <f t="shared" si="211"/>
        <v>1.8055444915233876</v>
      </c>
      <c r="AD728" s="10">
        <f t="shared" si="216"/>
        <v>7.2221779660935503</v>
      </c>
      <c r="AE728" s="65"/>
      <c r="AF728" s="10">
        <f t="shared" si="217"/>
        <v>22.310407341293363</v>
      </c>
      <c r="AG728" s="8">
        <f t="shared" si="212"/>
        <v>4.3505294315522063</v>
      </c>
      <c r="AH728" s="10">
        <f t="shared" si="213"/>
        <v>11.155203670646682</v>
      </c>
      <c r="AI728" s="63"/>
      <c r="AJ728" s="10">
        <f t="shared" si="218"/>
        <v>26.559099999999987</v>
      </c>
      <c r="AK728" s="8"/>
      <c r="AL728" s="8">
        <f t="shared" si="214"/>
        <v>13.279549999999993</v>
      </c>
    </row>
    <row r="729" spans="1:38">
      <c r="A729" s="18">
        <v>41481</v>
      </c>
      <c r="B729" s="19" t="s">
        <v>141</v>
      </c>
      <c r="C729" s="12">
        <v>100.8</v>
      </c>
      <c r="D729" s="19" t="s">
        <v>80</v>
      </c>
      <c r="E729" s="8">
        <v>8.4100400000000004</v>
      </c>
      <c r="F729" s="8">
        <v>83.314229999999995</v>
      </c>
      <c r="G729" s="22">
        <v>100</v>
      </c>
      <c r="H729" s="22">
        <v>19</v>
      </c>
      <c r="I729" s="10">
        <f t="shared" si="224"/>
        <v>5.1996716132404543</v>
      </c>
      <c r="J729" s="10">
        <f t="shared" si="225"/>
        <v>9.0751389673531108E-2</v>
      </c>
      <c r="K729" s="10">
        <f t="shared" si="215"/>
        <v>21.086773802174438</v>
      </c>
      <c r="L729" s="22">
        <v>1000</v>
      </c>
      <c r="M729" s="22" t="s">
        <v>39</v>
      </c>
      <c r="N729" s="7" t="s">
        <v>69</v>
      </c>
      <c r="O729" s="33" t="s">
        <v>65</v>
      </c>
      <c r="P729" s="33" t="s">
        <v>70</v>
      </c>
      <c r="Q729" s="7">
        <v>0.37</v>
      </c>
      <c r="R729" s="7" t="s">
        <v>71</v>
      </c>
      <c r="S729" s="30">
        <v>5</v>
      </c>
      <c r="T729" s="79">
        <f t="shared" si="219"/>
        <v>1.9635E-3</v>
      </c>
      <c r="U729" s="22">
        <v>5</v>
      </c>
      <c r="V729" s="22">
        <v>42</v>
      </c>
      <c r="W729" s="10">
        <f t="shared" si="220"/>
        <v>0.73303828583761843</v>
      </c>
      <c r="X729" s="22">
        <v>5</v>
      </c>
      <c r="Y729" s="22">
        <v>19</v>
      </c>
      <c r="Z729" s="10">
        <f t="shared" si="221"/>
        <v>0.33161255787892263</v>
      </c>
      <c r="AA729" s="10">
        <f t="shared" si="222"/>
        <v>4.9734938040800749</v>
      </c>
      <c r="AB729" s="10">
        <f t="shared" si="223"/>
        <v>2.837244980779599</v>
      </c>
      <c r="AC729" s="10">
        <f t="shared" si="211"/>
        <v>0.35465562259744987</v>
      </c>
      <c r="AD729" s="10">
        <f t="shared" si="216"/>
        <v>1.4186224903897995</v>
      </c>
      <c r="AE729" s="65"/>
      <c r="AF729" s="10">
        <f t="shared" si="217"/>
        <v>3.9451165195652678</v>
      </c>
      <c r="AG729" s="8">
        <f t="shared" si="212"/>
        <v>0.76929772131522722</v>
      </c>
      <c r="AH729" s="10">
        <f t="shared" si="213"/>
        <v>1.9725582597826339</v>
      </c>
      <c r="AI729" s="63"/>
      <c r="AJ729" s="10">
        <f t="shared" si="218"/>
        <v>5.032</v>
      </c>
      <c r="AK729" s="8"/>
      <c r="AL729" s="8">
        <f t="shared" si="214"/>
        <v>2.516</v>
      </c>
    </row>
    <row r="730" spans="1:38">
      <c r="A730" s="18">
        <v>41481</v>
      </c>
      <c r="B730" s="19" t="s">
        <v>141</v>
      </c>
      <c r="C730" s="12">
        <v>100.8</v>
      </c>
      <c r="D730" s="19" t="s">
        <v>80</v>
      </c>
      <c r="E730" s="8">
        <v>8.4100400000000004</v>
      </c>
      <c r="F730" s="8">
        <v>83.314229999999995</v>
      </c>
      <c r="G730" s="22">
        <v>100</v>
      </c>
      <c r="H730" s="22">
        <v>19</v>
      </c>
      <c r="I730" s="10">
        <f t="shared" si="224"/>
        <v>5.1996716132404543</v>
      </c>
      <c r="J730" s="10">
        <f t="shared" si="225"/>
        <v>9.0751389673531108E-2</v>
      </c>
      <c r="K730" s="10">
        <f t="shared" si="215"/>
        <v>21.086773802174438</v>
      </c>
      <c r="L730" s="22">
        <v>903</v>
      </c>
      <c r="M730" s="22" t="s">
        <v>39</v>
      </c>
      <c r="N730" s="7" t="s">
        <v>69</v>
      </c>
      <c r="O730" s="33" t="s">
        <v>65</v>
      </c>
      <c r="P730" s="33" t="s">
        <v>70</v>
      </c>
      <c r="Q730" s="7">
        <v>0.37</v>
      </c>
      <c r="R730" s="7" t="s">
        <v>71</v>
      </c>
      <c r="S730" s="30">
        <v>11</v>
      </c>
      <c r="T730" s="79">
        <f t="shared" si="219"/>
        <v>9.5033400000000007E-3</v>
      </c>
      <c r="U730" s="22">
        <v>11</v>
      </c>
      <c r="V730" s="22">
        <v>65</v>
      </c>
      <c r="W730" s="10">
        <f t="shared" si="220"/>
        <v>1.1344640137963142</v>
      </c>
      <c r="X730" s="22">
        <v>5</v>
      </c>
      <c r="Y730" s="22">
        <v>16</v>
      </c>
      <c r="Z730" s="10">
        <f t="shared" si="221"/>
        <v>0.27925268031909273</v>
      </c>
      <c r="AA730" s="10">
        <f t="shared" si="222"/>
        <v>11.347572436488145</v>
      </c>
      <c r="AB730" s="10">
        <f t="shared" si="223"/>
        <v>27.126788158996664</v>
      </c>
      <c r="AC730" s="10">
        <f t="shared" si="211"/>
        <v>3.390848519874583</v>
      </c>
      <c r="AD730" s="10">
        <f t="shared" si="216"/>
        <v>13.563394079498332</v>
      </c>
      <c r="AE730" s="65"/>
      <c r="AF730" s="10">
        <f t="shared" si="217"/>
        <v>27.587884777633903</v>
      </c>
      <c r="AG730" s="8">
        <f t="shared" si="212"/>
        <v>5.3796375316386111</v>
      </c>
      <c r="AH730" s="10">
        <f t="shared" si="213"/>
        <v>13.793942388816951</v>
      </c>
      <c r="AI730" s="63"/>
      <c r="AJ730" s="10">
        <f t="shared" si="218"/>
        <v>34.353999999999985</v>
      </c>
      <c r="AK730" s="8"/>
      <c r="AL730" s="8">
        <f t="shared" si="214"/>
        <v>17.176999999999992</v>
      </c>
    </row>
    <row r="731" spans="1:38">
      <c r="A731" s="18">
        <v>41481</v>
      </c>
      <c r="B731" s="19" t="s">
        <v>141</v>
      </c>
      <c r="C731" s="12">
        <v>100.8</v>
      </c>
      <c r="D731" s="19" t="s">
        <v>80</v>
      </c>
      <c r="E731" s="8">
        <v>8.4100400000000004</v>
      </c>
      <c r="F731" s="8">
        <v>83.314229999999995</v>
      </c>
      <c r="G731" s="22">
        <v>100</v>
      </c>
      <c r="H731" s="22">
        <v>19</v>
      </c>
      <c r="I731" s="10">
        <f t="shared" si="224"/>
        <v>5.1996716132404543</v>
      </c>
      <c r="J731" s="10">
        <f t="shared" si="225"/>
        <v>9.0751389673531108E-2</v>
      </c>
      <c r="K731" s="10">
        <f t="shared" si="215"/>
        <v>21.086773802174438</v>
      </c>
      <c r="L731" s="22">
        <v>891</v>
      </c>
      <c r="M731" s="22" t="s">
        <v>39</v>
      </c>
      <c r="N731" s="7" t="s">
        <v>69</v>
      </c>
      <c r="O731" s="33" t="s">
        <v>65</v>
      </c>
      <c r="P731" s="33" t="s">
        <v>70</v>
      </c>
      <c r="Q731" s="7">
        <v>0.37</v>
      </c>
      <c r="R731" s="7" t="s">
        <v>71</v>
      </c>
      <c r="S731" s="30">
        <v>5.8</v>
      </c>
      <c r="T731" s="79">
        <f t="shared" si="219"/>
        <v>2.6420856E-3</v>
      </c>
      <c r="U731" s="22">
        <v>8</v>
      </c>
      <c r="V731" s="22">
        <v>40</v>
      </c>
      <c r="W731" s="10">
        <f t="shared" si="220"/>
        <v>0.69813170079773179</v>
      </c>
      <c r="X731" s="22">
        <v>7</v>
      </c>
      <c r="Y731" s="22">
        <v>15</v>
      </c>
      <c r="Z731" s="10">
        <f t="shared" si="221"/>
        <v>0.26179938779914941</v>
      </c>
      <c r="AA731" s="10">
        <f t="shared" si="222"/>
        <v>6.9540341932099592</v>
      </c>
      <c r="AB731" s="10">
        <f t="shared" si="223"/>
        <v>5.1394729220172035</v>
      </c>
      <c r="AC731" s="10">
        <f t="shared" si="211"/>
        <v>0.64243411525215044</v>
      </c>
      <c r="AD731" s="10">
        <f t="shared" si="216"/>
        <v>2.5697364610086018</v>
      </c>
      <c r="AE731" s="65"/>
      <c r="AF731" s="10">
        <f t="shared" si="217"/>
        <v>5.6650375177496333</v>
      </c>
      <c r="AG731" s="8">
        <f t="shared" si="212"/>
        <v>1.1046823159611785</v>
      </c>
      <c r="AH731" s="10">
        <f t="shared" si="213"/>
        <v>2.8325187588748166</v>
      </c>
      <c r="AI731" s="63"/>
      <c r="AJ731" s="10">
        <f t="shared" si="218"/>
        <v>5.8632000000000026</v>
      </c>
      <c r="AK731" s="8"/>
      <c r="AL731" s="8">
        <f t="shared" si="214"/>
        <v>2.9316000000000013</v>
      </c>
    </row>
    <row r="732" spans="1:38">
      <c r="A732" s="18">
        <v>41481</v>
      </c>
      <c r="B732" s="19" t="s">
        <v>141</v>
      </c>
      <c r="C732" s="12">
        <v>100.8</v>
      </c>
      <c r="D732" s="19" t="s">
        <v>80</v>
      </c>
      <c r="E732" s="8">
        <v>8.4100400000000004</v>
      </c>
      <c r="F732" s="8">
        <v>83.314229999999995</v>
      </c>
      <c r="G732" s="22">
        <v>100</v>
      </c>
      <c r="H732" s="22">
        <v>19</v>
      </c>
      <c r="I732" s="10">
        <f t="shared" si="224"/>
        <v>5.1996716132404543</v>
      </c>
      <c r="J732" s="10">
        <f t="shared" si="225"/>
        <v>9.0751389673531108E-2</v>
      </c>
      <c r="K732" s="10">
        <f t="shared" si="215"/>
        <v>21.086773802174438</v>
      </c>
      <c r="L732" s="22">
        <v>908</v>
      </c>
      <c r="M732" s="22" t="s">
        <v>39</v>
      </c>
      <c r="N732" s="7" t="s">
        <v>69</v>
      </c>
      <c r="O732" s="33" t="s">
        <v>65</v>
      </c>
      <c r="P732" s="33" t="s">
        <v>70</v>
      </c>
      <c r="Q732" s="7">
        <v>0.37</v>
      </c>
      <c r="R732" s="7" t="s">
        <v>71</v>
      </c>
      <c r="S732" s="30">
        <v>5.2</v>
      </c>
      <c r="T732" s="79">
        <f t="shared" si="219"/>
        <v>2.1237216000000005E-3</v>
      </c>
      <c r="U732" s="22">
        <v>9</v>
      </c>
      <c r="V732" s="22">
        <v>24</v>
      </c>
      <c r="W732" s="10">
        <f t="shared" si="220"/>
        <v>0.41887902047863912</v>
      </c>
      <c r="X732" s="22">
        <v>8</v>
      </c>
      <c r="Y732" s="22">
        <v>14</v>
      </c>
      <c r="Z732" s="10">
        <f t="shared" si="221"/>
        <v>0.24434609527920614</v>
      </c>
      <c r="AA732" s="10">
        <f t="shared" si="222"/>
        <v>5.5960049524795439</v>
      </c>
      <c r="AB732" s="10">
        <f t="shared" si="223"/>
        <v>3.4124243530672542</v>
      </c>
      <c r="AC732" s="10">
        <f t="shared" si="211"/>
        <v>0.42655304413340678</v>
      </c>
      <c r="AD732" s="10">
        <f t="shared" si="216"/>
        <v>1.7062121765336271</v>
      </c>
      <c r="AE732" s="65"/>
      <c r="AF732" s="10">
        <f t="shared" si="217"/>
        <v>4.3397306183796722</v>
      </c>
      <c r="AG732" s="8">
        <f t="shared" si="212"/>
        <v>0.84624747058403615</v>
      </c>
      <c r="AH732" s="10">
        <f t="shared" si="213"/>
        <v>2.1698653091898361</v>
      </c>
      <c r="AI732" s="63"/>
      <c r="AJ732" s="10">
        <f t="shared" si="218"/>
        <v>5.1510000000000034</v>
      </c>
      <c r="AK732" s="8"/>
      <c r="AL732" s="8">
        <f t="shared" si="214"/>
        <v>2.5755000000000017</v>
      </c>
    </row>
    <row r="733" spans="1:38">
      <c r="A733" s="18">
        <v>41481</v>
      </c>
      <c r="B733" s="19" t="s">
        <v>141</v>
      </c>
      <c r="C733" s="12">
        <v>100.8</v>
      </c>
      <c r="D733" s="19" t="s">
        <v>80</v>
      </c>
      <c r="E733" s="8">
        <v>8.4100400000000004</v>
      </c>
      <c r="F733" s="8">
        <v>83.314229999999995</v>
      </c>
      <c r="G733" s="22">
        <v>100</v>
      </c>
      <c r="H733" s="22">
        <v>19</v>
      </c>
      <c r="I733" s="10">
        <f t="shared" si="224"/>
        <v>5.1996716132404543</v>
      </c>
      <c r="J733" s="10">
        <f t="shared" si="225"/>
        <v>9.0751389673531108E-2</v>
      </c>
      <c r="K733" s="10">
        <f t="shared" si="215"/>
        <v>21.086773802174438</v>
      </c>
      <c r="L733" s="22">
        <v>971</v>
      </c>
      <c r="M733" s="22" t="s">
        <v>39</v>
      </c>
      <c r="N733" s="7" t="s">
        <v>69</v>
      </c>
      <c r="O733" s="33" t="s">
        <v>65</v>
      </c>
      <c r="P733" s="33" t="s">
        <v>70</v>
      </c>
      <c r="Q733" s="7">
        <v>0.37</v>
      </c>
      <c r="R733" s="7" t="s">
        <v>71</v>
      </c>
      <c r="S733" s="30">
        <v>8.9</v>
      </c>
      <c r="T733" s="79">
        <f t="shared" si="219"/>
        <v>6.2211534000000011E-3</v>
      </c>
      <c r="U733" s="22">
        <v>13</v>
      </c>
      <c r="V733" s="22">
        <v>45</v>
      </c>
      <c r="W733" s="10">
        <f t="shared" si="220"/>
        <v>0.78539816339744828</v>
      </c>
      <c r="X733" s="22">
        <v>8</v>
      </c>
      <c r="Y733" s="22">
        <v>5</v>
      </c>
      <c r="Z733" s="10">
        <f t="shared" si="221"/>
        <v>8.7266462599716474E-2</v>
      </c>
      <c r="AA733" s="10">
        <f t="shared" si="222"/>
        <v>9.8896340974063826</v>
      </c>
      <c r="AB733" s="10">
        <f t="shared" si="223"/>
        <v>16.006411014461516</v>
      </c>
      <c r="AC733" s="10">
        <f t="shared" si="211"/>
        <v>2.0008013768076895</v>
      </c>
      <c r="AD733" s="10">
        <f t="shared" si="216"/>
        <v>8.0032055072307582</v>
      </c>
      <c r="AE733" s="65"/>
      <c r="AF733" s="10">
        <f t="shared" si="217"/>
        <v>16.293910860178588</v>
      </c>
      <c r="AG733" s="8">
        <f t="shared" si="212"/>
        <v>3.1773126177348248</v>
      </c>
      <c r="AH733" s="10">
        <f t="shared" si="213"/>
        <v>8.1469554300892941</v>
      </c>
      <c r="AI733" s="63"/>
      <c r="AJ733" s="10">
        <f t="shared" si="218"/>
        <v>18.03070000000001</v>
      </c>
      <c r="AK733" s="8"/>
      <c r="AL733" s="8">
        <f t="shared" si="214"/>
        <v>9.0153500000000051</v>
      </c>
    </row>
    <row r="734" spans="1:38">
      <c r="A734" s="18">
        <v>41481</v>
      </c>
      <c r="B734" s="19" t="s">
        <v>141</v>
      </c>
      <c r="C734" s="12">
        <v>100.8</v>
      </c>
      <c r="D734" s="19" t="s">
        <v>80</v>
      </c>
      <c r="E734" s="8">
        <v>8.4100400000000004</v>
      </c>
      <c r="F734" s="8">
        <v>83.314229999999995</v>
      </c>
      <c r="G734" s="22">
        <v>100</v>
      </c>
      <c r="H734" s="22">
        <v>19</v>
      </c>
      <c r="I734" s="10">
        <f t="shared" si="224"/>
        <v>5.1996716132404543</v>
      </c>
      <c r="J734" s="10">
        <f t="shared" si="225"/>
        <v>9.0751389673531108E-2</v>
      </c>
      <c r="K734" s="10">
        <f t="shared" si="215"/>
        <v>21.086773802174438</v>
      </c>
      <c r="L734" s="22">
        <v>1029</v>
      </c>
      <c r="M734" s="22" t="s">
        <v>36</v>
      </c>
      <c r="N734" s="8" t="s">
        <v>46</v>
      </c>
      <c r="O734" s="10" t="s">
        <v>37</v>
      </c>
      <c r="P734" s="10" t="s">
        <v>38</v>
      </c>
      <c r="Q734" s="11">
        <v>0.48</v>
      </c>
      <c r="R734" s="8" t="s">
        <v>60</v>
      </c>
      <c r="S734" s="30">
        <v>26.4</v>
      </c>
      <c r="T734" s="79">
        <f t="shared" si="219"/>
        <v>5.4739238399999994E-2</v>
      </c>
      <c r="U734" s="22">
        <v>15</v>
      </c>
      <c r="V734" s="22">
        <v>62</v>
      </c>
      <c r="W734" s="10">
        <f t="shared" si="220"/>
        <v>1.0821041362364843</v>
      </c>
      <c r="X734" s="22">
        <v>9</v>
      </c>
      <c r="Y734" s="22">
        <v>7</v>
      </c>
      <c r="Z734" s="10">
        <f t="shared" si="221"/>
        <v>0.12217304763960307</v>
      </c>
      <c r="AA734" s="10">
        <f t="shared" si="222"/>
        <v>14.341037983530232</v>
      </c>
      <c r="AB734" s="10">
        <f t="shared" si="223"/>
        <v>223.88738190535594</v>
      </c>
      <c r="AC734" s="10">
        <f t="shared" si="211"/>
        <v>27.985922738169492</v>
      </c>
      <c r="AD734" s="10">
        <f t="shared" si="216"/>
        <v>111.94369095267797</v>
      </c>
      <c r="AE734" s="65"/>
      <c r="AF734" s="10">
        <f t="shared" si="217"/>
        <v>311.2835885487018</v>
      </c>
      <c r="AG734" s="8">
        <f t="shared" si="212"/>
        <v>60.700299766996856</v>
      </c>
      <c r="AH734" s="10">
        <f t="shared" si="213"/>
        <v>155.6417942743509</v>
      </c>
      <c r="AI734" s="63"/>
      <c r="AJ734" s="10">
        <f t="shared" si="218"/>
        <v>353.48819999999989</v>
      </c>
      <c r="AK734" s="8"/>
      <c r="AL734" s="8">
        <f t="shared" si="214"/>
        <v>176.74409999999995</v>
      </c>
    </row>
    <row r="735" spans="1:38">
      <c r="A735" s="18">
        <v>41481</v>
      </c>
      <c r="B735" s="19" t="s">
        <v>141</v>
      </c>
      <c r="C735" s="12">
        <v>100.8</v>
      </c>
      <c r="D735" s="19" t="s">
        <v>80</v>
      </c>
      <c r="E735" s="8">
        <v>8.4100400000000004</v>
      </c>
      <c r="F735" s="8">
        <v>83.314229999999995</v>
      </c>
      <c r="G735" s="22">
        <v>100</v>
      </c>
      <c r="H735" s="22">
        <v>19</v>
      </c>
      <c r="I735" s="10">
        <f t="shared" si="224"/>
        <v>5.1996716132404543</v>
      </c>
      <c r="J735" s="10">
        <f t="shared" si="225"/>
        <v>9.0751389673531108E-2</v>
      </c>
      <c r="K735" s="10">
        <f t="shared" si="215"/>
        <v>21.086773802174438</v>
      </c>
      <c r="L735" s="22">
        <v>1021</v>
      </c>
      <c r="M735" s="22" t="s">
        <v>107</v>
      </c>
      <c r="N735" s="22" t="s">
        <v>63</v>
      </c>
      <c r="O735" s="10" t="s">
        <v>108</v>
      </c>
      <c r="P735" s="15" t="s">
        <v>92</v>
      </c>
      <c r="Q735" s="8">
        <v>0.57999999999999996</v>
      </c>
      <c r="R735" s="22" t="s">
        <v>190</v>
      </c>
      <c r="S735" s="30">
        <v>8.9</v>
      </c>
      <c r="T735" s="79">
        <f t="shared" si="219"/>
        <v>6.2211534000000011E-3</v>
      </c>
      <c r="U735" s="22">
        <v>11</v>
      </c>
      <c r="V735" s="22">
        <v>65</v>
      </c>
      <c r="W735" s="10">
        <f t="shared" si="220"/>
        <v>1.1344640137963142</v>
      </c>
      <c r="X735" s="22">
        <v>5</v>
      </c>
      <c r="Y735" s="22">
        <v>1</v>
      </c>
      <c r="Z735" s="10">
        <f t="shared" si="221"/>
        <v>1.7453292519943295E-2</v>
      </c>
      <c r="AA735" s="10">
        <f t="shared" si="222"/>
        <v>10.056647689589568</v>
      </c>
      <c r="AB735" s="10">
        <f t="shared" si="223"/>
        <v>24.810944055655114</v>
      </c>
      <c r="AC735" s="10">
        <f t="shared" si="211"/>
        <v>3.1013680069568892</v>
      </c>
      <c r="AD735" s="10">
        <f t="shared" si="216"/>
        <v>12.405472027827557</v>
      </c>
      <c r="AE735" s="65"/>
      <c r="AF735" s="10">
        <f t="shared" si="217"/>
        <v>25.541806213252922</v>
      </c>
      <c r="AG735" s="8">
        <f t="shared" si="212"/>
        <v>4.9806522115843199</v>
      </c>
      <c r="AH735" s="10">
        <f t="shared" si="213"/>
        <v>12.770903106626461</v>
      </c>
      <c r="AI735" s="63"/>
      <c r="AJ735" s="10">
        <f t="shared" si="218"/>
        <v>18.03070000000001</v>
      </c>
      <c r="AK735" s="8"/>
      <c r="AL735" s="8">
        <f t="shared" si="214"/>
        <v>9.0153500000000051</v>
      </c>
    </row>
    <row r="736" spans="1:38">
      <c r="A736" s="18">
        <v>41481</v>
      </c>
      <c r="B736" s="19" t="s">
        <v>141</v>
      </c>
      <c r="C736" s="12">
        <v>100.8</v>
      </c>
      <c r="D736" s="19" t="s">
        <v>80</v>
      </c>
      <c r="E736" s="8">
        <v>8.4100400000000004</v>
      </c>
      <c r="F736" s="8">
        <v>83.314229999999995</v>
      </c>
      <c r="G736" s="22">
        <v>100</v>
      </c>
      <c r="H736" s="22">
        <v>19</v>
      </c>
      <c r="I736" s="10">
        <f t="shared" si="224"/>
        <v>5.1996716132404543</v>
      </c>
      <c r="J736" s="10">
        <f t="shared" si="225"/>
        <v>9.0751389673531108E-2</v>
      </c>
      <c r="K736" s="10">
        <f t="shared" si="215"/>
        <v>21.086773802174438</v>
      </c>
      <c r="L736" s="22">
        <v>1024</v>
      </c>
      <c r="M736" s="22" t="s">
        <v>36</v>
      </c>
      <c r="N736" s="8" t="s">
        <v>46</v>
      </c>
      <c r="O736" s="10" t="s">
        <v>37</v>
      </c>
      <c r="P736" s="10" t="s">
        <v>38</v>
      </c>
      <c r="Q736" s="11">
        <v>0.48</v>
      </c>
      <c r="R736" s="8" t="s">
        <v>60</v>
      </c>
      <c r="S736" s="30">
        <v>14.5</v>
      </c>
      <c r="T736" s="79">
        <f t="shared" si="219"/>
        <v>1.6513035000000002E-2</v>
      </c>
      <c r="U736" s="22">
        <v>10</v>
      </c>
      <c r="V736" s="22">
        <v>40</v>
      </c>
      <c r="W736" s="10">
        <f t="shared" si="220"/>
        <v>0.69813170079773179</v>
      </c>
      <c r="X736" s="22">
        <v>6</v>
      </c>
      <c r="Y736" s="22">
        <v>20</v>
      </c>
      <c r="Z736" s="10">
        <f t="shared" si="221"/>
        <v>0.3490658503988659</v>
      </c>
      <c r="AA736" s="10">
        <f t="shared" si="222"/>
        <v>8.4799969568194058</v>
      </c>
      <c r="AB736" s="10">
        <f t="shared" si="223"/>
        <v>44.288633767592394</v>
      </c>
      <c r="AC736" s="10">
        <f t="shared" si="211"/>
        <v>5.5360792209490493</v>
      </c>
      <c r="AD736" s="10">
        <f t="shared" si="216"/>
        <v>22.144316883796197</v>
      </c>
      <c r="AE736" s="65"/>
      <c r="AF736" s="10">
        <f t="shared" si="217"/>
        <v>71.147827715254024</v>
      </c>
      <c r="AG736" s="8">
        <f t="shared" si="212"/>
        <v>13.873826404474535</v>
      </c>
      <c r="AH736" s="10">
        <f t="shared" si="213"/>
        <v>35.573913857627012</v>
      </c>
      <c r="AI736" s="63"/>
      <c r="AJ736" s="10">
        <f t="shared" si="218"/>
        <v>76.063500000000005</v>
      </c>
      <c r="AK736" s="8"/>
      <c r="AL736" s="8">
        <f t="shared" si="214"/>
        <v>38.031750000000002</v>
      </c>
    </row>
    <row r="737" spans="1:38">
      <c r="A737" s="18">
        <v>41481</v>
      </c>
      <c r="B737" s="19" t="s">
        <v>141</v>
      </c>
      <c r="C737" s="12">
        <v>100.8</v>
      </c>
      <c r="D737" s="19" t="s">
        <v>80</v>
      </c>
      <c r="E737" s="8">
        <v>8.4100400000000004</v>
      </c>
      <c r="F737" s="8">
        <v>83.314229999999995</v>
      </c>
      <c r="G737" s="22">
        <v>100</v>
      </c>
      <c r="H737" s="22">
        <v>19</v>
      </c>
      <c r="I737" s="10">
        <f t="shared" si="224"/>
        <v>5.1996716132404543</v>
      </c>
      <c r="J737" s="10">
        <f t="shared" si="225"/>
        <v>9.0751389673531108E-2</v>
      </c>
      <c r="K737" s="10">
        <f t="shared" si="215"/>
        <v>21.086773802174438</v>
      </c>
      <c r="L737" s="22">
        <v>1020</v>
      </c>
      <c r="M737" s="22" t="s">
        <v>36</v>
      </c>
      <c r="N737" s="8" t="s">
        <v>46</v>
      </c>
      <c r="O737" s="10" t="s">
        <v>37</v>
      </c>
      <c r="P737" s="10" t="s">
        <v>38</v>
      </c>
      <c r="Q737" s="11">
        <v>0.48</v>
      </c>
      <c r="R737" s="8" t="s">
        <v>60</v>
      </c>
      <c r="S737" s="30">
        <v>10.4</v>
      </c>
      <c r="T737" s="79">
        <f t="shared" si="219"/>
        <v>8.494886400000002E-3</v>
      </c>
      <c r="U737" s="22">
        <v>7</v>
      </c>
      <c r="V737" s="22">
        <v>50</v>
      </c>
      <c r="W737" s="10">
        <f t="shared" si="220"/>
        <v>0.87266462599716477</v>
      </c>
      <c r="X737" s="22">
        <v>5</v>
      </c>
      <c r="Y737" s="22">
        <v>7</v>
      </c>
      <c r="Z737" s="10">
        <f t="shared" si="221"/>
        <v>0.12217304763960307</v>
      </c>
      <c r="AA737" s="10">
        <f t="shared" si="222"/>
        <v>5.9716578188585832</v>
      </c>
      <c r="AB737" s="10">
        <f t="shared" si="223"/>
        <v>17.05219858729399</v>
      </c>
      <c r="AC737" s="10">
        <f t="shared" si="211"/>
        <v>2.1315248234117488</v>
      </c>
      <c r="AD737" s="10">
        <f t="shared" si="216"/>
        <v>8.526099293646995</v>
      </c>
      <c r="AE737" s="65"/>
      <c r="AF737" s="10">
        <f t="shared" si="217"/>
        <v>31.128655554509354</v>
      </c>
      <c r="AG737" s="8">
        <f t="shared" si="212"/>
        <v>6.0700878331293247</v>
      </c>
      <c r="AH737" s="10">
        <f t="shared" si="213"/>
        <v>15.564327777254677</v>
      </c>
      <c r="AI737" s="63"/>
      <c r="AJ737" s="10">
        <f t="shared" si="218"/>
        <v>29.024200000000008</v>
      </c>
      <c r="AK737" s="8"/>
      <c r="AL737" s="8">
        <f t="shared" si="214"/>
        <v>14.512100000000004</v>
      </c>
    </row>
    <row r="738" spans="1:38">
      <c r="A738" s="18">
        <v>41481</v>
      </c>
      <c r="B738" s="19" t="s">
        <v>141</v>
      </c>
      <c r="C738" s="12">
        <v>100.8</v>
      </c>
      <c r="D738" s="19" t="s">
        <v>80</v>
      </c>
      <c r="E738" s="8">
        <v>8.4100400000000004</v>
      </c>
      <c r="F738" s="8">
        <v>83.314229999999995</v>
      </c>
      <c r="G738" s="22">
        <v>100</v>
      </c>
      <c r="H738" s="22">
        <v>19</v>
      </c>
      <c r="I738" s="10">
        <f t="shared" si="224"/>
        <v>5.1996716132404543</v>
      </c>
      <c r="J738" s="10">
        <f t="shared" si="225"/>
        <v>9.0751389673531108E-2</v>
      </c>
      <c r="K738" s="10">
        <f t="shared" si="215"/>
        <v>21.086773802174438</v>
      </c>
      <c r="L738" s="22">
        <v>1028</v>
      </c>
      <c r="M738" s="7" t="s">
        <v>122</v>
      </c>
      <c r="N738" s="7" t="s">
        <v>123</v>
      </c>
      <c r="O738" s="33" t="s">
        <v>99</v>
      </c>
      <c r="P738" s="33" t="s">
        <v>99</v>
      </c>
      <c r="Q738" s="7">
        <v>0.69</v>
      </c>
      <c r="R738" s="7" t="s">
        <v>190</v>
      </c>
      <c r="S738" s="30">
        <v>8.5</v>
      </c>
      <c r="T738" s="79">
        <f t="shared" si="219"/>
        <v>5.6745150000000006E-3</v>
      </c>
      <c r="U738" s="22">
        <v>7</v>
      </c>
      <c r="V738" s="22">
        <v>55</v>
      </c>
      <c r="W738" s="10">
        <f t="shared" si="220"/>
        <v>0.95993108859688125</v>
      </c>
      <c r="X738" s="22">
        <v>6</v>
      </c>
      <c r="Y738" s="22">
        <v>3</v>
      </c>
      <c r="Z738" s="10">
        <f t="shared" si="221"/>
        <v>5.235987755982989E-2</v>
      </c>
      <c r="AA738" s="10">
        <f t="shared" si="222"/>
        <v>6.0480800474806058</v>
      </c>
      <c r="AB738" s="10">
        <f t="shared" si="223"/>
        <v>16.611464620619415</v>
      </c>
      <c r="AC738" s="10">
        <f t="shared" si="211"/>
        <v>2.0764330775774269</v>
      </c>
      <c r="AD738" s="10">
        <f t="shared" si="216"/>
        <v>8.3057323103097076</v>
      </c>
      <c r="AE738" s="65"/>
      <c r="AF738" s="10">
        <f t="shared" si="217"/>
        <v>27.10960060895782</v>
      </c>
      <c r="AG738" s="8">
        <f t="shared" si="212"/>
        <v>5.2863721187467752</v>
      </c>
      <c r="AH738" s="10">
        <f t="shared" si="213"/>
        <v>13.55480030447891</v>
      </c>
      <c r="AI738" s="63"/>
      <c r="AJ738" s="10">
        <f t="shared" si="218"/>
        <v>15.661499999999997</v>
      </c>
      <c r="AK738" s="8"/>
      <c r="AL738" s="8">
        <f t="shared" si="214"/>
        <v>7.8307499999999983</v>
      </c>
    </row>
    <row r="739" spans="1:38">
      <c r="A739" s="18">
        <v>41481</v>
      </c>
      <c r="B739" s="19" t="s">
        <v>141</v>
      </c>
      <c r="C739" s="12">
        <v>100.8</v>
      </c>
      <c r="D739" s="19" t="s">
        <v>80</v>
      </c>
      <c r="E739" s="8">
        <v>8.4100400000000004</v>
      </c>
      <c r="F739" s="8">
        <v>83.314229999999995</v>
      </c>
      <c r="G739" s="22">
        <v>100</v>
      </c>
      <c r="H739" s="22">
        <v>19</v>
      </c>
      <c r="I739" s="10">
        <f t="shared" si="224"/>
        <v>5.1996716132404543</v>
      </c>
      <c r="J739" s="10">
        <f t="shared" si="225"/>
        <v>9.0751389673531108E-2</v>
      </c>
      <c r="K739" s="10">
        <f t="shared" si="215"/>
        <v>21.086773802174438</v>
      </c>
      <c r="L739" s="22">
        <v>1022</v>
      </c>
      <c r="M739" s="22" t="s">
        <v>163</v>
      </c>
      <c r="N739" s="22" t="s">
        <v>209</v>
      </c>
      <c r="O739" s="33" t="s">
        <v>210</v>
      </c>
      <c r="P739" s="33" t="s">
        <v>211</v>
      </c>
      <c r="Q739" s="22">
        <v>0.28999999999999998</v>
      </c>
      <c r="R739" s="22" t="s">
        <v>190</v>
      </c>
      <c r="S739" s="30">
        <v>17.3</v>
      </c>
      <c r="T739" s="79">
        <f t="shared" si="219"/>
        <v>2.3506236600000004E-2</v>
      </c>
      <c r="U739" s="22">
        <v>12</v>
      </c>
      <c r="V739" s="22">
        <v>70</v>
      </c>
      <c r="W739" s="10">
        <f t="shared" si="220"/>
        <v>1.2217304763960306</v>
      </c>
      <c r="X739" s="22">
        <v>6</v>
      </c>
      <c r="Y739" s="22">
        <v>0</v>
      </c>
      <c r="Z739" s="10">
        <f t="shared" si="221"/>
        <v>0</v>
      </c>
      <c r="AA739" s="10">
        <f t="shared" si="222"/>
        <v>11.276311449430899</v>
      </c>
      <c r="AB739" s="10">
        <f t="shared" si="223"/>
        <v>50.243461457136938</v>
      </c>
      <c r="AC739" s="10">
        <f t="shared" si="211"/>
        <v>6.2804326821421173</v>
      </c>
      <c r="AD739" s="10">
        <f t="shared" si="216"/>
        <v>25.121730728568469</v>
      </c>
      <c r="AE739" s="65"/>
      <c r="AF739" s="10">
        <f t="shared" si="217"/>
        <v>66.602454319571322</v>
      </c>
      <c r="AG739" s="8">
        <f t="shared" si="212"/>
        <v>12.987478592316409</v>
      </c>
      <c r="AH739" s="10">
        <f t="shared" si="213"/>
        <v>33.301227159785661</v>
      </c>
      <c r="AI739" s="63"/>
      <c r="AJ739" s="10">
        <f t="shared" si="218"/>
        <v>122.48469999999999</v>
      </c>
      <c r="AK739" s="8"/>
      <c r="AL739" s="8">
        <f t="shared" si="214"/>
        <v>61.242349999999995</v>
      </c>
    </row>
    <row r="740" spans="1:38">
      <c r="A740" s="18">
        <v>41481</v>
      </c>
      <c r="B740" s="19" t="s">
        <v>141</v>
      </c>
      <c r="C740" s="12">
        <v>100.8</v>
      </c>
      <c r="D740" s="19" t="s">
        <v>80</v>
      </c>
      <c r="E740" s="8">
        <v>8.4100400000000004</v>
      </c>
      <c r="F740" s="8">
        <v>83.314229999999995</v>
      </c>
      <c r="G740" s="22">
        <v>100</v>
      </c>
      <c r="H740" s="22">
        <v>19</v>
      </c>
      <c r="I740" s="10">
        <f t="shared" si="224"/>
        <v>5.1996716132404543</v>
      </c>
      <c r="J740" s="10">
        <f t="shared" si="225"/>
        <v>9.0751389673531108E-2</v>
      </c>
      <c r="K740" s="10">
        <f t="shared" si="215"/>
        <v>21.086773802174438</v>
      </c>
      <c r="L740" s="22">
        <v>1027</v>
      </c>
      <c r="M740" s="22" t="s">
        <v>36</v>
      </c>
      <c r="N740" s="8" t="s">
        <v>46</v>
      </c>
      <c r="O740" s="10" t="s">
        <v>37</v>
      </c>
      <c r="P740" s="10" t="s">
        <v>38</v>
      </c>
      <c r="Q740" s="11">
        <v>0.48</v>
      </c>
      <c r="R740" s="8" t="s">
        <v>60</v>
      </c>
      <c r="S740" s="30">
        <v>12</v>
      </c>
      <c r="T740" s="79">
        <f t="shared" si="219"/>
        <v>1.130976E-2</v>
      </c>
      <c r="U740" s="22">
        <v>8</v>
      </c>
      <c r="V740" s="22">
        <v>50</v>
      </c>
      <c r="W740" s="10">
        <f t="shared" si="220"/>
        <v>0.87266462599716477</v>
      </c>
      <c r="X740" s="22">
        <v>6</v>
      </c>
      <c r="Y740" s="22">
        <v>5</v>
      </c>
      <c r="Z740" s="10">
        <f t="shared" si="221"/>
        <v>8.7266462599716474E-2</v>
      </c>
      <c r="AA740" s="10">
        <f t="shared" si="222"/>
        <v>6.6512900014377729</v>
      </c>
      <c r="AB740" s="10">
        <f t="shared" si="223"/>
        <v>24.695666848388779</v>
      </c>
      <c r="AC740" s="10">
        <f t="shared" si="211"/>
        <v>3.0869583560485974</v>
      </c>
      <c r="AD740" s="10">
        <f t="shared" si="216"/>
        <v>12.347833424194389</v>
      </c>
      <c r="AE740" s="65"/>
      <c r="AF740" s="10">
        <f t="shared" si="217"/>
        <v>44.441042596259827</v>
      </c>
      <c r="AG740" s="8">
        <f t="shared" si="212"/>
        <v>8.6660033062706674</v>
      </c>
      <c r="AH740" s="10">
        <f t="shared" si="213"/>
        <v>22.220521298129913</v>
      </c>
      <c r="AI740" s="63"/>
      <c r="AJ740" s="10">
        <f t="shared" si="218"/>
        <v>44.420999999999992</v>
      </c>
      <c r="AK740" s="8"/>
      <c r="AL740" s="8">
        <f t="shared" si="214"/>
        <v>22.210499999999996</v>
      </c>
    </row>
    <row r="741" spans="1:38">
      <c r="A741" s="18">
        <v>41481</v>
      </c>
      <c r="B741" s="19" t="s">
        <v>141</v>
      </c>
      <c r="C741" s="12">
        <v>100.8</v>
      </c>
      <c r="D741" s="19" t="s">
        <v>80</v>
      </c>
      <c r="E741" s="8">
        <v>8.4100400000000004</v>
      </c>
      <c r="F741" s="8">
        <v>83.314229999999995</v>
      </c>
      <c r="G741" s="22">
        <v>100</v>
      </c>
      <c r="H741" s="22">
        <v>19</v>
      </c>
      <c r="I741" s="10">
        <f t="shared" si="224"/>
        <v>5.1996716132404543</v>
      </c>
      <c r="J741" s="10">
        <f t="shared" si="225"/>
        <v>9.0751389673531108E-2</v>
      </c>
      <c r="K741" s="10">
        <f t="shared" si="215"/>
        <v>21.086773802174438</v>
      </c>
      <c r="L741" s="22">
        <v>1026</v>
      </c>
      <c r="M741" s="22" t="s">
        <v>39</v>
      </c>
      <c r="N741" s="7" t="s">
        <v>69</v>
      </c>
      <c r="O741" s="33" t="s">
        <v>65</v>
      </c>
      <c r="P741" s="33" t="s">
        <v>70</v>
      </c>
      <c r="Q741" s="7">
        <v>0.37</v>
      </c>
      <c r="R741" s="7" t="s">
        <v>71</v>
      </c>
      <c r="S741" s="30">
        <v>8.1999999999999993</v>
      </c>
      <c r="T741" s="79">
        <f t="shared" si="219"/>
        <v>5.2810295999999998E-3</v>
      </c>
      <c r="U741" s="22">
        <v>10</v>
      </c>
      <c r="V741" s="22">
        <v>57</v>
      </c>
      <c r="W741" s="10">
        <f t="shared" si="220"/>
        <v>0.99483767363676789</v>
      </c>
      <c r="X741" s="22">
        <v>7</v>
      </c>
      <c r="Y741" s="22">
        <v>20</v>
      </c>
      <c r="Z741" s="10">
        <f t="shared" si="221"/>
        <v>0.3490658503988659</v>
      </c>
      <c r="AA741" s="10">
        <f t="shared" si="222"/>
        <v>10.780846682733923</v>
      </c>
      <c r="AB741" s="10">
        <f t="shared" si="223"/>
        <v>14.8811016074339</v>
      </c>
      <c r="AC741" s="10">
        <f t="shared" si="211"/>
        <v>1.8601377009292375</v>
      </c>
      <c r="AD741" s="10">
        <f t="shared" si="216"/>
        <v>7.4405508037169499</v>
      </c>
      <c r="AE741" s="65"/>
      <c r="AF741" s="10">
        <f t="shared" si="217"/>
        <v>13.298178493578567</v>
      </c>
      <c r="AG741" s="8">
        <f t="shared" si="212"/>
        <v>2.5931448062478206</v>
      </c>
      <c r="AH741" s="10">
        <f t="shared" si="213"/>
        <v>6.6490892467892833</v>
      </c>
      <c r="AI741" s="63"/>
      <c r="AJ741" s="10">
        <f t="shared" si="218"/>
        <v>14.040000000000006</v>
      </c>
      <c r="AK741" s="8"/>
      <c r="AL741" s="8">
        <f t="shared" si="214"/>
        <v>7.0200000000000031</v>
      </c>
    </row>
    <row r="742" spans="1:38">
      <c r="A742" s="18">
        <v>41481</v>
      </c>
      <c r="B742" s="19" t="s">
        <v>141</v>
      </c>
      <c r="C742" s="12">
        <v>100.8</v>
      </c>
      <c r="D742" s="19" t="s">
        <v>80</v>
      </c>
      <c r="E742" s="8">
        <v>8.4100400000000004</v>
      </c>
      <c r="F742" s="8">
        <v>83.314229999999995</v>
      </c>
      <c r="G742" s="22">
        <v>100</v>
      </c>
      <c r="H742" s="22">
        <v>19</v>
      </c>
      <c r="I742" s="10">
        <f t="shared" si="224"/>
        <v>5.1996716132404543</v>
      </c>
      <c r="J742" s="10">
        <f t="shared" si="225"/>
        <v>9.0751389673531108E-2</v>
      </c>
      <c r="K742" s="10">
        <f t="shared" si="215"/>
        <v>21.086773802174438</v>
      </c>
      <c r="L742" s="22">
        <v>1023</v>
      </c>
      <c r="M742" s="22" t="s">
        <v>107</v>
      </c>
      <c r="N742" s="22" t="s">
        <v>63</v>
      </c>
      <c r="O742" s="10" t="s">
        <v>108</v>
      </c>
      <c r="P742" s="15" t="s">
        <v>92</v>
      </c>
      <c r="Q742" s="8">
        <v>0.57999999999999996</v>
      </c>
      <c r="R742" s="22" t="s">
        <v>190</v>
      </c>
      <c r="S742" s="30">
        <v>6.7</v>
      </c>
      <c r="T742" s="79">
        <f t="shared" si="219"/>
        <v>3.5256606000000001E-3</v>
      </c>
      <c r="U742" s="22">
        <v>9</v>
      </c>
      <c r="V742" s="22">
        <v>30</v>
      </c>
      <c r="W742" s="10">
        <f t="shared" si="220"/>
        <v>0.52359877559829882</v>
      </c>
      <c r="X742" s="22">
        <v>6</v>
      </c>
      <c r="Y742" s="22">
        <v>15</v>
      </c>
      <c r="Z742" s="10">
        <f t="shared" si="221"/>
        <v>0.26179938779914941</v>
      </c>
      <c r="AA742" s="10">
        <f t="shared" si="222"/>
        <v>6.0529142706151235</v>
      </c>
      <c r="AB742" s="10">
        <f t="shared" si="223"/>
        <v>9.0271636525705468</v>
      </c>
      <c r="AC742" s="10">
        <f t="shared" si="211"/>
        <v>1.1283954565713183</v>
      </c>
      <c r="AD742" s="10">
        <f t="shared" si="216"/>
        <v>4.5135818262852734</v>
      </c>
      <c r="AE742" s="65"/>
      <c r="AF742" s="10">
        <f t="shared" si="217"/>
        <v>12.654266690262777</v>
      </c>
      <c r="AG742" s="8">
        <f t="shared" si="212"/>
        <v>2.4675820046012413</v>
      </c>
      <c r="AH742" s="10">
        <f t="shared" si="213"/>
        <v>6.3271333451313883</v>
      </c>
      <c r="AI742" s="63"/>
      <c r="AJ742" s="10">
        <f t="shared" si="218"/>
        <v>7.9304999999999986</v>
      </c>
      <c r="AK742" s="8"/>
      <c r="AL742" s="8">
        <f t="shared" si="214"/>
        <v>3.9652499999999993</v>
      </c>
    </row>
    <row r="743" spans="1:38">
      <c r="A743" s="18">
        <v>41481</v>
      </c>
      <c r="B743" s="19" t="s">
        <v>141</v>
      </c>
      <c r="C743" s="12">
        <v>100.8</v>
      </c>
      <c r="D743" s="19" t="s">
        <v>80</v>
      </c>
      <c r="E743" s="8">
        <v>8.4100400000000004</v>
      </c>
      <c r="F743" s="8">
        <v>83.314229999999995</v>
      </c>
      <c r="G743" s="22">
        <v>100</v>
      </c>
      <c r="H743" s="22">
        <v>19</v>
      </c>
      <c r="I743" s="10">
        <f t="shared" si="224"/>
        <v>5.1996716132404543</v>
      </c>
      <c r="J743" s="10">
        <f t="shared" si="225"/>
        <v>9.0751389673531108E-2</v>
      </c>
      <c r="K743" s="10">
        <f t="shared" si="215"/>
        <v>21.086773802174438</v>
      </c>
      <c r="L743" s="22">
        <v>1025</v>
      </c>
      <c r="M743" s="22" t="s">
        <v>39</v>
      </c>
      <c r="N743" s="7" t="s">
        <v>69</v>
      </c>
      <c r="O743" s="33" t="s">
        <v>65</v>
      </c>
      <c r="P743" s="33" t="s">
        <v>70</v>
      </c>
      <c r="Q743" s="7">
        <v>0.37</v>
      </c>
      <c r="R743" s="7" t="s">
        <v>71</v>
      </c>
      <c r="S743" s="30">
        <v>12.6</v>
      </c>
      <c r="T743" s="79">
        <f t="shared" si="219"/>
        <v>1.2469010399999999E-2</v>
      </c>
      <c r="U743" s="22">
        <v>11</v>
      </c>
      <c r="V743" s="22">
        <v>50</v>
      </c>
      <c r="W743" s="10">
        <f t="shared" si="220"/>
        <v>0.87266462599716477</v>
      </c>
      <c r="X743" s="22">
        <v>6</v>
      </c>
      <c r="Y743" s="22">
        <v>20</v>
      </c>
      <c r="Z743" s="10">
        <f t="shared" si="221"/>
        <v>0.3490658503988659</v>
      </c>
      <c r="AA743" s="10">
        <f t="shared" si="222"/>
        <v>10.47860973426277</v>
      </c>
      <c r="AB743" s="10">
        <f t="shared" si="223"/>
        <v>32.490276890784223</v>
      </c>
      <c r="AC743" s="10">
        <f t="shared" si="211"/>
        <v>4.0612846113480279</v>
      </c>
      <c r="AD743" s="10">
        <f t="shared" si="216"/>
        <v>16.245138445392111</v>
      </c>
      <c r="AE743" s="65"/>
      <c r="AF743" s="10">
        <f t="shared" si="217"/>
        <v>38.678031551677812</v>
      </c>
      <c r="AG743" s="8">
        <f t="shared" si="212"/>
        <v>7.5422161525771738</v>
      </c>
      <c r="AH743" s="10">
        <f t="shared" si="213"/>
        <v>19.339015775838906</v>
      </c>
      <c r="AI743" s="63"/>
      <c r="AJ743" s="10">
        <f t="shared" si="218"/>
        <v>51.171599999999998</v>
      </c>
      <c r="AK743" s="8"/>
      <c r="AL743" s="8">
        <f t="shared" si="214"/>
        <v>25.585799999999999</v>
      </c>
    </row>
    <row r="744" spans="1:38">
      <c r="A744" s="18">
        <v>41471</v>
      </c>
      <c r="B744" s="19" t="s">
        <v>119</v>
      </c>
      <c r="C744" s="12">
        <v>150.1</v>
      </c>
      <c r="D744" s="9" t="s">
        <v>80</v>
      </c>
      <c r="E744" s="8">
        <v>8.4091400000000007</v>
      </c>
      <c r="F744" s="8">
        <v>83.311980000000005</v>
      </c>
      <c r="G744" s="22">
        <v>150</v>
      </c>
      <c r="H744" s="22">
        <v>15</v>
      </c>
      <c r="I744" s="10">
        <f t="shared" si="224"/>
        <v>6.61659150558995</v>
      </c>
      <c r="J744" s="10">
        <f t="shared" si="225"/>
        <v>0.11548130703203342</v>
      </c>
      <c r="K744" s="10">
        <f t="shared" si="215"/>
        <v>21.140809612582899</v>
      </c>
      <c r="L744" s="8">
        <v>6007</v>
      </c>
      <c r="M744" s="22" t="s">
        <v>135</v>
      </c>
      <c r="N744" s="22" t="s">
        <v>180</v>
      </c>
      <c r="O744" s="10" t="s">
        <v>217</v>
      </c>
      <c r="P744" s="10" t="s">
        <v>221</v>
      </c>
      <c r="Q744" s="24">
        <v>0.38</v>
      </c>
      <c r="R744" s="31" t="s">
        <v>190</v>
      </c>
      <c r="S744" s="12">
        <v>17.600000000000001</v>
      </c>
      <c r="T744" s="79">
        <f t="shared" si="219"/>
        <v>2.4328550400000006E-2</v>
      </c>
      <c r="U744" s="8">
        <v>11</v>
      </c>
      <c r="V744" s="8">
        <v>70</v>
      </c>
      <c r="W744" s="10">
        <f t="shared" ref="W744:W777" si="226">RADIANS(V744)</f>
        <v>1.2217304763960306</v>
      </c>
      <c r="X744" s="22">
        <v>5</v>
      </c>
      <c r="Y744" s="22">
        <v>4</v>
      </c>
      <c r="Z744" s="10">
        <f t="shared" ref="Z744:Z777" si="227">RADIANS(Y744)</f>
        <v>6.9813170079773182E-2</v>
      </c>
      <c r="AA744" s="10">
        <f t="shared" ref="AA744:AA777" si="228">(SIN(W744)*U744)+(SIN(Z744)*X744)</f>
        <v>10.68540119736562</v>
      </c>
      <c r="AB744" s="10">
        <f t="shared" ref="AB744:AB777" si="229">0.0776*(Q744*S744^2*AA744)^0.94</f>
        <v>63.604156946298254</v>
      </c>
      <c r="AC744" s="10">
        <f t="shared" si="211"/>
        <v>7.9505196182872817</v>
      </c>
      <c r="AD744" s="10">
        <f t="shared" si="216"/>
        <v>31.802078473149127</v>
      </c>
      <c r="AE744" s="65"/>
      <c r="AF744" s="10">
        <f t="shared" si="217"/>
        <v>91.065145018479456</v>
      </c>
      <c r="AG744" s="8">
        <f t="shared" si="212"/>
        <v>17.757703278603493</v>
      </c>
      <c r="AH744" s="10">
        <f t="shared" si="213"/>
        <v>45.532572509239728</v>
      </c>
      <c r="AI744" s="63"/>
      <c r="AJ744" s="10">
        <f t="shared" si="218"/>
        <v>128.14660000000001</v>
      </c>
      <c r="AK744" s="8"/>
      <c r="AL744" s="8">
        <f t="shared" si="214"/>
        <v>64.073300000000003</v>
      </c>
    </row>
    <row r="745" spans="1:38">
      <c r="A745" s="18">
        <v>41471</v>
      </c>
      <c r="B745" s="19" t="s">
        <v>119</v>
      </c>
      <c r="C745" s="12">
        <v>150.1</v>
      </c>
      <c r="D745" s="19" t="s">
        <v>80</v>
      </c>
      <c r="E745" s="8">
        <v>8.4091400000000007</v>
      </c>
      <c r="F745" s="8">
        <v>83.311980000000005</v>
      </c>
      <c r="G745" s="22">
        <v>150</v>
      </c>
      <c r="H745" s="22">
        <v>15</v>
      </c>
      <c r="I745" s="10">
        <f t="shared" si="224"/>
        <v>6.61659150558995</v>
      </c>
      <c r="J745" s="10">
        <f t="shared" si="225"/>
        <v>0.11548130703203342</v>
      </c>
      <c r="K745" s="10">
        <f t="shared" si="215"/>
        <v>21.140809612582899</v>
      </c>
      <c r="L745" s="8">
        <v>573</v>
      </c>
      <c r="M745" s="8" t="s">
        <v>39</v>
      </c>
      <c r="N745" s="7" t="s">
        <v>69</v>
      </c>
      <c r="O745" s="33" t="s">
        <v>65</v>
      </c>
      <c r="P745" s="33" t="s">
        <v>70</v>
      </c>
      <c r="Q745" s="7">
        <v>0.37</v>
      </c>
      <c r="R745" s="7" t="s">
        <v>71</v>
      </c>
      <c r="S745" s="12">
        <v>7.8</v>
      </c>
      <c r="T745" s="79">
        <f t="shared" si="219"/>
        <v>4.7783736E-3</v>
      </c>
      <c r="U745" s="8">
        <v>8</v>
      </c>
      <c r="V745" s="8">
        <v>47</v>
      </c>
      <c r="W745" s="10">
        <f t="shared" si="226"/>
        <v>0.82030474843733492</v>
      </c>
      <c r="X745" s="22">
        <v>5</v>
      </c>
      <c r="Y745" s="22">
        <v>10</v>
      </c>
      <c r="Z745" s="10">
        <f t="shared" si="227"/>
        <v>0.17453292519943295</v>
      </c>
      <c r="AA745" s="10">
        <f t="shared" si="228"/>
        <v>6.719070501288015</v>
      </c>
      <c r="AB745" s="10">
        <f t="shared" si="229"/>
        <v>8.6852003480940585</v>
      </c>
      <c r="AC745" s="10">
        <f t="shared" si="211"/>
        <v>1.0856500435117573</v>
      </c>
      <c r="AD745" s="10">
        <f t="shared" si="216"/>
        <v>4.3426001740470292</v>
      </c>
      <c r="AE745" s="65"/>
      <c r="AF745" s="10">
        <f t="shared" si="217"/>
        <v>11.749194449882149</v>
      </c>
      <c r="AG745" s="8">
        <f t="shared" si="212"/>
        <v>2.2910929177270192</v>
      </c>
      <c r="AH745" s="10">
        <f t="shared" si="213"/>
        <v>5.8745972249410743</v>
      </c>
      <c r="AI745" s="63"/>
      <c r="AJ745" s="10">
        <f t="shared" si="218"/>
        <v>12.085199999999993</v>
      </c>
      <c r="AK745" s="8"/>
      <c r="AL745" s="8">
        <f t="shared" si="214"/>
        <v>6.0425999999999966</v>
      </c>
    </row>
    <row r="746" spans="1:38">
      <c r="A746" s="18">
        <v>41471</v>
      </c>
      <c r="B746" s="19" t="s">
        <v>119</v>
      </c>
      <c r="C746" s="12">
        <v>150.1</v>
      </c>
      <c r="D746" s="19" t="s">
        <v>80</v>
      </c>
      <c r="E746" s="8">
        <v>8.4091400000000007</v>
      </c>
      <c r="F746" s="8">
        <v>83.311980000000005</v>
      </c>
      <c r="G746" s="22">
        <v>150</v>
      </c>
      <c r="H746" s="22">
        <v>15</v>
      </c>
      <c r="I746" s="10">
        <f t="shared" si="224"/>
        <v>6.61659150558995</v>
      </c>
      <c r="J746" s="10">
        <f t="shared" si="225"/>
        <v>0.11548130703203342</v>
      </c>
      <c r="K746" s="10">
        <f t="shared" si="215"/>
        <v>21.140809612582899</v>
      </c>
      <c r="L746" s="8">
        <v>7017</v>
      </c>
      <c r="M746" s="8" t="s">
        <v>47</v>
      </c>
      <c r="N746" s="8" t="s">
        <v>48</v>
      </c>
      <c r="O746" s="10" t="s">
        <v>49</v>
      </c>
      <c r="P746" s="10" t="s">
        <v>50</v>
      </c>
      <c r="Q746" s="20">
        <v>0.75</v>
      </c>
      <c r="R746" s="8" t="s">
        <v>67</v>
      </c>
      <c r="S746" s="12">
        <v>8.8000000000000007</v>
      </c>
      <c r="T746" s="79">
        <f t="shared" si="219"/>
        <v>6.0821376000000016E-3</v>
      </c>
      <c r="U746" s="8">
        <v>8</v>
      </c>
      <c r="V746" s="8">
        <v>60</v>
      </c>
      <c r="W746" s="10">
        <f t="shared" si="226"/>
        <v>1.0471975511965976</v>
      </c>
      <c r="X746" s="22">
        <v>5</v>
      </c>
      <c r="Y746" s="22">
        <v>2</v>
      </c>
      <c r="Z746" s="10">
        <f t="shared" si="227"/>
        <v>3.4906585039886591E-2</v>
      </c>
      <c r="AA746" s="10">
        <f t="shared" si="228"/>
        <v>7.102700713788014</v>
      </c>
      <c r="AB746" s="10">
        <f t="shared" si="229"/>
        <v>22.304106841362696</v>
      </c>
      <c r="AC746" s="10">
        <f t="shared" si="211"/>
        <v>2.788013355170337</v>
      </c>
      <c r="AD746" s="10">
        <f t="shared" si="216"/>
        <v>11.152053420681348</v>
      </c>
      <c r="AE746" s="65"/>
      <c r="AF746" s="10">
        <f t="shared" si="217"/>
        <v>32.114806585311122</v>
      </c>
      <c r="AG746" s="8">
        <f t="shared" si="212"/>
        <v>6.2623872841356691</v>
      </c>
      <c r="AH746" s="10">
        <f t="shared" si="213"/>
        <v>16.057403292655561</v>
      </c>
      <c r="AI746" s="63"/>
      <c r="AJ746" s="10">
        <f t="shared" si="218"/>
        <v>17.416199999999996</v>
      </c>
      <c r="AK746" s="8"/>
      <c r="AL746" s="8">
        <f t="shared" si="214"/>
        <v>8.7080999999999982</v>
      </c>
    </row>
    <row r="747" spans="1:38">
      <c r="A747" s="18">
        <v>41471</v>
      </c>
      <c r="B747" s="19" t="s">
        <v>119</v>
      </c>
      <c r="C747" s="12">
        <v>150.1</v>
      </c>
      <c r="D747" s="19" t="s">
        <v>80</v>
      </c>
      <c r="E747" s="8">
        <v>8.4091400000000007</v>
      </c>
      <c r="F747" s="8">
        <v>83.311980000000005</v>
      </c>
      <c r="G747" s="22">
        <v>150</v>
      </c>
      <c r="H747" s="22">
        <v>15</v>
      </c>
      <c r="I747" s="10">
        <f t="shared" si="224"/>
        <v>6.61659150558995</v>
      </c>
      <c r="J747" s="10">
        <f t="shared" si="225"/>
        <v>0.11548130703203342</v>
      </c>
      <c r="K747" s="10">
        <f t="shared" si="215"/>
        <v>21.140809612582899</v>
      </c>
      <c r="L747" s="22">
        <v>572</v>
      </c>
      <c r="M747" s="22" t="s">
        <v>107</v>
      </c>
      <c r="N747" s="22" t="s">
        <v>63</v>
      </c>
      <c r="O747" s="10" t="s">
        <v>108</v>
      </c>
      <c r="P747" s="15" t="s">
        <v>92</v>
      </c>
      <c r="Q747" s="8">
        <v>0.57999999999999996</v>
      </c>
      <c r="R747" s="22" t="s">
        <v>190</v>
      </c>
      <c r="S747" s="31">
        <v>23.7</v>
      </c>
      <c r="T747" s="79">
        <f t="shared" si="219"/>
        <v>4.4115132599999995E-2</v>
      </c>
      <c r="U747" s="22">
        <v>11</v>
      </c>
      <c r="V747" s="22">
        <v>55</v>
      </c>
      <c r="W747" s="10">
        <f t="shared" si="226"/>
        <v>0.95993108859688125</v>
      </c>
      <c r="X747" s="22">
        <v>5</v>
      </c>
      <c r="Y747" s="22">
        <v>-3</v>
      </c>
      <c r="Z747" s="10">
        <f t="shared" si="227"/>
        <v>-5.235987755982989E-2</v>
      </c>
      <c r="AA747" s="10">
        <f t="shared" si="228"/>
        <v>8.7489927059641914</v>
      </c>
      <c r="AB747" s="10">
        <f t="shared" si="229"/>
        <v>137.23076896696077</v>
      </c>
      <c r="AC747" s="10">
        <f t="shared" si="211"/>
        <v>17.153846120870096</v>
      </c>
      <c r="AD747" s="10">
        <f t="shared" si="216"/>
        <v>68.615384483480383</v>
      </c>
      <c r="AE747" s="65"/>
      <c r="AF747" s="10">
        <f t="shared" si="217"/>
        <v>289.10887726617563</v>
      </c>
      <c r="AG747" s="8">
        <f t="shared" si="212"/>
        <v>56.376231066904246</v>
      </c>
      <c r="AH747" s="10">
        <f t="shared" si="213"/>
        <v>144.55443863308781</v>
      </c>
      <c r="AI747" s="63"/>
      <c r="AJ747" s="10">
        <f t="shared" si="218"/>
        <v>272.16149999999993</v>
      </c>
      <c r="AK747" s="8"/>
      <c r="AL747" s="8">
        <f t="shared" si="214"/>
        <v>136.08074999999997</v>
      </c>
    </row>
    <row r="748" spans="1:38">
      <c r="A748" s="18">
        <v>41471</v>
      </c>
      <c r="B748" s="19" t="s">
        <v>119</v>
      </c>
      <c r="C748" s="12">
        <v>150.1</v>
      </c>
      <c r="D748" s="19" t="s">
        <v>80</v>
      </c>
      <c r="E748" s="8">
        <v>8.4091400000000007</v>
      </c>
      <c r="F748" s="8">
        <v>83.311980000000005</v>
      </c>
      <c r="G748" s="22">
        <v>150</v>
      </c>
      <c r="H748" s="22">
        <v>15</v>
      </c>
      <c r="I748" s="10">
        <f t="shared" si="224"/>
        <v>6.61659150558995</v>
      </c>
      <c r="J748" s="10">
        <f t="shared" si="225"/>
        <v>0.11548130703203342</v>
      </c>
      <c r="K748" s="10">
        <f t="shared" si="215"/>
        <v>21.140809612582899</v>
      </c>
      <c r="L748" s="22">
        <v>567</v>
      </c>
      <c r="M748" s="22" t="s">
        <v>107</v>
      </c>
      <c r="N748" s="22" t="s">
        <v>63</v>
      </c>
      <c r="O748" s="10" t="s">
        <v>108</v>
      </c>
      <c r="P748" s="15" t="s">
        <v>92</v>
      </c>
      <c r="Q748" s="8">
        <v>0.57999999999999996</v>
      </c>
      <c r="R748" s="22" t="s">
        <v>190</v>
      </c>
      <c r="S748" s="31">
        <v>14.6</v>
      </c>
      <c r="T748" s="79">
        <f t="shared" si="219"/>
        <v>1.6741586400000001E-2</v>
      </c>
      <c r="U748" s="22">
        <v>14</v>
      </c>
      <c r="V748" s="22">
        <v>60</v>
      </c>
      <c r="W748" s="10">
        <f t="shared" si="226"/>
        <v>1.0471975511965976</v>
      </c>
      <c r="X748" s="22">
        <v>5</v>
      </c>
      <c r="Y748" s="22">
        <v>-1</v>
      </c>
      <c r="Z748" s="10">
        <f t="shared" si="227"/>
        <v>-1.7453292519943295E-2</v>
      </c>
      <c r="AA748" s="10">
        <f t="shared" si="228"/>
        <v>12.037093620795723</v>
      </c>
      <c r="AB748" s="10">
        <f t="shared" si="229"/>
        <v>74.500252405012688</v>
      </c>
      <c r="AC748" s="10">
        <f t="shared" si="211"/>
        <v>9.312531550626586</v>
      </c>
      <c r="AD748" s="10">
        <f t="shared" si="216"/>
        <v>37.250126202506344</v>
      </c>
      <c r="AE748" s="65"/>
      <c r="AF748" s="10">
        <f t="shared" si="217"/>
        <v>87.45067739581944</v>
      </c>
      <c r="AG748" s="8">
        <f t="shared" si="212"/>
        <v>17.052882092184792</v>
      </c>
      <c r="AH748" s="10">
        <f t="shared" si="213"/>
        <v>43.72533869790972</v>
      </c>
      <c r="AI748" s="63"/>
      <c r="AJ748" s="10">
        <f t="shared" si="218"/>
        <v>77.521599999999978</v>
      </c>
      <c r="AK748" s="8"/>
      <c r="AL748" s="8">
        <f t="shared" si="214"/>
        <v>38.760799999999989</v>
      </c>
    </row>
    <row r="749" spans="1:38">
      <c r="A749" s="18">
        <v>41471</v>
      </c>
      <c r="B749" s="19" t="s">
        <v>119</v>
      </c>
      <c r="C749" s="12">
        <v>150.1</v>
      </c>
      <c r="D749" s="19" t="s">
        <v>80</v>
      </c>
      <c r="E749" s="8">
        <v>8.4091400000000007</v>
      </c>
      <c r="F749" s="8">
        <v>83.311980000000005</v>
      </c>
      <c r="G749" s="22">
        <v>150</v>
      </c>
      <c r="H749" s="22">
        <v>15</v>
      </c>
      <c r="I749" s="10">
        <f t="shared" si="224"/>
        <v>6.61659150558995</v>
      </c>
      <c r="J749" s="10">
        <f t="shared" si="225"/>
        <v>0.11548130703203342</v>
      </c>
      <c r="K749" s="10">
        <f t="shared" si="215"/>
        <v>21.140809612582899</v>
      </c>
      <c r="L749" s="22">
        <v>586</v>
      </c>
      <c r="M749" s="31" t="s">
        <v>231</v>
      </c>
      <c r="N749" s="8" t="s">
        <v>171</v>
      </c>
      <c r="O749" s="33" t="s">
        <v>99</v>
      </c>
      <c r="P749" s="33" t="s">
        <v>99</v>
      </c>
      <c r="Q749" s="7">
        <v>0.57999999999999996</v>
      </c>
      <c r="R749" s="7" t="s">
        <v>103</v>
      </c>
      <c r="S749" s="31">
        <v>9.1999999999999993</v>
      </c>
      <c r="T749" s="79">
        <f t="shared" si="219"/>
        <v>6.6476255999999992E-3</v>
      </c>
      <c r="U749" s="22">
        <v>9</v>
      </c>
      <c r="V749" s="22">
        <v>54</v>
      </c>
      <c r="W749" s="10">
        <f t="shared" si="226"/>
        <v>0.94247779607693793</v>
      </c>
      <c r="X749" s="22">
        <v>6</v>
      </c>
      <c r="Y749" s="22">
        <v>16</v>
      </c>
      <c r="Z749" s="10">
        <f t="shared" si="227"/>
        <v>0.27925268031909273</v>
      </c>
      <c r="AA749" s="10">
        <f t="shared" si="228"/>
        <v>8.9349770842765217</v>
      </c>
      <c r="AB749" s="10">
        <f t="shared" si="229"/>
        <v>23.628327787145452</v>
      </c>
      <c r="AC749" s="10">
        <f t="shared" si="211"/>
        <v>2.9535409733931814</v>
      </c>
      <c r="AD749" s="10">
        <f t="shared" si="216"/>
        <v>11.814163893572726</v>
      </c>
      <c r="AE749" s="65"/>
      <c r="AF749" s="10">
        <f t="shared" si="217"/>
        <v>27.73319160415701</v>
      </c>
      <c r="AG749" s="8">
        <f t="shared" si="212"/>
        <v>5.4079723628106171</v>
      </c>
      <c r="AH749" s="10">
        <f t="shared" si="213"/>
        <v>13.866595802078505</v>
      </c>
      <c r="AI749" s="63"/>
      <c r="AJ749" s="10">
        <f t="shared" si="218"/>
        <v>19.962999999999994</v>
      </c>
      <c r="AK749" s="8"/>
      <c r="AL749" s="8">
        <f t="shared" si="214"/>
        <v>9.9814999999999969</v>
      </c>
    </row>
    <row r="750" spans="1:38">
      <c r="A750" s="18">
        <v>41471</v>
      </c>
      <c r="B750" s="19" t="s">
        <v>119</v>
      </c>
      <c r="C750" s="12">
        <v>150.1</v>
      </c>
      <c r="D750" s="19" t="s">
        <v>80</v>
      </c>
      <c r="E750" s="8">
        <v>8.4091400000000007</v>
      </c>
      <c r="F750" s="8">
        <v>83.311980000000005</v>
      </c>
      <c r="G750" s="22">
        <v>150</v>
      </c>
      <c r="H750" s="22">
        <v>15</v>
      </c>
      <c r="I750" s="10">
        <f t="shared" si="224"/>
        <v>6.61659150558995</v>
      </c>
      <c r="J750" s="10">
        <f t="shared" si="225"/>
        <v>0.11548130703203342</v>
      </c>
      <c r="K750" s="10">
        <f t="shared" si="215"/>
        <v>21.140809612582899</v>
      </c>
      <c r="L750" s="22">
        <v>6013</v>
      </c>
      <c r="M750" s="22" t="s">
        <v>39</v>
      </c>
      <c r="N750" s="7" t="s">
        <v>69</v>
      </c>
      <c r="O750" s="33" t="s">
        <v>65</v>
      </c>
      <c r="P750" s="33" t="s">
        <v>70</v>
      </c>
      <c r="Q750" s="7">
        <v>0.37</v>
      </c>
      <c r="R750" s="7" t="s">
        <v>71</v>
      </c>
      <c r="S750" s="31">
        <v>22.2</v>
      </c>
      <c r="T750" s="79">
        <f t="shared" si="219"/>
        <v>3.8707653600000003E-2</v>
      </c>
      <c r="U750" s="22">
        <v>12</v>
      </c>
      <c r="V750" s="22">
        <v>73</v>
      </c>
      <c r="W750" s="10">
        <f t="shared" si="226"/>
        <v>1.2740903539558606</v>
      </c>
      <c r="X750" s="22">
        <v>5</v>
      </c>
      <c r="Y750" s="22">
        <v>8</v>
      </c>
      <c r="Z750" s="10">
        <f t="shared" si="227"/>
        <v>0.13962634015954636</v>
      </c>
      <c r="AA750" s="10">
        <f t="shared" si="228"/>
        <v>12.171522576356752</v>
      </c>
      <c r="AB750" s="10">
        <f t="shared" si="229"/>
        <v>108.47737024159248</v>
      </c>
      <c r="AC750" s="10">
        <f t="shared" si="211"/>
        <v>13.55967128019906</v>
      </c>
      <c r="AD750" s="10">
        <f t="shared" si="216"/>
        <v>54.238685120796241</v>
      </c>
      <c r="AE750" s="65"/>
      <c r="AF750" s="10">
        <f t="shared" si="217"/>
        <v>157.13684287352277</v>
      </c>
      <c r="AG750" s="8">
        <f t="shared" si="212"/>
        <v>30.641684360336942</v>
      </c>
      <c r="AH750" s="10">
        <f t="shared" si="213"/>
        <v>78.568421436761383</v>
      </c>
      <c r="AI750" s="63"/>
      <c r="AJ750" s="10">
        <f t="shared" si="218"/>
        <v>231.64199999999997</v>
      </c>
      <c r="AK750" s="8"/>
      <c r="AL750" s="8">
        <f t="shared" si="214"/>
        <v>115.82099999999998</v>
      </c>
    </row>
    <row r="751" spans="1:38">
      <c r="A751" s="18">
        <v>41471</v>
      </c>
      <c r="B751" s="19" t="s">
        <v>119</v>
      </c>
      <c r="C751" s="12">
        <v>150.1</v>
      </c>
      <c r="D751" s="19" t="s">
        <v>80</v>
      </c>
      <c r="E751" s="8">
        <v>8.4091400000000007</v>
      </c>
      <c r="F751" s="8">
        <v>83.311980000000005</v>
      </c>
      <c r="G751" s="22">
        <v>150</v>
      </c>
      <c r="H751" s="22">
        <v>15</v>
      </c>
      <c r="I751" s="10">
        <f t="shared" si="224"/>
        <v>6.61659150558995</v>
      </c>
      <c r="J751" s="10">
        <f t="shared" si="225"/>
        <v>0.11548130703203342</v>
      </c>
      <c r="K751" s="10">
        <f t="shared" si="215"/>
        <v>21.140809612582899</v>
      </c>
      <c r="L751" s="22">
        <v>574</v>
      </c>
      <c r="M751" s="22" t="s">
        <v>54</v>
      </c>
      <c r="N751" s="8" t="s">
        <v>55</v>
      </c>
      <c r="O751" s="10" t="s">
        <v>56</v>
      </c>
      <c r="P751" s="10" t="s">
        <v>57</v>
      </c>
      <c r="Q751" s="11">
        <v>0.315</v>
      </c>
      <c r="R751" s="12" t="s">
        <v>66</v>
      </c>
      <c r="S751" s="31">
        <v>29.7</v>
      </c>
      <c r="T751" s="79">
        <f t="shared" si="219"/>
        <v>6.9279348599999999E-2</v>
      </c>
      <c r="U751" s="22">
        <v>14</v>
      </c>
      <c r="V751" s="22">
        <v>67</v>
      </c>
      <c r="W751" s="10">
        <f t="shared" si="226"/>
        <v>1.1693705988362009</v>
      </c>
      <c r="X751" s="22">
        <v>5</v>
      </c>
      <c r="Y751" s="22">
        <v>8</v>
      </c>
      <c r="Z751" s="10">
        <f t="shared" si="227"/>
        <v>0.13962634015954636</v>
      </c>
      <c r="AA751" s="10">
        <f t="shared" si="228"/>
        <v>13.582933453134492</v>
      </c>
      <c r="AB751" s="10">
        <f t="shared" si="229"/>
        <v>178.6774414914488</v>
      </c>
      <c r="AC751" s="10">
        <f t="shared" si="211"/>
        <v>22.3346801864311</v>
      </c>
      <c r="AD751" s="10">
        <f t="shared" si="216"/>
        <v>89.338720745724402</v>
      </c>
      <c r="AE751" s="65"/>
      <c r="AF751" s="10">
        <f t="shared" si="217"/>
        <v>271.76174534382034</v>
      </c>
      <c r="AG751" s="8">
        <f t="shared" si="212"/>
        <v>52.993540342044966</v>
      </c>
      <c r="AH751" s="10">
        <f t="shared" si="213"/>
        <v>135.88087267191017</v>
      </c>
      <c r="AI751" s="63"/>
      <c r="AJ751" s="10">
        <f t="shared" si="218"/>
        <v>467.53949999999998</v>
      </c>
      <c r="AK751" s="8"/>
      <c r="AL751" s="8">
        <f t="shared" si="214"/>
        <v>233.76974999999999</v>
      </c>
    </row>
    <row r="752" spans="1:38">
      <c r="A752" s="18">
        <v>41471</v>
      </c>
      <c r="B752" s="19" t="s">
        <v>119</v>
      </c>
      <c r="C752" s="12">
        <v>150.1</v>
      </c>
      <c r="D752" s="19" t="s">
        <v>80</v>
      </c>
      <c r="E752" s="8">
        <v>8.4091400000000007</v>
      </c>
      <c r="F752" s="8">
        <v>83.311980000000005</v>
      </c>
      <c r="G752" s="22">
        <v>150</v>
      </c>
      <c r="H752" s="22">
        <v>15</v>
      </c>
      <c r="I752" s="10">
        <f t="shared" si="224"/>
        <v>6.61659150558995</v>
      </c>
      <c r="J752" s="10">
        <f t="shared" si="225"/>
        <v>0.11548130703203342</v>
      </c>
      <c r="K752" s="10">
        <f t="shared" si="215"/>
        <v>21.140809612582899</v>
      </c>
      <c r="L752" s="22">
        <v>6020</v>
      </c>
      <c r="M752" s="22" t="s">
        <v>96</v>
      </c>
      <c r="N752" s="8" t="s">
        <v>69</v>
      </c>
      <c r="O752" s="58" t="s">
        <v>65</v>
      </c>
      <c r="P752" s="10" t="s">
        <v>102</v>
      </c>
      <c r="Q752" s="22">
        <v>0.48</v>
      </c>
      <c r="R752" s="22" t="s">
        <v>190</v>
      </c>
      <c r="S752" s="31">
        <v>7.5</v>
      </c>
      <c r="T752" s="79">
        <f t="shared" si="219"/>
        <v>4.4178749999999999E-3</v>
      </c>
      <c r="U752" s="22">
        <v>7</v>
      </c>
      <c r="V752" s="22">
        <v>35</v>
      </c>
      <c r="W752" s="10">
        <f t="shared" si="226"/>
        <v>0.6108652381980153</v>
      </c>
      <c r="X752" s="22">
        <v>7</v>
      </c>
      <c r="Y752" s="22">
        <v>11</v>
      </c>
      <c r="Z752" s="10">
        <f t="shared" si="227"/>
        <v>0.19198621771937624</v>
      </c>
      <c r="AA752" s="10">
        <f t="shared" si="228"/>
        <v>5.3506980220931357</v>
      </c>
      <c r="AB752" s="10">
        <f t="shared" si="229"/>
        <v>8.3185853026702237</v>
      </c>
      <c r="AC752" s="10">
        <f t="shared" si="211"/>
        <v>1.039823162833778</v>
      </c>
      <c r="AD752" s="10">
        <f t="shared" si="216"/>
        <v>4.1592926513351118</v>
      </c>
      <c r="AE752" s="65"/>
      <c r="AF752" s="10">
        <f t="shared" si="217"/>
        <v>13.833063657037552</v>
      </c>
      <c r="AG752" s="8">
        <f t="shared" si="212"/>
        <v>2.6974474131223229</v>
      </c>
      <c r="AH752" s="10">
        <f t="shared" si="213"/>
        <v>6.9165318285187762</v>
      </c>
      <c r="AI752" s="63"/>
      <c r="AJ752" s="10">
        <f t="shared" si="218"/>
        <v>10.7745</v>
      </c>
      <c r="AK752" s="8"/>
      <c r="AL752" s="8">
        <f t="shared" si="214"/>
        <v>5.3872499999999999</v>
      </c>
    </row>
    <row r="753" spans="1:38">
      <c r="A753" s="18">
        <v>41471</v>
      </c>
      <c r="B753" s="19" t="s">
        <v>119</v>
      </c>
      <c r="C753" s="12">
        <v>150.1</v>
      </c>
      <c r="D753" s="19" t="s">
        <v>80</v>
      </c>
      <c r="E753" s="8">
        <v>8.4091400000000007</v>
      </c>
      <c r="F753" s="8">
        <v>83.311980000000005</v>
      </c>
      <c r="G753" s="22">
        <v>150</v>
      </c>
      <c r="H753" s="22">
        <v>15</v>
      </c>
      <c r="I753" s="10">
        <f t="shared" si="224"/>
        <v>6.61659150558995</v>
      </c>
      <c r="J753" s="10">
        <f t="shared" si="225"/>
        <v>0.11548130703203342</v>
      </c>
      <c r="K753" s="10">
        <f t="shared" si="215"/>
        <v>21.140809612582899</v>
      </c>
      <c r="L753" s="22">
        <v>6015</v>
      </c>
      <c r="M753" s="22" t="s">
        <v>39</v>
      </c>
      <c r="N753" s="7" t="s">
        <v>69</v>
      </c>
      <c r="O753" s="33" t="s">
        <v>65</v>
      </c>
      <c r="P753" s="33" t="s">
        <v>70</v>
      </c>
      <c r="Q753" s="7">
        <v>0.37</v>
      </c>
      <c r="R753" s="7" t="s">
        <v>71</v>
      </c>
      <c r="S753" s="31">
        <v>11.8</v>
      </c>
      <c r="T753" s="79">
        <f t="shared" si="219"/>
        <v>1.0935909600000002E-2</v>
      </c>
      <c r="U753" s="22">
        <v>9</v>
      </c>
      <c r="V753" s="22">
        <v>50</v>
      </c>
      <c r="W753" s="10">
        <f t="shared" si="226"/>
        <v>0.87266462599716477</v>
      </c>
      <c r="X753" s="22">
        <v>8</v>
      </c>
      <c r="Y753" s="22">
        <v>8</v>
      </c>
      <c r="Z753" s="10">
        <f t="shared" si="227"/>
        <v>0.13962634015954636</v>
      </c>
      <c r="AA753" s="10">
        <f t="shared" si="228"/>
        <v>8.0077847957513253</v>
      </c>
      <c r="AB753" s="10">
        <f t="shared" si="229"/>
        <v>22.305459036380451</v>
      </c>
      <c r="AC753" s="10">
        <f t="shared" si="211"/>
        <v>2.7881823795475564</v>
      </c>
      <c r="AD753" s="10">
        <f t="shared" si="216"/>
        <v>11.152729518190226</v>
      </c>
      <c r="AE753" s="65"/>
      <c r="AF753" s="10">
        <f t="shared" si="217"/>
        <v>32.853555368339329</v>
      </c>
      <c r="AG753" s="8">
        <f t="shared" si="212"/>
        <v>6.4064432968261693</v>
      </c>
      <c r="AH753" s="10">
        <f t="shared" si="213"/>
        <v>16.426777684169664</v>
      </c>
      <c r="AI753" s="63"/>
      <c r="AJ753" s="10">
        <f t="shared" si="218"/>
        <v>42.289199999999994</v>
      </c>
      <c r="AK753" s="8"/>
      <c r="AL753" s="8">
        <f t="shared" si="214"/>
        <v>21.144599999999997</v>
      </c>
    </row>
    <row r="754" spans="1:38">
      <c r="A754" s="18">
        <v>41471</v>
      </c>
      <c r="B754" s="19" t="s">
        <v>119</v>
      </c>
      <c r="C754" s="12">
        <v>150.1</v>
      </c>
      <c r="D754" s="19" t="s">
        <v>80</v>
      </c>
      <c r="E754" s="8">
        <v>8.4091400000000007</v>
      </c>
      <c r="F754" s="8">
        <v>83.311980000000005</v>
      </c>
      <c r="G754" s="22">
        <v>150</v>
      </c>
      <c r="H754" s="22">
        <v>15</v>
      </c>
      <c r="I754" s="10">
        <f t="shared" si="224"/>
        <v>6.61659150558995</v>
      </c>
      <c r="J754" s="10">
        <f t="shared" si="225"/>
        <v>0.11548130703203342</v>
      </c>
      <c r="K754" s="10">
        <f t="shared" si="215"/>
        <v>21.140809612582899</v>
      </c>
      <c r="L754" s="22">
        <v>554</v>
      </c>
      <c r="M754" s="31" t="s">
        <v>231</v>
      </c>
      <c r="N754" s="8" t="s">
        <v>171</v>
      </c>
      <c r="O754" s="33" t="s">
        <v>99</v>
      </c>
      <c r="P754" s="33" t="s">
        <v>99</v>
      </c>
      <c r="Q754" s="7">
        <v>0.57999999999999996</v>
      </c>
      <c r="R754" s="7" t="s">
        <v>103</v>
      </c>
      <c r="S754" s="30">
        <v>22</v>
      </c>
      <c r="T754" s="79">
        <f t="shared" si="219"/>
        <v>3.8013360000000003E-2</v>
      </c>
      <c r="U754" s="22">
        <v>11</v>
      </c>
      <c r="V754" s="22">
        <v>69</v>
      </c>
      <c r="W754" s="10">
        <f t="shared" si="226"/>
        <v>1.2042771838760873</v>
      </c>
      <c r="X754" s="22">
        <v>5</v>
      </c>
      <c r="Y754" s="22">
        <v>15</v>
      </c>
      <c r="Z754" s="10">
        <f t="shared" si="227"/>
        <v>0.26179938779914941</v>
      </c>
      <c r="AA754" s="10">
        <f t="shared" si="228"/>
        <v>11.563479916981823</v>
      </c>
      <c r="AB754" s="10">
        <f t="shared" si="229"/>
        <v>155.07504383058492</v>
      </c>
      <c r="AC754" s="10">
        <f t="shared" si="211"/>
        <v>19.384380478823115</v>
      </c>
      <c r="AD754" s="10">
        <f t="shared" si="216"/>
        <v>77.537521915292459</v>
      </c>
      <c r="AE754" s="65"/>
      <c r="AF754" s="10">
        <f t="shared" si="217"/>
        <v>240.91304091324946</v>
      </c>
      <c r="AG754" s="8">
        <f t="shared" si="212"/>
        <v>46.97804297808365</v>
      </c>
      <c r="AH754" s="10">
        <f t="shared" si="213"/>
        <v>120.45652045662473</v>
      </c>
      <c r="AI754" s="63"/>
      <c r="AJ754" s="10">
        <f t="shared" si="218"/>
        <v>226.49099999999996</v>
      </c>
      <c r="AK754" s="8"/>
      <c r="AL754" s="8">
        <f t="shared" si="214"/>
        <v>113.24549999999998</v>
      </c>
    </row>
    <row r="755" spans="1:38">
      <c r="A755" s="18">
        <v>41471</v>
      </c>
      <c r="B755" s="19" t="s">
        <v>119</v>
      </c>
      <c r="C755" s="12">
        <v>150.1</v>
      </c>
      <c r="D755" s="19" t="s">
        <v>80</v>
      </c>
      <c r="E755" s="8">
        <v>8.4091400000000007</v>
      </c>
      <c r="F755" s="8">
        <v>83.311980000000005</v>
      </c>
      <c r="G755" s="22">
        <v>150</v>
      </c>
      <c r="H755" s="22">
        <v>15</v>
      </c>
      <c r="I755" s="10">
        <f t="shared" si="224"/>
        <v>6.61659150558995</v>
      </c>
      <c r="J755" s="10">
        <f t="shared" si="225"/>
        <v>0.11548130703203342</v>
      </c>
      <c r="K755" s="10">
        <f t="shared" si="215"/>
        <v>21.140809612582899</v>
      </c>
      <c r="L755" s="22">
        <v>562</v>
      </c>
      <c r="M755" s="31" t="s">
        <v>231</v>
      </c>
      <c r="N755" s="8" t="s">
        <v>171</v>
      </c>
      <c r="O755" s="33" t="s">
        <v>99</v>
      </c>
      <c r="P755" s="33" t="s">
        <v>99</v>
      </c>
      <c r="Q755" s="7">
        <v>0.57999999999999996</v>
      </c>
      <c r="R755" s="7" t="s">
        <v>103</v>
      </c>
      <c r="S755" s="31">
        <v>11.8</v>
      </c>
      <c r="T755" s="79">
        <f t="shared" si="219"/>
        <v>1.0935909600000002E-2</v>
      </c>
      <c r="U755" s="22">
        <v>12</v>
      </c>
      <c r="V755" s="22">
        <v>49</v>
      </c>
      <c r="W755" s="10">
        <f t="shared" si="226"/>
        <v>0.85521133347722145</v>
      </c>
      <c r="X755" s="22">
        <v>7</v>
      </c>
      <c r="Y755" s="22">
        <v>8</v>
      </c>
      <c r="Z755" s="10">
        <f t="shared" si="227"/>
        <v>0.13962634015954636</v>
      </c>
      <c r="AA755" s="10">
        <f t="shared" si="228"/>
        <v>10.030726669393722</v>
      </c>
      <c r="AB755" s="10">
        <f t="shared" si="229"/>
        <v>42.060522312215539</v>
      </c>
      <c r="AC755" s="10">
        <f t="shared" si="211"/>
        <v>5.2575652890269424</v>
      </c>
      <c r="AD755" s="10">
        <f t="shared" si="216"/>
        <v>21.03026115610777</v>
      </c>
      <c r="AE755" s="65"/>
      <c r="AF755" s="10">
        <f t="shared" si="217"/>
        <v>51.500167874694085</v>
      </c>
      <c r="AG755" s="8">
        <f t="shared" si="212"/>
        <v>10.042532735565347</v>
      </c>
      <c r="AH755" s="10">
        <f t="shared" si="213"/>
        <v>25.750083937347043</v>
      </c>
      <c r="AI755" s="63"/>
      <c r="AJ755" s="10">
        <f t="shared" si="218"/>
        <v>42.289199999999994</v>
      </c>
      <c r="AK755" s="8"/>
      <c r="AL755" s="8">
        <f t="shared" si="214"/>
        <v>21.144599999999997</v>
      </c>
    </row>
    <row r="756" spans="1:38">
      <c r="A756" s="18">
        <v>41471</v>
      </c>
      <c r="B756" s="19" t="s">
        <v>119</v>
      </c>
      <c r="C756" s="12">
        <v>150.1</v>
      </c>
      <c r="D756" s="19" t="s">
        <v>80</v>
      </c>
      <c r="E756" s="8">
        <v>8.4091400000000007</v>
      </c>
      <c r="F756" s="8">
        <v>83.311980000000005</v>
      </c>
      <c r="G756" s="22">
        <v>150</v>
      </c>
      <c r="H756" s="22">
        <v>15</v>
      </c>
      <c r="I756" s="10">
        <f t="shared" si="224"/>
        <v>6.61659150558995</v>
      </c>
      <c r="J756" s="10">
        <f t="shared" si="225"/>
        <v>0.11548130703203342</v>
      </c>
      <c r="K756" s="10">
        <f t="shared" si="215"/>
        <v>21.140809612582899</v>
      </c>
      <c r="L756" s="22">
        <v>584</v>
      </c>
      <c r="M756" s="31" t="s">
        <v>231</v>
      </c>
      <c r="N756" s="8" t="s">
        <v>171</v>
      </c>
      <c r="O756" s="33" t="s">
        <v>99</v>
      </c>
      <c r="P756" s="33" t="s">
        <v>99</v>
      </c>
      <c r="Q756" s="7">
        <v>0.57999999999999996</v>
      </c>
      <c r="R756" s="7" t="s">
        <v>103</v>
      </c>
      <c r="S756" s="31">
        <v>7.1</v>
      </c>
      <c r="T756" s="79">
        <f t="shared" si="219"/>
        <v>3.9592014E-3</v>
      </c>
      <c r="U756" s="22">
        <v>6</v>
      </c>
      <c r="V756" s="22">
        <v>40</v>
      </c>
      <c r="W756" s="10">
        <f t="shared" si="226"/>
        <v>0.69813170079773179</v>
      </c>
      <c r="X756" s="22">
        <v>5</v>
      </c>
      <c r="Y756" s="22">
        <v>-2</v>
      </c>
      <c r="Z756" s="10">
        <f t="shared" si="227"/>
        <v>-3.4906585039886591E-2</v>
      </c>
      <c r="AA756" s="10">
        <f t="shared" si="228"/>
        <v>3.6822281746067307</v>
      </c>
      <c r="AB756" s="10">
        <f t="shared" si="229"/>
        <v>6.309483161857254</v>
      </c>
      <c r="AC756" s="10">
        <f t="shared" si="211"/>
        <v>0.78868539523215675</v>
      </c>
      <c r="AD756" s="10">
        <f t="shared" si="216"/>
        <v>3.154741580928627</v>
      </c>
      <c r="AE756" s="65"/>
      <c r="AF756" s="10">
        <f t="shared" si="217"/>
        <v>14.598779827990263</v>
      </c>
      <c r="AG756" s="8">
        <f t="shared" si="212"/>
        <v>2.8467620664581013</v>
      </c>
      <c r="AH756" s="10">
        <f t="shared" si="213"/>
        <v>7.2993899139951317</v>
      </c>
      <c r="AI756" s="63"/>
      <c r="AJ756" s="10">
        <f t="shared" si="218"/>
        <v>9.2340999999999944</v>
      </c>
      <c r="AK756" s="8"/>
      <c r="AL756" s="8">
        <f t="shared" si="214"/>
        <v>4.6170499999999972</v>
      </c>
    </row>
    <row r="757" spans="1:38">
      <c r="A757" s="18">
        <v>41471</v>
      </c>
      <c r="B757" s="19" t="s">
        <v>119</v>
      </c>
      <c r="C757" s="12">
        <v>150.1</v>
      </c>
      <c r="D757" s="19" t="s">
        <v>80</v>
      </c>
      <c r="E757" s="8">
        <v>8.4091400000000007</v>
      </c>
      <c r="F757" s="8">
        <v>83.311980000000005</v>
      </c>
      <c r="G757" s="22">
        <v>150</v>
      </c>
      <c r="H757" s="22">
        <v>15</v>
      </c>
      <c r="I757" s="10">
        <f t="shared" si="224"/>
        <v>6.61659150558995</v>
      </c>
      <c r="J757" s="10">
        <f t="shared" si="225"/>
        <v>0.11548130703203342</v>
      </c>
      <c r="K757" s="10">
        <f t="shared" si="215"/>
        <v>21.140809612582899</v>
      </c>
      <c r="L757" s="22">
        <v>7024</v>
      </c>
      <c r="M757" s="22" t="s">
        <v>54</v>
      </c>
      <c r="N757" s="8" t="s">
        <v>55</v>
      </c>
      <c r="O757" s="10" t="s">
        <v>56</v>
      </c>
      <c r="P757" s="10" t="s">
        <v>57</v>
      </c>
      <c r="Q757" s="11">
        <v>0.315</v>
      </c>
      <c r="R757" s="12" t="s">
        <v>66</v>
      </c>
      <c r="S757" s="31">
        <v>25.3</v>
      </c>
      <c r="T757" s="79">
        <f t="shared" si="219"/>
        <v>5.0272668600000008E-2</v>
      </c>
      <c r="U757" s="22">
        <v>14</v>
      </c>
      <c r="V757" s="22">
        <v>69</v>
      </c>
      <c r="W757" s="10">
        <f t="shared" si="226"/>
        <v>1.2042771838760873</v>
      </c>
      <c r="X757" s="22">
        <v>7</v>
      </c>
      <c r="Y757" s="22">
        <v>7</v>
      </c>
      <c r="Z757" s="10">
        <f t="shared" si="227"/>
        <v>0.12217304763960307</v>
      </c>
      <c r="AA757" s="10">
        <f t="shared" si="228"/>
        <v>13.923211374796857</v>
      </c>
      <c r="AB757" s="10">
        <f t="shared" si="229"/>
        <v>135.28675287656762</v>
      </c>
      <c r="AC757" s="10">
        <f t="shared" si="211"/>
        <v>16.910844109570952</v>
      </c>
      <c r="AD757" s="10">
        <f t="shared" si="216"/>
        <v>67.643376438283809</v>
      </c>
      <c r="AE757" s="65"/>
      <c r="AF757" s="10">
        <f t="shared" si="217"/>
        <v>184.1714673980112</v>
      </c>
      <c r="AG757" s="8">
        <f t="shared" si="212"/>
        <v>35.913436142612184</v>
      </c>
      <c r="AH757" s="10">
        <f t="shared" si="213"/>
        <v>92.085733699005601</v>
      </c>
      <c r="AI757" s="63"/>
      <c r="AJ757" s="10">
        <f t="shared" si="218"/>
        <v>319.05269999999996</v>
      </c>
      <c r="AK757" s="8"/>
      <c r="AL757" s="8">
        <f t="shared" si="214"/>
        <v>159.52634999999998</v>
      </c>
    </row>
    <row r="758" spans="1:38">
      <c r="A758" s="18">
        <v>41471</v>
      </c>
      <c r="B758" s="19" t="s">
        <v>119</v>
      </c>
      <c r="C758" s="12">
        <v>150.1</v>
      </c>
      <c r="D758" s="19" t="s">
        <v>80</v>
      </c>
      <c r="E758" s="8">
        <v>8.4091400000000007</v>
      </c>
      <c r="F758" s="8">
        <v>83.311980000000005</v>
      </c>
      <c r="G758" s="22">
        <v>150</v>
      </c>
      <c r="H758" s="22">
        <v>15</v>
      </c>
      <c r="I758" s="10">
        <f t="shared" si="224"/>
        <v>6.61659150558995</v>
      </c>
      <c r="J758" s="10">
        <f t="shared" si="225"/>
        <v>0.11548130703203342</v>
      </c>
      <c r="K758" s="10">
        <f t="shared" si="215"/>
        <v>21.140809612582899</v>
      </c>
      <c r="L758" s="22">
        <v>6022</v>
      </c>
      <c r="M758" s="22" t="s">
        <v>39</v>
      </c>
      <c r="N758" s="7" t="s">
        <v>69</v>
      </c>
      <c r="O758" s="33" t="s">
        <v>65</v>
      </c>
      <c r="P758" s="33" t="s">
        <v>70</v>
      </c>
      <c r="Q758" s="7">
        <v>0.37</v>
      </c>
      <c r="R758" s="7" t="s">
        <v>71</v>
      </c>
      <c r="S758" s="31">
        <v>7.5</v>
      </c>
      <c r="T758" s="79">
        <f t="shared" si="219"/>
        <v>4.4178749999999999E-3</v>
      </c>
      <c r="U758" s="22">
        <v>7</v>
      </c>
      <c r="V758" s="22">
        <v>38</v>
      </c>
      <c r="W758" s="10">
        <f t="shared" si="226"/>
        <v>0.66322511575784526</v>
      </c>
      <c r="X758" s="22">
        <v>6</v>
      </c>
      <c r="Y758" s="22">
        <v>13</v>
      </c>
      <c r="Z758" s="10">
        <f t="shared" si="227"/>
        <v>0.22689280275926285</v>
      </c>
      <c r="AA758" s="10">
        <f t="shared" si="228"/>
        <v>5.6593366533427982</v>
      </c>
      <c r="AB758" s="10">
        <f t="shared" si="229"/>
        <v>6.8657204219046086</v>
      </c>
      <c r="AC758" s="10">
        <f t="shared" ref="AC758:AC820" si="230">AB758*0.125</f>
        <v>0.85821505273807608</v>
      </c>
      <c r="AD758" s="10">
        <f t="shared" si="216"/>
        <v>3.4328602109523043</v>
      </c>
      <c r="AE758" s="65"/>
      <c r="AF758" s="10">
        <f t="shared" si="217"/>
        <v>10.662986568966447</v>
      </c>
      <c r="AG758" s="8">
        <f t="shared" ref="AG758:AG820" si="231">AF758*0.195</f>
        <v>2.0792823809484573</v>
      </c>
      <c r="AH758" s="10">
        <f t="shared" ref="AH758:AH820" si="232">AF758/2</f>
        <v>5.3314932844832237</v>
      </c>
      <c r="AI758" s="63"/>
      <c r="AJ758" s="10">
        <f t="shared" si="218"/>
        <v>10.7745</v>
      </c>
      <c r="AK758" s="8"/>
      <c r="AL758" s="8">
        <f t="shared" ref="AL758:AL820" si="233">AJ758/2</f>
        <v>5.3872499999999999</v>
      </c>
    </row>
    <row r="759" spans="1:38">
      <c r="A759" s="18">
        <v>41471</v>
      </c>
      <c r="B759" s="19" t="s">
        <v>119</v>
      </c>
      <c r="C759" s="12">
        <v>150.1</v>
      </c>
      <c r="D759" s="19" t="s">
        <v>80</v>
      </c>
      <c r="E759" s="8">
        <v>8.4091400000000007</v>
      </c>
      <c r="F759" s="8">
        <v>83.311980000000005</v>
      </c>
      <c r="G759" s="22">
        <v>150</v>
      </c>
      <c r="H759" s="22">
        <v>15</v>
      </c>
      <c r="I759" s="10">
        <f t="shared" si="224"/>
        <v>6.61659150558995</v>
      </c>
      <c r="J759" s="10">
        <f t="shared" si="225"/>
        <v>0.11548130703203342</v>
      </c>
      <c r="K759" s="10">
        <f t="shared" si="215"/>
        <v>21.140809612582899</v>
      </c>
      <c r="L759" s="22">
        <v>6038</v>
      </c>
      <c r="M759" s="22" t="s">
        <v>135</v>
      </c>
      <c r="N759" s="22" t="s">
        <v>180</v>
      </c>
      <c r="O759" s="10" t="s">
        <v>217</v>
      </c>
      <c r="P759" s="10" t="s">
        <v>221</v>
      </c>
      <c r="Q759" s="24">
        <v>0.38</v>
      </c>
      <c r="R759" s="31" t="s">
        <v>190</v>
      </c>
      <c r="S759" s="30">
        <v>24</v>
      </c>
      <c r="T759" s="79">
        <f t="shared" si="219"/>
        <v>4.5239040000000001E-2</v>
      </c>
      <c r="U759" s="22">
        <v>10</v>
      </c>
      <c r="V759" s="22">
        <v>70</v>
      </c>
      <c r="W759" s="10">
        <f t="shared" si="226"/>
        <v>1.2217304763960306</v>
      </c>
      <c r="X759" s="22">
        <v>5</v>
      </c>
      <c r="Y759" s="22">
        <v>19</v>
      </c>
      <c r="Z759" s="10">
        <f t="shared" si="227"/>
        <v>0.33161255787892263</v>
      </c>
      <c r="AA759" s="10">
        <f t="shared" si="228"/>
        <v>11.024766980144866</v>
      </c>
      <c r="AB759" s="10">
        <f t="shared" si="229"/>
        <v>117.34989094301248</v>
      </c>
      <c r="AC759" s="10">
        <f t="shared" si="230"/>
        <v>14.66873636787656</v>
      </c>
      <c r="AD759" s="10">
        <f t="shared" si="216"/>
        <v>58.674945471506241</v>
      </c>
      <c r="AE759" s="65"/>
      <c r="AF759" s="10">
        <f t="shared" si="217"/>
        <v>195.33229356301734</v>
      </c>
      <c r="AG759" s="8">
        <f t="shared" si="231"/>
        <v>38.089797244788386</v>
      </c>
      <c r="AH759" s="10">
        <f t="shared" si="232"/>
        <v>97.666146781508672</v>
      </c>
      <c r="AI759" s="63"/>
      <c r="AJ759" s="10">
        <f t="shared" si="218"/>
        <v>280.66499999999996</v>
      </c>
      <c r="AK759" s="8"/>
      <c r="AL759" s="8">
        <f t="shared" si="233"/>
        <v>140.33249999999998</v>
      </c>
    </row>
    <row r="760" spans="1:38">
      <c r="A760" s="18">
        <v>41471</v>
      </c>
      <c r="B760" s="19" t="s">
        <v>119</v>
      </c>
      <c r="C760" s="12">
        <v>150.1</v>
      </c>
      <c r="D760" s="19" t="s">
        <v>80</v>
      </c>
      <c r="E760" s="8">
        <v>8.4091400000000007</v>
      </c>
      <c r="F760" s="8">
        <v>83.311980000000005</v>
      </c>
      <c r="G760" s="22">
        <v>150</v>
      </c>
      <c r="H760" s="22">
        <v>15</v>
      </c>
      <c r="I760" s="10">
        <f t="shared" si="224"/>
        <v>6.61659150558995</v>
      </c>
      <c r="J760" s="10">
        <f t="shared" si="225"/>
        <v>0.11548130703203342</v>
      </c>
      <c r="K760" s="10">
        <f t="shared" si="215"/>
        <v>21.140809612582899</v>
      </c>
      <c r="L760" s="22">
        <v>518</v>
      </c>
      <c r="M760" s="31" t="s">
        <v>231</v>
      </c>
      <c r="N760" s="8" t="s">
        <v>171</v>
      </c>
      <c r="O760" s="33" t="s">
        <v>99</v>
      </c>
      <c r="P760" s="33" t="s">
        <v>99</v>
      </c>
      <c r="Q760" s="7">
        <v>0.57999999999999996</v>
      </c>
      <c r="R760" s="7" t="s">
        <v>103</v>
      </c>
      <c r="S760" s="31">
        <v>8.1999999999999993</v>
      </c>
      <c r="T760" s="79">
        <f t="shared" si="219"/>
        <v>5.2810295999999998E-3</v>
      </c>
      <c r="U760" s="22">
        <v>7</v>
      </c>
      <c r="V760" s="22">
        <v>38</v>
      </c>
      <c r="W760" s="10">
        <f t="shared" si="226"/>
        <v>0.66322511575784526</v>
      </c>
      <c r="X760" s="22">
        <v>5</v>
      </c>
      <c r="Y760" s="22">
        <v>13</v>
      </c>
      <c r="Z760" s="10">
        <f t="shared" si="227"/>
        <v>0.22689280275926285</v>
      </c>
      <c r="AA760" s="10">
        <f t="shared" si="228"/>
        <v>5.4343855989989329</v>
      </c>
      <c r="AB760" s="10">
        <f t="shared" si="229"/>
        <v>11.926019122216065</v>
      </c>
      <c r="AC760" s="10">
        <f t="shared" si="230"/>
        <v>1.4907523902770081</v>
      </c>
      <c r="AD760" s="10">
        <f t="shared" si="216"/>
        <v>5.9630095611080325</v>
      </c>
      <c r="AE760" s="65"/>
      <c r="AF760" s="10">
        <f t="shared" si="217"/>
        <v>20.845793314258291</v>
      </c>
      <c r="AG760" s="8">
        <f t="shared" si="231"/>
        <v>4.0649296962803669</v>
      </c>
      <c r="AH760" s="10">
        <f t="shared" si="232"/>
        <v>10.422896657129145</v>
      </c>
      <c r="AI760" s="63"/>
      <c r="AJ760" s="10">
        <f t="shared" si="218"/>
        <v>14.040000000000006</v>
      </c>
      <c r="AK760" s="8"/>
      <c r="AL760" s="8">
        <f t="shared" si="233"/>
        <v>7.0200000000000031</v>
      </c>
    </row>
    <row r="761" spans="1:38">
      <c r="A761" s="18">
        <v>41471</v>
      </c>
      <c r="B761" s="19" t="s">
        <v>119</v>
      </c>
      <c r="C761" s="12">
        <v>150.1</v>
      </c>
      <c r="D761" s="19" t="s">
        <v>80</v>
      </c>
      <c r="E761" s="8">
        <v>8.4091400000000007</v>
      </c>
      <c r="F761" s="8">
        <v>83.311980000000005</v>
      </c>
      <c r="G761" s="22">
        <v>150</v>
      </c>
      <c r="H761" s="22">
        <v>15</v>
      </c>
      <c r="I761" s="10">
        <f t="shared" si="224"/>
        <v>6.61659150558995</v>
      </c>
      <c r="J761" s="10">
        <f t="shared" si="225"/>
        <v>0.11548130703203342</v>
      </c>
      <c r="K761" s="10">
        <f t="shared" si="215"/>
        <v>21.140809612582899</v>
      </c>
      <c r="L761" s="22">
        <v>492</v>
      </c>
      <c r="M761" s="22" t="s">
        <v>39</v>
      </c>
      <c r="N761" s="7" t="s">
        <v>69</v>
      </c>
      <c r="O761" s="33" t="s">
        <v>65</v>
      </c>
      <c r="P761" s="33" t="s">
        <v>70</v>
      </c>
      <c r="Q761" s="7">
        <v>0.37</v>
      </c>
      <c r="R761" s="7" t="s">
        <v>71</v>
      </c>
      <c r="S761" s="31">
        <v>50.2</v>
      </c>
      <c r="T761" s="79">
        <f t="shared" si="219"/>
        <v>0.19792394160000004</v>
      </c>
      <c r="U761" s="22">
        <v>18</v>
      </c>
      <c r="V761" s="22">
        <v>68</v>
      </c>
      <c r="W761" s="10">
        <f t="shared" si="226"/>
        <v>1.1868238913561442</v>
      </c>
      <c r="X761" s="22">
        <v>8</v>
      </c>
      <c r="Y761" s="22">
        <v>2</v>
      </c>
      <c r="Z761" s="10">
        <f t="shared" si="227"/>
        <v>3.4906585039886591E-2</v>
      </c>
      <c r="AA761" s="10">
        <f t="shared" si="228"/>
        <v>16.968505355822185</v>
      </c>
      <c r="AB761" s="10">
        <f t="shared" si="229"/>
        <v>687.32051142751357</v>
      </c>
      <c r="AC761" s="10">
        <f t="shared" si="230"/>
        <v>85.915063928439196</v>
      </c>
      <c r="AD761" s="10">
        <f t="shared" si="216"/>
        <v>343.66025571375678</v>
      </c>
      <c r="AE761" s="65"/>
      <c r="AF761" s="10">
        <f t="shared" si="217"/>
        <v>1104.7292697956273</v>
      </c>
      <c r="AG761" s="8">
        <f t="shared" si="231"/>
        <v>215.42220761014732</v>
      </c>
      <c r="AH761" s="10">
        <f t="shared" si="232"/>
        <v>552.36463489781363</v>
      </c>
      <c r="AI761" s="63"/>
      <c r="AJ761" s="10">
        <f t="shared" si="218"/>
        <v>1537.0860000000002</v>
      </c>
      <c r="AK761" s="8"/>
      <c r="AL761" s="8">
        <f t="shared" si="233"/>
        <v>768.54300000000012</v>
      </c>
    </row>
    <row r="762" spans="1:38">
      <c r="A762" s="18">
        <v>41471</v>
      </c>
      <c r="B762" s="19" t="s">
        <v>119</v>
      </c>
      <c r="C762" s="12">
        <v>150.1</v>
      </c>
      <c r="D762" s="19" t="s">
        <v>80</v>
      </c>
      <c r="E762" s="8">
        <v>8.4091400000000007</v>
      </c>
      <c r="F762" s="8">
        <v>83.311980000000005</v>
      </c>
      <c r="G762" s="22">
        <v>150</v>
      </c>
      <c r="H762" s="22">
        <v>15</v>
      </c>
      <c r="I762" s="10">
        <f t="shared" si="224"/>
        <v>6.61659150558995</v>
      </c>
      <c r="J762" s="10">
        <f t="shared" si="225"/>
        <v>0.11548130703203342</v>
      </c>
      <c r="K762" s="10">
        <f t="shared" si="215"/>
        <v>21.140809612582899</v>
      </c>
      <c r="L762" s="22">
        <v>571</v>
      </c>
      <c r="M762" s="22" t="s">
        <v>54</v>
      </c>
      <c r="N762" s="8" t="s">
        <v>55</v>
      </c>
      <c r="O762" s="10" t="s">
        <v>56</v>
      </c>
      <c r="P762" s="10" t="s">
        <v>57</v>
      </c>
      <c r="Q762" s="11">
        <v>0.315</v>
      </c>
      <c r="R762" s="12" t="s">
        <v>66</v>
      </c>
      <c r="S762" s="31">
        <v>22.8</v>
      </c>
      <c r="T762" s="79">
        <f t="shared" si="219"/>
        <v>4.0828233600000007E-2</v>
      </c>
      <c r="U762" s="22">
        <v>19</v>
      </c>
      <c r="V762" s="22">
        <v>65</v>
      </c>
      <c r="W762" s="10">
        <f t="shared" si="226"/>
        <v>1.1344640137963142</v>
      </c>
      <c r="X762" s="22">
        <v>5</v>
      </c>
      <c r="Y762" s="22">
        <v>15</v>
      </c>
      <c r="Z762" s="10">
        <f t="shared" si="227"/>
        <v>0.26179938779914941</v>
      </c>
      <c r="AA762" s="10">
        <f t="shared" si="228"/>
        <v>18.513943179208951</v>
      </c>
      <c r="AB762" s="10">
        <f t="shared" si="229"/>
        <v>145.42535917449041</v>
      </c>
      <c r="AC762" s="10">
        <f t="shared" si="230"/>
        <v>18.178169896811301</v>
      </c>
      <c r="AD762" s="10">
        <f t="shared" si="216"/>
        <v>72.712679587245205</v>
      </c>
      <c r="AE762" s="65"/>
      <c r="AF762" s="10">
        <f t="shared" si="217"/>
        <v>142.81810414200109</v>
      </c>
      <c r="AG762" s="8">
        <f t="shared" si="231"/>
        <v>27.849530307690213</v>
      </c>
      <c r="AH762" s="10">
        <f t="shared" si="232"/>
        <v>71.409052071000545</v>
      </c>
      <c r="AI762" s="63"/>
      <c r="AJ762" s="10">
        <f t="shared" si="218"/>
        <v>247.4502</v>
      </c>
      <c r="AK762" s="8"/>
      <c r="AL762" s="8">
        <f t="shared" si="233"/>
        <v>123.7251</v>
      </c>
    </row>
    <row r="763" spans="1:38">
      <c r="A763" s="18">
        <v>41471</v>
      </c>
      <c r="B763" s="19" t="s">
        <v>119</v>
      </c>
      <c r="C763" s="12">
        <v>150.1</v>
      </c>
      <c r="D763" s="19" t="s">
        <v>80</v>
      </c>
      <c r="E763" s="8">
        <v>8.4091400000000007</v>
      </c>
      <c r="F763" s="8">
        <v>83.311980000000005</v>
      </c>
      <c r="G763" s="22">
        <v>150</v>
      </c>
      <c r="H763" s="22">
        <v>15</v>
      </c>
      <c r="I763" s="10">
        <f t="shared" si="224"/>
        <v>6.61659150558995</v>
      </c>
      <c r="J763" s="10">
        <f t="shared" si="225"/>
        <v>0.11548130703203342</v>
      </c>
      <c r="K763" s="10">
        <f t="shared" ref="K763:K825" si="234">21/COS(J763)</f>
        <v>21.140809612582899</v>
      </c>
      <c r="L763" s="22">
        <v>497</v>
      </c>
      <c r="M763" s="22" t="s">
        <v>78</v>
      </c>
      <c r="N763" s="7" t="s">
        <v>87</v>
      </c>
      <c r="O763" s="33" t="s">
        <v>88</v>
      </c>
      <c r="P763" s="33" t="s">
        <v>89</v>
      </c>
      <c r="Q763" s="38">
        <v>0.64</v>
      </c>
      <c r="R763" s="7" t="s">
        <v>90</v>
      </c>
      <c r="S763" s="30">
        <v>6</v>
      </c>
      <c r="T763" s="79">
        <f t="shared" si="219"/>
        <v>2.8274400000000001E-3</v>
      </c>
      <c r="U763" s="22">
        <v>8</v>
      </c>
      <c r="V763" s="22">
        <v>65</v>
      </c>
      <c r="W763" s="10">
        <f t="shared" si="226"/>
        <v>1.1344640137963142</v>
      </c>
      <c r="X763" s="22">
        <v>5</v>
      </c>
      <c r="Y763" s="22">
        <v>10</v>
      </c>
      <c r="Z763" s="10">
        <f t="shared" si="227"/>
        <v>0.17453292519943295</v>
      </c>
      <c r="AA763" s="10">
        <f t="shared" si="228"/>
        <v>8.1187031846278508</v>
      </c>
      <c r="AB763" s="10">
        <f t="shared" si="229"/>
        <v>10.605049789058603</v>
      </c>
      <c r="AC763" s="10">
        <f t="shared" si="230"/>
        <v>1.3256312236323253</v>
      </c>
      <c r="AD763" s="10">
        <f t="shared" si="216"/>
        <v>5.3025248945293013</v>
      </c>
      <c r="AE763" s="65"/>
      <c r="AF763" s="10">
        <f t="shared" si="217"/>
        <v>10.647350946440854</v>
      </c>
      <c r="AG763" s="8">
        <f t="shared" si="231"/>
        <v>2.0762334345559665</v>
      </c>
      <c r="AH763" s="10">
        <f t="shared" si="232"/>
        <v>5.323675473220427</v>
      </c>
      <c r="AI763" s="63"/>
      <c r="AJ763" s="10">
        <f t="shared" si="218"/>
        <v>6.2189999999999976</v>
      </c>
      <c r="AK763" s="8"/>
      <c r="AL763" s="8">
        <f t="shared" si="233"/>
        <v>3.1094999999999988</v>
      </c>
    </row>
    <row r="764" spans="1:38">
      <c r="A764" s="18">
        <v>41471</v>
      </c>
      <c r="B764" s="19" t="s">
        <v>119</v>
      </c>
      <c r="C764" s="12">
        <v>150.1</v>
      </c>
      <c r="D764" s="19" t="s">
        <v>80</v>
      </c>
      <c r="E764" s="8">
        <v>8.4091400000000007</v>
      </c>
      <c r="F764" s="8">
        <v>83.311980000000005</v>
      </c>
      <c r="G764" s="22">
        <v>150</v>
      </c>
      <c r="H764" s="22">
        <v>15</v>
      </c>
      <c r="I764" s="10">
        <f t="shared" si="224"/>
        <v>6.61659150558995</v>
      </c>
      <c r="J764" s="10">
        <f t="shared" si="225"/>
        <v>0.11548130703203342</v>
      </c>
      <c r="K764" s="10">
        <f t="shared" si="234"/>
        <v>21.140809612582899</v>
      </c>
      <c r="L764" s="22">
        <v>583</v>
      </c>
      <c r="M764" s="22" t="s">
        <v>54</v>
      </c>
      <c r="N764" s="8" t="s">
        <v>55</v>
      </c>
      <c r="O764" s="10" t="s">
        <v>56</v>
      </c>
      <c r="P764" s="10" t="s">
        <v>57</v>
      </c>
      <c r="Q764" s="11">
        <v>0.315</v>
      </c>
      <c r="R764" s="12" t="s">
        <v>66</v>
      </c>
      <c r="S764" s="31">
        <v>13.3</v>
      </c>
      <c r="T764" s="79">
        <f t="shared" si="219"/>
        <v>1.3892940600000002E-2</v>
      </c>
      <c r="U764" s="22">
        <v>14</v>
      </c>
      <c r="V764" s="22">
        <v>61</v>
      </c>
      <c r="W764" s="10">
        <f t="shared" si="226"/>
        <v>1.064650843716541</v>
      </c>
      <c r="X764" s="22">
        <v>5</v>
      </c>
      <c r="Y764" s="22">
        <v>10</v>
      </c>
      <c r="Z764" s="10">
        <f t="shared" si="227"/>
        <v>0.17453292519943295</v>
      </c>
      <c r="AA764" s="10">
        <f t="shared" si="228"/>
        <v>13.112916788286192</v>
      </c>
      <c r="AB764" s="10">
        <f t="shared" si="229"/>
        <v>38.172629209263491</v>
      </c>
      <c r="AC764" s="10">
        <f t="shared" si="230"/>
        <v>4.7715786511579363</v>
      </c>
      <c r="AD764" s="10">
        <f t="shared" si="216"/>
        <v>19.086314604631745</v>
      </c>
      <c r="AE764" s="65"/>
      <c r="AF764" s="10">
        <f t="shared" si="217"/>
        <v>37.668525176229146</v>
      </c>
      <c r="AG764" s="8">
        <f t="shared" si="231"/>
        <v>7.3453624093646841</v>
      </c>
      <c r="AH764" s="10">
        <f t="shared" si="232"/>
        <v>18.834262588114573</v>
      </c>
      <c r="AI764" s="63"/>
      <c r="AJ764" s="10">
        <f t="shared" si="218"/>
        <v>59.720700000000008</v>
      </c>
      <c r="AK764" s="8"/>
      <c r="AL764" s="8">
        <f t="shared" si="233"/>
        <v>29.860350000000004</v>
      </c>
    </row>
    <row r="765" spans="1:38">
      <c r="A765" s="18">
        <v>41471</v>
      </c>
      <c r="B765" s="19" t="s">
        <v>119</v>
      </c>
      <c r="C765" s="12">
        <v>150.1</v>
      </c>
      <c r="D765" s="19" t="s">
        <v>80</v>
      </c>
      <c r="E765" s="8">
        <v>8.4091400000000007</v>
      </c>
      <c r="F765" s="8">
        <v>83.311980000000005</v>
      </c>
      <c r="G765" s="22">
        <v>150</v>
      </c>
      <c r="H765" s="22">
        <v>15</v>
      </c>
      <c r="I765" s="10">
        <f t="shared" si="224"/>
        <v>6.61659150558995</v>
      </c>
      <c r="J765" s="10">
        <f t="shared" si="225"/>
        <v>0.11548130703203342</v>
      </c>
      <c r="K765" s="10">
        <f t="shared" si="234"/>
        <v>21.140809612582899</v>
      </c>
      <c r="L765" s="22">
        <v>508</v>
      </c>
      <c r="M765" s="22" t="s">
        <v>54</v>
      </c>
      <c r="N765" s="8" t="s">
        <v>55</v>
      </c>
      <c r="O765" s="10" t="s">
        <v>56</v>
      </c>
      <c r="P765" s="10" t="s">
        <v>57</v>
      </c>
      <c r="Q765" s="11">
        <v>0.315</v>
      </c>
      <c r="R765" s="12" t="s">
        <v>66</v>
      </c>
      <c r="S765" s="31">
        <v>19.8</v>
      </c>
      <c r="T765" s="79">
        <f t="shared" si="219"/>
        <v>3.0790821600000004E-2</v>
      </c>
      <c r="U765" s="22">
        <v>17</v>
      </c>
      <c r="V765" s="22">
        <v>68</v>
      </c>
      <c r="W765" s="10">
        <f t="shared" si="226"/>
        <v>1.1868238913561442</v>
      </c>
      <c r="X765" s="22">
        <v>5</v>
      </c>
      <c r="Y765" s="22">
        <v>10</v>
      </c>
      <c r="Z765" s="10">
        <f t="shared" si="227"/>
        <v>0.17453292519943295</v>
      </c>
      <c r="AA765" s="10">
        <f t="shared" si="228"/>
        <v>16.630366415970038</v>
      </c>
      <c r="AB765" s="10">
        <f t="shared" si="229"/>
        <v>100.84442836758234</v>
      </c>
      <c r="AC765" s="10">
        <f t="shared" si="230"/>
        <v>12.605553545947792</v>
      </c>
      <c r="AD765" s="10">
        <f t="shared" si="216"/>
        <v>50.422214183791169</v>
      </c>
      <c r="AE765" s="65"/>
      <c r="AF765" s="10">
        <f t="shared" si="217"/>
        <v>100.97150513362725</v>
      </c>
      <c r="AG765" s="8">
        <f t="shared" si="231"/>
        <v>19.689443501057315</v>
      </c>
      <c r="AH765" s="10">
        <f t="shared" si="232"/>
        <v>50.485752566813623</v>
      </c>
      <c r="AI765" s="63"/>
      <c r="AJ765" s="10">
        <f t="shared" si="218"/>
        <v>173.73719999999997</v>
      </c>
      <c r="AK765" s="8"/>
      <c r="AL765" s="8">
        <f t="shared" si="233"/>
        <v>86.868599999999986</v>
      </c>
    </row>
    <row r="766" spans="1:38">
      <c r="A766" s="18">
        <v>41471</v>
      </c>
      <c r="B766" s="19" t="s">
        <v>119</v>
      </c>
      <c r="C766" s="12">
        <v>150.1</v>
      </c>
      <c r="D766" s="19" t="s">
        <v>80</v>
      </c>
      <c r="E766" s="8">
        <v>8.4091400000000007</v>
      </c>
      <c r="F766" s="8">
        <v>83.311980000000005</v>
      </c>
      <c r="G766" s="22">
        <v>150</v>
      </c>
      <c r="H766" s="22">
        <v>15</v>
      </c>
      <c r="I766" s="10">
        <f t="shared" si="224"/>
        <v>6.61659150558995</v>
      </c>
      <c r="J766" s="10">
        <f t="shared" si="225"/>
        <v>0.11548130703203342</v>
      </c>
      <c r="K766" s="10">
        <f t="shared" si="234"/>
        <v>21.140809612582899</v>
      </c>
      <c r="L766" s="22">
        <v>563</v>
      </c>
      <c r="M766" s="22" t="s">
        <v>54</v>
      </c>
      <c r="N766" s="8" t="s">
        <v>55</v>
      </c>
      <c r="O766" s="10" t="s">
        <v>56</v>
      </c>
      <c r="P766" s="10" t="s">
        <v>57</v>
      </c>
      <c r="Q766" s="11">
        <v>0.315</v>
      </c>
      <c r="R766" s="12" t="s">
        <v>66</v>
      </c>
      <c r="S766" s="31">
        <v>21.5</v>
      </c>
      <c r="T766" s="79">
        <f t="shared" si="219"/>
        <v>3.6305114999999999E-2</v>
      </c>
      <c r="U766" s="22">
        <v>18</v>
      </c>
      <c r="V766" s="22">
        <v>71</v>
      </c>
      <c r="W766" s="10">
        <f t="shared" si="226"/>
        <v>1.2391837689159739</v>
      </c>
      <c r="X766" s="22">
        <v>5</v>
      </c>
      <c r="Y766" s="22">
        <v>10</v>
      </c>
      <c r="Z766" s="10">
        <f t="shared" si="227"/>
        <v>0.17453292519943295</v>
      </c>
      <c r="AA766" s="10">
        <f t="shared" si="228"/>
        <v>17.887575249122353</v>
      </c>
      <c r="AB766" s="10">
        <f t="shared" si="229"/>
        <v>126.0829413513746</v>
      </c>
      <c r="AC766" s="10">
        <f t="shared" si="230"/>
        <v>15.760367668921825</v>
      </c>
      <c r="AD766" s="10">
        <f t="shared" si="216"/>
        <v>63.0414706756873</v>
      </c>
      <c r="AE766" s="65"/>
      <c r="AF766" s="10">
        <f t="shared" si="217"/>
        <v>123.65936469433389</v>
      </c>
      <c r="AG766" s="8">
        <f t="shared" si="231"/>
        <v>24.113576115395109</v>
      </c>
      <c r="AH766" s="10">
        <f t="shared" si="232"/>
        <v>61.829682347166944</v>
      </c>
      <c r="AI766" s="63"/>
      <c r="AJ766" s="10">
        <f t="shared" si="218"/>
        <v>213.8725</v>
      </c>
      <c r="AK766" s="8"/>
      <c r="AL766" s="8">
        <f t="shared" si="233"/>
        <v>106.93625</v>
      </c>
    </row>
    <row r="767" spans="1:38">
      <c r="A767" s="18">
        <v>41471</v>
      </c>
      <c r="B767" s="19" t="s">
        <v>119</v>
      </c>
      <c r="C767" s="12">
        <v>150.1</v>
      </c>
      <c r="D767" s="19" t="s">
        <v>80</v>
      </c>
      <c r="E767" s="8">
        <v>8.4091400000000007</v>
      </c>
      <c r="F767" s="8">
        <v>83.311980000000005</v>
      </c>
      <c r="G767" s="22">
        <v>150</v>
      </c>
      <c r="H767" s="22">
        <v>15</v>
      </c>
      <c r="I767" s="10">
        <f t="shared" si="224"/>
        <v>6.61659150558995</v>
      </c>
      <c r="J767" s="10">
        <f t="shared" si="225"/>
        <v>0.11548130703203342</v>
      </c>
      <c r="K767" s="10">
        <f t="shared" si="234"/>
        <v>21.140809612582899</v>
      </c>
      <c r="L767" s="22">
        <v>556</v>
      </c>
      <c r="M767" s="31" t="s">
        <v>231</v>
      </c>
      <c r="N767" s="8" t="s">
        <v>171</v>
      </c>
      <c r="O767" s="33" t="s">
        <v>99</v>
      </c>
      <c r="P767" s="33" t="s">
        <v>99</v>
      </c>
      <c r="Q767" s="7">
        <v>0.57999999999999996</v>
      </c>
      <c r="R767" s="7" t="s">
        <v>103</v>
      </c>
      <c r="S767" s="31">
        <v>11.5</v>
      </c>
      <c r="T767" s="79">
        <f t="shared" si="219"/>
        <v>1.0386915E-2</v>
      </c>
      <c r="U767" s="22">
        <v>11</v>
      </c>
      <c r="V767" s="22">
        <v>44</v>
      </c>
      <c r="W767" s="10">
        <f t="shared" si="226"/>
        <v>0.76794487087750496</v>
      </c>
      <c r="X767" s="22">
        <v>6</v>
      </c>
      <c r="Y767" s="22">
        <v>19</v>
      </c>
      <c r="Z767" s="10">
        <f t="shared" si="227"/>
        <v>0.33161255787892263</v>
      </c>
      <c r="AA767" s="10">
        <f t="shared" si="228"/>
        <v>9.5946510017919096</v>
      </c>
      <c r="AB767" s="10">
        <f t="shared" si="229"/>
        <v>38.432922164223541</v>
      </c>
      <c r="AC767" s="10">
        <f t="shared" si="230"/>
        <v>4.8041152705279426</v>
      </c>
      <c r="AD767" s="10">
        <f t="shared" si="216"/>
        <v>19.216461082111771</v>
      </c>
      <c r="AE767" s="65"/>
      <c r="AF767" s="10">
        <f t="shared" si="217"/>
        <v>48.303569579531739</v>
      </c>
      <c r="AG767" s="8">
        <f t="shared" si="231"/>
        <v>9.4191960680086897</v>
      </c>
      <c r="AH767" s="10">
        <f t="shared" si="232"/>
        <v>24.15178478976587</v>
      </c>
      <c r="AI767" s="63"/>
      <c r="AJ767" s="10">
        <f t="shared" si="218"/>
        <v>39.202499999999986</v>
      </c>
      <c r="AK767" s="8"/>
      <c r="AL767" s="8">
        <f t="shared" si="233"/>
        <v>19.601249999999993</v>
      </c>
    </row>
    <row r="768" spans="1:38">
      <c r="A768" s="18">
        <v>41471</v>
      </c>
      <c r="B768" s="19" t="s">
        <v>119</v>
      </c>
      <c r="C768" s="12">
        <v>150.1</v>
      </c>
      <c r="D768" s="19" t="s">
        <v>80</v>
      </c>
      <c r="E768" s="8">
        <v>8.4091400000000007</v>
      </c>
      <c r="F768" s="8">
        <v>83.311980000000005</v>
      </c>
      <c r="G768" s="22">
        <v>150</v>
      </c>
      <c r="H768" s="22">
        <v>15</v>
      </c>
      <c r="I768" s="10">
        <f t="shared" si="224"/>
        <v>6.61659150558995</v>
      </c>
      <c r="J768" s="10">
        <f t="shared" si="225"/>
        <v>0.11548130703203342</v>
      </c>
      <c r="K768" s="10">
        <f t="shared" si="234"/>
        <v>21.140809612582899</v>
      </c>
      <c r="L768" s="22">
        <v>6001</v>
      </c>
      <c r="M768" s="22" t="s">
        <v>39</v>
      </c>
      <c r="N768" s="7" t="s">
        <v>69</v>
      </c>
      <c r="O768" s="33" t="s">
        <v>65</v>
      </c>
      <c r="P768" s="33" t="s">
        <v>70</v>
      </c>
      <c r="Q768" s="7">
        <v>0.37</v>
      </c>
      <c r="R768" s="7" t="s">
        <v>71</v>
      </c>
      <c r="S768" s="31">
        <v>7.2</v>
      </c>
      <c r="T768" s="79">
        <f t="shared" si="219"/>
        <v>4.0715136000000008E-3</v>
      </c>
      <c r="U768" s="22">
        <v>9</v>
      </c>
      <c r="V768" s="22">
        <v>58</v>
      </c>
      <c r="W768" s="10">
        <f t="shared" si="226"/>
        <v>1.0122909661567112</v>
      </c>
      <c r="X768" s="22">
        <v>6</v>
      </c>
      <c r="Y768" s="22">
        <v>8</v>
      </c>
      <c r="Z768" s="10">
        <f t="shared" si="227"/>
        <v>0.13962634015954636</v>
      </c>
      <c r="AA768" s="10">
        <f t="shared" si="228"/>
        <v>8.467471471168226</v>
      </c>
      <c r="AB768" s="10">
        <f t="shared" si="229"/>
        <v>9.2863479611739788</v>
      </c>
      <c r="AC768" s="10">
        <f t="shared" si="230"/>
        <v>1.1607934951467473</v>
      </c>
      <c r="AD768" s="10">
        <f t="shared" si="216"/>
        <v>4.6431739805869894</v>
      </c>
      <c r="AE768" s="65"/>
      <c r="AF768" s="10">
        <f t="shared" si="217"/>
        <v>9.6401186042597811</v>
      </c>
      <c r="AG768" s="8">
        <f t="shared" si="231"/>
        <v>1.8798231278306574</v>
      </c>
      <c r="AH768" s="10">
        <f t="shared" si="232"/>
        <v>4.8200593021298905</v>
      </c>
      <c r="AI768" s="63"/>
      <c r="AJ768" s="10">
        <f t="shared" si="218"/>
        <v>9.5969999999999978</v>
      </c>
      <c r="AK768" s="8"/>
      <c r="AL768" s="8">
        <f t="shared" si="233"/>
        <v>4.7984999999999989</v>
      </c>
    </row>
    <row r="769" spans="1:38">
      <c r="A769" s="18">
        <v>41471</v>
      </c>
      <c r="B769" s="19" t="s">
        <v>119</v>
      </c>
      <c r="C769" s="12">
        <v>150.1</v>
      </c>
      <c r="D769" s="19" t="s">
        <v>80</v>
      </c>
      <c r="E769" s="8">
        <v>8.4091400000000007</v>
      </c>
      <c r="F769" s="8">
        <v>83.311980000000005</v>
      </c>
      <c r="G769" s="22">
        <v>150</v>
      </c>
      <c r="H769" s="22">
        <v>15</v>
      </c>
      <c r="I769" s="10">
        <f t="shared" si="224"/>
        <v>6.61659150558995</v>
      </c>
      <c r="J769" s="10">
        <f t="shared" si="225"/>
        <v>0.11548130703203342</v>
      </c>
      <c r="K769" s="10">
        <f t="shared" si="234"/>
        <v>21.140809612582899</v>
      </c>
      <c r="L769" s="22">
        <v>559</v>
      </c>
      <c r="M769" s="31" t="s">
        <v>231</v>
      </c>
      <c r="N769" s="8" t="s">
        <v>171</v>
      </c>
      <c r="O769" s="33" t="s">
        <v>99</v>
      </c>
      <c r="P769" s="33" t="s">
        <v>99</v>
      </c>
      <c r="Q769" s="7">
        <v>0.57999999999999996</v>
      </c>
      <c r="R769" s="7" t="s">
        <v>103</v>
      </c>
      <c r="S769" s="30">
        <v>19</v>
      </c>
      <c r="T769" s="79">
        <f t="shared" si="219"/>
        <v>2.835294E-2</v>
      </c>
      <c r="U769" s="22">
        <v>11</v>
      </c>
      <c r="V769" s="22">
        <v>49</v>
      </c>
      <c r="W769" s="10">
        <f t="shared" si="226"/>
        <v>0.85521133347722145</v>
      </c>
      <c r="X769" s="22">
        <v>6</v>
      </c>
      <c r="Y769" s="22">
        <v>9</v>
      </c>
      <c r="Z769" s="10">
        <f t="shared" si="227"/>
        <v>0.15707963267948966</v>
      </c>
      <c r="AA769" s="10">
        <f t="shared" si="228"/>
        <v>9.2404121726918778</v>
      </c>
      <c r="AB769" s="10">
        <f t="shared" si="229"/>
        <v>95.34340721839709</v>
      </c>
      <c r="AC769" s="10">
        <f t="shared" si="230"/>
        <v>11.917925902299636</v>
      </c>
      <c r="AD769" s="10">
        <f t="shared" si="216"/>
        <v>47.671703609198545</v>
      </c>
      <c r="AE769" s="65"/>
      <c r="AF769" s="10">
        <f t="shared" si="217"/>
        <v>167.93424215975011</v>
      </c>
      <c r="AG769" s="8">
        <f t="shared" si="231"/>
        <v>32.747177221151276</v>
      </c>
      <c r="AH769" s="10">
        <f t="shared" si="232"/>
        <v>83.967121079875056</v>
      </c>
      <c r="AI769" s="63"/>
      <c r="AJ769" s="10">
        <f t="shared" si="218"/>
        <v>156.32999999999998</v>
      </c>
      <c r="AK769" s="8"/>
      <c r="AL769" s="8">
        <f t="shared" si="233"/>
        <v>78.164999999999992</v>
      </c>
    </row>
    <row r="770" spans="1:38">
      <c r="A770" s="18">
        <v>41471</v>
      </c>
      <c r="B770" s="19" t="s">
        <v>119</v>
      </c>
      <c r="C770" s="12">
        <v>150.1</v>
      </c>
      <c r="D770" s="19" t="s">
        <v>80</v>
      </c>
      <c r="E770" s="8">
        <v>8.4091400000000007</v>
      </c>
      <c r="F770" s="8">
        <v>83.311980000000005</v>
      </c>
      <c r="G770" s="22">
        <v>150</v>
      </c>
      <c r="H770" s="22">
        <v>15</v>
      </c>
      <c r="I770" s="10">
        <f t="shared" si="224"/>
        <v>6.61659150558995</v>
      </c>
      <c r="J770" s="10">
        <f t="shared" si="225"/>
        <v>0.11548130703203342</v>
      </c>
      <c r="K770" s="10">
        <f t="shared" si="234"/>
        <v>21.140809612582899</v>
      </c>
      <c r="L770" s="22">
        <v>7013</v>
      </c>
      <c r="M770" s="31" t="s">
        <v>231</v>
      </c>
      <c r="N770" s="8" t="s">
        <v>171</v>
      </c>
      <c r="O770" s="33" t="s">
        <v>99</v>
      </c>
      <c r="P770" s="33" t="s">
        <v>99</v>
      </c>
      <c r="Q770" s="7">
        <v>0.57999999999999996</v>
      </c>
      <c r="R770" s="7" t="s">
        <v>103</v>
      </c>
      <c r="S770" s="31">
        <v>13.3</v>
      </c>
      <c r="T770" s="79">
        <f t="shared" si="219"/>
        <v>1.3892940600000002E-2</v>
      </c>
      <c r="U770" s="22">
        <v>10</v>
      </c>
      <c r="V770" s="22">
        <v>55</v>
      </c>
      <c r="W770" s="10">
        <f t="shared" si="226"/>
        <v>0.95993108859688125</v>
      </c>
      <c r="X770" s="22">
        <v>6</v>
      </c>
      <c r="Y770" s="22">
        <v>13</v>
      </c>
      <c r="Z770" s="10">
        <f t="shared" si="227"/>
        <v>0.22689280275926285</v>
      </c>
      <c r="AA770" s="10">
        <f t="shared" si="228"/>
        <v>9.5412267689531074</v>
      </c>
      <c r="AB770" s="10">
        <f t="shared" si="229"/>
        <v>50.251969222899938</v>
      </c>
      <c r="AC770" s="10">
        <f t="shared" si="230"/>
        <v>6.2814961528624922</v>
      </c>
      <c r="AD770" s="10">
        <f t="shared" si="216"/>
        <v>25.125984611449969</v>
      </c>
      <c r="AE770" s="65"/>
      <c r="AF770" s="10">
        <f t="shared" si="217"/>
        <v>69.357919372104448</v>
      </c>
      <c r="AG770" s="8">
        <f t="shared" si="231"/>
        <v>13.524794277560368</v>
      </c>
      <c r="AH770" s="10">
        <f t="shared" si="232"/>
        <v>34.678959686052224</v>
      </c>
      <c r="AI770" s="63"/>
      <c r="AJ770" s="10">
        <f t="shared" si="218"/>
        <v>59.720700000000008</v>
      </c>
      <c r="AK770" s="8"/>
      <c r="AL770" s="8">
        <f t="shared" si="233"/>
        <v>29.860350000000004</v>
      </c>
    </row>
    <row r="771" spans="1:38">
      <c r="A771" s="18">
        <v>41471</v>
      </c>
      <c r="B771" s="19" t="s">
        <v>119</v>
      </c>
      <c r="C771" s="12">
        <v>150.1</v>
      </c>
      <c r="D771" s="19" t="s">
        <v>80</v>
      </c>
      <c r="E771" s="8">
        <v>8.4091400000000007</v>
      </c>
      <c r="F771" s="8">
        <v>83.311980000000005</v>
      </c>
      <c r="G771" s="22">
        <v>150</v>
      </c>
      <c r="H771" s="22">
        <v>15</v>
      </c>
      <c r="I771" s="10">
        <f t="shared" si="224"/>
        <v>6.61659150558995</v>
      </c>
      <c r="J771" s="10">
        <f t="shared" si="225"/>
        <v>0.11548130703203342</v>
      </c>
      <c r="K771" s="10">
        <f t="shared" si="234"/>
        <v>21.140809612582899</v>
      </c>
      <c r="L771" s="22">
        <v>7018</v>
      </c>
      <c r="M771" s="22" t="s">
        <v>39</v>
      </c>
      <c r="N771" s="7" t="s">
        <v>69</v>
      </c>
      <c r="O771" s="33" t="s">
        <v>65</v>
      </c>
      <c r="P771" s="33" t="s">
        <v>70</v>
      </c>
      <c r="Q771" s="7">
        <v>0.37</v>
      </c>
      <c r="R771" s="7" t="s">
        <v>71</v>
      </c>
      <c r="S771" s="30">
        <v>18</v>
      </c>
      <c r="T771" s="79">
        <f t="shared" si="219"/>
        <v>2.5446960000000001E-2</v>
      </c>
      <c r="U771" s="22">
        <v>14</v>
      </c>
      <c r="V771" s="22">
        <v>60</v>
      </c>
      <c r="W771" s="10">
        <f t="shared" si="226"/>
        <v>1.0471975511965976</v>
      </c>
      <c r="X771" s="22">
        <v>7</v>
      </c>
      <c r="Y771" s="22">
        <v>17</v>
      </c>
      <c r="Z771" s="10">
        <f t="shared" si="227"/>
        <v>0.29670597283903605</v>
      </c>
      <c r="AA771" s="10">
        <f t="shared" si="228"/>
        <v>14.170957586041299</v>
      </c>
      <c r="AB771" s="10">
        <f t="shared" si="229"/>
        <v>84.372107586281629</v>
      </c>
      <c r="AC771" s="10">
        <f t="shared" si="230"/>
        <v>10.546513448285204</v>
      </c>
      <c r="AD771" s="10">
        <f t="shared" si="216"/>
        <v>42.186053793140815</v>
      </c>
      <c r="AE771" s="65"/>
      <c r="AF771" s="10">
        <f t="shared" si="217"/>
        <v>93.73633167225195</v>
      </c>
      <c r="AG771" s="8">
        <f t="shared" si="231"/>
        <v>18.278584676089132</v>
      </c>
      <c r="AH771" s="10">
        <f t="shared" si="232"/>
        <v>46.868165836125975</v>
      </c>
      <c r="AI771" s="63"/>
      <c r="AJ771" s="10">
        <f t="shared" si="218"/>
        <v>135.90299999999996</v>
      </c>
      <c r="AK771" s="8"/>
      <c r="AL771" s="8">
        <f t="shared" si="233"/>
        <v>67.951499999999982</v>
      </c>
    </row>
    <row r="772" spans="1:38">
      <c r="A772" s="18">
        <v>41471</v>
      </c>
      <c r="B772" s="19" t="s">
        <v>119</v>
      </c>
      <c r="C772" s="12">
        <v>150.1</v>
      </c>
      <c r="D772" s="19" t="s">
        <v>80</v>
      </c>
      <c r="E772" s="8">
        <v>8.4091400000000007</v>
      </c>
      <c r="F772" s="8">
        <v>83.311980000000005</v>
      </c>
      <c r="G772" s="22">
        <v>150</v>
      </c>
      <c r="H772" s="22">
        <v>15</v>
      </c>
      <c r="I772" s="10">
        <f t="shared" si="224"/>
        <v>6.61659150558995</v>
      </c>
      <c r="J772" s="10">
        <f t="shared" si="225"/>
        <v>0.11548130703203342</v>
      </c>
      <c r="K772" s="10">
        <f t="shared" si="234"/>
        <v>21.140809612582899</v>
      </c>
      <c r="L772" s="22">
        <v>6036</v>
      </c>
      <c r="M772" s="22" t="s">
        <v>39</v>
      </c>
      <c r="N772" s="7" t="s">
        <v>69</v>
      </c>
      <c r="O772" s="33" t="s">
        <v>65</v>
      </c>
      <c r="P772" s="33" t="s">
        <v>70</v>
      </c>
      <c r="Q772" s="7">
        <v>0.37</v>
      </c>
      <c r="R772" s="7" t="s">
        <v>71</v>
      </c>
      <c r="S772" s="31">
        <v>42.2</v>
      </c>
      <c r="T772" s="79">
        <f t="shared" si="219"/>
        <v>0.13986717360000001</v>
      </c>
      <c r="U772" s="22">
        <v>13</v>
      </c>
      <c r="V772" s="22">
        <v>65</v>
      </c>
      <c r="W772" s="10">
        <f t="shared" si="226"/>
        <v>1.1344640137963142</v>
      </c>
      <c r="X772" s="22">
        <v>7</v>
      </c>
      <c r="Y772" s="22">
        <v>17</v>
      </c>
      <c r="Z772" s="10">
        <f t="shared" si="227"/>
        <v>0.29670597283903605</v>
      </c>
      <c r="AA772" s="10">
        <f t="shared" si="228"/>
        <v>13.828603164535608</v>
      </c>
      <c r="AB772" s="10">
        <f t="shared" si="229"/>
        <v>409.15735724561802</v>
      </c>
      <c r="AC772" s="10">
        <f t="shared" si="230"/>
        <v>51.144669655702252</v>
      </c>
      <c r="AD772" s="10">
        <f t="shared" si="216"/>
        <v>204.57867862280901</v>
      </c>
      <c r="AE772" s="65"/>
      <c r="AF772" s="10">
        <f t="shared" si="217"/>
        <v>737.34290381434471</v>
      </c>
      <c r="AG772" s="8">
        <f t="shared" si="231"/>
        <v>143.78186624379723</v>
      </c>
      <c r="AH772" s="10">
        <f t="shared" si="232"/>
        <v>368.67145190717235</v>
      </c>
      <c r="AI772" s="63"/>
      <c r="AJ772" s="10">
        <f t="shared" si="218"/>
        <v>1045.702</v>
      </c>
      <c r="AK772" s="8"/>
      <c r="AL772" s="8">
        <f t="shared" si="233"/>
        <v>522.851</v>
      </c>
    </row>
    <row r="773" spans="1:38">
      <c r="A773" s="18">
        <v>41471</v>
      </c>
      <c r="B773" s="19" t="s">
        <v>119</v>
      </c>
      <c r="C773" s="12">
        <v>150.1</v>
      </c>
      <c r="D773" s="19" t="s">
        <v>80</v>
      </c>
      <c r="E773" s="8">
        <v>8.4091400000000007</v>
      </c>
      <c r="F773" s="8">
        <v>83.311980000000005</v>
      </c>
      <c r="G773" s="22">
        <v>150</v>
      </c>
      <c r="H773" s="22">
        <v>15</v>
      </c>
      <c r="I773" s="10">
        <f t="shared" si="224"/>
        <v>6.61659150558995</v>
      </c>
      <c r="J773" s="10">
        <f t="shared" si="225"/>
        <v>0.11548130703203342</v>
      </c>
      <c r="K773" s="10">
        <f t="shared" si="234"/>
        <v>21.140809612582899</v>
      </c>
      <c r="L773" s="22">
        <v>555</v>
      </c>
      <c r="M773" s="31" t="s">
        <v>222</v>
      </c>
      <c r="N773" s="22" t="s">
        <v>171</v>
      </c>
      <c r="O773" s="50" t="s">
        <v>172</v>
      </c>
      <c r="P773" s="50" t="s">
        <v>173</v>
      </c>
      <c r="Q773" s="23">
        <v>0.24</v>
      </c>
      <c r="R773" s="22" t="s">
        <v>174</v>
      </c>
      <c r="S773" s="30">
        <v>40.9</v>
      </c>
      <c r="T773" s="79">
        <f t="shared" si="219"/>
        <v>0.13138249739999999</v>
      </c>
      <c r="U773" s="22">
        <v>13</v>
      </c>
      <c r="V773" s="22">
        <v>44</v>
      </c>
      <c r="W773" s="10">
        <f t="shared" si="226"/>
        <v>0.76794487087750496</v>
      </c>
      <c r="X773" s="22">
        <v>8</v>
      </c>
      <c r="Y773" s="22">
        <v>23</v>
      </c>
      <c r="Z773" s="10">
        <f t="shared" si="227"/>
        <v>0.4014257279586958</v>
      </c>
      <c r="AA773" s="10">
        <f t="shared" si="228"/>
        <v>12.156407843881155</v>
      </c>
      <c r="AB773" s="10">
        <f t="shared" si="229"/>
        <v>227.51867711698767</v>
      </c>
      <c r="AC773" s="10">
        <f t="shared" si="230"/>
        <v>28.439834639623459</v>
      </c>
      <c r="AD773" s="10">
        <f t="shared" si="216"/>
        <v>113.75933855849384</v>
      </c>
      <c r="AE773" s="65"/>
      <c r="AF773" s="10">
        <f t="shared" si="217"/>
        <v>444.34132917251867</v>
      </c>
      <c r="AG773" s="8">
        <f t="shared" si="231"/>
        <v>86.646559188641149</v>
      </c>
      <c r="AH773" s="10">
        <f t="shared" si="232"/>
        <v>222.17066458625933</v>
      </c>
      <c r="AI773" s="63"/>
      <c r="AJ773" s="10">
        <f t="shared" si="218"/>
        <v>974.79870000000005</v>
      </c>
      <c r="AK773" s="8"/>
      <c r="AL773" s="8">
        <f t="shared" si="233"/>
        <v>487.39935000000003</v>
      </c>
    </row>
    <row r="774" spans="1:38">
      <c r="A774" s="18">
        <v>41471</v>
      </c>
      <c r="B774" s="19" t="s">
        <v>119</v>
      </c>
      <c r="C774" s="12">
        <v>150.1</v>
      </c>
      <c r="D774" s="19" t="s">
        <v>80</v>
      </c>
      <c r="E774" s="8">
        <v>8.4091400000000007</v>
      </c>
      <c r="F774" s="8">
        <v>83.311980000000005</v>
      </c>
      <c r="G774" s="22">
        <v>150</v>
      </c>
      <c r="H774" s="22">
        <v>15</v>
      </c>
      <c r="I774" s="10">
        <f t="shared" si="224"/>
        <v>6.61659150558995</v>
      </c>
      <c r="J774" s="10">
        <f t="shared" si="225"/>
        <v>0.11548130703203342</v>
      </c>
      <c r="K774" s="10">
        <f t="shared" si="234"/>
        <v>21.140809612582899</v>
      </c>
      <c r="L774" s="22">
        <v>7000</v>
      </c>
      <c r="M774" s="31" t="s">
        <v>231</v>
      </c>
      <c r="N774" s="8" t="s">
        <v>171</v>
      </c>
      <c r="O774" s="33" t="s">
        <v>99</v>
      </c>
      <c r="P774" s="33" t="s">
        <v>99</v>
      </c>
      <c r="Q774" s="7">
        <v>0.57999999999999996</v>
      </c>
      <c r="R774" s="7" t="s">
        <v>103</v>
      </c>
      <c r="S774" s="31">
        <v>7.5</v>
      </c>
      <c r="T774" s="79">
        <f t="shared" si="219"/>
        <v>4.4178749999999999E-3</v>
      </c>
      <c r="U774" s="22">
        <v>9</v>
      </c>
      <c r="V774" s="22">
        <v>21</v>
      </c>
      <c r="W774" s="10">
        <f t="shared" si="226"/>
        <v>0.36651914291880922</v>
      </c>
      <c r="X774" s="22">
        <v>7</v>
      </c>
      <c r="Y774" s="22">
        <v>21</v>
      </c>
      <c r="Z774" s="10">
        <f t="shared" si="227"/>
        <v>0.36651914291880922</v>
      </c>
      <c r="AA774" s="10">
        <f t="shared" si="228"/>
        <v>5.7338871927248043</v>
      </c>
      <c r="AB774" s="10">
        <f t="shared" si="229"/>
        <v>10.605750501366948</v>
      </c>
      <c r="AC774" s="10">
        <f t="shared" si="230"/>
        <v>1.3257188126708686</v>
      </c>
      <c r="AD774" s="10">
        <f t="shared" si="216"/>
        <v>5.3028752506834742</v>
      </c>
      <c r="AE774" s="65"/>
      <c r="AF774" s="10">
        <f t="shared" si="217"/>
        <v>16.714951918920377</v>
      </c>
      <c r="AG774" s="8">
        <f t="shared" si="231"/>
        <v>3.2594156241894736</v>
      </c>
      <c r="AH774" s="10">
        <f t="shared" si="232"/>
        <v>8.3574759594601886</v>
      </c>
      <c r="AI774" s="63"/>
      <c r="AJ774" s="10">
        <f t="shared" si="218"/>
        <v>10.7745</v>
      </c>
      <c r="AK774" s="8"/>
      <c r="AL774" s="8">
        <f t="shared" si="233"/>
        <v>5.3872499999999999</v>
      </c>
    </row>
    <row r="775" spans="1:38">
      <c r="A775" s="18">
        <v>41471</v>
      </c>
      <c r="B775" s="19" t="s">
        <v>119</v>
      </c>
      <c r="C775" s="12">
        <v>150.1</v>
      </c>
      <c r="D775" s="19" t="s">
        <v>80</v>
      </c>
      <c r="E775" s="8">
        <v>8.4091400000000007</v>
      </c>
      <c r="F775" s="8">
        <v>83.311980000000005</v>
      </c>
      <c r="G775" s="22">
        <v>150</v>
      </c>
      <c r="H775" s="22">
        <v>15</v>
      </c>
      <c r="I775" s="10">
        <f t="shared" si="224"/>
        <v>6.61659150558995</v>
      </c>
      <c r="J775" s="10">
        <f t="shared" si="225"/>
        <v>0.11548130703203342</v>
      </c>
      <c r="K775" s="10">
        <f t="shared" si="234"/>
        <v>21.140809612582899</v>
      </c>
      <c r="L775" s="22">
        <v>528</v>
      </c>
      <c r="M775" s="22" t="s">
        <v>47</v>
      </c>
      <c r="N775" s="8" t="s">
        <v>48</v>
      </c>
      <c r="O775" s="10" t="s">
        <v>49</v>
      </c>
      <c r="P775" s="10" t="s">
        <v>50</v>
      </c>
      <c r="Q775" s="20">
        <v>0.75</v>
      </c>
      <c r="R775" s="8" t="s">
        <v>67</v>
      </c>
      <c r="S775" s="30">
        <v>7.2</v>
      </c>
      <c r="T775" s="79">
        <f t="shared" si="219"/>
        <v>4.0715136000000008E-3</v>
      </c>
      <c r="U775" s="22">
        <v>9</v>
      </c>
      <c r="V775" s="22">
        <v>31</v>
      </c>
      <c r="W775" s="10">
        <f t="shared" si="226"/>
        <v>0.54105206811824214</v>
      </c>
      <c r="X775" s="22">
        <v>8</v>
      </c>
      <c r="Y775" s="22">
        <v>21</v>
      </c>
      <c r="Z775" s="10">
        <f t="shared" si="227"/>
        <v>0.36651914291880922</v>
      </c>
      <c r="AA775" s="10">
        <f t="shared" si="228"/>
        <v>7.5022862705528892</v>
      </c>
      <c r="AB775" s="10">
        <f t="shared" si="229"/>
        <v>16.102244473676517</v>
      </c>
      <c r="AC775" s="10">
        <f t="shared" si="230"/>
        <v>2.0127805592095647</v>
      </c>
      <c r="AD775" s="10">
        <f t="shared" ref="AD775:AD838" si="235">AB775/2</f>
        <v>8.0511222368382587</v>
      </c>
      <c r="AE775" s="65"/>
      <c r="AF775" s="10">
        <f t="shared" ref="AF775:AF838" si="236">Q775*EXP(-1.239+1.98*LN(S775)+0.207*(LN(S775))^2-0.0281*(LN(S775))^3)</f>
        <v>19.54078095458064</v>
      </c>
      <c r="AG775" s="8">
        <f t="shared" si="231"/>
        <v>3.8104522861432248</v>
      </c>
      <c r="AH775" s="10">
        <f t="shared" si="232"/>
        <v>9.7703904772903201</v>
      </c>
      <c r="AI775" s="63"/>
      <c r="AJ775" s="10">
        <f t="shared" ref="AJ775:AJ838" si="237">21.297-6.953*S775+0.74*(S775^2)</f>
        <v>9.5969999999999978</v>
      </c>
      <c r="AK775" s="8"/>
      <c r="AL775" s="8">
        <f t="shared" si="233"/>
        <v>4.7984999999999989</v>
      </c>
    </row>
    <row r="776" spans="1:38">
      <c r="A776" s="18">
        <v>41471</v>
      </c>
      <c r="B776" s="19" t="s">
        <v>119</v>
      </c>
      <c r="C776" s="12">
        <v>150.1</v>
      </c>
      <c r="D776" s="19" t="s">
        <v>80</v>
      </c>
      <c r="E776" s="8">
        <v>8.4091400000000007</v>
      </c>
      <c r="F776" s="8">
        <v>83.311980000000005</v>
      </c>
      <c r="G776" s="22">
        <v>150</v>
      </c>
      <c r="H776" s="22">
        <v>15</v>
      </c>
      <c r="I776" s="10">
        <f t="shared" si="224"/>
        <v>6.61659150558995</v>
      </c>
      <c r="J776" s="10">
        <f t="shared" si="225"/>
        <v>0.11548130703203342</v>
      </c>
      <c r="K776" s="10">
        <f t="shared" si="234"/>
        <v>21.140809612582899</v>
      </c>
      <c r="L776" s="22">
        <v>507</v>
      </c>
      <c r="M776" s="7" t="s">
        <v>122</v>
      </c>
      <c r="N776" s="7" t="s">
        <v>123</v>
      </c>
      <c r="O776" s="33" t="s">
        <v>99</v>
      </c>
      <c r="P776" s="33" t="s">
        <v>99</v>
      </c>
      <c r="Q776" s="7">
        <v>0.69</v>
      </c>
      <c r="R776" s="7" t="s">
        <v>190</v>
      </c>
      <c r="S776" s="30">
        <v>9</v>
      </c>
      <c r="T776" s="79">
        <f t="shared" ref="T776:T839" si="238">0.00007854*S776^2</f>
        <v>6.3617400000000003E-3</v>
      </c>
      <c r="U776" s="22">
        <v>10</v>
      </c>
      <c r="V776" s="22">
        <v>32</v>
      </c>
      <c r="W776" s="10">
        <f t="shared" si="226"/>
        <v>0.55850536063818546</v>
      </c>
      <c r="X776" s="22">
        <v>9</v>
      </c>
      <c r="Y776" s="22">
        <v>20</v>
      </c>
      <c r="Z776" s="10">
        <f t="shared" si="227"/>
        <v>0.3490658503988659</v>
      </c>
      <c r="AA776" s="10">
        <f t="shared" si="228"/>
        <v>8.3773739322630671</v>
      </c>
      <c r="AB776" s="10">
        <f t="shared" si="229"/>
        <v>25.123330482334488</v>
      </c>
      <c r="AC776" s="10">
        <f t="shared" si="230"/>
        <v>3.140416310291811</v>
      </c>
      <c r="AD776" s="10">
        <f t="shared" si="235"/>
        <v>12.561665241167244</v>
      </c>
      <c r="AE776" s="65"/>
      <c r="AF776" s="10">
        <f t="shared" si="236"/>
        <v>31.240549018954248</v>
      </c>
      <c r="AG776" s="8">
        <f t="shared" si="231"/>
        <v>6.0919070586960782</v>
      </c>
      <c r="AH776" s="10">
        <f t="shared" si="232"/>
        <v>15.620274509477124</v>
      </c>
      <c r="AI776" s="63"/>
      <c r="AJ776" s="10">
        <f t="shared" si="237"/>
        <v>18.659999999999997</v>
      </c>
      <c r="AK776" s="8"/>
      <c r="AL776" s="8">
        <f t="shared" si="233"/>
        <v>9.3299999999999983</v>
      </c>
    </row>
    <row r="777" spans="1:38">
      <c r="A777" s="18">
        <v>41471</v>
      </c>
      <c r="B777" s="19" t="s">
        <v>119</v>
      </c>
      <c r="C777" s="12">
        <v>150.1</v>
      </c>
      <c r="D777" s="19" t="s">
        <v>80</v>
      </c>
      <c r="E777" s="8">
        <v>8.4091400000000007</v>
      </c>
      <c r="F777" s="8">
        <v>83.311980000000005</v>
      </c>
      <c r="G777" s="22">
        <v>150</v>
      </c>
      <c r="H777" s="22">
        <v>15</v>
      </c>
      <c r="I777" s="10">
        <f t="shared" si="224"/>
        <v>6.61659150558995</v>
      </c>
      <c r="J777" s="10">
        <f t="shared" si="225"/>
        <v>0.11548130703203342</v>
      </c>
      <c r="K777" s="10">
        <f t="shared" si="234"/>
        <v>21.140809612582899</v>
      </c>
      <c r="L777" s="22">
        <v>523</v>
      </c>
      <c r="M777" s="22" t="s">
        <v>54</v>
      </c>
      <c r="N777" s="8" t="s">
        <v>55</v>
      </c>
      <c r="O777" s="10" t="s">
        <v>56</v>
      </c>
      <c r="P777" s="10" t="s">
        <v>57</v>
      </c>
      <c r="Q777" s="11">
        <v>0.315</v>
      </c>
      <c r="R777" s="12" t="s">
        <v>66</v>
      </c>
      <c r="S777" s="30">
        <v>23</v>
      </c>
      <c r="T777" s="79">
        <f t="shared" si="238"/>
        <v>4.154766E-2</v>
      </c>
      <c r="U777" s="22">
        <v>12</v>
      </c>
      <c r="V777" s="22">
        <v>58</v>
      </c>
      <c r="W777" s="10">
        <f t="shared" si="226"/>
        <v>1.0122909661567112</v>
      </c>
      <c r="X777" s="22">
        <v>7</v>
      </c>
      <c r="Y777" s="22">
        <v>20</v>
      </c>
      <c r="Z777" s="10">
        <f t="shared" si="227"/>
        <v>0.3490658503988659</v>
      </c>
      <c r="AA777" s="10">
        <f t="shared" si="228"/>
        <v>12.570718157156794</v>
      </c>
      <c r="AB777" s="10">
        <f t="shared" si="229"/>
        <v>102.73548074675396</v>
      </c>
      <c r="AC777" s="10">
        <f t="shared" si="230"/>
        <v>12.841935093344246</v>
      </c>
      <c r="AD777" s="10">
        <f t="shared" si="235"/>
        <v>51.367740373376982</v>
      </c>
      <c r="AE777" s="65"/>
      <c r="AF777" s="10">
        <f t="shared" si="236"/>
        <v>145.90674719443388</v>
      </c>
      <c r="AG777" s="8">
        <f t="shared" si="231"/>
        <v>28.451815702914608</v>
      </c>
      <c r="AH777" s="10">
        <f t="shared" si="232"/>
        <v>72.953373597216938</v>
      </c>
      <c r="AI777" s="63"/>
      <c r="AJ777" s="10">
        <f t="shared" si="237"/>
        <v>252.83799999999997</v>
      </c>
      <c r="AK777" s="8"/>
      <c r="AL777" s="8">
        <f t="shared" si="233"/>
        <v>126.41899999999998</v>
      </c>
    </row>
    <row r="778" spans="1:38">
      <c r="A778" s="18">
        <v>41459</v>
      </c>
      <c r="B778" s="19" t="s">
        <v>34</v>
      </c>
      <c r="C778" s="12">
        <v>150.19999999999999</v>
      </c>
      <c r="D778" s="9" t="s">
        <v>80</v>
      </c>
      <c r="E778" s="8">
        <v>8.4116599999999995</v>
      </c>
      <c r="F778" s="8">
        <v>83.312479999999994</v>
      </c>
      <c r="G778" s="22">
        <v>150</v>
      </c>
      <c r="H778" s="8">
        <v>13</v>
      </c>
      <c r="I778" s="10">
        <f t="shared" si="224"/>
        <v>7.6489254580385788</v>
      </c>
      <c r="J778" s="10">
        <f t="shared" si="225"/>
        <v>0.13349893348238856</v>
      </c>
      <c r="K778" s="10">
        <f t="shared" si="234"/>
        <v>21.188530377780278</v>
      </c>
      <c r="L778" s="8">
        <v>21</v>
      </c>
      <c r="M778" s="31" t="s">
        <v>231</v>
      </c>
      <c r="N778" s="8" t="s">
        <v>171</v>
      </c>
      <c r="O778" s="33" t="s">
        <v>99</v>
      </c>
      <c r="P778" s="33" t="s">
        <v>99</v>
      </c>
      <c r="Q778" s="22">
        <v>0.57999999999999996</v>
      </c>
      <c r="R778" s="22" t="s">
        <v>103</v>
      </c>
      <c r="S778" s="12">
        <v>15.7</v>
      </c>
      <c r="T778" s="79">
        <f t="shared" si="238"/>
        <v>1.9359324599999998E-2</v>
      </c>
      <c r="U778" s="8">
        <v>6</v>
      </c>
      <c r="V778" s="8">
        <v>77</v>
      </c>
      <c r="W778" s="10">
        <f t="shared" ref="W778:W809" si="239">RADIANS(V778)</f>
        <v>1.3439035240356338</v>
      </c>
      <c r="X778" s="8">
        <v>5</v>
      </c>
      <c r="Y778" s="8">
        <v>20</v>
      </c>
      <c r="Z778" s="10">
        <f t="shared" ref="Z778:Z809" si="240">RADIANS(Y778)</f>
        <v>0.3490658503988659</v>
      </c>
      <c r="AA778" s="10">
        <f t="shared" ref="AA778:AA809" si="241">(SIN(W778)*U778)+(SIN(Z778)*X778)</f>
        <v>7.5563211053397552</v>
      </c>
      <c r="AB778" s="10">
        <f t="shared" ref="AB778:AB809" si="242">0.0776*(Q778*S778^2*AA778)^0.94</f>
        <v>55.129894627957626</v>
      </c>
      <c r="AC778" s="10">
        <f t="shared" si="230"/>
        <v>6.8912368284947032</v>
      </c>
      <c r="AD778" s="10">
        <f t="shared" si="235"/>
        <v>27.564947313978813</v>
      </c>
      <c r="AE778" s="65"/>
      <c r="AF778" s="10">
        <f t="shared" si="236"/>
        <v>104.73150308863723</v>
      </c>
      <c r="AG778" s="8">
        <f t="shared" si="231"/>
        <v>20.422643102284258</v>
      </c>
      <c r="AH778" s="10">
        <f t="shared" si="232"/>
        <v>52.365751544318613</v>
      </c>
      <c r="AI778" s="63"/>
      <c r="AJ778" s="10">
        <f t="shared" si="237"/>
        <v>94.53749999999998</v>
      </c>
      <c r="AK778" s="8"/>
      <c r="AL778" s="8">
        <f t="shared" si="233"/>
        <v>47.26874999999999</v>
      </c>
    </row>
    <row r="779" spans="1:38">
      <c r="A779" s="18">
        <v>41459</v>
      </c>
      <c r="B779" s="19" t="s">
        <v>34</v>
      </c>
      <c r="C779" s="12">
        <v>150.19999999999999</v>
      </c>
      <c r="D779" s="9" t="s">
        <v>80</v>
      </c>
      <c r="E779" s="8">
        <v>8.4116599999999995</v>
      </c>
      <c r="F779" s="8">
        <v>83.312479999999994</v>
      </c>
      <c r="G779" s="22">
        <v>150</v>
      </c>
      <c r="H779" s="8">
        <v>13</v>
      </c>
      <c r="I779" s="10">
        <f t="shared" si="224"/>
        <v>7.6489254580385788</v>
      </c>
      <c r="J779" s="10">
        <f t="shared" ref="J779:J827" si="243">RADIANS(I779)</f>
        <v>0.13349893348238856</v>
      </c>
      <c r="K779" s="10">
        <f t="shared" si="234"/>
        <v>21.188530377780278</v>
      </c>
      <c r="L779" s="8">
        <v>22</v>
      </c>
      <c r="M779" s="8" t="s">
        <v>36</v>
      </c>
      <c r="N779" s="8" t="s">
        <v>46</v>
      </c>
      <c r="O779" s="10" t="s">
        <v>37</v>
      </c>
      <c r="P779" s="10" t="s">
        <v>38</v>
      </c>
      <c r="Q779" s="11">
        <v>0.48</v>
      </c>
      <c r="R779" s="8" t="s">
        <v>60</v>
      </c>
      <c r="S779" s="29">
        <v>23</v>
      </c>
      <c r="T779" s="79">
        <f t="shared" si="238"/>
        <v>4.154766E-2</v>
      </c>
      <c r="U779" s="8">
        <v>8</v>
      </c>
      <c r="V779" s="8">
        <v>62</v>
      </c>
      <c r="W779" s="10">
        <f t="shared" si="239"/>
        <v>1.0821041362364843</v>
      </c>
      <c r="X779" s="8">
        <v>5</v>
      </c>
      <c r="Y779" s="8">
        <v>20</v>
      </c>
      <c r="Z779" s="10">
        <f t="shared" si="240"/>
        <v>0.3490658503988659</v>
      </c>
      <c r="AA779" s="10">
        <f t="shared" si="241"/>
        <v>8.773681459499759</v>
      </c>
      <c r="AB779" s="10">
        <f t="shared" si="242"/>
        <v>108.85985889425498</v>
      </c>
      <c r="AC779" s="10">
        <f t="shared" si="230"/>
        <v>13.607482361781873</v>
      </c>
      <c r="AD779" s="10">
        <f t="shared" si="235"/>
        <v>54.429929447127492</v>
      </c>
      <c r="AE779" s="65"/>
      <c r="AF779" s="10">
        <f t="shared" si="236"/>
        <v>222.33409096294685</v>
      </c>
      <c r="AG779" s="8">
        <f t="shared" si="231"/>
        <v>43.355147737774637</v>
      </c>
      <c r="AH779" s="10">
        <f t="shared" si="232"/>
        <v>111.16704548147342</v>
      </c>
      <c r="AI779" s="63"/>
      <c r="AJ779" s="10">
        <f t="shared" si="237"/>
        <v>252.83799999999997</v>
      </c>
      <c r="AK779" s="8"/>
      <c r="AL779" s="8">
        <f t="shared" si="233"/>
        <v>126.41899999999998</v>
      </c>
    </row>
    <row r="780" spans="1:38">
      <c r="A780" s="18">
        <v>41459</v>
      </c>
      <c r="B780" s="19" t="s">
        <v>34</v>
      </c>
      <c r="C780" s="12">
        <v>150.19999999999999</v>
      </c>
      <c r="D780" s="9" t="s">
        <v>80</v>
      </c>
      <c r="E780" s="8">
        <v>8.4116599999999995</v>
      </c>
      <c r="F780" s="8">
        <v>83.312479999999994</v>
      </c>
      <c r="G780" s="22">
        <v>150</v>
      </c>
      <c r="H780" s="8">
        <v>13</v>
      </c>
      <c r="I780" s="10">
        <f t="shared" si="224"/>
        <v>7.6489254580385788</v>
      </c>
      <c r="J780" s="10">
        <f t="shared" si="243"/>
        <v>0.13349893348238856</v>
      </c>
      <c r="K780" s="10">
        <f t="shared" si="234"/>
        <v>21.188530377780278</v>
      </c>
      <c r="L780" s="8">
        <v>23</v>
      </c>
      <c r="M780" s="31" t="s">
        <v>231</v>
      </c>
      <c r="N780" s="8" t="s">
        <v>171</v>
      </c>
      <c r="O780" s="33" t="s">
        <v>99</v>
      </c>
      <c r="P780" s="33" t="s">
        <v>99</v>
      </c>
      <c r="Q780" s="22">
        <v>0.57999999999999996</v>
      </c>
      <c r="R780" s="22" t="s">
        <v>103</v>
      </c>
      <c r="S780" s="12">
        <v>21.3</v>
      </c>
      <c r="T780" s="79">
        <f t="shared" si="238"/>
        <v>3.5632812600000008E-2</v>
      </c>
      <c r="U780" s="8">
        <v>11</v>
      </c>
      <c r="V780" s="8">
        <v>58</v>
      </c>
      <c r="W780" s="10">
        <f t="shared" si="239"/>
        <v>1.0122909661567112</v>
      </c>
      <c r="X780" s="8">
        <v>5</v>
      </c>
      <c r="Y780" s="8">
        <v>36</v>
      </c>
      <c r="Z780" s="10">
        <f t="shared" si="240"/>
        <v>0.62831853071795862</v>
      </c>
      <c r="AA780" s="10">
        <f t="shared" si="241"/>
        <v>12.26745531918305</v>
      </c>
      <c r="AB780" s="10">
        <f t="shared" si="242"/>
        <v>154.26482308369177</v>
      </c>
      <c r="AC780" s="10">
        <f t="shared" si="230"/>
        <v>19.283102885461471</v>
      </c>
      <c r="AD780" s="10">
        <f t="shared" si="235"/>
        <v>77.132411541845883</v>
      </c>
      <c r="AE780" s="65"/>
      <c r="AF780" s="10">
        <f t="shared" si="236"/>
        <v>222.52113277839797</v>
      </c>
      <c r="AG780" s="8">
        <f t="shared" si="231"/>
        <v>43.391620891787603</v>
      </c>
      <c r="AH780" s="10">
        <f t="shared" si="232"/>
        <v>111.26056638919898</v>
      </c>
      <c r="AI780" s="63"/>
      <c r="AJ780" s="10">
        <f t="shared" si="237"/>
        <v>208.92870000000002</v>
      </c>
      <c r="AK780" s="8"/>
      <c r="AL780" s="8">
        <f t="shared" si="233"/>
        <v>104.46435000000001</v>
      </c>
    </row>
    <row r="781" spans="1:38">
      <c r="A781" s="18">
        <v>41459</v>
      </c>
      <c r="B781" s="19" t="s">
        <v>34</v>
      </c>
      <c r="C781" s="12">
        <v>150.19999999999999</v>
      </c>
      <c r="D781" s="9" t="s">
        <v>80</v>
      </c>
      <c r="E781" s="8">
        <v>8.4116599999999995</v>
      </c>
      <c r="F781" s="8">
        <v>83.312479999999994</v>
      </c>
      <c r="G781" s="22">
        <v>150</v>
      </c>
      <c r="H781" s="8">
        <v>13</v>
      </c>
      <c r="I781" s="10">
        <f t="shared" si="224"/>
        <v>7.6489254580385788</v>
      </c>
      <c r="J781" s="10">
        <f t="shared" si="243"/>
        <v>0.13349893348238856</v>
      </c>
      <c r="K781" s="10">
        <f t="shared" si="234"/>
        <v>21.188530377780278</v>
      </c>
      <c r="L781" s="8">
        <v>24</v>
      </c>
      <c r="M781" s="31" t="s">
        <v>231</v>
      </c>
      <c r="N781" s="8" t="s">
        <v>171</v>
      </c>
      <c r="O781" s="33" t="s">
        <v>99</v>
      </c>
      <c r="P781" s="33" t="s">
        <v>99</v>
      </c>
      <c r="Q781" s="22">
        <v>0.57999999999999996</v>
      </c>
      <c r="R781" s="22" t="s">
        <v>103</v>
      </c>
      <c r="S781" s="12">
        <v>30.7</v>
      </c>
      <c r="T781" s="79">
        <f t="shared" si="238"/>
        <v>7.402316460000001E-2</v>
      </c>
      <c r="U781" s="8">
        <v>10</v>
      </c>
      <c r="V781" s="8">
        <v>61</v>
      </c>
      <c r="W781" s="10">
        <f t="shared" si="239"/>
        <v>1.064650843716541</v>
      </c>
      <c r="X781" s="8">
        <v>5</v>
      </c>
      <c r="Y781" s="8">
        <v>38</v>
      </c>
      <c r="Z781" s="10">
        <f t="shared" si="240"/>
        <v>0.66322511575784526</v>
      </c>
      <c r="AA781" s="10">
        <f t="shared" si="241"/>
        <v>11.82450444802225</v>
      </c>
      <c r="AB781" s="10">
        <f t="shared" si="242"/>
        <v>296.2921553011933</v>
      </c>
      <c r="AC781" s="10">
        <f t="shared" si="230"/>
        <v>37.036519412649163</v>
      </c>
      <c r="AD781" s="10">
        <f t="shared" si="235"/>
        <v>148.14607765059665</v>
      </c>
      <c r="AE781" s="65"/>
      <c r="AF781" s="10">
        <f t="shared" si="236"/>
        <v>541.99196168602475</v>
      </c>
      <c r="AG781" s="8">
        <f t="shared" si="231"/>
        <v>105.68843252877483</v>
      </c>
      <c r="AH781" s="10">
        <f t="shared" si="232"/>
        <v>270.99598084301238</v>
      </c>
      <c r="AI781" s="63"/>
      <c r="AJ781" s="10">
        <f t="shared" si="237"/>
        <v>505.28249999999997</v>
      </c>
      <c r="AK781" s="8"/>
      <c r="AL781" s="8">
        <f t="shared" si="233"/>
        <v>252.64124999999999</v>
      </c>
    </row>
    <row r="782" spans="1:38">
      <c r="A782" s="18">
        <v>41459</v>
      </c>
      <c r="B782" s="19" t="s">
        <v>34</v>
      </c>
      <c r="C782" s="12">
        <v>150.19999999999999</v>
      </c>
      <c r="D782" s="9" t="s">
        <v>80</v>
      </c>
      <c r="E782" s="8">
        <v>8.4116599999999995</v>
      </c>
      <c r="F782" s="8">
        <v>83.312479999999994</v>
      </c>
      <c r="G782" s="22">
        <v>150</v>
      </c>
      <c r="H782" s="8">
        <v>13</v>
      </c>
      <c r="I782" s="10">
        <f t="shared" si="224"/>
        <v>7.6489254580385788</v>
      </c>
      <c r="J782" s="10">
        <f t="shared" si="243"/>
        <v>0.13349893348238856</v>
      </c>
      <c r="K782" s="10">
        <f t="shared" si="234"/>
        <v>21.188530377780278</v>
      </c>
      <c r="L782" s="8">
        <v>25</v>
      </c>
      <c r="M782" s="8" t="s">
        <v>36</v>
      </c>
      <c r="N782" s="8" t="s">
        <v>46</v>
      </c>
      <c r="O782" s="10" t="s">
        <v>37</v>
      </c>
      <c r="P782" s="10" t="s">
        <v>38</v>
      </c>
      <c r="Q782" s="11">
        <v>0.48</v>
      </c>
      <c r="R782" s="8" t="s">
        <v>60</v>
      </c>
      <c r="S782" s="29">
        <v>27</v>
      </c>
      <c r="T782" s="79">
        <f t="shared" si="238"/>
        <v>5.725566E-2</v>
      </c>
      <c r="U782" s="8">
        <v>15</v>
      </c>
      <c r="V782" s="8">
        <v>64</v>
      </c>
      <c r="W782" s="10">
        <f t="shared" si="239"/>
        <v>1.1170107212763709</v>
      </c>
      <c r="X782" s="8">
        <v>5</v>
      </c>
      <c r="Y782" s="8">
        <v>25</v>
      </c>
      <c r="Z782" s="10">
        <f t="shared" si="240"/>
        <v>0.43633231299858238</v>
      </c>
      <c r="AA782" s="10">
        <f t="shared" si="241"/>
        <v>15.595002003191002</v>
      </c>
      <c r="AB782" s="10">
        <f t="shared" si="242"/>
        <v>252.69617595157595</v>
      </c>
      <c r="AC782" s="10">
        <f t="shared" si="230"/>
        <v>31.587021993946994</v>
      </c>
      <c r="AD782" s="10">
        <f t="shared" si="235"/>
        <v>126.34808797578798</v>
      </c>
      <c r="AE782" s="65"/>
      <c r="AF782" s="10">
        <f t="shared" si="236"/>
        <v>328.75772573190403</v>
      </c>
      <c r="AG782" s="8">
        <f t="shared" si="231"/>
        <v>64.107756517721285</v>
      </c>
      <c r="AH782" s="10">
        <f t="shared" si="232"/>
        <v>164.37886286595202</v>
      </c>
      <c r="AI782" s="63"/>
      <c r="AJ782" s="10">
        <f t="shared" si="237"/>
        <v>373.02600000000007</v>
      </c>
      <c r="AK782" s="8"/>
      <c r="AL782" s="8">
        <f t="shared" si="233"/>
        <v>186.51300000000003</v>
      </c>
    </row>
    <row r="783" spans="1:38">
      <c r="A783" s="18">
        <v>41459</v>
      </c>
      <c r="B783" s="19" t="s">
        <v>34</v>
      </c>
      <c r="C783" s="12">
        <v>150.19999999999999</v>
      </c>
      <c r="D783" s="9" t="s">
        <v>80</v>
      </c>
      <c r="E783" s="8">
        <v>8.4116599999999995</v>
      </c>
      <c r="F783" s="8">
        <v>83.312479999999994</v>
      </c>
      <c r="G783" s="22">
        <v>150</v>
      </c>
      <c r="H783" s="8">
        <v>13</v>
      </c>
      <c r="I783" s="10">
        <f t="shared" si="224"/>
        <v>7.6489254580385788</v>
      </c>
      <c r="J783" s="10">
        <f t="shared" si="243"/>
        <v>0.13349893348238856</v>
      </c>
      <c r="K783" s="10">
        <f t="shared" si="234"/>
        <v>21.188530377780278</v>
      </c>
      <c r="L783" s="8">
        <v>64</v>
      </c>
      <c r="M783" s="31" t="s">
        <v>231</v>
      </c>
      <c r="N783" s="8" t="s">
        <v>171</v>
      </c>
      <c r="O783" s="33" t="s">
        <v>99</v>
      </c>
      <c r="P783" s="33" t="s">
        <v>99</v>
      </c>
      <c r="Q783" s="22">
        <v>0.57999999999999996</v>
      </c>
      <c r="R783" s="22" t="s">
        <v>103</v>
      </c>
      <c r="S783" s="12">
        <v>16.399999999999999</v>
      </c>
      <c r="T783" s="79">
        <f t="shared" si="238"/>
        <v>2.1124118399999999E-2</v>
      </c>
      <c r="U783" s="8">
        <v>12</v>
      </c>
      <c r="V783" s="8">
        <v>63</v>
      </c>
      <c r="W783" s="10">
        <f t="shared" si="239"/>
        <v>1.0995574287564276</v>
      </c>
      <c r="X783" s="8">
        <v>5</v>
      </c>
      <c r="Y783" s="8">
        <v>38</v>
      </c>
      <c r="Z783" s="10">
        <f t="shared" si="240"/>
        <v>0.66322511575784526</v>
      </c>
      <c r="AA783" s="10">
        <f t="shared" si="241"/>
        <v>13.770385666888705</v>
      </c>
      <c r="AB783" s="10">
        <f t="shared" si="242"/>
        <v>105.19614063764199</v>
      </c>
      <c r="AC783" s="10">
        <f t="shared" si="230"/>
        <v>13.149517579705249</v>
      </c>
      <c r="AD783" s="10">
        <f t="shared" si="235"/>
        <v>52.598070318820994</v>
      </c>
      <c r="AE783" s="65"/>
      <c r="AF783" s="10">
        <f t="shared" si="236"/>
        <v>116.695009539189</v>
      </c>
      <c r="AG783" s="8">
        <f t="shared" si="231"/>
        <v>22.755526860141856</v>
      </c>
      <c r="AH783" s="10">
        <f t="shared" si="232"/>
        <v>58.347504769594501</v>
      </c>
      <c r="AI783" s="63"/>
      <c r="AJ783" s="10">
        <f t="shared" si="237"/>
        <v>106.29819999999999</v>
      </c>
      <c r="AK783" s="8"/>
      <c r="AL783" s="8">
        <f t="shared" si="233"/>
        <v>53.149099999999997</v>
      </c>
    </row>
    <row r="784" spans="1:38">
      <c r="A784" s="18">
        <v>41459</v>
      </c>
      <c r="B784" s="19" t="s">
        <v>34</v>
      </c>
      <c r="C784" s="12">
        <v>150.19999999999999</v>
      </c>
      <c r="D784" s="9" t="s">
        <v>80</v>
      </c>
      <c r="E784" s="8">
        <v>8.4116599999999995</v>
      </c>
      <c r="F784" s="8">
        <v>83.312479999999994</v>
      </c>
      <c r="G784" s="22">
        <v>150</v>
      </c>
      <c r="H784" s="8">
        <v>13</v>
      </c>
      <c r="I784" s="10">
        <f t="shared" ref="I784:I846" si="244">1/TAN(H784/100)</f>
        <v>7.6489254580385788</v>
      </c>
      <c r="J784" s="10">
        <f t="shared" si="243"/>
        <v>0.13349893348238856</v>
      </c>
      <c r="K784" s="10">
        <f t="shared" si="234"/>
        <v>21.188530377780278</v>
      </c>
      <c r="L784" s="8">
        <v>50</v>
      </c>
      <c r="M784" s="31" t="s">
        <v>231</v>
      </c>
      <c r="N784" s="8" t="s">
        <v>171</v>
      </c>
      <c r="O784" s="33" t="s">
        <v>99</v>
      </c>
      <c r="P784" s="33" t="s">
        <v>99</v>
      </c>
      <c r="Q784" s="22">
        <v>0.57999999999999996</v>
      </c>
      <c r="R784" s="22" t="s">
        <v>103</v>
      </c>
      <c r="S784" s="29">
        <v>26</v>
      </c>
      <c r="T784" s="79">
        <f t="shared" si="238"/>
        <v>5.3093040000000001E-2</v>
      </c>
      <c r="U784" s="8">
        <v>11</v>
      </c>
      <c r="V784" s="8">
        <v>70</v>
      </c>
      <c r="W784" s="10">
        <f t="shared" si="239"/>
        <v>1.2217304763960306</v>
      </c>
      <c r="X784" s="8">
        <v>5</v>
      </c>
      <c r="Y784" s="8">
        <v>28</v>
      </c>
      <c r="Z784" s="10">
        <f t="shared" si="240"/>
        <v>0.48869219055841229</v>
      </c>
      <c r="AA784" s="10">
        <f t="shared" si="241"/>
        <v>12.683976642574446</v>
      </c>
      <c r="AB784" s="10">
        <f t="shared" si="242"/>
        <v>231.57626067642417</v>
      </c>
      <c r="AC784" s="10">
        <f t="shared" si="230"/>
        <v>28.947032584553021</v>
      </c>
      <c r="AD784" s="10">
        <f t="shared" si="235"/>
        <v>115.78813033821208</v>
      </c>
      <c r="AE784" s="65"/>
      <c r="AF784" s="10">
        <f t="shared" si="236"/>
        <v>362.41912088309954</v>
      </c>
      <c r="AG784" s="8">
        <f t="shared" si="231"/>
        <v>70.671728572204415</v>
      </c>
      <c r="AH784" s="10">
        <f t="shared" si="232"/>
        <v>181.20956044154977</v>
      </c>
      <c r="AI784" s="63"/>
      <c r="AJ784" s="10">
        <f t="shared" si="237"/>
        <v>340.75900000000001</v>
      </c>
      <c r="AK784" s="8"/>
      <c r="AL784" s="8">
        <f t="shared" si="233"/>
        <v>170.37950000000001</v>
      </c>
    </row>
    <row r="785" spans="1:38">
      <c r="A785" s="18">
        <v>41459</v>
      </c>
      <c r="B785" s="19" t="s">
        <v>34</v>
      </c>
      <c r="C785" s="12">
        <v>150.19999999999999</v>
      </c>
      <c r="D785" s="9" t="s">
        <v>80</v>
      </c>
      <c r="E785" s="8">
        <v>8.4116599999999995</v>
      </c>
      <c r="F785" s="8">
        <v>83.312479999999994</v>
      </c>
      <c r="G785" s="22">
        <v>150</v>
      </c>
      <c r="H785" s="8">
        <v>13</v>
      </c>
      <c r="I785" s="10">
        <f t="shared" si="244"/>
        <v>7.6489254580385788</v>
      </c>
      <c r="J785" s="10">
        <f t="shared" si="243"/>
        <v>0.13349893348238856</v>
      </c>
      <c r="K785" s="10">
        <f t="shared" si="234"/>
        <v>21.188530377780278</v>
      </c>
      <c r="L785" s="8">
        <v>39</v>
      </c>
      <c r="M785" s="8" t="s">
        <v>36</v>
      </c>
      <c r="N785" s="8" t="s">
        <v>46</v>
      </c>
      <c r="O785" s="10" t="s">
        <v>37</v>
      </c>
      <c r="P785" s="10" t="s">
        <v>38</v>
      </c>
      <c r="Q785" s="11">
        <v>0.48</v>
      </c>
      <c r="R785" s="8" t="s">
        <v>60</v>
      </c>
      <c r="S785" s="29">
        <v>16</v>
      </c>
      <c r="T785" s="79">
        <f t="shared" si="238"/>
        <v>2.0106240000000001E-2</v>
      </c>
      <c r="U785" s="8">
        <v>9</v>
      </c>
      <c r="V785" s="8">
        <v>57</v>
      </c>
      <c r="W785" s="10">
        <f t="shared" si="239"/>
        <v>0.99483767363676789</v>
      </c>
      <c r="X785" s="8">
        <v>5</v>
      </c>
      <c r="Y785" s="8">
        <v>32</v>
      </c>
      <c r="Z785" s="10">
        <f t="shared" si="240"/>
        <v>0.55850536063818546</v>
      </c>
      <c r="AA785" s="10">
        <f t="shared" si="241"/>
        <v>10.197631432674841</v>
      </c>
      <c r="AB785" s="10">
        <f t="shared" si="242"/>
        <v>63.381630102021731</v>
      </c>
      <c r="AC785" s="10">
        <f t="shared" si="230"/>
        <v>7.9227037627527164</v>
      </c>
      <c r="AD785" s="10">
        <f t="shared" si="235"/>
        <v>31.690815051010865</v>
      </c>
      <c r="AE785" s="65"/>
      <c r="AF785" s="10">
        <f t="shared" si="236"/>
        <v>90.840511037972547</v>
      </c>
      <c r="AG785" s="8">
        <f t="shared" si="231"/>
        <v>17.713899652404649</v>
      </c>
      <c r="AH785" s="10">
        <f t="shared" si="232"/>
        <v>45.420255518986274</v>
      </c>
      <c r="AI785" s="63"/>
      <c r="AJ785" s="10">
        <f t="shared" si="237"/>
        <v>99.48899999999999</v>
      </c>
      <c r="AK785" s="8"/>
      <c r="AL785" s="8">
        <f t="shared" si="233"/>
        <v>49.744499999999995</v>
      </c>
    </row>
    <row r="786" spans="1:38">
      <c r="A786" s="18">
        <v>41459</v>
      </c>
      <c r="B786" s="19" t="s">
        <v>34</v>
      </c>
      <c r="C786" s="12">
        <v>150.19999999999999</v>
      </c>
      <c r="D786" s="9" t="s">
        <v>80</v>
      </c>
      <c r="E786" s="8">
        <v>8.4116599999999995</v>
      </c>
      <c r="F786" s="8">
        <v>83.312479999999994</v>
      </c>
      <c r="G786" s="22">
        <v>150</v>
      </c>
      <c r="H786" s="8">
        <v>13</v>
      </c>
      <c r="I786" s="10">
        <f t="shared" si="244"/>
        <v>7.6489254580385788</v>
      </c>
      <c r="J786" s="10">
        <f t="shared" si="243"/>
        <v>0.13349893348238856</v>
      </c>
      <c r="K786" s="10">
        <f t="shared" si="234"/>
        <v>21.188530377780278</v>
      </c>
      <c r="L786" s="8">
        <v>48</v>
      </c>
      <c r="M786" s="31" t="s">
        <v>231</v>
      </c>
      <c r="N786" s="8" t="s">
        <v>171</v>
      </c>
      <c r="O786" s="33" t="s">
        <v>99</v>
      </c>
      <c r="P786" s="33" t="s">
        <v>99</v>
      </c>
      <c r="Q786" s="22">
        <v>0.57999999999999996</v>
      </c>
      <c r="R786" s="22" t="s">
        <v>103</v>
      </c>
      <c r="S786" s="12">
        <v>20.2</v>
      </c>
      <c r="T786" s="79">
        <f t="shared" si="238"/>
        <v>3.20474616E-2</v>
      </c>
      <c r="U786" s="8">
        <v>12</v>
      </c>
      <c r="V786" s="8">
        <v>70</v>
      </c>
      <c r="W786" s="10">
        <f t="shared" si="239"/>
        <v>1.2217304763960306</v>
      </c>
      <c r="X786" s="8">
        <v>6</v>
      </c>
      <c r="Y786" s="8">
        <v>22</v>
      </c>
      <c r="Z786" s="10">
        <f t="shared" si="240"/>
        <v>0.38397243543875248</v>
      </c>
      <c r="AA786" s="10">
        <f t="shared" si="241"/>
        <v>13.523951009926371</v>
      </c>
      <c r="AB786" s="10">
        <f t="shared" si="242"/>
        <v>153.03190456446103</v>
      </c>
      <c r="AC786" s="10">
        <f t="shared" si="230"/>
        <v>19.128988070557629</v>
      </c>
      <c r="AD786" s="10">
        <f t="shared" si="235"/>
        <v>76.515952282230515</v>
      </c>
      <c r="AE786" s="65"/>
      <c r="AF786" s="10">
        <f t="shared" si="236"/>
        <v>195.30633929733443</v>
      </c>
      <c r="AG786" s="8">
        <f t="shared" si="231"/>
        <v>38.084736162980214</v>
      </c>
      <c r="AH786" s="10">
        <f t="shared" si="232"/>
        <v>97.653169648667216</v>
      </c>
      <c r="AI786" s="63"/>
      <c r="AJ786" s="10">
        <f t="shared" si="237"/>
        <v>182.79599999999996</v>
      </c>
      <c r="AK786" s="8"/>
      <c r="AL786" s="8">
        <f t="shared" si="233"/>
        <v>91.397999999999982</v>
      </c>
    </row>
    <row r="787" spans="1:38">
      <c r="A787" s="18">
        <v>41459</v>
      </c>
      <c r="B787" s="19" t="s">
        <v>34</v>
      </c>
      <c r="C787" s="12">
        <v>150.19999999999999</v>
      </c>
      <c r="D787" s="9" t="s">
        <v>80</v>
      </c>
      <c r="E787" s="8">
        <v>8.4116599999999995</v>
      </c>
      <c r="F787" s="8">
        <v>83.312479999999994</v>
      </c>
      <c r="G787" s="22">
        <v>150</v>
      </c>
      <c r="H787" s="8">
        <v>13</v>
      </c>
      <c r="I787" s="10">
        <f t="shared" si="244"/>
        <v>7.6489254580385788</v>
      </c>
      <c r="J787" s="10">
        <f t="shared" si="243"/>
        <v>0.13349893348238856</v>
      </c>
      <c r="K787" s="10">
        <f t="shared" si="234"/>
        <v>21.188530377780278</v>
      </c>
      <c r="L787" s="8">
        <v>65</v>
      </c>
      <c r="M787" s="8" t="s">
        <v>36</v>
      </c>
      <c r="N787" s="8" t="s">
        <v>46</v>
      </c>
      <c r="O787" s="10" t="s">
        <v>37</v>
      </c>
      <c r="P787" s="10" t="s">
        <v>38</v>
      </c>
      <c r="Q787" s="11">
        <v>0.48</v>
      </c>
      <c r="R787" s="8" t="s">
        <v>60</v>
      </c>
      <c r="S787" s="29">
        <v>16</v>
      </c>
      <c r="T787" s="79">
        <f t="shared" si="238"/>
        <v>2.0106240000000001E-2</v>
      </c>
      <c r="U787" s="8">
        <v>7</v>
      </c>
      <c r="V787" s="8">
        <v>50</v>
      </c>
      <c r="W787" s="10">
        <f t="shared" si="239"/>
        <v>0.87266462599716477</v>
      </c>
      <c r="X787" s="8">
        <v>5</v>
      </c>
      <c r="Y787" s="8">
        <v>38</v>
      </c>
      <c r="Z787" s="10">
        <f t="shared" si="240"/>
        <v>0.66322511575784526</v>
      </c>
      <c r="AA787" s="10">
        <f t="shared" si="241"/>
        <v>8.440618478461138</v>
      </c>
      <c r="AB787" s="10">
        <f t="shared" si="242"/>
        <v>53.059831427200827</v>
      </c>
      <c r="AC787" s="10">
        <f t="shared" si="230"/>
        <v>6.6324789284001033</v>
      </c>
      <c r="AD787" s="10">
        <f t="shared" si="235"/>
        <v>26.529915713600413</v>
      </c>
      <c r="AE787" s="65"/>
      <c r="AF787" s="10">
        <f t="shared" si="236"/>
        <v>90.840511037972547</v>
      </c>
      <c r="AG787" s="8">
        <f t="shared" si="231"/>
        <v>17.713899652404649</v>
      </c>
      <c r="AH787" s="10">
        <f t="shared" si="232"/>
        <v>45.420255518986274</v>
      </c>
      <c r="AI787" s="63"/>
      <c r="AJ787" s="10">
        <f t="shared" si="237"/>
        <v>99.48899999999999</v>
      </c>
      <c r="AK787" s="8"/>
      <c r="AL787" s="8">
        <f t="shared" si="233"/>
        <v>49.744499999999995</v>
      </c>
    </row>
    <row r="788" spans="1:38">
      <c r="A788" s="18">
        <v>41459</v>
      </c>
      <c r="B788" s="19" t="s">
        <v>34</v>
      </c>
      <c r="C788" s="12">
        <v>150.19999999999999</v>
      </c>
      <c r="D788" s="9" t="s">
        <v>80</v>
      </c>
      <c r="E788" s="8">
        <v>8.4116599999999995</v>
      </c>
      <c r="F788" s="8">
        <v>83.312479999999994</v>
      </c>
      <c r="G788" s="22">
        <v>150</v>
      </c>
      <c r="H788" s="8">
        <v>13</v>
      </c>
      <c r="I788" s="10">
        <f t="shared" si="244"/>
        <v>7.6489254580385788</v>
      </c>
      <c r="J788" s="10">
        <f t="shared" si="243"/>
        <v>0.13349893348238856</v>
      </c>
      <c r="K788" s="10">
        <f t="shared" si="234"/>
        <v>21.188530377780278</v>
      </c>
      <c r="L788" s="8">
        <v>42</v>
      </c>
      <c r="M788" s="8" t="s">
        <v>36</v>
      </c>
      <c r="N788" s="8" t="s">
        <v>46</v>
      </c>
      <c r="O788" s="10" t="s">
        <v>37</v>
      </c>
      <c r="P788" s="10" t="s">
        <v>38</v>
      </c>
      <c r="Q788" s="11">
        <v>0.48</v>
      </c>
      <c r="R788" s="8" t="s">
        <v>60</v>
      </c>
      <c r="S788" s="29">
        <v>18</v>
      </c>
      <c r="T788" s="79">
        <f t="shared" si="238"/>
        <v>2.5446960000000001E-2</v>
      </c>
      <c r="U788" s="8">
        <v>9</v>
      </c>
      <c r="V788" s="8">
        <v>55</v>
      </c>
      <c r="W788" s="10">
        <f t="shared" si="239"/>
        <v>0.95993108859688125</v>
      </c>
      <c r="X788" s="8">
        <v>5</v>
      </c>
      <c r="Y788" s="8">
        <v>15</v>
      </c>
      <c r="Z788" s="10">
        <f t="shared" si="240"/>
        <v>0.26179938779914941</v>
      </c>
      <c r="AA788" s="10">
        <f t="shared" si="241"/>
        <v>8.6664636241135291</v>
      </c>
      <c r="AB788" s="10">
        <f t="shared" si="242"/>
        <v>67.875368022563293</v>
      </c>
      <c r="AC788" s="10">
        <f t="shared" si="230"/>
        <v>8.4844210028204117</v>
      </c>
      <c r="AD788" s="10">
        <f t="shared" si="235"/>
        <v>33.937684011281647</v>
      </c>
      <c r="AE788" s="65"/>
      <c r="AF788" s="10">
        <f t="shared" si="236"/>
        <v>121.6038897369755</v>
      </c>
      <c r="AG788" s="8">
        <f t="shared" si="231"/>
        <v>23.712758498710222</v>
      </c>
      <c r="AH788" s="10">
        <f t="shared" si="232"/>
        <v>60.801944868487752</v>
      </c>
      <c r="AI788" s="63"/>
      <c r="AJ788" s="10">
        <f t="shared" si="237"/>
        <v>135.90299999999996</v>
      </c>
      <c r="AK788" s="8"/>
      <c r="AL788" s="8">
        <f t="shared" si="233"/>
        <v>67.951499999999982</v>
      </c>
    </row>
    <row r="789" spans="1:38">
      <c r="A789" s="18">
        <v>41459</v>
      </c>
      <c r="B789" s="19" t="s">
        <v>34</v>
      </c>
      <c r="C789" s="12">
        <v>150.19999999999999</v>
      </c>
      <c r="D789" s="9" t="s">
        <v>80</v>
      </c>
      <c r="E789" s="8">
        <v>8.4116599999999995</v>
      </c>
      <c r="F789" s="8">
        <v>83.312479999999994</v>
      </c>
      <c r="G789" s="22">
        <v>150</v>
      </c>
      <c r="H789" s="8">
        <v>13</v>
      </c>
      <c r="I789" s="10">
        <f t="shared" si="244"/>
        <v>7.6489254580385788</v>
      </c>
      <c r="J789" s="10">
        <f t="shared" si="243"/>
        <v>0.13349893348238856</v>
      </c>
      <c r="K789" s="10">
        <f t="shared" si="234"/>
        <v>21.188530377780278</v>
      </c>
      <c r="L789" s="8">
        <v>60</v>
      </c>
      <c r="M789" s="8" t="s">
        <v>36</v>
      </c>
      <c r="N789" s="8" t="s">
        <v>46</v>
      </c>
      <c r="O789" s="10" t="s">
        <v>37</v>
      </c>
      <c r="P789" s="10" t="s">
        <v>38</v>
      </c>
      <c r="Q789" s="11">
        <v>0.48</v>
      </c>
      <c r="R789" s="8" t="s">
        <v>60</v>
      </c>
      <c r="S789" s="29">
        <v>28</v>
      </c>
      <c r="T789" s="79">
        <f t="shared" si="238"/>
        <v>6.1575360000000003E-2</v>
      </c>
      <c r="U789" s="8">
        <v>9</v>
      </c>
      <c r="V789" s="8">
        <v>57</v>
      </c>
      <c r="W789" s="10">
        <f t="shared" si="239"/>
        <v>0.99483767363676789</v>
      </c>
      <c r="X789" s="8">
        <v>5</v>
      </c>
      <c r="Y789" s="8">
        <v>25</v>
      </c>
      <c r="Z789" s="10">
        <f t="shared" si="240"/>
        <v>0.43633231299858238</v>
      </c>
      <c r="AA789" s="10">
        <f t="shared" si="241"/>
        <v>9.6611264202123142</v>
      </c>
      <c r="AB789" s="10">
        <f t="shared" si="242"/>
        <v>172.50897014331855</v>
      </c>
      <c r="AC789" s="10">
        <f t="shared" si="230"/>
        <v>21.563621267914819</v>
      </c>
      <c r="AD789" s="10">
        <f t="shared" si="235"/>
        <v>86.254485071659275</v>
      </c>
      <c r="AE789" s="65"/>
      <c r="AF789" s="10">
        <f t="shared" si="236"/>
        <v>359.08332877700337</v>
      </c>
      <c r="AG789" s="8">
        <f t="shared" si="231"/>
        <v>70.021249111515658</v>
      </c>
      <c r="AH789" s="10">
        <f t="shared" si="232"/>
        <v>179.54166438850169</v>
      </c>
      <c r="AI789" s="63"/>
      <c r="AJ789" s="10">
        <f t="shared" si="237"/>
        <v>406.77299999999997</v>
      </c>
      <c r="AK789" s="8"/>
      <c r="AL789" s="8">
        <f t="shared" si="233"/>
        <v>203.38649999999998</v>
      </c>
    </row>
    <row r="790" spans="1:38">
      <c r="A790" s="18">
        <v>41459</v>
      </c>
      <c r="B790" s="19" t="s">
        <v>34</v>
      </c>
      <c r="C790" s="12">
        <v>150.19999999999999</v>
      </c>
      <c r="D790" s="9" t="s">
        <v>80</v>
      </c>
      <c r="E790" s="8">
        <v>8.4116599999999995</v>
      </c>
      <c r="F790" s="8">
        <v>83.312479999999994</v>
      </c>
      <c r="G790" s="22">
        <v>150</v>
      </c>
      <c r="H790" s="8">
        <v>13</v>
      </c>
      <c r="I790" s="10">
        <f t="shared" si="244"/>
        <v>7.6489254580385788</v>
      </c>
      <c r="J790" s="10">
        <f t="shared" si="243"/>
        <v>0.13349893348238856</v>
      </c>
      <c r="K790" s="10">
        <f t="shared" si="234"/>
        <v>21.188530377780278</v>
      </c>
      <c r="L790" s="8">
        <v>63</v>
      </c>
      <c r="M790" s="8" t="s">
        <v>36</v>
      </c>
      <c r="N790" s="8" t="s">
        <v>46</v>
      </c>
      <c r="O790" s="10" t="s">
        <v>37</v>
      </c>
      <c r="P790" s="10" t="s">
        <v>38</v>
      </c>
      <c r="Q790" s="11">
        <v>0.48</v>
      </c>
      <c r="R790" s="8" t="s">
        <v>60</v>
      </c>
      <c r="S790" s="29">
        <v>16</v>
      </c>
      <c r="T790" s="79">
        <f t="shared" si="238"/>
        <v>2.0106240000000001E-2</v>
      </c>
      <c r="U790" s="8">
        <v>9</v>
      </c>
      <c r="V790" s="8">
        <v>58</v>
      </c>
      <c r="W790" s="10">
        <f t="shared" si="239"/>
        <v>1.0122909661567112</v>
      </c>
      <c r="X790" s="8">
        <v>5</v>
      </c>
      <c r="Y790" s="8">
        <v>20</v>
      </c>
      <c r="Z790" s="10">
        <f t="shared" si="240"/>
        <v>0.3490658503988659</v>
      </c>
      <c r="AA790" s="10">
        <f t="shared" si="241"/>
        <v>9.342533582036177</v>
      </c>
      <c r="AB790" s="10">
        <f t="shared" si="242"/>
        <v>58.372842135297681</v>
      </c>
      <c r="AC790" s="10">
        <f t="shared" si="230"/>
        <v>7.2966052669122101</v>
      </c>
      <c r="AD790" s="10">
        <f t="shared" si="235"/>
        <v>29.18642106764884</v>
      </c>
      <c r="AE790" s="65"/>
      <c r="AF790" s="10">
        <f t="shared" si="236"/>
        <v>90.840511037972547</v>
      </c>
      <c r="AG790" s="8">
        <f t="shared" si="231"/>
        <v>17.713899652404649</v>
      </c>
      <c r="AH790" s="10">
        <f t="shared" si="232"/>
        <v>45.420255518986274</v>
      </c>
      <c r="AI790" s="63"/>
      <c r="AJ790" s="10">
        <f t="shared" si="237"/>
        <v>99.48899999999999</v>
      </c>
      <c r="AK790" s="8"/>
      <c r="AL790" s="8">
        <f t="shared" si="233"/>
        <v>49.744499999999995</v>
      </c>
    </row>
    <row r="791" spans="1:38">
      <c r="A791" s="18">
        <v>41459</v>
      </c>
      <c r="B791" s="19" t="s">
        <v>34</v>
      </c>
      <c r="C791" s="12">
        <v>150.19999999999999</v>
      </c>
      <c r="D791" s="9" t="s">
        <v>80</v>
      </c>
      <c r="E791" s="8">
        <v>8.4116599999999995</v>
      </c>
      <c r="F791" s="8">
        <v>83.312479999999994</v>
      </c>
      <c r="G791" s="22">
        <v>150</v>
      </c>
      <c r="H791" s="8">
        <v>13</v>
      </c>
      <c r="I791" s="10">
        <f t="shared" si="244"/>
        <v>7.6489254580385788</v>
      </c>
      <c r="J791" s="10">
        <f t="shared" si="243"/>
        <v>0.13349893348238856</v>
      </c>
      <c r="K791" s="10">
        <f t="shared" si="234"/>
        <v>21.188530377780278</v>
      </c>
      <c r="L791" s="8">
        <v>30</v>
      </c>
      <c r="M791" s="31" t="s">
        <v>231</v>
      </c>
      <c r="N791" s="8" t="s">
        <v>171</v>
      </c>
      <c r="O791" s="33" t="s">
        <v>99</v>
      </c>
      <c r="P791" s="33" t="s">
        <v>99</v>
      </c>
      <c r="Q791" s="22">
        <v>0.57999999999999996</v>
      </c>
      <c r="R791" s="22" t="s">
        <v>103</v>
      </c>
      <c r="S791" s="12">
        <v>27.6</v>
      </c>
      <c r="T791" s="79">
        <f t="shared" si="238"/>
        <v>5.9828630400000013E-2</v>
      </c>
      <c r="U791" s="8">
        <v>9</v>
      </c>
      <c r="V791" s="8">
        <v>64</v>
      </c>
      <c r="W791" s="10">
        <f t="shared" si="239"/>
        <v>1.1170107212763709</v>
      </c>
      <c r="X791" s="8">
        <v>5</v>
      </c>
      <c r="Y791" s="8">
        <v>20</v>
      </c>
      <c r="Z791" s="10">
        <f t="shared" si="240"/>
        <v>0.3490658503988659</v>
      </c>
      <c r="AA791" s="10">
        <f t="shared" si="241"/>
        <v>9.7992471333208471</v>
      </c>
      <c r="AB791" s="10">
        <f t="shared" si="242"/>
        <v>203.28917687996505</v>
      </c>
      <c r="AC791" s="10">
        <f t="shared" si="230"/>
        <v>25.411147109995632</v>
      </c>
      <c r="AD791" s="10">
        <f t="shared" si="235"/>
        <v>101.64458843998253</v>
      </c>
      <c r="AE791" s="65"/>
      <c r="AF791" s="10">
        <f t="shared" si="236"/>
        <v>419.0164369410216</v>
      </c>
      <c r="AG791" s="8">
        <f t="shared" si="231"/>
        <v>81.708205203499219</v>
      </c>
      <c r="AH791" s="10">
        <f t="shared" si="232"/>
        <v>209.5082184705108</v>
      </c>
      <c r="AI791" s="63"/>
      <c r="AJ791" s="10">
        <f t="shared" si="237"/>
        <v>393.09660000000008</v>
      </c>
      <c r="AK791" s="8"/>
      <c r="AL791" s="8">
        <f t="shared" si="233"/>
        <v>196.54830000000004</v>
      </c>
    </row>
    <row r="792" spans="1:38">
      <c r="A792" s="18">
        <v>41459</v>
      </c>
      <c r="B792" s="19" t="s">
        <v>34</v>
      </c>
      <c r="C792" s="12">
        <v>150.19999999999999</v>
      </c>
      <c r="D792" s="9" t="s">
        <v>80</v>
      </c>
      <c r="E792" s="8">
        <v>8.4116599999999995</v>
      </c>
      <c r="F792" s="8">
        <v>83.312479999999994</v>
      </c>
      <c r="G792" s="22">
        <v>150</v>
      </c>
      <c r="H792" s="8">
        <v>13</v>
      </c>
      <c r="I792" s="10">
        <f t="shared" si="244"/>
        <v>7.6489254580385788</v>
      </c>
      <c r="J792" s="10">
        <f t="shared" si="243"/>
        <v>0.13349893348238856</v>
      </c>
      <c r="K792" s="10">
        <f t="shared" si="234"/>
        <v>21.188530377780278</v>
      </c>
      <c r="L792" s="8">
        <v>61</v>
      </c>
      <c r="M792" s="31" t="s">
        <v>231</v>
      </c>
      <c r="N792" s="8" t="s">
        <v>171</v>
      </c>
      <c r="O792" s="33" t="s">
        <v>99</v>
      </c>
      <c r="P792" s="33" t="s">
        <v>99</v>
      </c>
      <c r="Q792" s="22">
        <v>0.57999999999999996</v>
      </c>
      <c r="R792" s="22" t="s">
        <v>103</v>
      </c>
      <c r="S792" s="29">
        <v>28</v>
      </c>
      <c r="T792" s="79">
        <f t="shared" si="238"/>
        <v>6.1575360000000003E-2</v>
      </c>
      <c r="U792" s="8">
        <v>15</v>
      </c>
      <c r="V792" s="8">
        <v>70</v>
      </c>
      <c r="W792" s="10">
        <f t="shared" si="239"/>
        <v>1.2217304763960306</v>
      </c>
      <c r="X792" s="8">
        <v>5</v>
      </c>
      <c r="Y792" s="8">
        <v>10</v>
      </c>
      <c r="Z792" s="10">
        <f t="shared" si="240"/>
        <v>0.17453292519943295</v>
      </c>
      <c r="AA792" s="10">
        <f t="shared" si="241"/>
        <v>14.963630200123276</v>
      </c>
      <c r="AB792" s="10">
        <f t="shared" si="242"/>
        <v>310.93949075284894</v>
      </c>
      <c r="AC792" s="10">
        <f t="shared" si="230"/>
        <v>38.867436344106117</v>
      </c>
      <c r="AD792" s="10">
        <f t="shared" si="235"/>
        <v>155.46974537642447</v>
      </c>
      <c r="AE792" s="65"/>
      <c r="AF792" s="10">
        <f t="shared" si="236"/>
        <v>433.89235560554573</v>
      </c>
      <c r="AG792" s="8">
        <f t="shared" si="231"/>
        <v>84.609009343081425</v>
      </c>
      <c r="AH792" s="10">
        <f t="shared" si="232"/>
        <v>216.94617780277287</v>
      </c>
      <c r="AI792" s="63"/>
      <c r="AJ792" s="10">
        <f t="shared" si="237"/>
        <v>406.77299999999997</v>
      </c>
      <c r="AK792" s="8"/>
      <c r="AL792" s="8">
        <f t="shared" si="233"/>
        <v>203.38649999999998</v>
      </c>
    </row>
    <row r="793" spans="1:38">
      <c r="A793" s="18">
        <v>41459</v>
      </c>
      <c r="B793" s="19" t="s">
        <v>34</v>
      </c>
      <c r="C793" s="12">
        <v>150.19999999999999</v>
      </c>
      <c r="D793" s="9" t="s">
        <v>80</v>
      </c>
      <c r="E793" s="8">
        <v>8.4116599999999995</v>
      </c>
      <c r="F793" s="8">
        <v>83.312479999999994</v>
      </c>
      <c r="G793" s="22">
        <v>150</v>
      </c>
      <c r="H793" s="8">
        <v>13</v>
      </c>
      <c r="I793" s="10">
        <f t="shared" si="244"/>
        <v>7.6489254580385788</v>
      </c>
      <c r="J793" s="10">
        <f t="shared" si="243"/>
        <v>0.13349893348238856</v>
      </c>
      <c r="K793" s="10">
        <f t="shared" si="234"/>
        <v>21.188530377780278</v>
      </c>
      <c r="L793" s="8">
        <v>28</v>
      </c>
      <c r="M793" s="31" t="s">
        <v>231</v>
      </c>
      <c r="N793" s="8" t="s">
        <v>171</v>
      </c>
      <c r="O793" s="33" t="s">
        <v>99</v>
      </c>
      <c r="P793" s="33" t="s">
        <v>99</v>
      </c>
      <c r="Q793" s="22">
        <v>0.57999999999999996</v>
      </c>
      <c r="R793" s="22" t="s">
        <v>103</v>
      </c>
      <c r="S793" s="12">
        <v>33.5</v>
      </c>
      <c r="T793" s="79">
        <f t="shared" si="238"/>
        <v>8.8141515000000004E-2</v>
      </c>
      <c r="U793" s="8">
        <v>11</v>
      </c>
      <c r="V793" s="8">
        <v>65</v>
      </c>
      <c r="W793" s="10">
        <f t="shared" si="239"/>
        <v>1.1344640137963142</v>
      </c>
      <c r="X793" s="8">
        <v>5</v>
      </c>
      <c r="Y793" s="8">
        <v>9</v>
      </c>
      <c r="Z793" s="10">
        <f t="shared" si="240"/>
        <v>0.15707963267948966</v>
      </c>
      <c r="AA793" s="10">
        <f t="shared" si="241"/>
        <v>10.751557982604304</v>
      </c>
      <c r="AB793" s="10">
        <f t="shared" si="242"/>
        <v>319.26505800713471</v>
      </c>
      <c r="AC793" s="10">
        <f t="shared" si="230"/>
        <v>39.908132250891839</v>
      </c>
      <c r="AD793" s="10">
        <f t="shared" si="235"/>
        <v>159.63252900356736</v>
      </c>
      <c r="AE793" s="65"/>
      <c r="AF793" s="10">
        <f t="shared" si="236"/>
        <v>668.40225350364778</v>
      </c>
      <c r="AG793" s="8">
        <f t="shared" si="231"/>
        <v>130.33843943321133</v>
      </c>
      <c r="AH793" s="10">
        <f t="shared" si="232"/>
        <v>334.20112675182389</v>
      </c>
      <c r="AI793" s="63"/>
      <c r="AJ793" s="10">
        <f t="shared" si="237"/>
        <v>618.8365</v>
      </c>
      <c r="AK793" s="8"/>
      <c r="AL793" s="8">
        <f t="shared" si="233"/>
        <v>309.41825</v>
      </c>
    </row>
    <row r="794" spans="1:38">
      <c r="A794" s="18">
        <v>41459</v>
      </c>
      <c r="B794" s="19" t="s">
        <v>34</v>
      </c>
      <c r="C794" s="12">
        <v>150.19999999999999</v>
      </c>
      <c r="D794" s="9" t="s">
        <v>80</v>
      </c>
      <c r="E794" s="8">
        <v>8.4116599999999995</v>
      </c>
      <c r="F794" s="8">
        <v>83.312479999999994</v>
      </c>
      <c r="G794" s="22">
        <v>150</v>
      </c>
      <c r="H794" s="8">
        <v>13</v>
      </c>
      <c r="I794" s="10">
        <f t="shared" si="244"/>
        <v>7.6489254580385788</v>
      </c>
      <c r="J794" s="10">
        <f t="shared" si="243"/>
        <v>0.13349893348238856</v>
      </c>
      <c r="K794" s="10">
        <f t="shared" si="234"/>
        <v>21.188530377780278</v>
      </c>
      <c r="L794" s="8">
        <v>29</v>
      </c>
      <c r="M794" s="31" t="s">
        <v>231</v>
      </c>
      <c r="N794" s="8" t="s">
        <v>171</v>
      </c>
      <c r="O794" s="33" t="s">
        <v>99</v>
      </c>
      <c r="P794" s="33" t="s">
        <v>99</v>
      </c>
      <c r="Q794" s="22">
        <v>0.57999999999999996</v>
      </c>
      <c r="R794" s="22" t="s">
        <v>103</v>
      </c>
      <c r="S794" s="12">
        <v>33.5</v>
      </c>
      <c r="T794" s="79">
        <f t="shared" si="238"/>
        <v>8.8141515000000004E-2</v>
      </c>
      <c r="U794" s="8">
        <v>9</v>
      </c>
      <c r="V794" s="8">
        <v>64</v>
      </c>
      <c r="W794" s="10">
        <f t="shared" si="239"/>
        <v>1.1170107212763709</v>
      </c>
      <c r="X794" s="8">
        <v>5</v>
      </c>
      <c r="Y794" s="8">
        <v>9</v>
      </c>
      <c r="Z794" s="10">
        <f t="shared" si="240"/>
        <v>0.15707963267948966</v>
      </c>
      <c r="AA794" s="10">
        <f t="shared" si="241"/>
        <v>8.8713187418936581</v>
      </c>
      <c r="AB794" s="10">
        <f t="shared" si="242"/>
        <v>266.48769778448292</v>
      </c>
      <c r="AC794" s="10">
        <f t="shared" si="230"/>
        <v>33.310962223060365</v>
      </c>
      <c r="AD794" s="10">
        <f t="shared" si="235"/>
        <v>133.24384889224146</v>
      </c>
      <c r="AE794" s="65"/>
      <c r="AF794" s="10">
        <f t="shared" si="236"/>
        <v>668.40225350364778</v>
      </c>
      <c r="AG794" s="8">
        <f t="shared" si="231"/>
        <v>130.33843943321133</v>
      </c>
      <c r="AH794" s="10">
        <f t="shared" si="232"/>
        <v>334.20112675182389</v>
      </c>
      <c r="AI794" s="63"/>
      <c r="AJ794" s="10">
        <f t="shared" si="237"/>
        <v>618.8365</v>
      </c>
      <c r="AK794" s="8"/>
      <c r="AL794" s="8">
        <f t="shared" si="233"/>
        <v>309.41825</v>
      </c>
    </row>
    <row r="795" spans="1:38">
      <c r="A795" s="18">
        <v>41459</v>
      </c>
      <c r="B795" s="19" t="s">
        <v>34</v>
      </c>
      <c r="C795" s="12">
        <v>150.19999999999999</v>
      </c>
      <c r="D795" s="9" t="s">
        <v>80</v>
      </c>
      <c r="E795" s="8">
        <v>8.4116599999999995</v>
      </c>
      <c r="F795" s="8">
        <v>83.312479999999994</v>
      </c>
      <c r="G795" s="22">
        <v>150</v>
      </c>
      <c r="H795" s="8">
        <v>13</v>
      </c>
      <c r="I795" s="10">
        <f t="shared" si="244"/>
        <v>7.6489254580385788</v>
      </c>
      <c r="J795" s="10">
        <f t="shared" si="243"/>
        <v>0.13349893348238856</v>
      </c>
      <c r="K795" s="10">
        <f t="shared" si="234"/>
        <v>21.188530377780278</v>
      </c>
      <c r="L795" s="8">
        <v>44</v>
      </c>
      <c r="M795" s="8" t="s">
        <v>36</v>
      </c>
      <c r="N795" s="8" t="s">
        <v>46</v>
      </c>
      <c r="O795" s="10" t="s">
        <v>37</v>
      </c>
      <c r="P795" s="10" t="s">
        <v>38</v>
      </c>
      <c r="Q795" s="11">
        <v>0.48</v>
      </c>
      <c r="R795" s="8" t="s">
        <v>60</v>
      </c>
      <c r="S795" s="12">
        <v>17.399999999999999</v>
      </c>
      <c r="T795" s="79">
        <f t="shared" si="238"/>
        <v>2.3778770399999996E-2</v>
      </c>
      <c r="U795" s="8">
        <v>6</v>
      </c>
      <c r="V795" s="8">
        <v>54</v>
      </c>
      <c r="W795" s="10">
        <f t="shared" si="239"/>
        <v>0.94247779607693793</v>
      </c>
      <c r="X795" s="8">
        <v>5</v>
      </c>
      <c r="Y795" s="8">
        <v>32</v>
      </c>
      <c r="Z795" s="10">
        <f t="shared" si="240"/>
        <v>0.55850536063818546</v>
      </c>
      <c r="AA795" s="10">
        <f t="shared" si="241"/>
        <v>7.503698287415709</v>
      </c>
      <c r="AB795" s="10">
        <f t="shared" si="242"/>
        <v>55.618582057110309</v>
      </c>
      <c r="AC795" s="10">
        <f t="shared" si="230"/>
        <v>6.9523227571387887</v>
      </c>
      <c r="AD795" s="10">
        <f t="shared" si="235"/>
        <v>27.809291028555155</v>
      </c>
      <c r="AE795" s="65"/>
      <c r="AF795" s="10">
        <f t="shared" si="236"/>
        <v>111.8223435923906</v>
      </c>
      <c r="AG795" s="8">
        <f t="shared" si="231"/>
        <v>21.805357000516167</v>
      </c>
      <c r="AH795" s="10">
        <f t="shared" si="232"/>
        <v>55.911171796195298</v>
      </c>
      <c r="AI795" s="63"/>
      <c r="AJ795" s="10">
        <f t="shared" si="237"/>
        <v>124.35719999999996</v>
      </c>
      <c r="AK795" s="8"/>
      <c r="AL795" s="8">
        <f t="shared" si="233"/>
        <v>62.178599999999982</v>
      </c>
    </row>
    <row r="796" spans="1:38">
      <c r="A796" s="18">
        <v>41459</v>
      </c>
      <c r="B796" s="19" t="s">
        <v>34</v>
      </c>
      <c r="C796" s="12">
        <v>150.19999999999999</v>
      </c>
      <c r="D796" s="9" t="s">
        <v>80</v>
      </c>
      <c r="E796" s="8">
        <v>8.4116599999999995</v>
      </c>
      <c r="F796" s="8">
        <v>83.312479999999994</v>
      </c>
      <c r="G796" s="22">
        <v>150</v>
      </c>
      <c r="H796" s="8">
        <v>13</v>
      </c>
      <c r="I796" s="10">
        <f t="shared" si="244"/>
        <v>7.6489254580385788</v>
      </c>
      <c r="J796" s="10">
        <f t="shared" si="243"/>
        <v>0.13349893348238856</v>
      </c>
      <c r="K796" s="10">
        <f t="shared" si="234"/>
        <v>21.188530377780278</v>
      </c>
      <c r="L796" s="8">
        <v>62</v>
      </c>
      <c r="M796" s="31" t="s">
        <v>231</v>
      </c>
      <c r="N796" s="8" t="s">
        <v>171</v>
      </c>
      <c r="O796" s="33" t="s">
        <v>99</v>
      </c>
      <c r="P796" s="33" t="s">
        <v>99</v>
      </c>
      <c r="Q796" s="22">
        <v>0.57999999999999996</v>
      </c>
      <c r="R796" s="22" t="s">
        <v>103</v>
      </c>
      <c r="S796" s="29">
        <v>21</v>
      </c>
      <c r="T796" s="79">
        <f t="shared" si="238"/>
        <v>3.4636140000000003E-2</v>
      </c>
      <c r="U796" s="8">
        <v>11</v>
      </c>
      <c r="V796" s="8">
        <v>72</v>
      </c>
      <c r="W796" s="10">
        <f t="shared" si="239"/>
        <v>1.2566370614359172</v>
      </c>
      <c r="X796" s="8">
        <v>5</v>
      </c>
      <c r="Y796" s="8">
        <v>27</v>
      </c>
      <c r="Z796" s="10">
        <f t="shared" si="240"/>
        <v>0.47123889803846897</v>
      </c>
      <c r="AA796" s="10">
        <f t="shared" si="241"/>
        <v>12.731574177944422</v>
      </c>
      <c r="AB796" s="10">
        <f t="shared" si="242"/>
        <v>155.54121523110211</v>
      </c>
      <c r="AC796" s="10">
        <f t="shared" si="230"/>
        <v>19.442651903887764</v>
      </c>
      <c r="AD796" s="10">
        <f t="shared" si="235"/>
        <v>77.770607615551057</v>
      </c>
      <c r="AE796" s="65"/>
      <c r="AF796" s="10">
        <f t="shared" si="236"/>
        <v>214.89541765973161</v>
      </c>
      <c r="AG796" s="8">
        <f t="shared" si="231"/>
        <v>41.904606443647666</v>
      </c>
      <c r="AH796" s="10">
        <f t="shared" si="232"/>
        <v>107.4477088298658</v>
      </c>
      <c r="AI796" s="63"/>
      <c r="AJ796" s="10">
        <f t="shared" si="237"/>
        <v>201.62399999999997</v>
      </c>
      <c r="AK796" s="8"/>
      <c r="AL796" s="8">
        <f t="shared" si="233"/>
        <v>100.81199999999998</v>
      </c>
    </row>
    <row r="797" spans="1:38">
      <c r="A797" s="18">
        <v>41459</v>
      </c>
      <c r="B797" s="19" t="s">
        <v>34</v>
      </c>
      <c r="C797" s="12">
        <v>150.19999999999999</v>
      </c>
      <c r="D797" s="9" t="s">
        <v>80</v>
      </c>
      <c r="E797" s="8">
        <v>8.4116599999999995</v>
      </c>
      <c r="F797" s="8">
        <v>83.312479999999994</v>
      </c>
      <c r="G797" s="22">
        <v>150</v>
      </c>
      <c r="H797" s="8">
        <v>13</v>
      </c>
      <c r="I797" s="10">
        <f t="shared" si="244"/>
        <v>7.6489254580385788</v>
      </c>
      <c r="J797" s="10">
        <f t="shared" si="243"/>
        <v>0.13349893348238856</v>
      </c>
      <c r="K797" s="10">
        <f t="shared" si="234"/>
        <v>21.188530377780278</v>
      </c>
      <c r="L797" s="8">
        <v>38</v>
      </c>
      <c r="M797" s="31" t="s">
        <v>231</v>
      </c>
      <c r="N797" s="8" t="s">
        <v>171</v>
      </c>
      <c r="O797" s="33" t="s">
        <v>99</v>
      </c>
      <c r="P797" s="33" t="s">
        <v>99</v>
      </c>
      <c r="Q797" s="22">
        <v>0.57999999999999996</v>
      </c>
      <c r="R797" s="22" t="s">
        <v>103</v>
      </c>
      <c r="S797" s="12">
        <v>15.5</v>
      </c>
      <c r="T797" s="79">
        <f t="shared" si="238"/>
        <v>1.8869235000000002E-2</v>
      </c>
      <c r="U797" s="8">
        <v>15</v>
      </c>
      <c r="V797" s="8">
        <v>54</v>
      </c>
      <c r="W797" s="10">
        <f t="shared" si="239"/>
        <v>0.94247779607693793</v>
      </c>
      <c r="X797" s="8">
        <v>6</v>
      </c>
      <c r="Y797" s="8">
        <v>12</v>
      </c>
      <c r="Z797" s="10">
        <f t="shared" si="240"/>
        <v>0.20943951023931956</v>
      </c>
      <c r="AA797" s="10">
        <f t="shared" si="241"/>
        <v>13.382725060530769</v>
      </c>
      <c r="AB797" s="10">
        <f t="shared" si="242"/>
        <v>92.099974547155384</v>
      </c>
      <c r="AC797" s="10">
        <f t="shared" si="230"/>
        <v>11.512496818394423</v>
      </c>
      <c r="AD797" s="10">
        <f t="shared" si="235"/>
        <v>46.049987273577692</v>
      </c>
      <c r="AE797" s="65"/>
      <c r="AF797" s="10">
        <f t="shared" si="236"/>
        <v>101.45246329125975</v>
      </c>
      <c r="AG797" s="8">
        <f t="shared" si="231"/>
        <v>19.783230341795651</v>
      </c>
      <c r="AH797" s="10">
        <f t="shared" si="232"/>
        <v>50.726231645629873</v>
      </c>
      <c r="AI797" s="63"/>
      <c r="AJ797" s="10">
        <f t="shared" si="237"/>
        <v>91.31049999999999</v>
      </c>
      <c r="AK797" s="8"/>
      <c r="AL797" s="8">
        <f t="shared" si="233"/>
        <v>45.655249999999995</v>
      </c>
    </row>
    <row r="798" spans="1:38">
      <c r="A798" s="18">
        <v>41459</v>
      </c>
      <c r="B798" s="19" t="s">
        <v>34</v>
      </c>
      <c r="C798" s="12">
        <v>150.19999999999999</v>
      </c>
      <c r="D798" s="9" t="s">
        <v>80</v>
      </c>
      <c r="E798" s="8">
        <v>8.4116599999999995</v>
      </c>
      <c r="F798" s="8">
        <v>83.312479999999994</v>
      </c>
      <c r="G798" s="22">
        <v>150</v>
      </c>
      <c r="H798" s="8">
        <v>13</v>
      </c>
      <c r="I798" s="10">
        <f t="shared" si="244"/>
        <v>7.6489254580385788</v>
      </c>
      <c r="J798" s="10">
        <f t="shared" si="243"/>
        <v>0.13349893348238856</v>
      </c>
      <c r="K798" s="10">
        <f t="shared" si="234"/>
        <v>21.188530377780278</v>
      </c>
      <c r="L798" s="8">
        <v>45</v>
      </c>
      <c r="M798" s="8" t="s">
        <v>36</v>
      </c>
      <c r="N798" s="8" t="s">
        <v>46</v>
      </c>
      <c r="O798" s="10" t="s">
        <v>37</v>
      </c>
      <c r="P798" s="10" t="s">
        <v>38</v>
      </c>
      <c r="Q798" s="11">
        <v>0.48</v>
      </c>
      <c r="R798" s="8" t="s">
        <v>60</v>
      </c>
      <c r="S798" s="29">
        <v>18</v>
      </c>
      <c r="T798" s="79">
        <f t="shared" si="238"/>
        <v>2.5446960000000001E-2</v>
      </c>
      <c r="U798" s="8">
        <v>9</v>
      </c>
      <c r="V798" s="8">
        <v>43</v>
      </c>
      <c r="W798" s="10">
        <f t="shared" si="239"/>
        <v>0.75049157835756175</v>
      </c>
      <c r="X798" s="8">
        <v>5</v>
      </c>
      <c r="Y798" s="8">
        <v>21</v>
      </c>
      <c r="Z798" s="10">
        <f t="shared" si="240"/>
        <v>0.36651914291880922</v>
      </c>
      <c r="AA798" s="10">
        <f t="shared" si="241"/>
        <v>7.9298249882889875</v>
      </c>
      <c r="AB798" s="10">
        <f t="shared" si="242"/>
        <v>62.437942055843855</v>
      </c>
      <c r="AC798" s="10">
        <f t="shared" si="230"/>
        <v>7.8047427569804819</v>
      </c>
      <c r="AD798" s="10">
        <f t="shared" si="235"/>
        <v>31.218971027921928</v>
      </c>
      <c r="AE798" s="65"/>
      <c r="AF798" s="10">
        <f t="shared" si="236"/>
        <v>121.6038897369755</v>
      </c>
      <c r="AG798" s="8">
        <f t="shared" si="231"/>
        <v>23.712758498710222</v>
      </c>
      <c r="AH798" s="10">
        <f t="shared" si="232"/>
        <v>60.801944868487752</v>
      </c>
      <c r="AI798" s="63"/>
      <c r="AJ798" s="10">
        <f t="shared" si="237"/>
        <v>135.90299999999996</v>
      </c>
      <c r="AK798" s="8"/>
      <c r="AL798" s="8">
        <f t="shared" si="233"/>
        <v>67.951499999999982</v>
      </c>
    </row>
    <row r="799" spans="1:38">
      <c r="A799" s="18">
        <v>41459</v>
      </c>
      <c r="B799" s="19" t="s">
        <v>34</v>
      </c>
      <c r="C799" s="12">
        <v>150.19999999999999</v>
      </c>
      <c r="D799" s="9" t="s">
        <v>80</v>
      </c>
      <c r="E799" s="8">
        <v>8.4116599999999995</v>
      </c>
      <c r="F799" s="8">
        <v>83.312479999999994</v>
      </c>
      <c r="G799" s="22">
        <v>150</v>
      </c>
      <c r="H799" s="8">
        <v>13</v>
      </c>
      <c r="I799" s="10">
        <f t="shared" si="244"/>
        <v>7.6489254580385788</v>
      </c>
      <c r="J799" s="10">
        <f t="shared" si="243"/>
        <v>0.13349893348238856</v>
      </c>
      <c r="K799" s="10">
        <f t="shared" si="234"/>
        <v>21.188530377780278</v>
      </c>
      <c r="L799" s="8">
        <v>51</v>
      </c>
      <c r="M799" s="8" t="s">
        <v>36</v>
      </c>
      <c r="N799" s="8" t="s">
        <v>46</v>
      </c>
      <c r="O799" s="10" t="s">
        <v>37</v>
      </c>
      <c r="P799" s="10" t="s">
        <v>38</v>
      </c>
      <c r="Q799" s="11">
        <v>0.48</v>
      </c>
      <c r="R799" s="8" t="s">
        <v>60</v>
      </c>
      <c r="S799" s="29">
        <v>24</v>
      </c>
      <c r="T799" s="79">
        <f t="shared" si="238"/>
        <v>4.5239040000000001E-2</v>
      </c>
      <c r="U799" s="8">
        <v>9</v>
      </c>
      <c r="V799" s="8">
        <v>60</v>
      </c>
      <c r="W799" s="10">
        <f t="shared" si="239"/>
        <v>1.0471975511965976</v>
      </c>
      <c r="X799" s="8">
        <v>5</v>
      </c>
      <c r="Y799" s="8">
        <v>25</v>
      </c>
      <c r="Z799" s="10">
        <f t="shared" si="240"/>
        <v>0.43633231299858238</v>
      </c>
      <c r="AA799" s="10">
        <f t="shared" si="241"/>
        <v>9.9073199427634435</v>
      </c>
      <c r="AB799" s="10">
        <f t="shared" si="242"/>
        <v>132.19786327247081</v>
      </c>
      <c r="AC799" s="10">
        <f t="shared" si="230"/>
        <v>16.524732909058852</v>
      </c>
      <c r="AD799" s="10">
        <f t="shared" si="235"/>
        <v>66.098931636235406</v>
      </c>
      <c r="AE799" s="65"/>
      <c r="AF799" s="10">
        <f t="shared" si="236"/>
        <v>246.7355287111798</v>
      </c>
      <c r="AG799" s="8">
        <f t="shared" si="231"/>
        <v>48.11342809868006</v>
      </c>
      <c r="AH799" s="10">
        <f t="shared" si="232"/>
        <v>123.3677643555899</v>
      </c>
      <c r="AI799" s="63"/>
      <c r="AJ799" s="10">
        <f t="shared" si="237"/>
        <v>280.66499999999996</v>
      </c>
      <c r="AK799" s="8"/>
      <c r="AL799" s="8">
        <f t="shared" si="233"/>
        <v>140.33249999999998</v>
      </c>
    </row>
    <row r="800" spans="1:38">
      <c r="A800" s="18">
        <v>41459</v>
      </c>
      <c r="B800" s="19" t="s">
        <v>34</v>
      </c>
      <c r="C800" s="12">
        <v>150.19999999999999</v>
      </c>
      <c r="D800" s="9" t="s">
        <v>80</v>
      </c>
      <c r="E800" s="8">
        <v>8.4116599999999995</v>
      </c>
      <c r="F800" s="8">
        <v>83.312479999999994</v>
      </c>
      <c r="G800" s="22">
        <v>150</v>
      </c>
      <c r="H800" s="8">
        <v>13</v>
      </c>
      <c r="I800" s="10">
        <f t="shared" si="244"/>
        <v>7.6489254580385788</v>
      </c>
      <c r="J800" s="10">
        <f t="shared" si="243"/>
        <v>0.13349893348238856</v>
      </c>
      <c r="K800" s="10">
        <f t="shared" si="234"/>
        <v>21.188530377780278</v>
      </c>
      <c r="L800" s="8">
        <v>27</v>
      </c>
      <c r="M800" s="8" t="s">
        <v>36</v>
      </c>
      <c r="N800" s="8" t="s">
        <v>46</v>
      </c>
      <c r="O800" s="10" t="s">
        <v>37</v>
      </c>
      <c r="P800" s="10" t="s">
        <v>38</v>
      </c>
      <c r="Q800" s="11">
        <v>0.48</v>
      </c>
      <c r="R800" s="8" t="s">
        <v>60</v>
      </c>
      <c r="S800" s="12">
        <v>16.2</v>
      </c>
      <c r="T800" s="79">
        <f t="shared" si="238"/>
        <v>2.0612037600000001E-2</v>
      </c>
      <c r="U800" s="8">
        <v>9</v>
      </c>
      <c r="V800" s="8">
        <v>50</v>
      </c>
      <c r="W800" s="10">
        <f t="shared" si="239"/>
        <v>0.87266462599716477</v>
      </c>
      <c r="X800" s="8">
        <v>5</v>
      </c>
      <c r="Y800" s="8">
        <v>28</v>
      </c>
      <c r="Z800" s="10">
        <f t="shared" si="240"/>
        <v>0.48869219055841229</v>
      </c>
      <c r="AA800" s="10">
        <f t="shared" si="241"/>
        <v>9.2417578020002562</v>
      </c>
      <c r="AB800" s="10">
        <f t="shared" si="242"/>
        <v>59.146087246621533</v>
      </c>
      <c r="AC800" s="10">
        <f t="shared" si="230"/>
        <v>7.3932609058276917</v>
      </c>
      <c r="AD800" s="10">
        <f t="shared" si="235"/>
        <v>29.573043623310767</v>
      </c>
      <c r="AE800" s="65"/>
      <c r="AF800" s="10">
        <f t="shared" si="236"/>
        <v>93.682062626762232</v>
      </c>
      <c r="AG800" s="8">
        <f t="shared" si="231"/>
        <v>18.268002212218637</v>
      </c>
      <c r="AH800" s="10">
        <f t="shared" si="232"/>
        <v>46.841031313381116</v>
      </c>
      <c r="AI800" s="63"/>
      <c r="AJ800" s="10">
        <f t="shared" si="237"/>
        <v>102.864</v>
      </c>
      <c r="AK800" s="8"/>
      <c r="AL800" s="8">
        <f t="shared" si="233"/>
        <v>51.432000000000002</v>
      </c>
    </row>
    <row r="801" spans="1:38">
      <c r="A801" s="18">
        <v>41459</v>
      </c>
      <c r="B801" s="19" t="s">
        <v>34</v>
      </c>
      <c r="C801" s="12">
        <v>150.19999999999999</v>
      </c>
      <c r="D801" s="9" t="s">
        <v>80</v>
      </c>
      <c r="E801" s="8">
        <v>8.4116599999999995</v>
      </c>
      <c r="F801" s="8">
        <v>83.312479999999994</v>
      </c>
      <c r="G801" s="22">
        <v>150</v>
      </c>
      <c r="H801" s="8">
        <v>13</v>
      </c>
      <c r="I801" s="10">
        <f t="shared" si="244"/>
        <v>7.6489254580385788</v>
      </c>
      <c r="J801" s="10">
        <f t="shared" si="243"/>
        <v>0.13349893348238856</v>
      </c>
      <c r="K801" s="10">
        <f t="shared" si="234"/>
        <v>21.188530377780278</v>
      </c>
      <c r="L801" s="8">
        <v>52</v>
      </c>
      <c r="M801" s="8" t="s">
        <v>42</v>
      </c>
      <c r="N801" s="8" t="s">
        <v>51</v>
      </c>
      <c r="O801" s="58" t="s">
        <v>52</v>
      </c>
      <c r="P801" s="10" t="s">
        <v>53</v>
      </c>
      <c r="Q801" s="8">
        <v>0.73</v>
      </c>
      <c r="R801" s="22" t="s">
        <v>190</v>
      </c>
      <c r="S801" s="12">
        <v>99.7</v>
      </c>
      <c r="T801" s="79">
        <f t="shared" si="238"/>
        <v>0.78069466860000003</v>
      </c>
      <c r="U801" s="8">
        <v>20</v>
      </c>
      <c r="V801" s="8">
        <v>81</v>
      </c>
      <c r="W801" s="10">
        <f t="shared" si="239"/>
        <v>1.4137166941154069</v>
      </c>
      <c r="X801" s="8">
        <v>9</v>
      </c>
      <c r="Y801" s="8">
        <v>10</v>
      </c>
      <c r="Z801" s="10">
        <f t="shared" si="240"/>
        <v>0.17453292519943295</v>
      </c>
      <c r="AA801" s="10">
        <f t="shared" si="241"/>
        <v>21.316600410905131</v>
      </c>
      <c r="AB801" s="10">
        <f t="shared" si="242"/>
        <v>5860.3961581794338</v>
      </c>
      <c r="AC801" s="10">
        <f t="shared" si="230"/>
        <v>732.54951977242922</v>
      </c>
      <c r="AD801" s="10">
        <f t="shared" si="235"/>
        <v>2930.1980790897169</v>
      </c>
      <c r="AE801" s="65"/>
      <c r="AF801" s="10">
        <f t="shared" si="236"/>
        <v>9934.9691919018187</v>
      </c>
      <c r="AG801" s="8">
        <f t="shared" si="231"/>
        <v>1937.3189924208548</v>
      </c>
      <c r="AH801" s="10">
        <f t="shared" si="232"/>
        <v>4967.4845959509094</v>
      </c>
      <c r="AI801" s="63"/>
      <c r="AJ801" s="10">
        <f t="shared" si="237"/>
        <v>6683.7495000000008</v>
      </c>
      <c r="AK801" s="8"/>
      <c r="AL801" s="8">
        <f t="shared" si="233"/>
        <v>3341.8747500000004</v>
      </c>
    </row>
    <row r="802" spans="1:38">
      <c r="A802" s="18">
        <v>41459</v>
      </c>
      <c r="B802" s="19" t="s">
        <v>34</v>
      </c>
      <c r="C802" s="12">
        <v>150.19999999999999</v>
      </c>
      <c r="D802" s="9" t="s">
        <v>80</v>
      </c>
      <c r="E802" s="8">
        <v>8.4116599999999995</v>
      </c>
      <c r="F802" s="8">
        <v>83.312479999999994</v>
      </c>
      <c r="G802" s="22">
        <v>150</v>
      </c>
      <c r="H802" s="8">
        <v>13</v>
      </c>
      <c r="I802" s="10">
        <f t="shared" si="244"/>
        <v>7.6489254580385788</v>
      </c>
      <c r="J802" s="10">
        <f t="shared" si="243"/>
        <v>0.13349893348238856</v>
      </c>
      <c r="K802" s="10">
        <f t="shared" si="234"/>
        <v>21.188530377780278</v>
      </c>
      <c r="L802" s="8">
        <v>17</v>
      </c>
      <c r="M802" s="8" t="s">
        <v>54</v>
      </c>
      <c r="N802" s="8" t="s">
        <v>55</v>
      </c>
      <c r="O802" s="10" t="s">
        <v>56</v>
      </c>
      <c r="P802" s="10" t="s">
        <v>57</v>
      </c>
      <c r="Q802" s="11">
        <v>0.315</v>
      </c>
      <c r="R802" s="12" t="s">
        <v>66</v>
      </c>
      <c r="S802" s="29">
        <v>7.5</v>
      </c>
      <c r="T802" s="79">
        <f t="shared" si="238"/>
        <v>4.4178749999999999E-3</v>
      </c>
      <c r="U802" s="8">
        <v>8</v>
      </c>
      <c r="V802" s="8">
        <v>64</v>
      </c>
      <c r="W802" s="10">
        <f t="shared" si="239"/>
        <v>1.1170107212763709</v>
      </c>
      <c r="X802" s="8">
        <v>5</v>
      </c>
      <c r="Y802" s="8">
        <v>22</v>
      </c>
      <c r="Z802" s="10">
        <f t="shared" si="240"/>
        <v>0.38397243543875248</v>
      </c>
      <c r="AA802" s="10">
        <f t="shared" si="241"/>
        <v>9.0633853374728961</v>
      </c>
      <c r="AB802" s="10">
        <f t="shared" si="242"/>
        <v>9.1884410860706183</v>
      </c>
      <c r="AC802" s="10">
        <f t="shared" si="230"/>
        <v>1.1485551357588273</v>
      </c>
      <c r="AD802" s="10">
        <f t="shared" si="235"/>
        <v>4.5942205430353091</v>
      </c>
      <c r="AE802" s="65"/>
      <c r="AF802" s="10">
        <f t="shared" si="236"/>
        <v>9.0779480249308939</v>
      </c>
      <c r="AG802" s="8">
        <f t="shared" si="231"/>
        <v>1.7701998648615245</v>
      </c>
      <c r="AH802" s="10">
        <f t="shared" si="232"/>
        <v>4.538974012465447</v>
      </c>
      <c r="AI802" s="63"/>
      <c r="AJ802" s="10">
        <f t="shared" si="237"/>
        <v>10.7745</v>
      </c>
      <c r="AK802" s="8"/>
      <c r="AL802" s="8">
        <f t="shared" si="233"/>
        <v>5.3872499999999999</v>
      </c>
    </row>
    <row r="803" spans="1:38">
      <c r="A803" s="18">
        <v>41459</v>
      </c>
      <c r="B803" s="19" t="s">
        <v>34</v>
      </c>
      <c r="C803" s="12">
        <v>150.19999999999999</v>
      </c>
      <c r="D803" s="9" t="s">
        <v>80</v>
      </c>
      <c r="E803" s="8">
        <v>8.4116599999999995</v>
      </c>
      <c r="F803" s="8">
        <v>83.312479999999994</v>
      </c>
      <c r="G803" s="22">
        <v>150</v>
      </c>
      <c r="H803" s="8">
        <v>13</v>
      </c>
      <c r="I803" s="10">
        <f t="shared" si="244"/>
        <v>7.6489254580385788</v>
      </c>
      <c r="J803" s="10">
        <f t="shared" si="243"/>
        <v>0.13349893348238856</v>
      </c>
      <c r="K803" s="10">
        <f t="shared" si="234"/>
        <v>21.188530377780278</v>
      </c>
      <c r="L803" s="8">
        <v>20</v>
      </c>
      <c r="M803" s="8" t="s">
        <v>41</v>
      </c>
      <c r="N803" s="62" t="s">
        <v>63</v>
      </c>
      <c r="O803" s="10" t="s">
        <v>61</v>
      </c>
      <c r="P803" s="10" t="s">
        <v>62</v>
      </c>
      <c r="Q803" s="20">
        <v>0.7</v>
      </c>
      <c r="R803" s="22" t="s">
        <v>190</v>
      </c>
      <c r="S803" s="29">
        <v>6.2</v>
      </c>
      <c r="T803" s="79">
        <f t="shared" si="238"/>
        <v>3.0190776000000004E-3</v>
      </c>
      <c r="U803" s="8">
        <v>8</v>
      </c>
      <c r="V803" s="8">
        <v>47</v>
      </c>
      <c r="W803" s="10">
        <f t="shared" si="239"/>
        <v>0.82030474843733492</v>
      </c>
      <c r="X803" s="8">
        <v>5</v>
      </c>
      <c r="Y803" s="8">
        <v>25</v>
      </c>
      <c r="Z803" s="10">
        <f t="shared" si="240"/>
        <v>0.43633231299858238</v>
      </c>
      <c r="AA803" s="10">
        <f t="shared" si="241"/>
        <v>7.9639209216568609</v>
      </c>
      <c r="AB803" s="10">
        <f t="shared" si="242"/>
        <v>12.050625161786423</v>
      </c>
      <c r="AC803" s="10">
        <f t="shared" si="230"/>
        <v>1.5063281452233028</v>
      </c>
      <c r="AD803" s="10">
        <f t="shared" si="235"/>
        <v>6.0253125808932113</v>
      </c>
      <c r="AE803" s="65"/>
      <c r="AF803" s="10">
        <f t="shared" si="236"/>
        <v>12.620913974594911</v>
      </c>
      <c r="AG803" s="8">
        <f t="shared" si="231"/>
        <v>2.4610782250460077</v>
      </c>
      <c r="AH803" s="10">
        <f t="shared" si="232"/>
        <v>6.3104569872974556</v>
      </c>
      <c r="AI803" s="63"/>
      <c r="AJ803" s="10">
        <f t="shared" si="237"/>
        <v>6.6340000000000003</v>
      </c>
      <c r="AK803" s="8"/>
      <c r="AL803" s="8">
        <f t="shared" si="233"/>
        <v>3.3170000000000002</v>
      </c>
    </row>
    <row r="804" spans="1:38">
      <c r="A804" s="18">
        <v>41459</v>
      </c>
      <c r="B804" s="19" t="s">
        <v>34</v>
      </c>
      <c r="C804" s="12">
        <v>150.19999999999999</v>
      </c>
      <c r="D804" s="9" t="s">
        <v>80</v>
      </c>
      <c r="E804" s="8">
        <v>8.4116599999999995</v>
      </c>
      <c r="F804" s="8">
        <v>83.312479999999994</v>
      </c>
      <c r="G804" s="22">
        <v>150</v>
      </c>
      <c r="H804" s="8">
        <v>13</v>
      </c>
      <c r="I804" s="10">
        <f t="shared" si="244"/>
        <v>7.6489254580385788</v>
      </c>
      <c r="J804" s="10">
        <f t="shared" si="243"/>
        <v>0.13349893348238856</v>
      </c>
      <c r="K804" s="10">
        <f t="shared" si="234"/>
        <v>21.188530377780278</v>
      </c>
      <c r="L804" s="8">
        <v>18</v>
      </c>
      <c r="M804" s="8" t="s">
        <v>36</v>
      </c>
      <c r="N804" s="8" t="s">
        <v>46</v>
      </c>
      <c r="O804" s="10" t="s">
        <v>37</v>
      </c>
      <c r="P804" s="10" t="s">
        <v>38</v>
      </c>
      <c r="Q804" s="11">
        <v>0.48</v>
      </c>
      <c r="R804" s="8" t="s">
        <v>60</v>
      </c>
      <c r="S804" s="12">
        <v>11.5</v>
      </c>
      <c r="T804" s="79">
        <f t="shared" si="238"/>
        <v>1.0386915E-2</v>
      </c>
      <c r="U804" s="8">
        <v>5</v>
      </c>
      <c r="V804" s="8">
        <v>33</v>
      </c>
      <c r="W804" s="10">
        <f t="shared" si="239"/>
        <v>0.57595865315812877</v>
      </c>
      <c r="X804" s="8">
        <v>5</v>
      </c>
      <c r="Y804" s="8">
        <v>22</v>
      </c>
      <c r="Z804" s="10">
        <f t="shared" si="240"/>
        <v>0.38397243543875248</v>
      </c>
      <c r="AA804" s="10">
        <f t="shared" si="241"/>
        <v>4.5962281421546951</v>
      </c>
      <c r="AB804" s="10">
        <f t="shared" si="242"/>
        <v>16.106378735588866</v>
      </c>
      <c r="AC804" s="10">
        <f t="shared" si="230"/>
        <v>2.0132973419486082</v>
      </c>
      <c r="AD804" s="10">
        <f t="shared" si="235"/>
        <v>8.0531893677944328</v>
      </c>
      <c r="AE804" s="65"/>
      <c r="AF804" s="10">
        <f t="shared" si="236"/>
        <v>39.975367927888335</v>
      </c>
      <c r="AG804" s="8">
        <f t="shared" si="231"/>
        <v>7.7951967459382256</v>
      </c>
      <c r="AH804" s="10">
        <f t="shared" si="232"/>
        <v>19.987683963944168</v>
      </c>
      <c r="AI804" s="63"/>
      <c r="AJ804" s="10">
        <f t="shared" si="237"/>
        <v>39.202499999999986</v>
      </c>
      <c r="AK804" s="8"/>
      <c r="AL804" s="8">
        <f t="shared" si="233"/>
        <v>19.601249999999993</v>
      </c>
    </row>
    <row r="805" spans="1:38">
      <c r="A805" s="18">
        <v>41459</v>
      </c>
      <c r="B805" s="19" t="s">
        <v>34</v>
      </c>
      <c r="C805" s="12">
        <v>150.19999999999999</v>
      </c>
      <c r="D805" s="9" t="s">
        <v>80</v>
      </c>
      <c r="E805" s="8">
        <v>8.4116599999999995</v>
      </c>
      <c r="F805" s="8">
        <v>83.312479999999994</v>
      </c>
      <c r="G805" s="22">
        <v>150</v>
      </c>
      <c r="H805" s="8">
        <v>13</v>
      </c>
      <c r="I805" s="10">
        <f t="shared" si="244"/>
        <v>7.6489254580385788</v>
      </c>
      <c r="J805" s="10">
        <f t="shared" si="243"/>
        <v>0.13349893348238856</v>
      </c>
      <c r="K805" s="10">
        <f t="shared" si="234"/>
        <v>21.188530377780278</v>
      </c>
      <c r="L805" s="8">
        <v>19</v>
      </c>
      <c r="M805" s="31" t="s">
        <v>231</v>
      </c>
      <c r="N805" s="8" t="s">
        <v>171</v>
      </c>
      <c r="O805" s="33" t="s">
        <v>99</v>
      </c>
      <c r="P805" s="33" t="s">
        <v>99</v>
      </c>
      <c r="Q805" s="22">
        <v>0.57999999999999996</v>
      </c>
      <c r="R805" s="22" t="s">
        <v>103</v>
      </c>
      <c r="S805" s="12">
        <v>13.5</v>
      </c>
      <c r="T805" s="79">
        <f t="shared" si="238"/>
        <v>1.4313915E-2</v>
      </c>
      <c r="U805" s="8">
        <v>7</v>
      </c>
      <c r="V805" s="8">
        <v>54</v>
      </c>
      <c r="W805" s="10">
        <f t="shared" si="239"/>
        <v>0.94247779607693793</v>
      </c>
      <c r="X805" s="8">
        <v>5</v>
      </c>
      <c r="Y805" s="8">
        <v>20</v>
      </c>
      <c r="Z805" s="10">
        <f t="shared" si="240"/>
        <v>0.3490658503988659</v>
      </c>
      <c r="AA805" s="10">
        <f t="shared" si="241"/>
        <v>7.3732196772529761</v>
      </c>
      <c r="AB805" s="10">
        <f t="shared" si="242"/>
        <v>40.561056911274143</v>
      </c>
      <c r="AC805" s="10">
        <f t="shared" si="230"/>
        <v>5.0701321139092679</v>
      </c>
      <c r="AD805" s="10">
        <f t="shared" si="235"/>
        <v>20.280528455637072</v>
      </c>
      <c r="AE805" s="65"/>
      <c r="AF805" s="10">
        <f t="shared" si="236"/>
        <v>71.980491061685584</v>
      </c>
      <c r="AG805" s="8">
        <f t="shared" si="231"/>
        <v>14.03619575702869</v>
      </c>
      <c r="AH805" s="10">
        <f t="shared" si="232"/>
        <v>35.990245530842792</v>
      </c>
      <c r="AI805" s="63"/>
      <c r="AJ805" s="10">
        <f t="shared" si="237"/>
        <v>62.296500000000009</v>
      </c>
      <c r="AK805" s="8"/>
      <c r="AL805" s="8">
        <f t="shared" si="233"/>
        <v>31.148250000000004</v>
      </c>
    </row>
    <row r="806" spans="1:38">
      <c r="A806" s="18">
        <v>41487</v>
      </c>
      <c r="B806" s="19" t="s">
        <v>34</v>
      </c>
      <c r="C806" s="12">
        <v>150.19999999999999</v>
      </c>
      <c r="D806" s="19" t="s">
        <v>80</v>
      </c>
      <c r="E806" s="22">
        <v>8.4116599999999995</v>
      </c>
      <c r="F806" s="22">
        <v>83.312479999999994</v>
      </c>
      <c r="G806" s="22">
        <v>150</v>
      </c>
      <c r="H806" s="8">
        <v>13</v>
      </c>
      <c r="I806" s="10">
        <f t="shared" si="244"/>
        <v>7.6489254580385788</v>
      </c>
      <c r="J806" s="10">
        <f t="shared" si="243"/>
        <v>0.13349893348238856</v>
      </c>
      <c r="K806" s="10">
        <f t="shared" si="234"/>
        <v>21.188530377780278</v>
      </c>
      <c r="L806" s="22">
        <v>1058</v>
      </c>
      <c r="M806" s="22" t="s">
        <v>107</v>
      </c>
      <c r="N806" s="22" t="s">
        <v>63</v>
      </c>
      <c r="O806" s="10" t="s">
        <v>108</v>
      </c>
      <c r="P806" s="15" t="s">
        <v>92</v>
      </c>
      <c r="Q806" s="8">
        <v>0.57999999999999996</v>
      </c>
      <c r="R806" s="22" t="s">
        <v>190</v>
      </c>
      <c r="S806" s="31">
        <v>5.3</v>
      </c>
      <c r="T806" s="79">
        <f t="shared" si="238"/>
        <v>2.2061886000000002E-3</v>
      </c>
      <c r="U806" s="22">
        <v>8</v>
      </c>
      <c r="V806" s="22">
        <v>40</v>
      </c>
      <c r="W806" s="10">
        <f t="shared" si="239"/>
        <v>0.69813170079773179</v>
      </c>
      <c r="X806" s="22">
        <v>7</v>
      </c>
      <c r="Y806" s="22">
        <v>0</v>
      </c>
      <c r="Z806" s="10">
        <f t="shared" si="240"/>
        <v>0</v>
      </c>
      <c r="AA806" s="10">
        <f t="shared" si="241"/>
        <v>5.142300877492314</v>
      </c>
      <c r="AB806" s="10">
        <f t="shared" si="242"/>
        <v>4.9843749506864787</v>
      </c>
      <c r="AC806" s="10">
        <f t="shared" si="230"/>
        <v>0.62304686883580984</v>
      </c>
      <c r="AD806" s="10">
        <f t="shared" si="235"/>
        <v>2.4921874753432394</v>
      </c>
      <c r="AE806" s="65"/>
      <c r="AF806" s="10">
        <f t="shared" si="236"/>
        <v>7.1257426008349691</v>
      </c>
      <c r="AG806" s="8">
        <f t="shared" si="231"/>
        <v>1.389519807162819</v>
      </c>
      <c r="AH806" s="10">
        <f t="shared" si="232"/>
        <v>3.5628713004174846</v>
      </c>
      <c r="AI806" s="63"/>
      <c r="AJ806" s="10">
        <f t="shared" si="237"/>
        <v>5.2326999999999977</v>
      </c>
      <c r="AK806" s="8"/>
      <c r="AL806" s="8">
        <f t="shared" si="233"/>
        <v>2.6163499999999988</v>
      </c>
    </row>
    <row r="807" spans="1:38">
      <c r="A807" s="18">
        <v>41487</v>
      </c>
      <c r="B807" s="19" t="s">
        <v>34</v>
      </c>
      <c r="C807" s="12">
        <v>150.19999999999999</v>
      </c>
      <c r="D807" s="19" t="s">
        <v>80</v>
      </c>
      <c r="E807" s="22">
        <v>8.4116599999999995</v>
      </c>
      <c r="F807" s="22">
        <v>83.312479999999994</v>
      </c>
      <c r="G807" s="22">
        <v>150</v>
      </c>
      <c r="H807" s="8">
        <v>13</v>
      </c>
      <c r="I807" s="10">
        <f t="shared" si="244"/>
        <v>7.6489254580385788</v>
      </c>
      <c r="J807" s="10">
        <f t="shared" si="243"/>
        <v>0.13349893348238856</v>
      </c>
      <c r="K807" s="10">
        <f t="shared" si="234"/>
        <v>21.188530377780278</v>
      </c>
      <c r="L807" s="22">
        <v>1059</v>
      </c>
      <c r="M807" s="22" t="s">
        <v>72</v>
      </c>
      <c r="N807" s="22" t="s">
        <v>93</v>
      </c>
      <c r="O807" s="10" t="s">
        <v>91</v>
      </c>
      <c r="P807" s="15" t="s">
        <v>92</v>
      </c>
      <c r="Q807" s="8">
        <v>0.48</v>
      </c>
      <c r="R807" s="22" t="s">
        <v>190</v>
      </c>
      <c r="S807" s="31">
        <v>9.1999999999999993</v>
      </c>
      <c r="T807" s="79">
        <f t="shared" si="238"/>
        <v>6.6476255999999992E-3</v>
      </c>
      <c r="U807" s="22">
        <v>7</v>
      </c>
      <c r="V807" s="22">
        <v>30</v>
      </c>
      <c r="W807" s="10">
        <f t="shared" si="239"/>
        <v>0.52359877559829882</v>
      </c>
      <c r="X807" s="22">
        <v>6</v>
      </c>
      <c r="Y807" s="22">
        <v>24</v>
      </c>
      <c r="Z807" s="10">
        <f t="shared" si="240"/>
        <v>0.41887902047863912</v>
      </c>
      <c r="AA807" s="10">
        <f t="shared" si="241"/>
        <v>5.9404198584548009</v>
      </c>
      <c r="AB807" s="10">
        <f t="shared" si="242"/>
        <v>13.475277347070037</v>
      </c>
      <c r="AC807" s="10">
        <f t="shared" si="230"/>
        <v>1.6844096683837546</v>
      </c>
      <c r="AD807" s="10">
        <f t="shared" si="235"/>
        <v>6.7376386735350184</v>
      </c>
      <c r="AE807" s="65"/>
      <c r="AF807" s="10">
        <f t="shared" si="236"/>
        <v>22.951606844819594</v>
      </c>
      <c r="AG807" s="8">
        <f t="shared" si="231"/>
        <v>4.4755633347398209</v>
      </c>
      <c r="AH807" s="10">
        <f t="shared" si="232"/>
        <v>11.475803422409797</v>
      </c>
      <c r="AI807" s="63"/>
      <c r="AJ807" s="10">
        <f t="shared" si="237"/>
        <v>19.962999999999994</v>
      </c>
      <c r="AK807" s="8"/>
      <c r="AL807" s="8">
        <f t="shared" si="233"/>
        <v>9.9814999999999969</v>
      </c>
    </row>
    <row r="808" spans="1:38">
      <c r="A808" s="18">
        <v>41487</v>
      </c>
      <c r="B808" s="19" t="s">
        <v>34</v>
      </c>
      <c r="C808" s="12">
        <v>150.19999999999999</v>
      </c>
      <c r="D808" s="19" t="s">
        <v>80</v>
      </c>
      <c r="E808" s="22">
        <v>8.4116599999999995</v>
      </c>
      <c r="F808" s="22">
        <v>83.312479999999994</v>
      </c>
      <c r="G808" s="22">
        <v>150</v>
      </c>
      <c r="H808" s="8">
        <v>13</v>
      </c>
      <c r="I808" s="10">
        <f t="shared" si="244"/>
        <v>7.6489254580385788</v>
      </c>
      <c r="J808" s="10">
        <f t="shared" si="243"/>
        <v>0.13349893348238856</v>
      </c>
      <c r="K808" s="10">
        <f t="shared" si="234"/>
        <v>21.188530377780278</v>
      </c>
      <c r="L808" s="22">
        <v>1064</v>
      </c>
      <c r="M808" s="22" t="s">
        <v>151</v>
      </c>
      <c r="N808" s="22" t="s">
        <v>84</v>
      </c>
      <c r="O808" s="58" t="s">
        <v>85</v>
      </c>
      <c r="P808" s="50" t="s">
        <v>86</v>
      </c>
      <c r="Q808" s="22">
        <v>0.53</v>
      </c>
      <c r="R808" s="22" t="s">
        <v>190</v>
      </c>
      <c r="S808" s="30">
        <v>9</v>
      </c>
      <c r="T808" s="79">
        <f t="shared" si="238"/>
        <v>6.3617400000000003E-3</v>
      </c>
      <c r="U808" s="22">
        <v>7</v>
      </c>
      <c r="V808" s="22">
        <v>30</v>
      </c>
      <c r="W808" s="10">
        <f t="shared" si="239"/>
        <v>0.52359877559829882</v>
      </c>
      <c r="X808" s="22">
        <v>6</v>
      </c>
      <c r="Y808" s="22">
        <v>24</v>
      </c>
      <c r="Z808" s="10">
        <f t="shared" si="240"/>
        <v>0.41887902047863912</v>
      </c>
      <c r="AA808" s="10">
        <f t="shared" si="241"/>
        <v>5.9404198584548009</v>
      </c>
      <c r="AB808" s="10">
        <f t="shared" si="242"/>
        <v>14.192047929490148</v>
      </c>
      <c r="AC808" s="10">
        <f t="shared" si="230"/>
        <v>1.7740059911862684</v>
      </c>
      <c r="AD808" s="10">
        <f t="shared" si="235"/>
        <v>7.0960239647450738</v>
      </c>
      <c r="AE808" s="65"/>
      <c r="AF808" s="10">
        <f t="shared" si="236"/>
        <v>23.996363739196745</v>
      </c>
      <c r="AG808" s="8">
        <f t="shared" si="231"/>
        <v>4.6792909291433658</v>
      </c>
      <c r="AH808" s="10">
        <f t="shared" si="232"/>
        <v>11.998181869598373</v>
      </c>
      <c r="AI808" s="63"/>
      <c r="AJ808" s="10">
        <f t="shared" si="237"/>
        <v>18.659999999999997</v>
      </c>
      <c r="AK808" s="8"/>
      <c r="AL808" s="8">
        <f t="shared" si="233"/>
        <v>9.3299999999999983</v>
      </c>
    </row>
    <row r="809" spans="1:38">
      <c r="A809" s="18">
        <v>41487</v>
      </c>
      <c r="B809" s="19" t="s">
        <v>34</v>
      </c>
      <c r="C809" s="12">
        <v>150.19999999999999</v>
      </c>
      <c r="D809" s="19" t="s">
        <v>80</v>
      </c>
      <c r="E809" s="22">
        <v>8.4116599999999995</v>
      </c>
      <c r="F809" s="22">
        <v>83.312479999999994</v>
      </c>
      <c r="G809" s="22">
        <v>150</v>
      </c>
      <c r="H809" s="8">
        <v>13</v>
      </c>
      <c r="I809" s="10">
        <f t="shared" si="244"/>
        <v>7.6489254580385788</v>
      </c>
      <c r="J809" s="10">
        <f t="shared" si="243"/>
        <v>0.13349893348238856</v>
      </c>
      <c r="K809" s="10">
        <f t="shared" si="234"/>
        <v>21.188530377780278</v>
      </c>
      <c r="L809" s="22">
        <v>1067</v>
      </c>
      <c r="M809" s="31" t="s">
        <v>130</v>
      </c>
      <c r="N809" s="7" t="s">
        <v>99</v>
      </c>
      <c r="O809" s="33" t="s">
        <v>99</v>
      </c>
      <c r="P809" s="33" t="s">
        <v>99</v>
      </c>
      <c r="Q809" s="22">
        <v>0.57999999999999996</v>
      </c>
      <c r="R809" s="22" t="s">
        <v>103</v>
      </c>
      <c r="S809" s="31">
        <v>9.4</v>
      </c>
      <c r="T809" s="79">
        <f t="shared" si="238"/>
        <v>6.939794400000001E-3</v>
      </c>
      <c r="U809" s="22">
        <v>7</v>
      </c>
      <c r="V809" s="22">
        <v>30</v>
      </c>
      <c r="W809" s="10">
        <f t="shared" si="239"/>
        <v>0.52359877559829882</v>
      </c>
      <c r="X809" s="22">
        <v>6</v>
      </c>
      <c r="Y809" s="22">
        <v>24</v>
      </c>
      <c r="Z809" s="10">
        <f t="shared" si="240"/>
        <v>0.41887902047863912</v>
      </c>
      <c r="AA809" s="10">
        <f t="shared" si="241"/>
        <v>5.9404198584548009</v>
      </c>
      <c r="AB809" s="10">
        <f t="shared" si="242"/>
        <v>16.763029632862949</v>
      </c>
      <c r="AC809" s="10">
        <f t="shared" si="230"/>
        <v>2.0953787041078686</v>
      </c>
      <c r="AD809" s="10">
        <f t="shared" si="235"/>
        <v>8.3815148164314746</v>
      </c>
      <c r="AE809" s="65"/>
      <c r="AF809" s="10">
        <f t="shared" si="236"/>
        <v>29.255025021528645</v>
      </c>
      <c r="AG809" s="8">
        <f t="shared" si="231"/>
        <v>5.7047298791980863</v>
      </c>
      <c r="AH809" s="10">
        <f t="shared" si="232"/>
        <v>14.627512510764323</v>
      </c>
      <c r="AI809" s="63"/>
      <c r="AJ809" s="10">
        <f t="shared" si="237"/>
        <v>21.325199999999995</v>
      </c>
      <c r="AK809" s="8"/>
      <c r="AL809" s="8">
        <f t="shared" si="233"/>
        <v>10.662599999999998</v>
      </c>
    </row>
    <row r="810" spans="1:38">
      <c r="A810" s="18">
        <v>41487</v>
      </c>
      <c r="B810" s="19" t="s">
        <v>34</v>
      </c>
      <c r="C810" s="12">
        <v>150.19999999999999</v>
      </c>
      <c r="D810" s="19" t="s">
        <v>80</v>
      </c>
      <c r="E810" s="22">
        <v>8.4116599999999995</v>
      </c>
      <c r="F810" s="22">
        <v>83.312479999999994</v>
      </c>
      <c r="G810" s="22">
        <v>150</v>
      </c>
      <c r="H810" s="8">
        <v>13</v>
      </c>
      <c r="I810" s="10">
        <f t="shared" si="244"/>
        <v>7.6489254580385788</v>
      </c>
      <c r="J810" s="10">
        <f t="shared" si="243"/>
        <v>0.13349893348238856</v>
      </c>
      <c r="K810" s="10">
        <f t="shared" si="234"/>
        <v>21.188530377780278</v>
      </c>
      <c r="L810" s="22">
        <v>1065</v>
      </c>
      <c r="M810" s="22" t="s">
        <v>72</v>
      </c>
      <c r="N810" s="22" t="s">
        <v>93</v>
      </c>
      <c r="O810" s="10" t="s">
        <v>91</v>
      </c>
      <c r="P810" s="15" t="s">
        <v>92</v>
      </c>
      <c r="Q810" s="8">
        <v>0.48</v>
      </c>
      <c r="R810" s="22" t="s">
        <v>190</v>
      </c>
      <c r="S810" s="31">
        <v>7.4</v>
      </c>
      <c r="T810" s="79">
        <f t="shared" si="238"/>
        <v>4.3008504000000003E-3</v>
      </c>
      <c r="U810" s="22">
        <v>7</v>
      </c>
      <c r="V810" s="22">
        <v>30</v>
      </c>
      <c r="W810" s="10">
        <f t="shared" ref="W810:W827" si="245">RADIANS(V810)</f>
        <v>0.52359877559829882</v>
      </c>
      <c r="X810" s="22">
        <v>6</v>
      </c>
      <c r="Y810" s="22">
        <v>24</v>
      </c>
      <c r="Z810" s="10">
        <f t="shared" ref="Z810:Z827" si="246">RADIANS(Y810)</f>
        <v>0.41887902047863912</v>
      </c>
      <c r="AA810" s="10">
        <f t="shared" ref="AA810:AA827" si="247">(SIN(W810)*U810)+(SIN(Z810)*X810)</f>
        <v>5.9404198584548009</v>
      </c>
      <c r="AB810" s="10">
        <f t="shared" ref="AB810:AB827" si="248">0.0776*(Q810*S810^2*AA810)^0.94</f>
        <v>8.9489530634864032</v>
      </c>
      <c r="AC810" s="10">
        <f t="shared" si="230"/>
        <v>1.1186191329358004</v>
      </c>
      <c r="AD810" s="10">
        <f t="shared" si="235"/>
        <v>4.4744765317432016</v>
      </c>
      <c r="AE810" s="65"/>
      <c r="AF810" s="10">
        <f t="shared" si="236"/>
        <v>13.381694533892427</v>
      </c>
      <c r="AG810" s="8">
        <f t="shared" si="231"/>
        <v>2.6094304341090231</v>
      </c>
      <c r="AH810" s="10">
        <f t="shared" si="232"/>
        <v>6.6908472669462133</v>
      </c>
      <c r="AI810" s="63"/>
      <c r="AJ810" s="10">
        <f t="shared" si="237"/>
        <v>10.3672</v>
      </c>
      <c r="AK810" s="8"/>
      <c r="AL810" s="8">
        <f t="shared" si="233"/>
        <v>5.1836000000000002</v>
      </c>
    </row>
    <row r="811" spans="1:38">
      <c r="A811" s="18">
        <v>41487</v>
      </c>
      <c r="B811" s="19" t="s">
        <v>34</v>
      </c>
      <c r="C811" s="12">
        <v>150.19999999999999</v>
      </c>
      <c r="D811" s="19" t="s">
        <v>80</v>
      </c>
      <c r="E811" s="22">
        <v>8.4116599999999995</v>
      </c>
      <c r="F811" s="22">
        <v>83.312479999999994</v>
      </c>
      <c r="G811" s="22">
        <v>150</v>
      </c>
      <c r="H811" s="8">
        <v>13</v>
      </c>
      <c r="I811" s="10">
        <f t="shared" si="244"/>
        <v>7.6489254580385788</v>
      </c>
      <c r="J811" s="10">
        <f t="shared" si="243"/>
        <v>0.13349893348238856</v>
      </c>
      <c r="K811" s="10">
        <f t="shared" si="234"/>
        <v>21.188530377780278</v>
      </c>
      <c r="L811" s="22">
        <v>1070</v>
      </c>
      <c r="M811" s="31" t="s">
        <v>231</v>
      </c>
      <c r="N811" s="8" t="s">
        <v>171</v>
      </c>
      <c r="O811" s="33" t="s">
        <v>99</v>
      </c>
      <c r="P811" s="33" t="s">
        <v>99</v>
      </c>
      <c r="Q811" s="22">
        <v>0.57999999999999996</v>
      </c>
      <c r="R811" s="22" t="s">
        <v>103</v>
      </c>
      <c r="S811" s="30">
        <v>13</v>
      </c>
      <c r="T811" s="79">
        <f t="shared" si="238"/>
        <v>1.327326E-2</v>
      </c>
      <c r="U811" s="22">
        <v>7</v>
      </c>
      <c r="V811" s="22">
        <v>30</v>
      </c>
      <c r="W811" s="10">
        <f t="shared" si="245"/>
        <v>0.52359877559829882</v>
      </c>
      <c r="X811" s="22">
        <v>6</v>
      </c>
      <c r="Y811" s="22">
        <v>24</v>
      </c>
      <c r="Z811" s="10">
        <f t="shared" si="246"/>
        <v>0.41887902047863912</v>
      </c>
      <c r="AA811" s="10">
        <f t="shared" si="247"/>
        <v>5.9404198584548009</v>
      </c>
      <c r="AB811" s="10">
        <f t="shared" si="248"/>
        <v>30.837960676686102</v>
      </c>
      <c r="AC811" s="10">
        <f t="shared" si="230"/>
        <v>3.8547450845857627</v>
      </c>
      <c r="AD811" s="10">
        <f t="shared" si="235"/>
        <v>15.418980338343051</v>
      </c>
      <c r="AE811" s="65"/>
      <c r="AF811" s="10">
        <f t="shared" si="236"/>
        <v>65.532023173665422</v>
      </c>
      <c r="AG811" s="8">
        <f t="shared" si="231"/>
        <v>12.778744518864757</v>
      </c>
      <c r="AH811" s="10">
        <f t="shared" si="232"/>
        <v>32.766011586832711</v>
      </c>
      <c r="AI811" s="63"/>
      <c r="AJ811" s="10">
        <f t="shared" si="237"/>
        <v>55.967999999999989</v>
      </c>
      <c r="AK811" s="8"/>
      <c r="AL811" s="8">
        <f t="shared" si="233"/>
        <v>27.983999999999995</v>
      </c>
    </row>
    <row r="812" spans="1:38">
      <c r="A812" s="18">
        <v>41487</v>
      </c>
      <c r="B812" s="19" t="s">
        <v>34</v>
      </c>
      <c r="C812" s="12">
        <v>150.19999999999999</v>
      </c>
      <c r="D812" s="19" t="s">
        <v>80</v>
      </c>
      <c r="E812" s="22">
        <v>8.4116599999999995</v>
      </c>
      <c r="F812" s="22">
        <v>83.312479999999994</v>
      </c>
      <c r="G812" s="22">
        <v>150</v>
      </c>
      <c r="H812" s="8">
        <v>13</v>
      </c>
      <c r="I812" s="10">
        <f t="shared" si="244"/>
        <v>7.6489254580385788</v>
      </c>
      <c r="J812" s="10">
        <f t="shared" si="243"/>
        <v>0.13349893348238856</v>
      </c>
      <c r="K812" s="10">
        <f t="shared" si="234"/>
        <v>21.188530377780278</v>
      </c>
      <c r="L812" s="22">
        <v>1060</v>
      </c>
      <c r="M812" s="22" t="s">
        <v>72</v>
      </c>
      <c r="N812" s="22" t="s">
        <v>93</v>
      </c>
      <c r="O812" s="10" t="s">
        <v>91</v>
      </c>
      <c r="P812" s="15" t="s">
        <v>92</v>
      </c>
      <c r="Q812" s="8">
        <v>0.48</v>
      </c>
      <c r="R812" s="22" t="s">
        <v>190</v>
      </c>
      <c r="S812" s="30">
        <v>7</v>
      </c>
      <c r="T812" s="79">
        <f t="shared" si="238"/>
        <v>3.8484600000000002E-3</v>
      </c>
      <c r="U812" s="22">
        <v>7</v>
      </c>
      <c r="V812" s="22">
        <v>30</v>
      </c>
      <c r="W812" s="10">
        <f t="shared" si="245"/>
        <v>0.52359877559829882</v>
      </c>
      <c r="X812" s="22">
        <v>6</v>
      </c>
      <c r="Y812" s="22">
        <v>24</v>
      </c>
      <c r="Z812" s="10">
        <f t="shared" si="246"/>
        <v>0.41887902047863912</v>
      </c>
      <c r="AA812" s="10">
        <f t="shared" si="247"/>
        <v>5.9404198584548009</v>
      </c>
      <c r="AB812" s="10">
        <f t="shared" si="248"/>
        <v>8.0612225739349928</v>
      </c>
      <c r="AC812" s="10">
        <f t="shared" si="230"/>
        <v>1.0076528217418741</v>
      </c>
      <c r="AD812" s="10">
        <f t="shared" si="235"/>
        <v>4.0306112869674964</v>
      </c>
      <c r="AE812" s="65"/>
      <c r="AF812" s="10">
        <f t="shared" si="236"/>
        <v>11.666277503332509</v>
      </c>
      <c r="AG812" s="8">
        <f t="shared" si="231"/>
        <v>2.2749241131498392</v>
      </c>
      <c r="AH812" s="10">
        <f t="shared" si="232"/>
        <v>5.8331387516662545</v>
      </c>
      <c r="AI812" s="63"/>
      <c r="AJ812" s="10">
        <f t="shared" si="237"/>
        <v>8.8859999999999992</v>
      </c>
      <c r="AK812" s="8"/>
      <c r="AL812" s="8">
        <f t="shared" si="233"/>
        <v>4.4429999999999996</v>
      </c>
    </row>
    <row r="813" spans="1:38">
      <c r="A813" s="18">
        <v>41487</v>
      </c>
      <c r="B813" s="19" t="s">
        <v>34</v>
      </c>
      <c r="C813" s="12">
        <v>150.19999999999999</v>
      </c>
      <c r="D813" s="19" t="s">
        <v>80</v>
      </c>
      <c r="E813" s="22">
        <v>8.4116599999999995</v>
      </c>
      <c r="F813" s="22">
        <v>83.312479999999994</v>
      </c>
      <c r="G813" s="22">
        <v>150</v>
      </c>
      <c r="H813" s="8">
        <v>13</v>
      </c>
      <c r="I813" s="10">
        <f t="shared" si="244"/>
        <v>7.6489254580385788</v>
      </c>
      <c r="J813" s="10">
        <f t="shared" si="243"/>
        <v>0.13349893348238856</v>
      </c>
      <c r="K813" s="10">
        <f t="shared" si="234"/>
        <v>21.188530377780278</v>
      </c>
      <c r="L813" s="22">
        <v>1040</v>
      </c>
      <c r="M813" s="31" t="s">
        <v>124</v>
      </c>
      <c r="N813" s="8" t="s">
        <v>167</v>
      </c>
      <c r="O813" s="10" t="s">
        <v>188</v>
      </c>
      <c r="P813" s="10" t="s">
        <v>189</v>
      </c>
      <c r="Q813" s="22">
        <v>0.47</v>
      </c>
      <c r="R813" s="22" t="s">
        <v>190</v>
      </c>
      <c r="S813" s="30">
        <v>5.4</v>
      </c>
      <c r="T813" s="79">
        <f t="shared" si="238"/>
        <v>2.2902264000000004E-3</v>
      </c>
      <c r="U813" s="22">
        <v>6</v>
      </c>
      <c r="V813" s="22">
        <v>20</v>
      </c>
      <c r="W813" s="10">
        <f t="shared" si="245"/>
        <v>0.3490658503988659</v>
      </c>
      <c r="X813" s="22">
        <v>6</v>
      </c>
      <c r="Y813" s="22">
        <v>25</v>
      </c>
      <c r="Z813" s="10">
        <f t="shared" si="246"/>
        <v>0.43633231299858238</v>
      </c>
      <c r="AA813" s="10">
        <f t="shared" si="247"/>
        <v>4.5878304303982089</v>
      </c>
      <c r="AB813" s="10">
        <f t="shared" si="248"/>
        <v>3.8057906288786989</v>
      </c>
      <c r="AC813" s="10">
        <f t="shared" si="230"/>
        <v>0.47572382860983736</v>
      </c>
      <c r="AD813" s="10">
        <f t="shared" si="235"/>
        <v>1.9028953144393495</v>
      </c>
      <c r="AE813" s="65"/>
      <c r="AF813" s="10">
        <f t="shared" si="236"/>
        <v>6.0434501277378638</v>
      </c>
      <c r="AG813" s="8">
        <f t="shared" si="231"/>
        <v>1.1784727749088835</v>
      </c>
      <c r="AH813" s="10">
        <f t="shared" si="232"/>
        <v>3.0217250638689319</v>
      </c>
      <c r="AI813" s="63"/>
      <c r="AJ813" s="10">
        <f t="shared" si="237"/>
        <v>5.3291999999999966</v>
      </c>
      <c r="AK813" s="8"/>
      <c r="AL813" s="8">
        <f t="shared" si="233"/>
        <v>2.6645999999999983</v>
      </c>
    </row>
    <row r="814" spans="1:38">
      <c r="A814" s="18">
        <v>41487</v>
      </c>
      <c r="B814" s="19" t="s">
        <v>34</v>
      </c>
      <c r="C814" s="12">
        <v>150.19999999999999</v>
      </c>
      <c r="D814" s="19" t="s">
        <v>80</v>
      </c>
      <c r="E814" s="22">
        <v>8.4116599999999995</v>
      </c>
      <c r="F814" s="22">
        <v>83.312479999999994</v>
      </c>
      <c r="G814" s="22">
        <v>150</v>
      </c>
      <c r="H814" s="8">
        <v>13</v>
      </c>
      <c r="I814" s="10">
        <f t="shared" si="244"/>
        <v>7.6489254580385788</v>
      </c>
      <c r="J814" s="10">
        <f t="shared" si="243"/>
        <v>0.13349893348238856</v>
      </c>
      <c r="K814" s="10">
        <f t="shared" si="234"/>
        <v>21.188530377780278</v>
      </c>
      <c r="L814" s="22">
        <v>1052</v>
      </c>
      <c r="M814" s="22" t="s">
        <v>72</v>
      </c>
      <c r="N814" s="22" t="s">
        <v>93</v>
      </c>
      <c r="O814" s="10" t="s">
        <v>91</v>
      </c>
      <c r="P814" s="15" t="s">
        <v>92</v>
      </c>
      <c r="Q814" s="8">
        <v>0.48</v>
      </c>
      <c r="R814" s="22" t="s">
        <v>190</v>
      </c>
      <c r="S814" s="30">
        <v>12</v>
      </c>
      <c r="T814" s="79">
        <f t="shared" si="238"/>
        <v>1.130976E-2</v>
      </c>
      <c r="U814" s="22">
        <v>8</v>
      </c>
      <c r="V814" s="22">
        <v>44</v>
      </c>
      <c r="W814" s="10">
        <f t="shared" si="245"/>
        <v>0.76794487087750496</v>
      </c>
      <c r="X814" s="22">
        <v>6</v>
      </c>
      <c r="Y814" s="22">
        <v>24</v>
      </c>
      <c r="Z814" s="10">
        <f t="shared" si="246"/>
        <v>0.41887902047863912</v>
      </c>
      <c r="AA814" s="10">
        <f t="shared" si="247"/>
        <v>7.9976868221267789</v>
      </c>
      <c r="AB814" s="10">
        <f t="shared" si="248"/>
        <v>29.368093699195235</v>
      </c>
      <c r="AC814" s="10">
        <f t="shared" si="230"/>
        <v>3.6710117123994044</v>
      </c>
      <c r="AD814" s="10">
        <f t="shared" si="235"/>
        <v>14.684046849597618</v>
      </c>
      <c r="AE814" s="65"/>
      <c r="AF814" s="10">
        <f t="shared" si="236"/>
        <v>44.441042596259827</v>
      </c>
      <c r="AG814" s="8">
        <f t="shared" si="231"/>
        <v>8.6660033062706674</v>
      </c>
      <c r="AH814" s="10">
        <f t="shared" si="232"/>
        <v>22.220521298129913</v>
      </c>
      <c r="AI814" s="63"/>
      <c r="AJ814" s="10">
        <f t="shared" si="237"/>
        <v>44.420999999999992</v>
      </c>
      <c r="AK814" s="8"/>
      <c r="AL814" s="8">
        <f t="shared" si="233"/>
        <v>22.210499999999996</v>
      </c>
    </row>
    <row r="815" spans="1:38">
      <c r="A815" s="18">
        <v>41487</v>
      </c>
      <c r="B815" s="19" t="s">
        <v>34</v>
      </c>
      <c r="C815" s="12">
        <v>150.19999999999999</v>
      </c>
      <c r="D815" s="19" t="s">
        <v>80</v>
      </c>
      <c r="E815" s="22">
        <v>8.4116599999999995</v>
      </c>
      <c r="F815" s="22">
        <v>83.312479999999994</v>
      </c>
      <c r="G815" s="22">
        <v>150</v>
      </c>
      <c r="H815" s="8">
        <v>13</v>
      </c>
      <c r="I815" s="10">
        <f t="shared" si="244"/>
        <v>7.6489254580385788</v>
      </c>
      <c r="J815" s="10">
        <f t="shared" si="243"/>
        <v>0.13349893348238856</v>
      </c>
      <c r="K815" s="10">
        <f t="shared" si="234"/>
        <v>21.188530377780278</v>
      </c>
      <c r="L815" s="22">
        <v>1069</v>
      </c>
      <c r="M815" s="31" t="s">
        <v>222</v>
      </c>
      <c r="N815" s="22" t="s">
        <v>171</v>
      </c>
      <c r="O815" s="50" t="s">
        <v>172</v>
      </c>
      <c r="P815" s="50" t="s">
        <v>173</v>
      </c>
      <c r="Q815" s="23">
        <v>0.24</v>
      </c>
      <c r="R815" s="22" t="s">
        <v>174</v>
      </c>
      <c r="S815" s="30">
        <v>6.6</v>
      </c>
      <c r="T815" s="79">
        <f t="shared" si="238"/>
        <v>3.4212023999999996E-3</v>
      </c>
      <c r="U815" s="22">
        <v>6</v>
      </c>
      <c r="V815" s="22">
        <v>20</v>
      </c>
      <c r="W815" s="10">
        <f t="shared" si="245"/>
        <v>0.3490658503988659</v>
      </c>
      <c r="X815" s="22">
        <v>6</v>
      </c>
      <c r="Y815" s="22">
        <v>25</v>
      </c>
      <c r="Z815" s="10">
        <f t="shared" si="246"/>
        <v>0.43633231299858238</v>
      </c>
      <c r="AA815" s="10">
        <f t="shared" si="247"/>
        <v>4.5878304303982089</v>
      </c>
      <c r="AB815" s="10">
        <f t="shared" si="248"/>
        <v>2.950623544240222</v>
      </c>
      <c r="AC815" s="10">
        <f t="shared" si="230"/>
        <v>0.36882794303002775</v>
      </c>
      <c r="AD815" s="10">
        <f t="shared" si="235"/>
        <v>1.475311772120111</v>
      </c>
      <c r="AE815" s="65"/>
      <c r="AF815" s="10">
        <f t="shared" si="236"/>
        <v>5.0459479194639485</v>
      </c>
      <c r="AG815" s="8">
        <f t="shared" si="231"/>
        <v>0.98395984429547001</v>
      </c>
      <c r="AH815" s="10">
        <f t="shared" si="232"/>
        <v>2.5229739597319742</v>
      </c>
      <c r="AI815" s="63"/>
      <c r="AJ815" s="10">
        <f t="shared" si="237"/>
        <v>7.6415999999999933</v>
      </c>
      <c r="AK815" s="8"/>
      <c r="AL815" s="8">
        <f t="shared" si="233"/>
        <v>3.8207999999999966</v>
      </c>
    </row>
    <row r="816" spans="1:38">
      <c r="A816" s="18">
        <v>41487</v>
      </c>
      <c r="B816" s="19" t="s">
        <v>34</v>
      </c>
      <c r="C816" s="12">
        <v>150.19999999999999</v>
      </c>
      <c r="D816" s="19" t="s">
        <v>80</v>
      </c>
      <c r="E816" s="22">
        <v>8.4116599999999995</v>
      </c>
      <c r="F816" s="22">
        <v>83.312479999999994</v>
      </c>
      <c r="G816" s="22">
        <v>150</v>
      </c>
      <c r="H816" s="8">
        <v>13</v>
      </c>
      <c r="I816" s="10">
        <f t="shared" si="244"/>
        <v>7.6489254580385788</v>
      </c>
      <c r="J816" s="10">
        <f t="shared" si="243"/>
        <v>0.13349893348238856</v>
      </c>
      <c r="K816" s="10">
        <f t="shared" si="234"/>
        <v>21.188530377780278</v>
      </c>
      <c r="L816" s="22">
        <v>1048</v>
      </c>
      <c r="M816" s="31" t="s">
        <v>54</v>
      </c>
      <c r="N816" s="8" t="s">
        <v>55</v>
      </c>
      <c r="O816" s="10" t="s">
        <v>56</v>
      </c>
      <c r="P816" s="10" t="s">
        <v>57</v>
      </c>
      <c r="Q816" s="11">
        <v>0.315</v>
      </c>
      <c r="R816" s="12" t="s">
        <v>66</v>
      </c>
      <c r="S816" s="30">
        <v>5.3</v>
      </c>
      <c r="T816" s="79">
        <f t="shared" si="238"/>
        <v>2.2061886000000002E-3</v>
      </c>
      <c r="U816" s="22">
        <v>6</v>
      </c>
      <c r="V816" s="22">
        <v>20</v>
      </c>
      <c r="W816" s="10">
        <f t="shared" si="245"/>
        <v>0.3490658503988659</v>
      </c>
      <c r="X816" s="22">
        <v>6</v>
      </c>
      <c r="Y816" s="22">
        <v>25</v>
      </c>
      <c r="Z816" s="10">
        <f t="shared" si="246"/>
        <v>0.43633231299858238</v>
      </c>
      <c r="AA816" s="10">
        <f t="shared" si="247"/>
        <v>4.5878304303982089</v>
      </c>
      <c r="AB816" s="10">
        <f t="shared" si="248"/>
        <v>2.5224536386978835</v>
      </c>
      <c r="AC816" s="10">
        <f t="shared" si="230"/>
        <v>0.31530670483723544</v>
      </c>
      <c r="AD816" s="10">
        <f t="shared" si="235"/>
        <v>1.2612268193489418</v>
      </c>
      <c r="AE816" s="65"/>
      <c r="AF816" s="10">
        <f t="shared" si="236"/>
        <v>3.8700153780396818</v>
      </c>
      <c r="AG816" s="8">
        <f t="shared" si="231"/>
        <v>0.75465299871773794</v>
      </c>
      <c r="AH816" s="10">
        <f t="shared" si="232"/>
        <v>1.9350076890198409</v>
      </c>
      <c r="AI816" s="63"/>
      <c r="AJ816" s="10">
        <f t="shared" si="237"/>
        <v>5.2326999999999977</v>
      </c>
      <c r="AK816" s="8"/>
      <c r="AL816" s="8">
        <f t="shared" si="233"/>
        <v>2.6163499999999988</v>
      </c>
    </row>
    <row r="817" spans="1:38">
      <c r="A817" s="18">
        <v>41487</v>
      </c>
      <c r="B817" s="19" t="s">
        <v>34</v>
      </c>
      <c r="C817" s="12">
        <v>150.19999999999999</v>
      </c>
      <c r="D817" s="19" t="s">
        <v>80</v>
      </c>
      <c r="E817" s="22">
        <v>8.4116599999999995</v>
      </c>
      <c r="F817" s="22">
        <v>83.312479999999994</v>
      </c>
      <c r="G817" s="22">
        <v>150</v>
      </c>
      <c r="H817" s="8">
        <v>13</v>
      </c>
      <c r="I817" s="10">
        <f t="shared" si="244"/>
        <v>7.6489254580385788</v>
      </c>
      <c r="J817" s="10">
        <f t="shared" si="243"/>
        <v>0.13349893348238856</v>
      </c>
      <c r="K817" s="10">
        <f t="shared" si="234"/>
        <v>21.188530377780278</v>
      </c>
      <c r="L817" s="22">
        <v>1050</v>
      </c>
      <c r="M817" s="31" t="s">
        <v>78</v>
      </c>
      <c r="N817" s="7" t="s">
        <v>87</v>
      </c>
      <c r="O817" s="33" t="s">
        <v>88</v>
      </c>
      <c r="P817" s="33" t="s">
        <v>89</v>
      </c>
      <c r="Q817" s="38">
        <v>0.64</v>
      </c>
      <c r="R817" s="7" t="s">
        <v>90</v>
      </c>
      <c r="S817" s="30">
        <v>10.199999999999999</v>
      </c>
      <c r="T817" s="79">
        <f t="shared" si="238"/>
        <v>8.1713015999999999E-3</v>
      </c>
      <c r="U817" s="22">
        <v>10</v>
      </c>
      <c r="V817" s="22">
        <v>55</v>
      </c>
      <c r="W817" s="10">
        <f t="shared" si="245"/>
        <v>0.95993108859688125</v>
      </c>
      <c r="X817" s="22">
        <v>6</v>
      </c>
      <c r="Y817" s="22">
        <v>7</v>
      </c>
      <c r="Z817" s="10">
        <f t="shared" si="246"/>
        <v>0.12217304763960307</v>
      </c>
      <c r="AA817" s="10">
        <f t="shared" si="247"/>
        <v>8.9227365033208024</v>
      </c>
      <c r="AB817" s="10">
        <f t="shared" si="248"/>
        <v>31.427324055413642</v>
      </c>
      <c r="AC817" s="10">
        <f t="shared" si="230"/>
        <v>3.9284155069267053</v>
      </c>
      <c r="AD817" s="10">
        <f t="shared" si="235"/>
        <v>15.713662027706821</v>
      </c>
      <c r="AE817" s="65"/>
      <c r="AF817" s="10">
        <f t="shared" si="236"/>
        <v>39.548113329943398</v>
      </c>
      <c r="AG817" s="8">
        <f t="shared" si="231"/>
        <v>7.711882099338963</v>
      </c>
      <c r="AH817" s="10">
        <f t="shared" si="232"/>
        <v>19.774056664971699</v>
      </c>
      <c r="AI817" s="63"/>
      <c r="AJ817" s="10">
        <f t="shared" si="237"/>
        <v>27.366</v>
      </c>
      <c r="AK817" s="8"/>
      <c r="AL817" s="8">
        <f t="shared" si="233"/>
        <v>13.683</v>
      </c>
    </row>
    <row r="818" spans="1:38">
      <c r="A818" s="18">
        <v>41487</v>
      </c>
      <c r="B818" s="19" t="s">
        <v>34</v>
      </c>
      <c r="C818" s="12">
        <v>150.19999999999999</v>
      </c>
      <c r="D818" s="19" t="s">
        <v>80</v>
      </c>
      <c r="E818" s="22">
        <v>8.4116599999999995</v>
      </c>
      <c r="F818" s="22">
        <v>83.312479999999994</v>
      </c>
      <c r="G818" s="22">
        <v>150</v>
      </c>
      <c r="H818" s="8">
        <v>13</v>
      </c>
      <c r="I818" s="10">
        <f t="shared" si="244"/>
        <v>7.6489254580385788</v>
      </c>
      <c r="J818" s="10">
        <f t="shared" si="243"/>
        <v>0.13349893348238856</v>
      </c>
      <c r="K818" s="10">
        <f t="shared" si="234"/>
        <v>21.188530377780278</v>
      </c>
      <c r="L818" s="22">
        <v>1056</v>
      </c>
      <c r="M818" s="31" t="s">
        <v>253</v>
      </c>
      <c r="N818" s="7" t="s">
        <v>197</v>
      </c>
      <c r="O818" s="57" t="s">
        <v>228</v>
      </c>
      <c r="P818" s="33" t="s">
        <v>229</v>
      </c>
      <c r="Q818" s="22">
        <v>0.89</v>
      </c>
      <c r="R818" s="22" t="s">
        <v>190</v>
      </c>
      <c r="S818" s="30">
        <v>7.7</v>
      </c>
      <c r="T818" s="79">
        <f t="shared" si="238"/>
        <v>4.6566366000000007E-3</v>
      </c>
      <c r="U818" s="22">
        <v>8</v>
      </c>
      <c r="V818" s="22">
        <v>44</v>
      </c>
      <c r="W818" s="10">
        <f t="shared" si="245"/>
        <v>0.76794487087750496</v>
      </c>
      <c r="X818" s="22">
        <v>6</v>
      </c>
      <c r="Y818" s="22">
        <v>24</v>
      </c>
      <c r="Z818" s="10">
        <f t="shared" si="246"/>
        <v>0.41887902047863912</v>
      </c>
      <c r="AA818" s="10">
        <f t="shared" si="247"/>
        <v>7.9976868221267789</v>
      </c>
      <c r="AB818" s="10">
        <f t="shared" si="248"/>
        <v>22.786489411693747</v>
      </c>
      <c r="AC818" s="10">
        <f t="shared" si="230"/>
        <v>2.8483111764617184</v>
      </c>
      <c r="AD818" s="10">
        <f t="shared" si="235"/>
        <v>11.393244705846874</v>
      </c>
      <c r="AE818" s="65"/>
      <c r="AF818" s="10">
        <f t="shared" si="236"/>
        <v>27.373534439733916</v>
      </c>
      <c r="AG818" s="8">
        <f t="shared" si="231"/>
        <v>5.3378392157481143</v>
      </c>
      <c r="AH818" s="10">
        <f t="shared" si="232"/>
        <v>13.686767219866958</v>
      </c>
      <c r="AI818" s="63"/>
      <c r="AJ818" s="10">
        <f t="shared" si="237"/>
        <v>11.633499999999998</v>
      </c>
      <c r="AK818" s="8"/>
      <c r="AL818" s="8">
        <f t="shared" si="233"/>
        <v>5.816749999999999</v>
      </c>
    </row>
    <row r="819" spans="1:38">
      <c r="A819" s="18">
        <v>41487</v>
      </c>
      <c r="B819" s="19" t="s">
        <v>34</v>
      </c>
      <c r="C819" s="12">
        <v>150.19999999999999</v>
      </c>
      <c r="D819" s="19" t="s">
        <v>80</v>
      </c>
      <c r="E819" s="22">
        <v>8.4116599999999995</v>
      </c>
      <c r="F819" s="22">
        <v>83.312479999999994</v>
      </c>
      <c r="G819" s="22">
        <v>150</v>
      </c>
      <c r="H819" s="8">
        <v>13</v>
      </c>
      <c r="I819" s="10">
        <f t="shared" si="244"/>
        <v>7.6489254580385788</v>
      </c>
      <c r="J819" s="10">
        <f t="shared" si="243"/>
        <v>0.13349893348238856</v>
      </c>
      <c r="K819" s="10">
        <f t="shared" si="234"/>
        <v>21.188530377780278</v>
      </c>
      <c r="L819" s="22">
        <v>1026</v>
      </c>
      <c r="M819" s="31" t="s">
        <v>54</v>
      </c>
      <c r="N819" s="8" t="s">
        <v>55</v>
      </c>
      <c r="O819" s="10" t="s">
        <v>56</v>
      </c>
      <c r="P819" s="10" t="s">
        <v>57</v>
      </c>
      <c r="Q819" s="11">
        <v>0.315</v>
      </c>
      <c r="R819" s="12" t="s">
        <v>66</v>
      </c>
      <c r="S819" s="30">
        <v>5.7</v>
      </c>
      <c r="T819" s="79">
        <f t="shared" si="238"/>
        <v>2.5517646000000004E-3</v>
      </c>
      <c r="U819" s="22">
        <v>8</v>
      </c>
      <c r="V819" s="22">
        <v>44</v>
      </c>
      <c r="W819" s="10">
        <f t="shared" si="245"/>
        <v>0.76794487087750496</v>
      </c>
      <c r="X819" s="22">
        <v>6</v>
      </c>
      <c r="Y819" s="22">
        <v>24</v>
      </c>
      <c r="Z819" s="10">
        <f t="shared" si="246"/>
        <v>0.41887902047863912</v>
      </c>
      <c r="AA819" s="10">
        <f t="shared" si="247"/>
        <v>7.9976868221267789</v>
      </c>
      <c r="AB819" s="10">
        <f t="shared" si="248"/>
        <v>4.8764626325312816</v>
      </c>
      <c r="AC819" s="10">
        <f t="shared" si="230"/>
        <v>0.60955782906641021</v>
      </c>
      <c r="AD819" s="10">
        <f t="shared" si="235"/>
        <v>2.4382313162656408</v>
      </c>
      <c r="AE819" s="65"/>
      <c r="AF819" s="10">
        <f t="shared" si="236"/>
        <v>4.6220529052500741</v>
      </c>
      <c r="AG819" s="8">
        <f t="shared" si="231"/>
        <v>0.90130031652376452</v>
      </c>
      <c r="AH819" s="10">
        <f t="shared" si="232"/>
        <v>2.311026452625037</v>
      </c>
      <c r="AI819" s="63"/>
      <c r="AJ819" s="10">
        <f t="shared" si="237"/>
        <v>5.7074999999999996</v>
      </c>
      <c r="AK819" s="8"/>
      <c r="AL819" s="8">
        <f t="shared" si="233"/>
        <v>2.8537499999999998</v>
      </c>
    </row>
    <row r="820" spans="1:38">
      <c r="A820" s="18">
        <v>41487</v>
      </c>
      <c r="B820" s="19" t="s">
        <v>34</v>
      </c>
      <c r="C820" s="12">
        <v>150.19999999999999</v>
      </c>
      <c r="D820" s="19" t="s">
        <v>80</v>
      </c>
      <c r="E820" s="22">
        <v>8.4116599999999995</v>
      </c>
      <c r="F820" s="22">
        <v>83.312479999999994</v>
      </c>
      <c r="G820" s="22">
        <v>150</v>
      </c>
      <c r="H820" s="8">
        <v>13</v>
      </c>
      <c r="I820" s="10">
        <f t="shared" si="244"/>
        <v>7.6489254580385788</v>
      </c>
      <c r="J820" s="10">
        <f t="shared" si="243"/>
        <v>0.13349893348238856</v>
      </c>
      <c r="K820" s="10">
        <f t="shared" si="234"/>
        <v>21.188530377780278</v>
      </c>
      <c r="L820" s="22">
        <v>1072</v>
      </c>
      <c r="M820" s="31" t="s">
        <v>231</v>
      </c>
      <c r="N820" s="8" t="s">
        <v>171</v>
      </c>
      <c r="O820" s="33" t="s">
        <v>99</v>
      </c>
      <c r="P820" s="33" t="s">
        <v>99</v>
      </c>
      <c r="Q820" s="22">
        <v>0.57999999999999996</v>
      </c>
      <c r="R820" s="22" t="s">
        <v>103</v>
      </c>
      <c r="S820" s="30">
        <v>6.5</v>
      </c>
      <c r="T820" s="79">
        <f t="shared" si="238"/>
        <v>3.3183150000000001E-3</v>
      </c>
      <c r="U820" s="22">
        <v>6</v>
      </c>
      <c r="V820" s="22">
        <v>20</v>
      </c>
      <c r="W820" s="10">
        <f t="shared" si="245"/>
        <v>0.3490658503988659</v>
      </c>
      <c r="X820" s="22">
        <v>6</v>
      </c>
      <c r="Y820" s="22">
        <v>25</v>
      </c>
      <c r="Z820" s="10">
        <f t="shared" si="246"/>
        <v>0.43633231299858238</v>
      </c>
      <c r="AA820" s="10">
        <f t="shared" si="247"/>
        <v>4.5878304303982089</v>
      </c>
      <c r="AB820" s="10">
        <f t="shared" si="248"/>
        <v>6.5716142385405938</v>
      </c>
      <c r="AC820" s="10">
        <f t="shared" si="230"/>
        <v>0.82145177981757422</v>
      </c>
      <c r="AD820" s="10">
        <f t="shared" si="235"/>
        <v>3.2858071192702969</v>
      </c>
      <c r="AE820" s="65"/>
      <c r="AF820" s="10">
        <f t="shared" si="236"/>
        <v>11.744815846187073</v>
      </c>
      <c r="AG820" s="8">
        <f t="shared" si="231"/>
        <v>2.2902390900064793</v>
      </c>
      <c r="AH820" s="10">
        <f t="shared" si="232"/>
        <v>5.8724079230935367</v>
      </c>
      <c r="AI820" s="63"/>
      <c r="AJ820" s="10">
        <f t="shared" si="237"/>
        <v>7.3674999999999962</v>
      </c>
      <c r="AK820" s="8"/>
      <c r="AL820" s="8">
        <f t="shared" si="233"/>
        <v>3.6837499999999981</v>
      </c>
    </row>
    <row r="821" spans="1:38">
      <c r="A821" s="18">
        <v>41487</v>
      </c>
      <c r="B821" s="19" t="s">
        <v>34</v>
      </c>
      <c r="C821" s="12">
        <v>150.19999999999999</v>
      </c>
      <c r="D821" s="19" t="s">
        <v>80</v>
      </c>
      <c r="E821" s="22">
        <v>8.4116599999999995</v>
      </c>
      <c r="F821" s="22">
        <v>83.312479999999994</v>
      </c>
      <c r="G821" s="22">
        <v>150</v>
      </c>
      <c r="H821" s="8">
        <v>13</v>
      </c>
      <c r="I821" s="10">
        <f t="shared" si="244"/>
        <v>7.6489254580385788</v>
      </c>
      <c r="J821" s="10">
        <f t="shared" si="243"/>
        <v>0.13349893348238856</v>
      </c>
      <c r="K821" s="10">
        <f t="shared" si="234"/>
        <v>21.188530377780278</v>
      </c>
      <c r="L821" s="22">
        <v>1032</v>
      </c>
      <c r="M821" s="31" t="s">
        <v>231</v>
      </c>
      <c r="N821" s="8" t="s">
        <v>171</v>
      </c>
      <c r="O821" s="33" t="s">
        <v>99</v>
      </c>
      <c r="P821" s="33" t="s">
        <v>99</v>
      </c>
      <c r="Q821" s="22">
        <v>0.57999999999999996</v>
      </c>
      <c r="R821" s="22" t="s">
        <v>103</v>
      </c>
      <c r="S821" s="30">
        <v>6.6</v>
      </c>
      <c r="T821" s="79">
        <f t="shared" si="238"/>
        <v>3.4212023999999996E-3</v>
      </c>
      <c r="U821" s="22">
        <v>6</v>
      </c>
      <c r="V821" s="22">
        <v>20</v>
      </c>
      <c r="W821" s="10">
        <f t="shared" si="245"/>
        <v>0.3490658503988659</v>
      </c>
      <c r="X821" s="22">
        <v>6</v>
      </c>
      <c r="Y821" s="22">
        <v>25</v>
      </c>
      <c r="Z821" s="10">
        <f t="shared" si="246"/>
        <v>0.43633231299858238</v>
      </c>
      <c r="AA821" s="10">
        <f t="shared" si="247"/>
        <v>4.5878304303982089</v>
      </c>
      <c r="AB821" s="10">
        <f t="shared" si="248"/>
        <v>6.762971390803294</v>
      </c>
      <c r="AC821" s="10">
        <f t="shared" ref="AC821:AC882" si="249">AB821*0.125</f>
        <v>0.84537142385041175</v>
      </c>
      <c r="AD821" s="10">
        <f t="shared" si="235"/>
        <v>3.381485695401647</v>
      </c>
      <c r="AE821" s="65"/>
      <c r="AF821" s="10">
        <f t="shared" si="236"/>
        <v>12.194374138704543</v>
      </c>
      <c r="AG821" s="8">
        <f t="shared" ref="AG821:AG882" si="250">AF821*0.195</f>
        <v>2.377902957047386</v>
      </c>
      <c r="AH821" s="10">
        <f t="shared" ref="AH821:AH882" si="251">AF821/2</f>
        <v>6.0971870693522714</v>
      </c>
      <c r="AI821" s="63"/>
      <c r="AJ821" s="10">
        <f t="shared" si="237"/>
        <v>7.6415999999999933</v>
      </c>
      <c r="AK821" s="8"/>
      <c r="AL821" s="8">
        <f t="shared" ref="AL821:AL882" si="252">AJ821/2</f>
        <v>3.8207999999999966</v>
      </c>
    </row>
    <row r="822" spans="1:38">
      <c r="A822" s="18">
        <v>41487</v>
      </c>
      <c r="B822" s="19" t="s">
        <v>34</v>
      </c>
      <c r="C822" s="12">
        <v>150.19999999999999</v>
      </c>
      <c r="D822" s="19" t="s">
        <v>80</v>
      </c>
      <c r="E822" s="22">
        <v>8.4116599999999995</v>
      </c>
      <c r="F822" s="22">
        <v>83.312479999999994</v>
      </c>
      <c r="G822" s="22">
        <v>150</v>
      </c>
      <c r="H822" s="8">
        <v>13</v>
      </c>
      <c r="I822" s="10">
        <f t="shared" si="244"/>
        <v>7.6489254580385788</v>
      </c>
      <c r="J822" s="10">
        <f t="shared" si="243"/>
        <v>0.13349893348238856</v>
      </c>
      <c r="K822" s="10">
        <f t="shared" si="234"/>
        <v>21.188530377780278</v>
      </c>
      <c r="L822" s="22">
        <v>1055</v>
      </c>
      <c r="M822" s="31" t="s">
        <v>231</v>
      </c>
      <c r="N822" s="8" t="s">
        <v>171</v>
      </c>
      <c r="O822" s="33" t="s">
        <v>99</v>
      </c>
      <c r="P822" s="33" t="s">
        <v>99</v>
      </c>
      <c r="Q822" s="22">
        <v>0.57999999999999996</v>
      </c>
      <c r="R822" s="22" t="s">
        <v>103</v>
      </c>
      <c r="S822" s="30">
        <v>7.7</v>
      </c>
      <c r="T822" s="79">
        <f t="shared" si="238"/>
        <v>4.6566366000000007E-3</v>
      </c>
      <c r="U822" s="22">
        <v>6</v>
      </c>
      <c r="V822" s="22">
        <v>20</v>
      </c>
      <c r="W822" s="10">
        <f t="shared" si="245"/>
        <v>0.3490658503988659</v>
      </c>
      <c r="X822" s="22">
        <v>6</v>
      </c>
      <c r="Y822" s="22">
        <v>25</v>
      </c>
      <c r="Z822" s="10">
        <f t="shared" si="246"/>
        <v>0.43633231299858238</v>
      </c>
      <c r="AA822" s="10">
        <f t="shared" si="247"/>
        <v>4.5878304303982089</v>
      </c>
      <c r="AB822" s="10">
        <f t="shared" si="248"/>
        <v>9.0364430260699073</v>
      </c>
      <c r="AC822" s="10">
        <f t="shared" si="249"/>
        <v>1.1295553782587384</v>
      </c>
      <c r="AD822" s="10">
        <f t="shared" si="235"/>
        <v>4.5182215130349537</v>
      </c>
      <c r="AE822" s="65"/>
      <c r="AF822" s="10">
        <f t="shared" si="236"/>
        <v>17.838932556231089</v>
      </c>
      <c r="AG822" s="8">
        <f t="shared" si="250"/>
        <v>3.4785918484650624</v>
      </c>
      <c r="AH822" s="10">
        <f t="shared" si="251"/>
        <v>8.9194662781155447</v>
      </c>
      <c r="AI822" s="63"/>
      <c r="AJ822" s="10">
        <f t="shared" si="237"/>
        <v>11.633499999999998</v>
      </c>
      <c r="AK822" s="8"/>
      <c r="AL822" s="8">
        <f t="shared" si="252"/>
        <v>5.816749999999999</v>
      </c>
    </row>
    <row r="823" spans="1:38">
      <c r="A823" s="18">
        <v>41487</v>
      </c>
      <c r="B823" s="19" t="s">
        <v>34</v>
      </c>
      <c r="C823" s="12">
        <v>150.19999999999999</v>
      </c>
      <c r="D823" s="19" t="s">
        <v>80</v>
      </c>
      <c r="E823" s="22">
        <v>8.4116599999999995</v>
      </c>
      <c r="F823" s="22">
        <v>83.312479999999994</v>
      </c>
      <c r="G823" s="22">
        <v>150</v>
      </c>
      <c r="H823" s="8">
        <v>13</v>
      </c>
      <c r="I823" s="10">
        <f t="shared" si="244"/>
        <v>7.6489254580385788</v>
      </c>
      <c r="J823" s="10">
        <f t="shared" si="243"/>
        <v>0.13349893348238856</v>
      </c>
      <c r="K823" s="10">
        <f t="shared" si="234"/>
        <v>21.188530377780278</v>
      </c>
      <c r="L823" s="22">
        <v>1030</v>
      </c>
      <c r="M823" s="31" t="s">
        <v>231</v>
      </c>
      <c r="N823" s="8" t="s">
        <v>171</v>
      </c>
      <c r="O823" s="33" t="s">
        <v>99</v>
      </c>
      <c r="P823" s="33" t="s">
        <v>99</v>
      </c>
      <c r="Q823" s="22">
        <v>0.57999999999999996</v>
      </c>
      <c r="R823" s="22" t="s">
        <v>103</v>
      </c>
      <c r="S823" s="30">
        <v>7</v>
      </c>
      <c r="T823" s="79">
        <f t="shared" si="238"/>
        <v>3.8484600000000002E-3</v>
      </c>
      <c r="U823" s="22">
        <v>6</v>
      </c>
      <c r="V823" s="22">
        <v>20</v>
      </c>
      <c r="W823" s="10">
        <f t="shared" si="245"/>
        <v>0.3490658503988659</v>
      </c>
      <c r="X823" s="22">
        <v>6</v>
      </c>
      <c r="Y823" s="22">
        <v>25</v>
      </c>
      <c r="Z823" s="10">
        <f t="shared" si="246"/>
        <v>0.43633231299858238</v>
      </c>
      <c r="AA823" s="10">
        <f t="shared" si="247"/>
        <v>4.5878304303982089</v>
      </c>
      <c r="AB823" s="10">
        <f t="shared" si="248"/>
        <v>7.5540397649978042</v>
      </c>
      <c r="AC823" s="10">
        <f t="shared" si="249"/>
        <v>0.94425497062472552</v>
      </c>
      <c r="AD823" s="10">
        <f t="shared" si="235"/>
        <v>3.7770198824989021</v>
      </c>
      <c r="AE823" s="65"/>
      <c r="AF823" s="10">
        <f t="shared" si="236"/>
        <v>14.096751983193448</v>
      </c>
      <c r="AG823" s="8">
        <f t="shared" si="250"/>
        <v>2.7488666367227226</v>
      </c>
      <c r="AH823" s="10">
        <f t="shared" si="251"/>
        <v>7.0483759915967239</v>
      </c>
      <c r="AI823" s="63"/>
      <c r="AJ823" s="10">
        <f t="shared" si="237"/>
        <v>8.8859999999999992</v>
      </c>
      <c r="AK823" s="8"/>
      <c r="AL823" s="8">
        <f t="shared" si="252"/>
        <v>4.4429999999999996</v>
      </c>
    </row>
    <row r="824" spans="1:38">
      <c r="A824" s="18">
        <v>41487</v>
      </c>
      <c r="B824" s="19" t="s">
        <v>34</v>
      </c>
      <c r="C824" s="12">
        <v>150.19999999999999</v>
      </c>
      <c r="D824" s="19" t="s">
        <v>80</v>
      </c>
      <c r="E824" s="22">
        <v>8.4116599999999995</v>
      </c>
      <c r="F824" s="22">
        <v>83.312479999999994</v>
      </c>
      <c r="G824" s="22">
        <v>150</v>
      </c>
      <c r="H824" s="8">
        <v>13</v>
      </c>
      <c r="I824" s="10">
        <f t="shared" si="244"/>
        <v>7.6489254580385788</v>
      </c>
      <c r="J824" s="10">
        <f t="shared" si="243"/>
        <v>0.13349893348238856</v>
      </c>
      <c r="K824" s="10">
        <f t="shared" si="234"/>
        <v>21.188530377780278</v>
      </c>
      <c r="L824" s="22">
        <v>1057</v>
      </c>
      <c r="M824" s="31" t="s">
        <v>231</v>
      </c>
      <c r="N824" s="8" t="s">
        <v>171</v>
      </c>
      <c r="O824" s="33" t="s">
        <v>99</v>
      </c>
      <c r="P824" s="33" t="s">
        <v>99</v>
      </c>
      <c r="Q824" s="22">
        <v>0.57999999999999996</v>
      </c>
      <c r="R824" s="22" t="s">
        <v>103</v>
      </c>
      <c r="S824" s="30">
        <v>9.6999999999999993</v>
      </c>
      <c r="T824" s="79">
        <f t="shared" si="238"/>
        <v>7.3898285999999995E-3</v>
      </c>
      <c r="U824" s="22">
        <v>8</v>
      </c>
      <c r="V824" s="22">
        <v>44</v>
      </c>
      <c r="W824" s="10">
        <f t="shared" si="245"/>
        <v>0.76794487087750496</v>
      </c>
      <c r="X824" s="22">
        <v>6</v>
      </c>
      <c r="Y824" s="22">
        <v>24</v>
      </c>
      <c r="Z824" s="10">
        <f t="shared" si="246"/>
        <v>0.41887902047863912</v>
      </c>
      <c r="AA824" s="10">
        <f t="shared" si="247"/>
        <v>7.9976868221267789</v>
      </c>
      <c r="AB824" s="10">
        <f t="shared" si="248"/>
        <v>23.518056305091665</v>
      </c>
      <c r="AC824" s="10">
        <f t="shared" si="249"/>
        <v>2.9397570381364582</v>
      </c>
      <c r="AD824" s="10">
        <f t="shared" si="235"/>
        <v>11.759028152545833</v>
      </c>
      <c r="AE824" s="65"/>
      <c r="AF824" s="10">
        <f t="shared" si="236"/>
        <v>31.630404267583735</v>
      </c>
      <c r="AG824" s="8">
        <f t="shared" si="250"/>
        <v>6.1679288321788288</v>
      </c>
      <c r="AH824" s="10">
        <f t="shared" si="251"/>
        <v>15.815202133791868</v>
      </c>
      <c r="AI824" s="63"/>
      <c r="AJ824" s="10">
        <f t="shared" si="237"/>
        <v>23.479500000000002</v>
      </c>
      <c r="AK824" s="8"/>
      <c r="AL824" s="8">
        <f t="shared" si="252"/>
        <v>11.739750000000001</v>
      </c>
    </row>
    <row r="825" spans="1:38">
      <c r="A825" s="18">
        <v>41487</v>
      </c>
      <c r="B825" s="19" t="s">
        <v>34</v>
      </c>
      <c r="C825" s="12">
        <v>150.19999999999999</v>
      </c>
      <c r="D825" s="19" t="s">
        <v>80</v>
      </c>
      <c r="E825" s="22">
        <v>8.4116599999999995</v>
      </c>
      <c r="F825" s="22">
        <v>83.312479999999994</v>
      </c>
      <c r="G825" s="22">
        <v>150</v>
      </c>
      <c r="H825" s="8">
        <v>13</v>
      </c>
      <c r="I825" s="10">
        <f t="shared" si="244"/>
        <v>7.6489254580385788</v>
      </c>
      <c r="J825" s="10">
        <f t="shared" si="243"/>
        <v>0.13349893348238856</v>
      </c>
      <c r="K825" s="10">
        <f t="shared" si="234"/>
        <v>21.188530377780278</v>
      </c>
      <c r="L825" s="22">
        <v>1042</v>
      </c>
      <c r="M825" s="22" t="s">
        <v>201</v>
      </c>
      <c r="N825" s="8" t="s">
        <v>198</v>
      </c>
      <c r="O825" s="10" t="s">
        <v>99</v>
      </c>
      <c r="P825" s="10" t="s">
        <v>99</v>
      </c>
      <c r="Q825" s="24">
        <v>0.59</v>
      </c>
      <c r="R825" s="22" t="s">
        <v>190</v>
      </c>
      <c r="S825" s="30">
        <v>5.8</v>
      </c>
      <c r="T825" s="79">
        <f t="shared" si="238"/>
        <v>2.6420856E-3</v>
      </c>
      <c r="U825" s="22">
        <v>8</v>
      </c>
      <c r="V825" s="22">
        <v>44</v>
      </c>
      <c r="W825" s="10">
        <f t="shared" si="245"/>
        <v>0.76794487087750496</v>
      </c>
      <c r="X825" s="22">
        <v>6</v>
      </c>
      <c r="Y825" s="22">
        <v>24</v>
      </c>
      <c r="Z825" s="10">
        <f t="shared" si="246"/>
        <v>0.41887902047863912</v>
      </c>
      <c r="AA825" s="10">
        <f t="shared" si="247"/>
        <v>7.9976868221267789</v>
      </c>
      <c r="AB825" s="10">
        <f t="shared" si="248"/>
        <v>9.0885326191716356</v>
      </c>
      <c r="AC825" s="10">
        <f t="shared" si="249"/>
        <v>1.1360665773964544</v>
      </c>
      <c r="AD825" s="10">
        <f t="shared" si="235"/>
        <v>4.5442663095858178</v>
      </c>
      <c r="AE825" s="65"/>
      <c r="AF825" s="10">
        <f t="shared" si="236"/>
        <v>9.0334382039791432</v>
      </c>
      <c r="AG825" s="8">
        <f t="shared" si="250"/>
        <v>1.7615204497759329</v>
      </c>
      <c r="AH825" s="10">
        <f t="shared" si="251"/>
        <v>4.5167191019895716</v>
      </c>
      <c r="AI825" s="63"/>
      <c r="AJ825" s="10">
        <f t="shared" si="237"/>
        <v>5.8632000000000026</v>
      </c>
      <c r="AK825" s="8"/>
      <c r="AL825" s="8">
        <f t="shared" si="252"/>
        <v>2.9316000000000013</v>
      </c>
    </row>
    <row r="826" spans="1:38">
      <c r="A826" s="18">
        <v>41487</v>
      </c>
      <c r="B826" s="19" t="s">
        <v>34</v>
      </c>
      <c r="C826" s="12">
        <v>150.19999999999999</v>
      </c>
      <c r="D826" s="19" t="s">
        <v>80</v>
      </c>
      <c r="E826" s="22">
        <v>8.4116599999999995</v>
      </c>
      <c r="F826" s="22">
        <v>83.312479999999994</v>
      </c>
      <c r="G826" s="22">
        <v>150</v>
      </c>
      <c r="H826" s="8">
        <v>13</v>
      </c>
      <c r="I826" s="10">
        <f t="shared" si="244"/>
        <v>7.6489254580385788</v>
      </c>
      <c r="J826" s="10">
        <f t="shared" si="243"/>
        <v>0.13349893348238856</v>
      </c>
      <c r="K826" s="10">
        <f t="shared" ref="K826:K867" si="253">21/COS(J826)</f>
        <v>21.188530377780278</v>
      </c>
      <c r="L826" s="22">
        <v>1025</v>
      </c>
      <c r="M826" s="7" t="s">
        <v>122</v>
      </c>
      <c r="N826" s="7" t="s">
        <v>123</v>
      </c>
      <c r="O826" s="33" t="s">
        <v>99</v>
      </c>
      <c r="P826" s="33" t="s">
        <v>99</v>
      </c>
      <c r="Q826" s="7">
        <v>0.69</v>
      </c>
      <c r="R826" s="7" t="s">
        <v>190</v>
      </c>
      <c r="S826" s="30">
        <v>10.3</v>
      </c>
      <c r="T826" s="79">
        <f t="shared" si="238"/>
        <v>8.3323086000000011E-3</v>
      </c>
      <c r="U826" s="22">
        <v>6</v>
      </c>
      <c r="V826" s="22">
        <v>20</v>
      </c>
      <c r="W826" s="10">
        <f t="shared" si="245"/>
        <v>0.3490658503988659</v>
      </c>
      <c r="X826" s="22">
        <v>6</v>
      </c>
      <c r="Y826" s="22">
        <v>25</v>
      </c>
      <c r="Z826" s="10">
        <f t="shared" si="246"/>
        <v>0.43633231299858238</v>
      </c>
      <c r="AA826" s="10">
        <f t="shared" si="247"/>
        <v>4.5878304303982089</v>
      </c>
      <c r="AB826" s="10">
        <f t="shared" si="248"/>
        <v>18.383354631722675</v>
      </c>
      <c r="AC826" s="10">
        <f t="shared" si="249"/>
        <v>2.2979193289653344</v>
      </c>
      <c r="AD826" s="10">
        <f t="shared" si="235"/>
        <v>9.1916773158613374</v>
      </c>
      <c r="AE826" s="65"/>
      <c r="AF826" s="10">
        <f t="shared" si="236"/>
        <v>43.68496912377428</v>
      </c>
      <c r="AG826" s="8">
        <f t="shared" si="250"/>
        <v>8.5185689791359849</v>
      </c>
      <c r="AH826" s="10">
        <f t="shared" si="251"/>
        <v>21.84248456188714</v>
      </c>
      <c r="AI826" s="63"/>
      <c r="AJ826" s="10">
        <f t="shared" si="237"/>
        <v>28.187699999999992</v>
      </c>
      <c r="AK826" s="8"/>
      <c r="AL826" s="8">
        <f t="shared" si="252"/>
        <v>14.093849999999996</v>
      </c>
    </row>
    <row r="827" spans="1:38">
      <c r="A827" s="18">
        <v>41487</v>
      </c>
      <c r="B827" s="19" t="s">
        <v>34</v>
      </c>
      <c r="C827" s="12">
        <v>150.19999999999999</v>
      </c>
      <c r="D827" s="19" t="s">
        <v>80</v>
      </c>
      <c r="E827" s="22">
        <v>8.4116599999999995</v>
      </c>
      <c r="F827" s="22">
        <v>83.312479999999994</v>
      </c>
      <c r="G827" s="22">
        <v>150</v>
      </c>
      <c r="H827" s="8">
        <v>13</v>
      </c>
      <c r="I827" s="10">
        <f t="shared" si="244"/>
        <v>7.6489254580385788</v>
      </c>
      <c r="J827" s="10">
        <f t="shared" si="243"/>
        <v>0.13349893348238856</v>
      </c>
      <c r="K827" s="10">
        <f t="shared" si="253"/>
        <v>21.188530377780278</v>
      </c>
      <c r="L827" s="22">
        <v>1046</v>
      </c>
      <c r="M827" s="31" t="s">
        <v>231</v>
      </c>
      <c r="N827" s="8" t="s">
        <v>171</v>
      </c>
      <c r="O827" s="33" t="s">
        <v>99</v>
      </c>
      <c r="P827" s="33" t="s">
        <v>99</v>
      </c>
      <c r="Q827" s="22">
        <v>0.57999999999999996</v>
      </c>
      <c r="R827" s="22" t="s">
        <v>103</v>
      </c>
      <c r="S827" s="30">
        <v>8.6999999999999993</v>
      </c>
      <c r="T827" s="79">
        <f t="shared" si="238"/>
        <v>5.944692599999999E-3</v>
      </c>
      <c r="U827" s="22">
        <v>10</v>
      </c>
      <c r="V827" s="22">
        <v>40</v>
      </c>
      <c r="W827" s="10">
        <f t="shared" si="245"/>
        <v>0.69813170079773179</v>
      </c>
      <c r="X827" s="22">
        <v>6</v>
      </c>
      <c r="Y827" s="22">
        <v>20</v>
      </c>
      <c r="Z827" s="10">
        <f t="shared" si="246"/>
        <v>0.3490658503988659</v>
      </c>
      <c r="AA827" s="10">
        <f t="shared" si="247"/>
        <v>8.4799969568194058</v>
      </c>
      <c r="AB827" s="10">
        <f t="shared" si="248"/>
        <v>20.252198934506573</v>
      </c>
      <c r="AC827" s="10">
        <f t="shared" si="249"/>
        <v>2.5315248668133217</v>
      </c>
      <c r="AD827" s="10">
        <f t="shared" si="235"/>
        <v>10.126099467253287</v>
      </c>
      <c r="AE827" s="65"/>
      <c r="AF827" s="10">
        <f t="shared" si="236"/>
        <v>24.141038504250041</v>
      </c>
      <c r="AG827" s="8">
        <f t="shared" si="250"/>
        <v>4.7075025083287585</v>
      </c>
      <c r="AH827" s="10">
        <f t="shared" si="251"/>
        <v>12.07051925212502</v>
      </c>
      <c r="AI827" s="63"/>
      <c r="AJ827" s="10">
        <f t="shared" si="237"/>
        <v>16.816499999999998</v>
      </c>
      <c r="AK827" s="8"/>
      <c r="AL827" s="8">
        <f t="shared" si="252"/>
        <v>8.4082499999999989</v>
      </c>
    </row>
    <row r="828" spans="1:38">
      <c r="A828" s="18">
        <v>41481</v>
      </c>
      <c r="B828" s="19" t="s">
        <v>141</v>
      </c>
      <c r="C828" s="12">
        <v>150.30000000000001</v>
      </c>
      <c r="D828" s="9" t="s">
        <v>80</v>
      </c>
      <c r="E828" s="8">
        <v>8.40916</v>
      </c>
      <c r="F828" s="16">
        <v>83.311199999999999</v>
      </c>
      <c r="G828" s="22">
        <v>150</v>
      </c>
      <c r="H828" s="8">
        <v>-30</v>
      </c>
      <c r="I828" s="10">
        <f t="shared" si="244"/>
        <v>-3.2327281437658275</v>
      </c>
      <c r="J828" s="10">
        <f t="shared" ref="J828:J889" si="254">RADIANS(I828)</f>
        <v>-5.6421749930598293E-2</v>
      </c>
      <c r="K828" s="10">
        <f t="shared" si="253"/>
        <v>21.033470239848786</v>
      </c>
      <c r="L828" s="22">
        <v>949</v>
      </c>
      <c r="M828" s="22" t="s">
        <v>39</v>
      </c>
      <c r="N828" s="7" t="s">
        <v>69</v>
      </c>
      <c r="O828" s="33" t="s">
        <v>65</v>
      </c>
      <c r="P828" s="33" t="s">
        <v>70</v>
      </c>
      <c r="Q828" s="7">
        <v>0.37</v>
      </c>
      <c r="R828" s="7" t="s">
        <v>71</v>
      </c>
      <c r="S828" s="12">
        <v>13.5</v>
      </c>
      <c r="T828" s="79">
        <f t="shared" si="238"/>
        <v>1.4313915E-2</v>
      </c>
      <c r="U828" s="22">
        <v>8</v>
      </c>
      <c r="V828" s="22">
        <v>50</v>
      </c>
      <c r="W828" s="10">
        <f t="shared" ref="W828:W867" si="255">RADIANS(V828)</f>
        <v>0.87266462599716477</v>
      </c>
      <c r="X828" s="22">
        <v>6</v>
      </c>
      <c r="Y828" s="22">
        <v>24</v>
      </c>
      <c r="Z828" s="10">
        <f t="shared" ref="Z828:Z867" si="256">RADIANS(Y828)</f>
        <v>0.41887902047863912</v>
      </c>
      <c r="AA828" s="10">
        <f t="shared" ref="AA828:AA867" si="257">(SIN(W828)*U828)+(SIN(Z828)*X828)</f>
        <v>8.5687754034066259</v>
      </c>
      <c r="AB828" s="10">
        <f t="shared" ref="AB828:AB867" si="258">0.0776*(Q828*S828^2*AA828)^0.94</f>
        <v>30.615577839446345</v>
      </c>
      <c r="AC828" s="10">
        <f t="shared" si="249"/>
        <v>3.8269472299307932</v>
      </c>
      <c r="AD828" s="10">
        <f t="shared" si="235"/>
        <v>15.307788919723173</v>
      </c>
      <c r="AE828" s="65"/>
      <c r="AF828" s="10">
        <f t="shared" si="236"/>
        <v>45.918589125558043</v>
      </c>
      <c r="AG828" s="8">
        <f t="shared" si="250"/>
        <v>8.9541248794838193</v>
      </c>
      <c r="AH828" s="10">
        <f t="shared" si="251"/>
        <v>22.959294562779021</v>
      </c>
      <c r="AI828" s="63"/>
      <c r="AJ828" s="10">
        <f t="shared" si="237"/>
        <v>62.296500000000009</v>
      </c>
      <c r="AK828" s="8"/>
      <c r="AL828" s="8">
        <f t="shared" si="252"/>
        <v>31.148250000000004</v>
      </c>
    </row>
    <row r="829" spans="1:38">
      <c r="A829" s="18">
        <v>41481</v>
      </c>
      <c r="B829" s="19" t="s">
        <v>141</v>
      </c>
      <c r="C829" s="12">
        <v>150.30000000000001</v>
      </c>
      <c r="D829" s="19" t="s">
        <v>80</v>
      </c>
      <c r="E829" s="8">
        <v>8.40916</v>
      </c>
      <c r="F829" s="16">
        <v>83.311199999999999</v>
      </c>
      <c r="G829" s="22">
        <v>150</v>
      </c>
      <c r="H829" s="8">
        <v>-30</v>
      </c>
      <c r="I829" s="10">
        <f t="shared" si="244"/>
        <v>-3.2327281437658275</v>
      </c>
      <c r="J829" s="10">
        <f t="shared" si="254"/>
        <v>-5.6421749930598293E-2</v>
      </c>
      <c r="K829" s="10">
        <f t="shared" si="253"/>
        <v>21.033470239848786</v>
      </c>
      <c r="L829" s="22">
        <v>966</v>
      </c>
      <c r="M829" s="22" t="s">
        <v>36</v>
      </c>
      <c r="N829" s="8" t="s">
        <v>46</v>
      </c>
      <c r="O829" s="10" t="s">
        <v>37</v>
      </c>
      <c r="P829" s="10" t="s">
        <v>38</v>
      </c>
      <c r="Q829" s="11">
        <v>0.48</v>
      </c>
      <c r="R829" s="8" t="s">
        <v>60</v>
      </c>
      <c r="S829" s="31">
        <v>12.9</v>
      </c>
      <c r="T829" s="79">
        <f t="shared" si="238"/>
        <v>1.3069841400000001E-2</v>
      </c>
      <c r="U829" s="22">
        <v>8</v>
      </c>
      <c r="V829" s="22">
        <v>25</v>
      </c>
      <c r="W829" s="10">
        <f t="shared" si="255"/>
        <v>0.43633231299858238</v>
      </c>
      <c r="X829" s="22">
        <v>6</v>
      </c>
      <c r="Y829" s="22">
        <v>15</v>
      </c>
      <c r="Z829" s="10">
        <f t="shared" si="256"/>
        <v>0.26179938779914941</v>
      </c>
      <c r="AA829" s="10">
        <f t="shared" si="257"/>
        <v>4.9338603645407204</v>
      </c>
      <c r="AB829" s="10">
        <f t="shared" si="258"/>
        <v>21.36647026020421</v>
      </c>
      <c r="AC829" s="10">
        <f t="shared" si="249"/>
        <v>2.6708087825255262</v>
      </c>
      <c r="AD829" s="10">
        <f t="shared" si="235"/>
        <v>10.683235130102105</v>
      </c>
      <c r="AE829" s="65"/>
      <c r="AF829" s="10">
        <f t="shared" si="236"/>
        <v>53.201653754035341</v>
      </c>
      <c r="AG829" s="8">
        <f t="shared" si="250"/>
        <v>10.374322482036892</v>
      </c>
      <c r="AH829" s="10">
        <f t="shared" si="251"/>
        <v>26.600826877017671</v>
      </c>
      <c r="AI829" s="63"/>
      <c r="AJ829" s="10">
        <f t="shared" si="237"/>
        <v>54.74669999999999</v>
      </c>
      <c r="AK829" s="8"/>
      <c r="AL829" s="8">
        <f t="shared" si="252"/>
        <v>27.373349999999995</v>
      </c>
    </row>
    <row r="830" spans="1:38">
      <c r="A830" s="18">
        <v>41481</v>
      </c>
      <c r="B830" s="19" t="s">
        <v>141</v>
      </c>
      <c r="C830" s="12">
        <v>150.30000000000001</v>
      </c>
      <c r="D830" s="19" t="s">
        <v>80</v>
      </c>
      <c r="E830" s="8">
        <v>8.40916</v>
      </c>
      <c r="F830" s="16">
        <v>83.311199999999999</v>
      </c>
      <c r="G830" s="22">
        <v>150</v>
      </c>
      <c r="H830" s="8">
        <v>-30</v>
      </c>
      <c r="I830" s="10">
        <f t="shared" si="244"/>
        <v>-3.2327281437658275</v>
      </c>
      <c r="J830" s="10">
        <f t="shared" si="254"/>
        <v>-5.6421749930598293E-2</v>
      </c>
      <c r="K830" s="10">
        <f t="shared" si="253"/>
        <v>21.033470239848786</v>
      </c>
      <c r="L830" s="22">
        <v>866</v>
      </c>
      <c r="M830" s="7" t="s">
        <v>122</v>
      </c>
      <c r="N830" s="7" t="s">
        <v>123</v>
      </c>
      <c r="O830" s="33" t="s">
        <v>99</v>
      </c>
      <c r="P830" s="33" t="s">
        <v>99</v>
      </c>
      <c r="Q830" s="7">
        <v>0.69</v>
      </c>
      <c r="R830" s="7" t="s">
        <v>190</v>
      </c>
      <c r="S830" s="30">
        <v>8</v>
      </c>
      <c r="T830" s="79">
        <f t="shared" si="238"/>
        <v>5.0265600000000002E-3</v>
      </c>
      <c r="U830" s="22">
        <v>7</v>
      </c>
      <c r="V830" s="22">
        <v>56</v>
      </c>
      <c r="W830" s="10">
        <f t="shared" si="255"/>
        <v>0.97738438111682457</v>
      </c>
      <c r="X830" s="22">
        <v>6</v>
      </c>
      <c r="Y830" s="22">
        <v>15</v>
      </c>
      <c r="Z830" s="10">
        <f t="shared" si="256"/>
        <v>0.26179938779914941</v>
      </c>
      <c r="AA830" s="10">
        <f t="shared" si="257"/>
        <v>7.3561772785004163</v>
      </c>
      <c r="AB830" s="10">
        <f t="shared" si="258"/>
        <v>17.817308419927759</v>
      </c>
      <c r="AC830" s="10">
        <f t="shared" si="249"/>
        <v>2.2271635524909699</v>
      </c>
      <c r="AD830" s="10">
        <f t="shared" si="235"/>
        <v>8.9086542099638795</v>
      </c>
      <c r="AE830" s="65"/>
      <c r="AF830" s="10">
        <f t="shared" si="236"/>
        <v>23.327868821766774</v>
      </c>
      <c r="AG830" s="8">
        <f t="shared" si="250"/>
        <v>4.548934420244521</v>
      </c>
      <c r="AH830" s="10">
        <f t="shared" si="251"/>
        <v>11.663934410883387</v>
      </c>
      <c r="AI830" s="63"/>
      <c r="AJ830" s="10">
        <f t="shared" si="237"/>
        <v>13.033000000000001</v>
      </c>
      <c r="AK830" s="8"/>
      <c r="AL830" s="8">
        <f t="shared" si="252"/>
        <v>6.5165000000000006</v>
      </c>
    </row>
    <row r="831" spans="1:38">
      <c r="A831" s="18">
        <v>41481</v>
      </c>
      <c r="B831" s="19" t="s">
        <v>141</v>
      </c>
      <c r="C831" s="12">
        <v>150.30000000000001</v>
      </c>
      <c r="D831" s="19" t="s">
        <v>80</v>
      </c>
      <c r="E831" s="8">
        <v>8.40916</v>
      </c>
      <c r="F831" s="16">
        <v>83.311199999999999</v>
      </c>
      <c r="G831" s="22">
        <v>150</v>
      </c>
      <c r="H831" s="8">
        <v>-30</v>
      </c>
      <c r="I831" s="10">
        <f t="shared" si="244"/>
        <v>-3.2327281437658275</v>
      </c>
      <c r="J831" s="10">
        <f t="shared" si="254"/>
        <v>-5.6421749930598293E-2</v>
      </c>
      <c r="K831" s="10">
        <f t="shared" si="253"/>
        <v>21.033470239848786</v>
      </c>
      <c r="L831" s="22">
        <v>961</v>
      </c>
      <c r="M831" s="22" t="s">
        <v>96</v>
      </c>
      <c r="N831" s="8" t="s">
        <v>69</v>
      </c>
      <c r="O831" s="58" t="s">
        <v>65</v>
      </c>
      <c r="P831" s="10" t="s">
        <v>102</v>
      </c>
      <c r="Q831" s="22">
        <v>0.48</v>
      </c>
      <c r="R831" s="22" t="s">
        <v>190</v>
      </c>
      <c r="S831" s="31">
        <v>26.1</v>
      </c>
      <c r="T831" s="79">
        <f t="shared" si="238"/>
        <v>5.3502233400000009E-2</v>
      </c>
      <c r="U831" s="22">
        <v>21</v>
      </c>
      <c r="V831" s="22">
        <v>70</v>
      </c>
      <c r="W831" s="10">
        <f t="shared" si="255"/>
        <v>1.2217304763960306</v>
      </c>
      <c r="X831" s="22">
        <v>7</v>
      </c>
      <c r="Y831" s="22">
        <v>12</v>
      </c>
      <c r="Z831" s="10">
        <f t="shared" si="256"/>
        <v>0.20943951023931956</v>
      </c>
      <c r="AA831" s="10">
        <f t="shared" si="257"/>
        <v>21.188926872228389</v>
      </c>
      <c r="AB831" s="10">
        <f t="shared" si="258"/>
        <v>316.267861902861</v>
      </c>
      <c r="AC831" s="10">
        <f t="shared" si="249"/>
        <v>39.533482737857625</v>
      </c>
      <c r="AD831" s="10">
        <f t="shared" si="235"/>
        <v>158.1339309514305</v>
      </c>
      <c r="AE831" s="65"/>
      <c r="AF831" s="10">
        <f t="shared" si="236"/>
        <v>302.74833537634686</v>
      </c>
      <c r="AG831" s="8">
        <f t="shared" si="250"/>
        <v>59.03592539838764</v>
      </c>
      <c r="AH831" s="10">
        <f t="shared" si="251"/>
        <v>151.37416768817343</v>
      </c>
      <c r="AI831" s="63"/>
      <c r="AJ831" s="10">
        <f t="shared" si="237"/>
        <v>343.91910000000001</v>
      </c>
      <c r="AK831" s="8"/>
      <c r="AL831" s="8">
        <f t="shared" si="252"/>
        <v>171.95955000000001</v>
      </c>
    </row>
    <row r="832" spans="1:38">
      <c r="A832" s="18">
        <v>41481</v>
      </c>
      <c r="B832" s="19" t="s">
        <v>141</v>
      </c>
      <c r="C832" s="12">
        <v>150.30000000000001</v>
      </c>
      <c r="D832" s="19" t="s">
        <v>80</v>
      </c>
      <c r="E832" s="8">
        <v>8.40916</v>
      </c>
      <c r="F832" s="16">
        <v>83.311199999999999</v>
      </c>
      <c r="G832" s="22">
        <v>150</v>
      </c>
      <c r="H832" s="8">
        <v>-30</v>
      </c>
      <c r="I832" s="10">
        <f t="shared" si="244"/>
        <v>-3.2327281437658275</v>
      </c>
      <c r="J832" s="10">
        <f t="shared" si="254"/>
        <v>-5.6421749930598293E-2</v>
      </c>
      <c r="K832" s="10">
        <f t="shared" si="253"/>
        <v>21.033470239848786</v>
      </c>
      <c r="L832" s="22">
        <v>879</v>
      </c>
      <c r="M832" s="22" t="s">
        <v>96</v>
      </c>
      <c r="N832" s="8" t="s">
        <v>69</v>
      </c>
      <c r="O832" s="58" t="s">
        <v>65</v>
      </c>
      <c r="P832" s="10" t="s">
        <v>102</v>
      </c>
      <c r="Q832" s="22">
        <v>0.48</v>
      </c>
      <c r="R832" s="22" t="s">
        <v>190</v>
      </c>
      <c r="S832" s="31">
        <v>25.9</v>
      </c>
      <c r="T832" s="79">
        <f t="shared" si="238"/>
        <v>5.2685417399999997E-2</v>
      </c>
      <c r="U832" s="22">
        <v>17</v>
      </c>
      <c r="V832" s="22">
        <v>80</v>
      </c>
      <c r="W832" s="10">
        <f t="shared" si="255"/>
        <v>1.3962634015954636</v>
      </c>
      <c r="X832" s="22">
        <v>5</v>
      </c>
      <c r="Y832" s="22">
        <v>-1</v>
      </c>
      <c r="Z832" s="10">
        <f t="shared" si="256"/>
        <v>-1.7453292519943295E-2</v>
      </c>
      <c r="AA832" s="10">
        <f t="shared" si="257"/>
        <v>16.654469769021119</v>
      </c>
      <c r="AB832" s="10">
        <f t="shared" si="258"/>
        <v>248.58275835238646</v>
      </c>
      <c r="AC832" s="10">
        <f t="shared" si="249"/>
        <v>31.072844794048308</v>
      </c>
      <c r="AD832" s="10">
        <f t="shared" si="235"/>
        <v>124.29137917619323</v>
      </c>
      <c r="AE832" s="65"/>
      <c r="AF832" s="10">
        <f t="shared" si="236"/>
        <v>297.13268149235688</v>
      </c>
      <c r="AG832" s="8">
        <f t="shared" si="250"/>
        <v>57.94087289100959</v>
      </c>
      <c r="AH832" s="10">
        <f t="shared" si="251"/>
        <v>148.56634074617844</v>
      </c>
      <c r="AI832" s="63"/>
      <c r="AJ832" s="10">
        <f t="shared" si="237"/>
        <v>337.61369999999999</v>
      </c>
      <c r="AK832" s="8"/>
      <c r="AL832" s="8">
        <f t="shared" si="252"/>
        <v>168.80685</v>
      </c>
    </row>
    <row r="833" spans="1:38">
      <c r="A833" s="18">
        <v>41481</v>
      </c>
      <c r="B833" s="19" t="s">
        <v>141</v>
      </c>
      <c r="C833" s="12">
        <v>150.30000000000001</v>
      </c>
      <c r="D833" s="19" t="s">
        <v>80</v>
      </c>
      <c r="E833" s="8">
        <v>8.40916</v>
      </c>
      <c r="F833" s="16">
        <v>83.311199999999999</v>
      </c>
      <c r="G833" s="22">
        <v>150</v>
      </c>
      <c r="H833" s="8">
        <v>-30</v>
      </c>
      <c r="I833" s="10">
        <f t="shared" si="244"/>
        <v>-3.2327281437658275</v>
      </c>
      <c r="J833" s="10">
        <f t="shared" si="254"/>
        <v>-5.6421749930598293E-2</v>
      </c>
      <c r="K833" s="10">
        <f t="shared" si="253"/>
        <v>21.033470239848786</v>
      </c>
      <c r="L833" s="22">
        <v>950</v>
      </c>
      <c r="M833" s="22" t="s">
        <v>39</v>
      </c>
      <c r="N833" s="7" t="s">
        <v>69</v>
      </c>
      <c r="O833" s="33" t="s">
        <v>65</v>
      </c>
      <c r="P833" s="33" t="s">
        <v>70</v>
      </c>
      <c r="Q833" s="7">
        <v>0.37</v>
      </c>
      <c r="R833" s="7" t="s">
        <v>71</v>
      </c>
      <c r="S833" s="30">
        <v>40</v>
      </c>
      <c r="T833" s="79">
        <f t="shared" si="238"/>
        <v>0.125664</v>
      </c>
      <c r="U833" s="22">
        <v>16</v>
      </c>
      <c r="V833" s="22">
        <v>75</v>
      </c>
      <c r="W833" s="10">
        <f t="shared" si="255"/>
        <v>1.3089969389957472</v>
      </c>
      <c r="X833" s="22">
        <v>6</v>
      </c>
      <c r="Y833" s="22">
        <v>-2</v>
      </c>
      <c r="Z833" s="10">
        <f t="shared" si="256"/>
        <v>-3.4906585039886591E-2</v>
      </c>
      <c r="AA833" s="10">
        <f t="shared" si="257"/>
        <v>15.245416240410087</v>
      </c>
      <c r="AB833" s="10">
        <f t="shared" si="258"/>
        <v>405.50391792210399</v>
      </c>
      <c r="AC833" s="10">
        <f t="shared" si="249"/>
        <v>50.687989740262999</v>
      </c>
      <c r="AD833" s="10">
        <f t="shared" si="235"/>
        <v>202.751958961052</v>
      </c>
      <c r="AE833" s="65"/>
      <c r="AF833" s="10">
        <f t="shared" si="236"/>
        <v>650.01550303606939</v>
      </c>
      <c r="AG833" s="8">
        <f t="shared" si="250"/>
        <v>126.75302309203353</v>
      </c>
      <c r="AH833" s="10">
        <f t="shared" si="251"/>
        <v>325.00775151803469</v>
      </c>
      <c r="AI833" s="63"/>
      <c r="AJ833" s="10">
        <f t="shared" si="237"/>
        <v>927.17700000000002</v>
      </c>
      <c r="AK833" s="8"/>
      <c r="AL833" s="8">
        <f t="shared" si="252"/>
        <v>463.58850000000001</v>
      </c>
    </row>
    <row r="834" spans="1:38">
      <c r="A834" s="18">
        <v>41481</v>
      </c>
      <c r="B834" s="19" t="s">
        <v>141</v>
      </c>
      <c r="C834" s="12">
        <v>150.30000000000001</v>
      </c>
      <c r="D834" s="19" t="s">
        <v>80</v>
      </c>
      <c r="E834" s="8">
        <v>8.40916</v>
      </c>
      <c r="F834" s="16">
        <v>83.311199999999999</v>
      </c>
      <c r="G834" s="22">
        <v>150</v>
      </c>
      <c r="H834" s="8">
        <v>-30</v>
      </c>
      <c r="I834" s="10">
        <f t="shared" si="244"/>
        <v>-3.2327281437658275</v>
      </c>
      <c r="J834" s="10">
        <f t="shared" si="254"/>
        <v>-5.6421749930598293E-2</v>
      </c>
      <c r="K834" s="10">
        <f t="shared" si="253"/>
        <v>21.033470239848786</v>
      </c>
      <c r="L834" s="22">
        <v>947</v>
      </c>
      <c r="M834" s="22" t="s">
        <v>36</v>
      </c>
      <c r="N834" s="8" t="s">
        <v>46</v>
      </c>
      <c r="O834" s="10" t="s">
        <v>37</v>
      </c>
      <c r="P834" s="10" t="s">
        <v>38</v>
      </c>
      <c r="Q834" s="11">
        <v>0.48</v>
      </c>
      <c r="R834" s="8" t="s">
        <v>60</v>
      </c>
      <c r="S834" s="31">
        <v>16.2</v>
      </c>
      <c r="T834" s="79">
        <f t="shared" si="238"/>
        <v>2.0612037600000001E-2</v>
      </c>
      <c r="U834" s="22">
        <v>7</v>
      </c>
      <c r="V834" s="22">
        <v>40</v>
      </c>
      <c r="W834" s="10">
        <f t="shared" si="255"/>
        <v>0.69813170079773179</v>
      </c>
      <c r="X834" s="22">
        <v>6</v>
      </c>
      <c r="Y834" s="22">
        <v>20</v>
      </c>
      <c r="Z834" s="10">
        <f t="shared" si="256"/>
        <v>0.3490658503988659</v>
      </c>
      <c r="AA834" s="10">
        <f t="shared" si="257"/>
        <v>6.5516341277597867</v>
      </c>
      <c r="AB834" s="10">
        <f t="shared" si="258"/>
        <v>42.804100004769026</v>
      </c>
      <c r="AC834" s="10">
        <f t="shared" si="249"/>
        <v>5.3505125005961283</v>
      </c>
      <c r="AD834" s="10">
        <f t="shared" si="235"/>
        <v>21.402050002384513</v>
      </c>
      <c r="AE834" s="65"/>
      <c r="AF834" s="10">
        <f t="shared" si="236"/>
        <v>93.682062626762232</v>
      </c>
      <c r="AG834" s="8">
        <f t="shared" si="250"/>
        <v>18.268002212218637</v>
      </c>
      <c r="AH834" s="10">
        <f t="shared" si="251"/>
        <v>46.841031313381116</v>
      </c>
      <c r="AI834" s="63"/>
      <c r="AJ834" s="10">
        <f t="shared" si="237"/>
        <v>102.864</v>
      </c>
      <c r="AK834" s="8"/>
      <c r="AL834" s="8">
        <f t="shared" si="252"/>
        <v>51.432000000000002</v>
      </c>
    </row>
    <row r="835" spans="1:38">
      <c r="A835" s="18">
        <v>41481</v>
      </c>
      <c r="B835" s="19" t="s">
        <v>141</v>
      </c>
      <c r="C835" s="12">
        <v>150.30000000000001</v>
      </c>
      <c r="D835" s="19" t="s">
        <v>80</v>
      </c>
      <c r="E835" s="8">
        <v>8.40916</v>
      </c>
      <c r="F835" s="16">
        <v>83.311199999999999</v>
      </c>
      <c r="G835" s="22">
        <v>150</v>
      </c>
      <c r="H835" s="8">
        <v>-30</v>
      </c>
      <c r="I835" s="10">
        <f t="shared" si="244"/>
        <v>-3.2327281437658275</v>
      </c>
      <c r="J835" s="10">
        <f t="shared" si="254"/>
        <v>-5.6421749930598293E-2</v>
      </c>
      <c r="K835" s="10">
        <f t="shared" si="253"/>
        <v>21.033470239848786</v>
      </c>
      <c r="L835" s="22">
        <v>853</v>
      </c>
      <c r="M835" s="22" t="s">
        <v>39</v>
      </c>
      <c r="N835" s="7" t="s">
        <v>69</v>
      </c>
      <c r="O835" s="33" t="s">
        <v>65</v>
      </c>
      <c r="P835" s="33" t="s">
        <v>70</v>
      </c>
      <c r="Q835" s="7">
        <v>0.37</v>
      </c>
      <c r="R835" s="7" t="s">
        <v>71</v>
      </c>
      <c r="S835" s="31">
        <v>8.1999999999999993</v>
      </c>
      <c r="T835" s="79">
        <f t="shared" si="238"/>
        <v>5.2810295999999998E-3</v>
      </c>
      <c r="U835" s="22">
        <v>6</v>
      </c>
      <c r="V835" s="22">
        <v>35</v>
      </c>
      <c r="W835" s="10">
        <f t="shared" si="255"/>
        <v>0.6108652381980153</v>
      </c>
      <c r="X835" s="22">
        <v>6</v>
      </c>
      <c r="Y835" s="22">
        <v>25</v>
      </c>
      <c r="Z835" s="10">
        <f t="shared" si="256"/>
        <v>0.43633231299858238</v>
      </c>
      <c r="AA835" s="10">
        <f t="shared" si="257"/>
        <v>5.9771681885504728</v>
      </c>
      <c r="AB835" s="10">
        <f t="shared" si="258"/>
        <v>8.5476578992100034</v>
      </c>
      <c r="AC835" s="10">
        <f t="shared" si="249"/>
        <v>1.0684572374012504</v>
      </c>
      <c r="AD835" s="10">
        <f t="shared" si="235"/>
        <v>4.2738289496050017</v>
      </c>
      <c r="AE835" s="65"/>
      <c r="AF835" s="10">
        <f t="shared" si="236"/>
        <v>13.298178493578567</v>
      </c>
      <c r="AG835" s="8">
        <f t="shared" si="250"/>
        <v>2.5931448062478206</v>
      </c>
      <c r="AH835" s="10">
        <f t="shared" si="251"/>
        <v>6.6490892467892833</v>
      </c>
      <c r="AI835" s="63"/>
      <c r="AJ835" s="10">
        <f t="shared" si="237"/>
        <v>14.040000000000006</v>
      </c>
      <c r="AK835" s="8"/>
      <c r="AL835" s="8">
        <f t="shared" si="252"/>
        <v>7.0200000000000031</v>
      </c>
    </row>
    <row r="836" spans="1:38">
      <c r="A836" s="18">
        <v>41481</v>
      </c>
      <c r="B836" s="19" t="s">
        <v>141</v>
      </c>
      <c r="C836" s="12">
        <v>150.30000000000001</v>
      </c>
      <c r="D836" s="19" t="s">
        <v>80</v>
      </c>
      <c r="E836" s="8">
        <v>8.40916</v>
      </c>
      <c r="F836" s="16">
        <v>83.311199999999999</v>
      </c>
      <c r="G836" s="22">
        <v>150</v>
      </c>
      <c r="H836" s="8">
        <v>-30</v>
      </c>
      <c r="I836" s="10">
        <f t="shared" si="244"/>
        <v>-3.2327281437658275</v>
      </c>
      <c r="J836" s="10">
        <f t="shared" si="254"/>
        <v>-5.6421749930598293E-2</v>
      </c>
      <c r="K836" s="10">
        <f t="shared" si="253"/>
        <v>21.033470239848786</v>
      </c>
      <c r="L836" s="22">
        <v>874</v>
      </c>
      <c r="M836" s="49" t="s">
        <v>97</v>
      </c>
      <c r="N836" s="22" t="s">
        <v>99</v>
      </c>
      <c r="O836" s="10" t="s">
        <v>99</v>
      </c>
      <c r="P836" s="10" t="s">
        <v>99</v>
      </c>
      <c r="Q836" s="22">
        <v>0.57999999999999996</v>
      </c>
      <c r="R836" s="22" t="s">
        <v>103</v>
      </c>
      <c r="S836" s="31">
        <v>8.5</v>
      </c>
      <c r="T836" s="79">
        <f t="shared" si="238"/>
        <v>5.6745150000000006E-3</v>
      </c>
      <c r="U836" s="22">
        <v>8</v>
      </c>
      <c r="V836" s="22">
        <v>30</v>
      </c>
      <c r="W836" s="10">
        <f t="shared" si="255"/>
        <v>0.52359877559829882</v>
      </c>
      <c r="X836" s="22">
        <v>8</v>
      </c>
      <c r="Y836" s="22">
        <v>25</v>
      </c>
      <c r="Z836" s="10">
        <f t="shared" si="256"/>
        <v>0.43633231299858238</v>
      </c>
      <c r="AA836" s="10">
        <f t="shared" si="257"/>
        <v>7.3809460939255951</v>
      </c>
      <c r="AB836" s="10">
        <f t="shared" si="258"/>
        <v>17.014411299222925</v>
      </c>
      <c r="AC836" s="10">
        <f t="shared" si="249"/>
        <v>2.1268014124028656</v>
      </c>
      <c r="AD836" s="10">
        <f t="shared" si="235"/>
        <v>8.5072056496114623</v>
      </c>
      <c r="AE836" s="65"/>
      <c r="AF836" s="10">
        <f t="shared" si="236"/>
        <v>22.787780222022516</v>
      </c>
      <c r="AG836" s="8">
        <f t="shared" si="250"/>
        <v>4.4436171432943903</v>
      </c>
      <c r="AH836" s="10">
        <f t="shared" si="251"/>
        <v>11.393890111011258</v>
      </c>
      <c r="AI836" s="63"/>
      <c r="AJ836" s="10">
        <f t="shared" si="237"/>
        <v>15.661499999999997</v>
      </c>
      <c r="AK836" s="8"/>
      <c r="AL836" s="8">
        <f t="shared" si="252"/>
        <v>7.8307499999999983</v>
      </c>
    </row>
    <row r="837" spans="1:38">
      <c r="A837" s="18">
        <v>41481</v>
      </c>
      <c r="B837" s="19" t="s">
        <v>141</v>
      </c>
      <c r="C837" s="12">
        <v>150.30000000000001</v>
      </c>
      <c r="D837" s="19" t="s">
        <v>80</v>
      </c>
      <c r="E837" s="8">
        <v>8.40916</v>
      </c>
      <c r="F837" s="16">
        <v>83.311199999999999</v>
      </c>
      <c r="G837" s="22">
        <v>150</v>
      </c>
      <c r="H837" s="8">
        <v>-30</v>
      </c>
      <c r="I837" s="10">
        <f t="shared" si="244"/>
        <v>-3.2327281437658275</v>
      </c>
      <c r="J837" s="10">
        <f t="shared" si="254"/>
        <v>-5.6421749930598293E-2</v>
      </c>
      <c r="K837" s="10">
        <f t="shared" si="253"/>
        <v>21.033470239848786</v>
      </c>
      <c r="L837" s="22">
        <v>854</v>
      </c>
      <c r="M837" s="22" t="s">
        <v>36</v>
      </c>
      <c r="N837" s="8" t="s">
        <v>46</v>
      </c>
      <c r="O837" s="10" t="s">
        <v>37</v>
      </c>
      <c r="P837" s="10" t="s">
        <v>38</v>
      </c>
      <c r="Q837" s="11">
        <v>0.48</v>
      </c>
      <c r="R837" s="8" t="s">
        <v>60</v>
      </c>
      <c r="S837" s="31">
        <v>17.2</v>
      </c>
      <c r="T837" s="79">
        <f t="shared" si="238"/>
        <v>2.3235273599999998E-2</v>
      </c>
      <c r="U837" s="22">
        <v>8</v>
      </c>
      <c r="V837" s="22">
        <v>35</v>
      </c>
      <c r="W837" s="10">
        <f t="shared" si="255"/>
        <v>0.6108652381980153</v>
      </c>
      <c r="X837" s="22">
        <v>7</v>
      </c>
      <c r="Y837" s="22">
        <v>23</v>
      </c>
      <c r="Z837" s="10">
        <f t="shared" si="256"/>
        <v>0.4014257279586958</v>
      </c>
      <c r="AA837" s="10">
        <f t="shared" si="257"/>
        <v>7.323729390233285</v>
      </c>
      <c r="AB837" s="10">
        <f t="shared" si="258"/>
        <v>53.194939110383132</v>
      </c>
      <c r="AC837" s="10">
        <f t="shared" si="249"/>
        <v>6.6493673887978915</v>
      </c>
      <c r="AD837" s="10">
        <f t="shared" si="235"/>
        <v>26.597469555191566</v>
      </c>
      <c r="AE837" s="65"/>
      <c r="AF837" s="10">
        <f t="shared" si="236"/>
        <v>108.66794944614593</v>
      </c>
      <c r="AG837" s="8">
        <f t="shared" si="250"/>
        <v>21.190250141998455</v>
      </c>
      <c r="AH837" s="10">
        <f t="shared" si="251"/>
        <v>54.333974723072963</v>
      </c>
      <c r="AI837" s="63"/>
      <c r="AJ837" s="10">
        <f t="shared" si="237"/>
        <v>120.62699999999998</v>
      </c>
      <c r="AK837" s="8"/>
      <c r="AL837" s="8">
        <f t="shared" si="252"/>
        <v>60.313499999999991</v>
      </c>
    </row>
    <row r="838" spans="1:38">
      <c r="A838" s="18">
        <v>41481</v>
      </c>
      <c r="B838" s="19" t="s">
        <v>141</v>
      </c>
      <c r="C838" s="12">
        <v>150.30000000000001</v>
      </c>
      <c r="D838" s="19" t="s">
        <v>80</v>
      </c>
      <c r="E838" s="8">
        <v>8.40916</v>
      </c>
      <c r="F838" s="16">
        <v>83.311199999999999</v>
      </c>
      <c r="G838" s="22">
        <v>150</v>
      </c>
      <c r="H838" s="8">
        <v>-30</v>
      </c>
      <c r="I838" s="10">
        <f t="shared" si="244"/>
        <v>-3.2327281437658275</v>
      </c>
      <c r="J838" s="10">
        <f t="shared" si="254"/>
        <v>-5.6421749930598293E-2</v>
      </c>
      <c r="K838" s="10">
        <f t="shared" si="253"/>
        <v>21.033470239848786</v>
      </c>
      <c r="L838" s="22">
        <v>865</v>
      </c>
      <c r="M838" s="22" t="s">
        <v>39</v>
      </c>
      <c r="N838" s="7" t="s">
        <v>69</v>
      </c>
      <c r="O838" s="33" t="s">
        <v>65</v>
      </c>
      <c r="P838" s="33" t="s">
        <v>70</v>
      </c>
      <c r="Q838" s="7">
        <v>0.37</v>
      </c>
      <c r="R838" s="7" t="s">
        <v>71</v>
      </c>
      <c r="S838" s="31">
        <v>17.899999999999999</v>
      </c>
      <c r="T838" s="79">
        <f t="shared" si="238"/>
        <v>2.5165001399999998E-2</v>
      </c>
      <c r="U838" s="22">
        <v>12</v>
      </c>
      <c r="V838" s="22">
        <v>63</v>
      </c>
      <c r="W838" s="10">
        <f t="shared" si="255"/>
        <v>1.0995574287564276</v>
      </c>
      <c r="X838" s="22">
        <v>7</v>
      </c>
      <c r="Y838" s="22">
        <v>8</v>
      </c>
      <c r="Z838" s="10">
        <f t="shared" si="256"/>
        <v>0.13962634015954636</v>
      </c>
      <c r="AA838" s="10">
        <f t="shared" si="257"/>
        <v>11.666289996980872</v>
      </c>
      <c r="AB838" s="10">
        <f t="shared" si="258"/>
        <v>69.542747022175348</v>
      </c>
      <c r="AC838" s="10">
        <f t="shared" si="249"/>
        <v>8.6928433777719185</v>
      </c>
      <c r="AD838" s="10">
        <f t="shared" si="235"/>
        <v>34.771373511087674</v>
      </c>
      <c r="AE838" s="65"/>
      <c r="AF838" s="10">
        <f t="shared" si="236"/>
        <v>92.453993069441395</v>
      </c>
      <c r="AG838" s="8">
        <f t="shared" si="250"/>
        <v>18.028528648541073</v>
      </c>
      <c r="AH838" s="10">
        <f t="shared" si="251"/>
        <v>46.226996534720698</v>
      </c>
      <c r="AI838" s="63"/>
      <c r="AJ838" s="10">
        <f t="shared" si="237"/>
        <v>133.94169999999997</v>
      </c>
      <c r="AK838" s="8"/>
      <c r="AL838" s="8">
        <f t="shared" si="252"/>
        <v>66.970849999999984</v>
      </c>
    </row>
    <row r="839" spans="1:38">
      <c r="A839" s="18">
        <v>41481</v>
      </c>
      <c r="B839" s="19" t="s">
        <v>141</v>
      </c>
      <c r="C839" s="12">
        <v>150.30000000000001</v>
      </c>
      <c r="D839" s="19" t="s">
        <v>80</v>
      </c>
      <c r="E839" s="8">
        <v>8.40916</v>
      </c>
      <c r="F839" s="16">
        <v>83.311199999999999</v>
      </c>
      <c r="G839" s="22">
        <v>150</v>
      </c>
      <c r="H839" s="8">
        <v>-30</v>
      </c>
      <c r="I839" s="10">
        <f t="shared" si="244"/>
        <v>-3.2327281437658275</v>
      </c>
      <c r="J839" s="10">
        <f t="shared" si="254"/>
        <v>-5.6421749930598293E-2</v>
      </c>
      <c r="K839" s="10">
        <f t="shared" si="253"/>
        <v>21.033470239848786</v>
      </c>
      <c r="L839" s="22">
        <v>946</v>
      </c>
      <c r="M839" s="22" t="s">
        <v>39</v>
      </c>
      <c r="N839" s="7" t="s">
        <v>69</v>
      </c>
      <c r="O839" s="33" t="s">
        <v>65</v>
      </c>
      <c r="P839" s="33" t="s">
        <v>70</v>
      </c>
      <c r="Q839" s="7">
        <v>0.37</v>
      </c>
      <c r="R839" s="7" t="s">
        <v>71</v>
      </c>
      <c r="S839" s="30">
        <v>14</v>
      </c>
      <c r="T839" s="79">
        <f t="shared" si="238"/>
        <v>1.5393840000000001E-2</v>
      </c>
      <c r="U839" s="22">
        <v>12</v>
      </c>
      <c r="V839" s="22">
        <v>62</v>
      </c>
      <c r="W839" s="10">
        <f t="shared" si="255"/>
        <v>1.0821041362364843</v>
      </c>
      <c r="X839" s="22">
        <v>7</v>
      </c>
      <c r="Y839" s="22">
        <v>8</v>
      </c>
      <c r="Z839" s="10">
        <f t="shared" si="256"/>
        <v>0.13962634015954636</v>
      </c>
      <c r="AA839" s="10">
        <f t="shared" si="257"/>
        <v>11.569582821027581</v>
      </c>
      <c r="AB839" s="10">
        <f t="shared" si="258"/>
        <v>43.472106630023077</v>
      </c>
      <c r="AC839" s="10">
        <f t="shared" si="249"/>
        <v>5.4340133287528847</v>
      </c>
      <c r="AD839" s="10">
        <f t="shared" ref="AD839:AD902" si="259">AB839/2</f>
        <v>21.736053315011539</v>
      </c>
      <c r="AE839" s="65"/>
      <c r="AF839" s="10">
        <f t="shared" ref="AF839:AF902" si="260">Q839*EXP(-1.239+1.98*LN(S839)+0.207*(LN(S839))^2-0.0281*(LN(S839))^3)</f>
        <v>50.263500225893274</v>
      </c>
      <c r="AG839" s="8">
        <f t="shared" si="250"/>
        <v>9.8013825440491882</v>
      </c>
      <c r="AH839" s="10">
        <f t="shared" si="251"/>
        <v>25.131750112946637</v>
      </c>
      <c r="AI839" s="63"/>
      <c r="AJ839" s="10">
        <f t="shared" ref="AJ839:AJ902" si="261">21.297-6.953*S839+0.74*(S839^2)</f>
        <v>68.99499999999999</v>
      </c>
      <c r="AK839" s="8"/>
      <c r="AL839" s="8">
        <f t="shared" si="252"/>
        <v>34.497499999999995</v>
      </c>
    </row>
    <row r="840" spans="1:38">
      <c r="A840" s="18">
        <v>41481</v>
      </c>
      <c r="B840" s="19" t="s">
        <v>141</v>
      </c>
      <c r="C840" s="12">
        <v>150.30000000000001</v>
      </c>
      <c r="D840" s="19" t="s">
        <v>80</v>
      </c>
      <c r="E840" s="8">
        <v>8.40916</v>
      </c>
      <c r="F840" s="16">
        <v>83.311199999999999</v>
      </c>
      <c r="G840" s="22">
        <v>150</v>
      </c>
      <c r="H840" s="8">
        <v>-30</v>
      </c>
      <c r="I840" s="10">
        <f t="shared" si="244"/>
        <v>-3.2327281437658275</v>
      </c>
      <c r="J840" s="10">
        <f t="shared" si="254"/>
        <v>-5.6421749930598293E-2</v>
      </c>
      <c r="K840" s="10">
        <f t="shared" si="253"/>
        <v>21.033470239848786</v>
      </c>
      <c r="L840" s="22">
        <v>878</v>
      </c>
      <c r="M840" s="22" t="s">
        <v>36</v>
      </c>
      <c r="N840" s="8" t="s">
        <v>46</v>
      </c>
      <c r="O840" s="10" t="s">
        <v>37</v>
      </c>
      <c r="P840" s="10" t="s">
        <v>38</v>
      </c>
      <c r="Q840" s="11">
        <v>0.48</v>
      </c>
      <c r="R840" s="8" t="s">
        <v>60</v>
      </c>
      <c r="S840" s="31">
        <v>19.5</v>
      </c>
      <c r="T840" s="79">
        <f t="shared" ref="T840:T903" si="262">0.00007854*S840^2</f>
        <v>2.9864835000000003E-2</v>
      </c>
      <c r="U840" s="22">
        <v>6</v>
      </c>
      <c r="V840" s="22">
        <v>42</v>
      </c>
      <c r="W840" s="10">
        <f t="shared" si="255"/>
        <v>0.73303828583761843</v>
      </c>
      <c r="X840" s="22">
        <v>6</v>
      </c>
      <c r="Y840" s="22">
        <v>8</v>
      </c>
      <c r="Z840" s="10">
        <f t="shared" si="256"/>
        <v>0.13962634015954636</v>
      </c>
      <c r="AA840" s="10">
        <f t="shared" si="257"/>
        <v>4.8498222439135423</v>
      </c>
      <c r="AB840" s="10">
        <f t="shared" si="258"/>
        <v>45.716800182987733</v>
      </c>
      <c r="AC840" s="10">
        <f t="shared" si="249"/>
        <v>5.7146000228734666</v>
      </c>
      <c r="AD840" s="10">
        <f t="shared" si="259"/>
        <v>22.858400091493866</v>
      </c>
      <c r="AE840" s="65"/>
      <c r="AF840" s="10">
        <f t="shared" si="260"/>
        <v>148.17786299448824</v>
      </c>
      <c r="AG840" s="8">
        <f t="shared" si="250"/>
        <v>28.894683283925207</v>
      </c>
      <c r="AH840" s="10">
        <f t="shared" si="251"/>
        <v>74.088931497244118</v>
      </c>
      <c r="AI840" s="63"/>
      <c r="AJ840" s="10">
        <f t="shared" si="261"/>
        <v>167.09849999999997</v>
      </c>
      <c r="AK840" s="8"/>
      <c r="AL840" s="8">
        <f t="shared" si="252"/>
        <v>83.549249999999986</v>
      </c>
    </row>
    <row r="841" spans="1:38">
      <c r="A841" s="18">
        <v>41481</v>
      </c>
      <c r="B841" s="19" t="s">
        <v>141</v>
      </c>
      <c r="C841" s="12">
        <v>150.30000000000001</v>
      </c>
      <c r="D841" s="19" t="s">
        <v>80</v>
      </c>
      <c r="E841" s="8">
        <v>8.40916</v>
      </c>
      <c r="F841" s="16">
        <v>83.311199999999999</v>
      </c>
      <c r="G841" s="22">
        <v>150</v>
      </c>
      <c r="H841" s="8">
        <v>-30</v>
      </c>
      <c r="I841" s="10">
        <f t="shared" si="244"/>
        <v>-3.2327281437658275</v>
      </c>
      <c r="J841" s="10">
        <f t="shared" si="254"/>
        <v>-5.6421749930598293E-2</v>
      </c>
      <c r="K841" s="10">
        <f t="shared" si="253"/>
        <v>21.033470239848786</v>
      </c>
      <c r="L841" s="22">
        <v>875</v>
      </c>
      <c r="M841" s="31" t="s">
        <v>231</v>
      </c>
      <c r="N841" s="8" t="s">
        <v>171</v>
      </c>
      <c r="O841" s="33" t="s">
        <v>99</v>
      </c>
      <c r="P841" s="33" t="s">
        <v>99</v>
      </c>
      <c r="Q841" s="7">
        <v>0.57999999999999996</v>
      </c>
      <c r="R841" s="7" t="s">
        <v>103</v>
      </c>
      <c r="S841" s="31">
        <v>15.8</v>
      </c>
      <c r="T841" s="79">
        <f t="shared" si="262"/>
        <v>1.9606725600000003E-2</v>
      </c>
      <c r="U841" s="22">
        <v>11</v>
      </c>
      <c r="V841" s="22">
        <v>55</v>
      </c>
      <c r="W841" s="10">
        <f t="shared" si="255"/>
        <v>0.95993108859688125</v>
      </c>
      <c r="X841" s="22">
        <v>6</v>
      </c>
      <c r="Y841" s="22">
        <v>8</v>
      </c>
      <c r="Z841" s="10">
        <f t="shared" si="256"/>
        <v>0.13962634015954636</v>
      </c>
      <c r="AA841" s="10">
        <f t="shared" si="257"/>
        <v>9.8457110929393021</v>
      </c>
      <c r="AB841" s="10">
        <f t="shared" si="258"/>
        <v>71.550326739226819</v>
      </c>
      <c r="AC841" s="10">
        <f t="shared" si="249"/>
        <v>8.9437908424033523</v>
      </c>
      <c r="AD841" s="10">
        <f t="shared" si="259"/>
        <v>35.775163369613409</v>
      </c>
      <c r="AE841" s="65"/>
      <c r="AF841" s="10">
        <f t="shared" si="260"/>
        <v>106.39409688582539</v>
      </c>
      <c r="AG841" s="8">
        <f t="shared" si="250"/>
        <v>20.746848892735951</v>
      </c>
      <c r="AH841" s="10">
        <f t="shared" si="251"/>
        <v>53.197048442912696</v>
      </c>
      <c r="AI841" s="63"/>
      <c r="AJ841" s="10">
        <f t="shared" si="261"/>
        <v>96.17319999999998</v>
      </c>
      <c r="AK841" s="8"/>
      <c r="AL841" s="8">
        <f t="shared" si="252"/>
        <v>48.08659999999999</v>
      </c>
    </row>
    <row r="842" spans="1:38">
      <c r="A842" s="18">
        <v>41481</v>
      </c>
      <c r="B842" s="19" t="s">
        <v>141</v>
      </c>
      <c r="C842" s="12">
        <v>150.30000000000001</v>
      </c>
      <c r="D842" s="19" t="s">
        <v>80</v>
      </c>
      <c r="E842" s="8">
        <v>8.40916</v>
      </c>
      <c r="F842" s="16">
        <v>83.311199999999999</v>
      </c>
      <c r="G842" s="22">
        <v>150</v>
      </c>
      <c r="H842" s="8">
        <v>-30</v>
      </c>
      <c r="I842" s="10">
        <f t="shared" si="244"/>
        <v>-3.2327281437658275</v>
      </c>
      <c r="J842" s="10">
        <f t="shared" si="254"/>
        <v>-5.6421749930598293E-2</v>
      </c>
      <c r="K842" s="10">
        <f t="shared" si="253"/>
        <v>21.033470239848786</v>
      </c>
      <c r="L842" s="22">
        <v>876</v>
      </c>
      <c r="M842" s="22" t="s">
        <v>36</v>
      </c>
      <c r="N842" s="8" t="s">
        <v>46</v>
      </c>
      <c r="O842" s="10" t="s">
        <v>37</v>
      </c>
      <c r="P842" s="10" t="s">
        <v>38</v>
      </c>
      <c r="Q842" s="11">
        <v>0.48</v>
      </c>
      <c r="R842" s="8" t="s">
        <v>60</v>
      </c>
      <c r="S842" s="31">
        <v>10.4</v>
      </c>
      <c r="T842" s="79">
        <f t="shared" si="262"/>
        <v>8.494886400000002E-3</v>
      </c>
      <c r="U842" s="22">
        <v>7</v>
      </c>
      <c r="V842" s="22">
        <v>42</v>
      </c>
      <c r="W842" s="10">
        <f t="shared" si="255"/>
        <v>0.73303828583761843</v>
      </c>
      <c r="X842" s="22">
        <v>6</v>
      </c>
      <c r="Y842" s="22">
        <v>6</v>
      </c>
      <c r="Z842" s="10">
        <f t="shared" si="256"/>
        <v>0.10471975511965978</v>
      </c>
      <c r="AA842" s="10">
        <f t="shared" si="257"/>
        <v>5.3110850241179284</v>
      </c>
      <c r="AB842" s="10">
        <f t="shared" si="258"/>
        <v>15.272967269234746</v>
      </c>
      <c r="AC842" s="10">
        <f t="shared" si="249"/>
        <v>1.9091209086543433</v>
      </c>
      <c r="AD842" s="10">
        <f t="shared" si="259"/>
        <v>7.636483634617373</v>
      </c>
      <c r="AE842" s="65"/>
      <c r="AF842" s="10">
        <f t="shared" si="260"/>
        <v>31.128655554509354</v>
      </c>
      <c r="AG842" s="8">
        <f t="shared" si="250"/>
        <v>6.0700878331293247</v>
      </c>
      <c r="AH842" s="10">
        <f t="shared" si="251"/>
        <v>15.564327777254677</v>
      </c>
      <c r="AI842" s="63"/>
      <c r="AJ842" s="10">
        <f t="shared" si="261"/>
        <v>29.024200000000008</v>
      </c>
      <c r="AK842" s="8"/>
      <c r="AL842" s="8">
        <f t="shared" si="252"/>
        <v>14.512100000000004</v>
      </c>
    </row>
    <row r="843" spans="1:38">
      <c r="A843" s="18">
        <v>41481</v>
      </c>
      <c r="B843" s="19" t="s">
        <v>141</v>
      </c>
      <c r="C843" s="12">
        <v>150.30000000000001</v>
      </c>
      <c r="D843" s="19" t="s">
        <v>80</v>
      </c>
      <c r="E843" s="8">
        <v>8.40916</v>
      </c>
      <c r="F843" s="16">
        <v>83.311199999999999</v>
      </c>
      <c r="G843" s="22">
        <v>150</v>
      </c>
      <c r="H843" s="8">
        <v>-30</v>
      </c>
      <c r="I843" s="10">
        <f t="shared" si="244"/>
        <v>-3.2327281437658275</v>
      </c>
      <c r="J843" s="10">
        <f t="shared" si="254"/>
        <v>-5.6421749930598293E-2</v>
      </c>
      <c r="K843" s="10">
        <f t="shared" si="253"/>
        <v>21.033470239848786</v>
      </c>
      <c r="L843" s="22">
        <v>877</v>
      </c>
      <c r="M843" s="22" t="s">
        <v>36</v>
      </c>
      <c r="N843" s="8" t="s">
        <v>46</v>
      </c>
      <c r="O843" s="10" t="s">
        <v>37</v>
      </c>
      <c r="P843" s="10" t="s">
        <v>38</v>
      </c>
      <c r="Q843" s="11">
        <v>0.48</v>
      </c>
      <c r="R843" s="8" t="s">
        <v>60</v>
      </c>
      <c r="S843" s="31">
        <v>12.7</v>
      </c>
      <c r="T843" s="79">
        <f t="shared" si="262"/>
        <v>1.26677166E-2</v>
      </c>
      <c r="U843" s="22">
        <v>6</v>
      </c>
      <c r="V843" s="22">
        <v>30</v>
      </c>
      <c r="W843" s="10">
        <f t="shared" si="255"/>
        <v>0.52359877559829882</v>
      </c>
      <c r="X843" s="22">
        <v>6</v>
      </c>
      <c r="Y843" s="22">
        <v>25</v>
      </c>
      <c r="Z843" s="10">
        <f t="shared" si="256"/>
        <v>0.43633231299858238</v>
      </c>
      <c r="AA843" s="10">
        <f t="shared" si="257"/>
        <v>5.5357095704441956</v>
      </c>
      <c r="AB843" s="10">
        <f t="shared" si="258"/>
        <v>23.118645142884837</v>
      </c>
      <c r="AC843" s="10">
        <f t="shared" si="249"/>
        <v>2.8898306428606046</v>
      </c>
      <c r="AD843" s="10">
        <f t="shared" si="259"/>
        <v>11.559322571442419</v>
      </c>
      <c r="AE843" s="65"/>
      <c r="AF843" s="10">
        <f t="shared" si="260"/>
        <v>51.173446345118826</v>
      </c>
      <c r="AG843" s="8">
        <f t="shared" si="250"/>
        <v>9.9788220372981709</v>
      </c>
      <c r="AH843" s="10">
        <f t="shared" si="251"/>
        <v>25.586723172559413</v>
      </c>
      <c r="AI843" s="63"/>
      <c r="AJ843" s="10">
        <f t="shared" si="261"/>
        <v>52.348499999999987</v>
      </c>
      <c r="AK843" s="8"/>
      <c r="AL843" s="8">
        <f t="shared" si="252"/>
        <v>26.174249999999994</v>
      </c>
    </row>
    <row r="844" spans="1:38">
      <c r="A844" s="18">
        <v>41481</v>
      </c>
      <c r="B844" s="19" t="s">
        <v>141</v>
      </c>
      <c r="C844" s="12">
        <v>150.30000000000001</v>
      </c>
      <c r="D844" s="19" t="s">
        <v>80</v>
      </c>
      <c r="E844" s="8">
        <v>8.40916</v>
      </c>
      <c r="F844" s="16">
        <v>83.311199999999999</v>
      </c>
      <c r="G844" s="22">
        <v>150</v>
      </c>
      <c r="H844" s="8">
        <v>-30</v>
      </c>
      <c r="I844" s="10">
        <f t="shared" si="244"/>
        <v>-3.2327281437658275</v>
      </c>
      <c r="J844" s="10">
        <f t="shared" si="254"/>
        <v>-5.6421749930598293E-2</v>
      </c>
      <c r="K844" s="10">
        <f t="shared" si="253"/>
        <v>21.033470239848786</v>
      </c>
      <c r="L844" s="22">
        <v>900</v>
      </c>
      <c r="M844" s="31" t="s">
        <v>231</v>
      </c>
      <c r="N844" s="8" t="s">
        <v>171</v>
      </c>
      <c r="O844" s="33" t="s">
        <v>99</v>
      </c>
      <c r="P844" s="33" t="s">
        <v>99</v>
      </c>
      <c r="Q844" s="7">
        <v>0.57999999999999996</v>
      </c>
      <c r="R844" s="7" t="s">
        <v>103</v>
      </c>
      <c r="S844" s="31">
        <v>5.9</v>
      </c>
      <c r="T844" s="79">
        <f t="shared" si="262"/>
        <v>2.7339774000000004E-3</v>
      </c>
      <c r="U844" s="22">
        <v>7</v>
      </c>
      <c r="V844" s="22">
        <v>52</v>
      </c>
      <c r="W844" s="10">
        <f t="shared" si="255"/>
        <v>0.90757121103705141</v>
      </c>
      <c r="X844" s="22">
        <v>5</v>
      </c>
      <c r="Y844" s="22">
        <v>5</v>
      </c>
      <c r="Z844" s="10">
        <f t="shared" si="256"/>
        <v>8.7266462599716474E-2</v>
      </c>
      <c r="AA844" s="10">
        <f t="shared" si="257"/>
        <v>5.951853988985345</v>
      </c>
      <c r="AB844" s="10">
        <f t="shared" si="258"/>
        <v>6.9961473772616127</v>
      </c>
      <c r="AC844" s="10">
        <f t="shared" si="249"/>
        <v>0.87451842215770159</v>
      </c>
      <c r="AD844" s="10">
        <f t="shared" si="259"/>
        <v>3.4980736886308064</v>
      </c>
      <c r="AE844" s="65"/>
      <c r="AF844" s="10">
        <f t="shared" si="260"/>
        <v>9.2598717309352221</v>
      </c>
      <c r="AG844" s="8">
        <f t="shared" si="250"/>
        <v>1.8056749875323683</v>
      </c>
      <c r="AH844" s="10">
        <f t="shared" si="251"/>
        <v>4.629935865467611</v>
      </c>
      <c r="AI844" s="63"/>
      <c r="AJ844" s="10">
        <f t="shared" si="261"/>
        <v>6.0336999999999961</v>
      </c>
      <c r="AK844" s="8"/>
      <c r="AL844" s="8">
        <f t="shared" si="252"/>
        <v>3.016849999999998</v>
      </c>
    </row>
    <row r="845" spans="1:38">
      <c r="A845" s="18">
        <v>41481</v>
      </c>
      <c r="B845" s="19" t="s">
        <v>141</v>
      </c>
      <c r="C845" s="12">
        <v>150.30000000000001</v>
      </c>
      <c r="D845" s="19" t="s">
        <v>80</v>
      </c>
      <c r="E845" s="8">
        <v>8.40916</v>
      </c>
      <c r="F845" s="16">
        <v>83.311199999999999</v>
      </c>
      <c r="G845" s="22">
        <v>150</v>
      </c>
      <c r="H845" s="8">
        <v>-30</v>
      </c>
      <c r="I845" s="10">
        <f t="shared" si="244"/>
        <v>-3.2327281437658275</v>
      </c>
      <c r="J845" s="10">
        <f t="shared" si="254"/>
        <v>-5.6421749930598293E-2</v>
      </c>
      <c r="K845" s="10">
        <f t="shared" si="253"/>
        <v>21.033470239848786</v>
      </c>
      <c r="L845" s="22">
        <v>996</v>
      </c>
      <c r="M845" s="22" t="s">
        <v>36</v>
      </c>
      <c r="N845" s="8" t="s">
        <v>46</v>
      </c>
      <c r="O845" s="10" t="s">
        <v>37</v>
      </c>
      <c r="P845" s="10" t="s">
        <v>38</v>
      </c>
      <c r="Q845" s="11">
        <v>0.48</v>
      </c>
      <c r="R845" s="8" t="s">
        <v>60</v>
      </c>
      <c r="S845" s="31">
        <v>15.3</v>
      </c>
      <c r="T845" s="79">
        <f t="shared" si="262"/>
        <v>1.8385428600000003E-2</v>
      </c>
      <c r="U845" s="22">
        <v>6</v>
      </c>
      <c r="V845" s="22">
        <v>43</v>
      </c>
      <c r="W845" s="10">
        <f t="shared" si="255"/>
        <v>0.75049157835756175</v>
      </c>
      <c r="X845" s="22">
        <v>6</v>
      </c>
      <c r="Y845" s="22">
        <v>6</v>
      </c>
      <c r="Z845" s="10">
        <f t="shared" si="256"/>
        <v>0.10471975511965978</v>
      </c>
      <c r="AA845" s="10">
        <f t="shared" si="257"/>
        <v>4.7191609399809114</v>
      </c>
      <c r="AB845" s="10">
        <f t="shared" si="258"/>
        <v>28.241078343155866</v>
      </c>
      <c r="AC845" s="10">
        <f t="shared" si="249"/>
        <v>3.5301347928944833</v>
      </c>
      <c r="AD845" s="10">
        <f t="shared" si="259"/>
        <v>14.120539171577933</v>
      </c>
      <c r="AE845" s="65"/>
      <c r="AF845" s="10">
        <f t="shared" si="260"/>
        <v>81.297685587999297</v>
      </c>
      <c r="AG845" s="8">
        <f t="shared" si="250"/>
        <v>15.853048689659863</v>
      </c>
      <c r="AH845" s="10">
        <f t="shared" si="251"/>
        <v>40.648842793999648</v>
      </c>
      <c r="AI845" s="63"/>
      <c r="AJ845" s="10">
        <f t="shared" si="261"/>
        <v>88.142700000000005</v>
      </c>
      <c r="AK845" s="8"/>
      <c r="AL845" s="8">
        <f t="shared" si="252"/>
        <v>44.071350000000002</v>
      </c>
    </row>
    <row r="846" spans="1:38">
      <c r="A846" s="18">
        <v>41481</v>
      </c>
      <c r="B846" s="19" t="s">
        <v>141</v>
      </c>
      <c r="C846" s="12">
        <v>150.30000000000001</v>
      </c>
      <c r="D846" s="19" t="s">
        <v>80</v>
      </c>
      <c r="E846" s="8">
        <v>8.40916</v>
      </c>
      <c r="F846" s="16">
        <v>83.311199999999999</v>
      </c>
      <c r="G846" s="22">
        <v>150</v>
      </c>
      <c r="H846" s="8">
        <v>-30</v>
      </c>
      <c r="I846" s="10">
        <f t="shared" si="244"/>
        <v>-3.2327281437658275</v>
      </c>
      <c r="J846" s="10">
        <f t="shared" si="254"/>
        <v>-5.6421749930598293E-2</v>
      </c>
      <c r="K846" s="10">
        <f t="shared" si="253"/>
        <v>21.033470239848786</v>
      </c>
      <c r="L846" s="22">
        <v>926</v>
      </c>
      <c r="M846" s="22" t="s">
        <v>36</v>
      </c>
      <c r="N846" s="8" t="s">
        <v>46</v>
      </c>
      <c r="O846" s="10" t="s">
        <v>37</v>
      </c>
      <c r="P846" s="10" t="s">
        <v>38</v>
      </c>
      <c r="Q846" s="11">
        <v>0.48</v>
      </c>
      <c r="R846" s="8" t="s">
        <v>60</v>
      </c>
      <c r="S846" s="31">
        <v>9.1999999999999993</v>
      </c>
      <c r="T846" s="79">
        <f t="shared" si="262"/>
        <v>6.6476255999999992E-3</v>
      </c>
      <c r="U846" s="22">
        <v>8</v>
      </c>
      <c r="V846" s="22">
        <v>50</v>
      </c>
      <c r="W846" s="10">
        <f t="shared" si="255"/>
        <v>0.87266462599716477</v>
      </c>
      <c r="X846" s="22">
        <v>7</v>
      </c>
      <c r="Y846" s="22">
        <v>2</v>
      </c>
      <c r="Z846" s="10">
        <f t="shared" si="256"/>
        <v>3.4906585039886591E-2</v>
      </c>
      <c r="AA846" s="10">
        <f t="shared" si="257"/>
        <v>6.3726520218693308</v>
      </c>
      <c r="AB846" s="10">
        <f t="shared" si="258"/>
        <v>14.394964296458149</v>
      </c>
      <c r="AC846" s="10">
        <f t="shared" si="249"/>
        <v>1.7993705370572686</v>
      </c>
      <c r="AD846" s="10">
        <f t="shared" si="259"/>
        <v>7.1974821482290743</v>
      </c>
      <c r="AE846" s="65"/>
      <c r="AF846" s="10">
        <f t="shared" si="260"/>
        <v>22.951606844819594</v>
      </c>
      <c r="AG846" s="8">
        <f t="shared" si="250"/>
        <v>4.4755633347398209</v>
      </c>
      <c r="AH846" s="10">
        <f t="shared" si="251"/>
        <v>11.475803422409797</v>
      </c>
      <c r="AI846" s="63"/>
      <c r="AJ846" s="10">
        <f t="shared" si="261"/>
        <v>19.962999999999994</v>
      </c>
      <c r="AK846" s="8"/>
      <c r="AL846" s="8">
        <f t="shared" si="252"/>
        <v>9.9814999999999969</v>
      </c>
    </row>
    <row r="847" spans="1:38">
      <c r="A847" s="18">
        <v>41481</v>
      </c>
      <c r="B847" s="19" t="s">
        <v>141</v>
      </c>
      <c r="C847" s="12">
        <v>150.30000000000001</v>
      </c>
      <c r="D847" s="19" t="s">
        <v>80</v>
      </c>
      <c r="E847" s="8">
        <v>8.40916</v>
      </c>
      <c r="F847" s="16">
        <v>83.311199999999999</v>
      </c>
      <c r="G847" s="22">
        <v>150</v>
      </c>
      <c r="H847" s="8">
        <v>-30</v>
      </c>
      <c r="I847" s="10">
        <f t="shared" ref="I847:I908" si="263">1/TAN(H847/100)</f>
        <v>-3.2327281437658275</v>
      </c>
      <c r="J847" s="10">
        <f t="shared" si="254"/>
        <v>-5.6421749930598293E-2</v>
      </c>
      <c r="K847" s="10">
        <f t="shared" si="253"/>
        <v>21.033470239848786</v>
      </c>
      <c r="L847" s="22">
        <v>925</v>
      </c>
      <c r="M847" s="22" t="s">
        <v>36</v>
      </c>
      <c r="N847" s="8" t="s">
        <v>46</v>
      </c>
      <c r="O847" s="10" t="s">
        <v>37</v>
      </c>
      <c r="P847" s="10" t="s">
        <v>38</v>
      </c>
      <c r="Q847" s="11">
        <v>0.48</v>
      </c>
      <c r="R847" s="8" t="s">
        <v>60</v>
      </c>
      <c r="S847" s="31">
        <v>20.399999999999999</v>
      </c>
      <c r="T847" s="79">
        <f t="shared" si="262"/>
        <v>3.26852064E-2</v>
      </c>
      <c r="U847" s="22">
        <v>8</v>
      </c>
      <c r="V847" s="22">
        <v>40</v>
      </c>
      <c r="W847" s="10">
        <f t="shared" si="255"/>
        <v>0.69813170079773179</v>
      </c>
      <c r="X847" s="22">
        <v>8</v>
      </c>
      <c r="Y847" s="22">
        <v>20</v>
      </c>
      <c r="Z847" s="10">
        <f t="shared" si="256"/>
        <v>0.3490658503988659</v>
      </c>
      <c r="AA847" s="10">
        <f t="shared" si="257"/>
        <v>7.8784620240976633</v>
      </c>
      <c r="AB847" s="10">
        <f t="shared" si="258"/>
        <v>78.521422435876431</v>
      </c>
      <c r="AC847" s="10">
        <f t="shared" si="249"/>
        <v>9.8151778044845539</v>
      </c>
      <c r="AD847" s="10">
        <f t="shared" si="259"/>
        <v>39.260711217938216</v>
      </c>
      <c r="AE847" s="65"/>
      <c r="AF847" s="10">
        <f t="shared" si="260"/>
        <v>165.60190800322115</v>
      </c>
      <c r="AG847" s="8">
        <f t="shared" si="250"/>
        <v>32.292372060628125</v>
      </c>
      <c r="AH847" s="10">
        <f t="shared" si="251"/>
        <v>82.800954001610577</v>
      </c>
      <c r="AI847" s="63"/>
      <c r="AJ847" s="10">
        <f t="shared" si="261"/>
        <v>187.41419999999999</v>
      </c>
      <c r="AK847" s="8"/>
      <c r="AL847" s="8">
        <f t="shared" si="252"/>
        <v>93.707099999999997</v>
      </c>
    </row>
    <row r="848" spans="1:38">
      <c r="A848" s="18">
        <v>41481</v>
      </c>
      <c r="B848" s="19" t="s">
        <v>141</v>
      </c>
      <c r="C848" s="12">
        <v>150.30000000000001</v>
      </c>
      <c r="D848" s="19" t="s">
        <v>80</v>
      </c>
      <c r="E848" s="8">
        <v>8.40916</v>
      </c>
      <c r="F848" s="16">
        <v>83.311199999999999</v>
      </c>
      <c r="G848" s="22">
        <v>150</v>
      </c>
      <c r="H848" s="8">
        <v>-30</v>
      </c>
      <c r="I848" s="10">
        <f t="shared" si="263"/>
        <v>-3.2327281437658275</v>
      </c>
      <c r="J848" s="10">
        <f t="shared" si="254"/>
        <v>-5.6421749930598293E-2</v>
      </c>
      <c r="K848" s="10">
        <f t="shared" si="253"/>
        <v>21.033470239848786</v>
      </c>
      <c r="L848" s="22">
        <v>952</v>
      </c>
      <c r="M848" s="31" t="s">
        <v>231</v>
      </c>
      <c r="N848" s="8" t="s">
        <v>171</v>
      </c>
      <c r="O848" s="33" t="s">
        <v>99</v>
      </c>
      <c r="P848" s="33" t="s">
        <v>99</v>
      </c>
      <c r="Q848" s="7">
        <v>0.57999999999999996</v>
      </c>
      <c r="R848" s="7" t="s">
        <v>103</v>
      </c>
      <c r="S848" s="31">
        <v>8.5</v>
      </c>
      <c r="T848" s="79">
        <f t="shared" si="262"/>
        <v>5.6745150000000006E-3</v>
      </c>
      <c r="U848" s="22">
        <v>6</v>
      </c>
      <c r="V848" s="22">
        <v>52</v>
      </c>
      <c r="W848" s="10">
        <f t="shared" si="255"/>
        <v>0.90757121103705141</v>
      </c>
      <c r="X848" s="22">
        <v>5</v>
      </c>
      <c r="Y848" s="22">
        <v>18</v>
      </c>
      <c r="Z848" s="10">
        <f t="shared" si="256"/>
        <v>0.31415926535897931</v>
      </c>
      <c r="AA848" s="10">
        <f t="shared" si="257"/>
        <v>6.2731494935150698</v>
      </c>
      <c r="AB848" s="10">
        <f t="shared" si="258"/>
        <v>14.602530247954927</v>
      </c>
      <c r="AC848" s="10">
        <f t="shared" si="249"/>
        <v>1.8253162809943659</v>
      </c>
      <c r="AD848" s="10">
        <f t="shared" si="259"/>
        <v>7.3012651239774637</v>
      </c>
      <c r="AE848" s="65"/>
      <c r="AF848" s="10">
        <f t="shared" si="260"/>
        <v>22.787780222022516</v>
      </c>
      <c r="AG848" s="8">
        <f t="shared" si="250"/>
        <v>4.4436171432943903</v>
      </c>
      <c r="AH848" s="10">
        <f t="shared" si="251"/>
        <v>11.393890111011258</v>
      </c>
      <c r="AI848" s="63"/>
      <c r="AJ848" s="10">
        <f t="shared" si="261"/>
        <v>15.661499999999997</v>
      </c>
      <c r="AK848" s="8"/>
      <c r="AL848" s="8">
        <f t="shared" si="252"/>
        <v>7.8307499999999983</v>
      </c>
    </row>
    <row r="849" spans="1:38">
      <c r="A849" s="18">
        <v>41481</v>
      </c>
      <c r="B849" s="19" t="s">
        <v>141</v>
      </c>
      <c r="C849" s="12">
        <v>150.30000000000001</v>
      </c>
      <c r="D849" s="19" t="s">
        <v>80</v>
      </c>
      <c r="E849" s="8">
        <v>8.40916</v>
      </c>
      <c r="F849" s="16">
        <v>83.311199999999999</v>
      </c>
      <c r="G849" s="22">
        <v>150</v>
      </c>
      <c r="H849" s="8">
        <v>-30</v>
      </c>
      <c r="I849" s="10">
        <f t="shared" si="263"/>
        <v>-3.2327281437658275</v>
      </c>
      <c r="J849" s="10">
        <f t="shared" si="254"/>
        <v>-5.6421749930598293E-2</v>
      </c>
      <c r="K849" s="10">
        <f t="shared" si="253"/>
        <v>21.033470239848786</v>
      </c>
      <c r="L849" s="22">
        <v>843</v>
      </c>
      <c r="M849" s="22" t="s">
        <v>36</v>
      </c>
      <c r="N849" s="8" t="s">
        <v>46</v>
      </c>
      <c r="O849" s="10" t="s">
        <v>37</v>
      </c>
      <c r="P849" s="10" t="s">
        <v>38</v>
      </c>
      <c r="Q849" s="11">
        <v>0.48</v>
      </c>
      <c r="R849" s="8" t="s">
        <v>60</v>
      </c>
      <c r="S849" s="31">
        <v>11.3</v>
      </c>
      <c r="T849" s="79">
        <f t="shared" si="262"/>
        <v>1.0028772600000001E-2</v>
      </c>
      <c r="U849" s="22">
        <v>7</v>
      </c>
      <c r="V849" s="22">
        <v>42</v>
      </c>
      <c r="W849" s="10">
        <f t="shared" si="255"/>
        <v>0.73303828583761843</v>
      </c>
      <c r="X849" s="22">
        <v>6</v>
      </c>
      <c r="Y849" s="22">
        <v>18</v>
      </c>
      <c r="Z849" s="10">
        <f t="shared" si="256"/>
        <v>0.31415926535897931</v>
      </c>
      <c r="AA849" s="10">
        <f t="shared" si="257"/>
        <v>6.5380162107616915</v>
      </c>
      <c r="AB849" s="10">
        <f t="shared" si="258"/>
        <v>21.703770657785501</v>
      </c>
      <c r="AC849" s="10">
        <f t="shared" si="249"/>
        <v>2.7129713322231876</v>
      </c>
      <c r="AD849" s="10">
        <f t="shared" si="259"/>
        <v>10.851885328892751</v>
      </c>
      <c r="AE849" s="65"/>
      <c r="AF849" s="10">
        <f t="shared" si="260"/>
        <v>38.267801490919226</v>
      </c>
      <c r="AG849" s="8">
        <f t="shared" si="250"/>
        <v>7.4622212907292491</v>
      </c>
      <c r="AH849" s="10">
        <f t="shared" si="251"/>
        <v>19.133900745459613</v>
      </c>
      <c r="AI849" s="63"/>
      <c r="AJ849" s="10">
        <f t="shared" si="261"/>
        <v>37.218699999999998</v>
      </c>
      <c r="AK849" s="8"/>
      <c r="AL849" s="8">
        <f t="shared" si="252"/>
        <v>18.609349999999999</v>
      </c>
    </row>
    <row r="850" spans="1:38">
      <c r="A850" s="18">
        <v>41481</v>
      </c>
      <c r="B850" s="19" t="s">
        <v>141</v>
      </c>
      <c r="C850" s="12">
        <v>150.30000000000001</v>
      </c>
      <c r="D850" s="19" t="s">
        <v>80</v>
      </c>
      <c r="E850" s="8">
        <v>8.40916</v>
      </c>
      <c r="F850" s="16">
        <v>83.311199999999999</v>
      </c>
      <c r="G850" s="22">
        <v>150</v>
      </c>
      <c r="H850" s="8">
        <v>-30</v>
      </c>
      <c r="I850" s="10">
        <f t="shared" si="263"/>
        <v>-3.2327281437658275</v>
      </c>
      <c r="J850" s="10">
        <f t="shared" si="254"/>
        <v>-5.6421749930598293E-2</v>
      </c>
      <c r="K850" s="10">
        <f t="shared" si="253"/>
        <v>21.033470239848786</v>
      </c>
      <c r="L850" s="22">
        <v>849</v>
      </c>
      <c r="M850" s="22" t="s">
        <v>47</v>
      </c>
      <c r="N850" s="8" t="s">
        <v>48</v>
      </c>
      <c r="O850" s="10" t="s">
        <v>49</v>
      </c>
      <c r="P850" s="10" t="s">
        <v>50</v>
      </c>
      <c r="Q850" s="20">
        <v>0.75</v>
      </c>
      <c r="R850" s="8" t="s">
        <v>67</v>
      </c>
      <c r="S850" s="30">
        <v>7</v>
      </c>
      <c r="T850" s="79">
        <f t="shared" si="262"/>
        <v>3.8484600000000002E-3</v>
      </c>
      <c r="U850" s="22">
        <v>8</v>
      </c>
      <c r="V850" s="22">
        <v>60</v>
      </c>
      <c r="W850" s="10">
        <f t="shared" si="255"/>
        <v>1.0471975511965976</v>
      </c>
      <c r="X850" s="22">
        <v>6</v>
      </c>
      <c r="Y850" s="22">
        <v>2</v>
      </c>
      <c r="Z850" s="10">
        <f t="shared" si="256"/>
        <v>3.4906585039886591E-2</v>
      </c>
      <c r="AA850" s="10">
        <f t="shared" si="257"/>
        <v>7.1376002104905147</v>
      </c>
      <c r="AB850" s="10">
        <f t="shared" si="258"/>
        <v>14.572790103154771</v>
      </c>
      <c r="AC850" s="10">
        <f t="shared" si="249"/>
        <v>1.8215987628943464</v>
      </c>
      <c r="AD850" s="10">
        <f t="shared" si="259"/>
        <v>7.2863950515773857</v>
      </c>
      <c r="AE850" s="65"/>
      <c r="AF850" s="10">
        <f t="shared" si="260"/>
        <v>18.228558598957047</v>
      </c>
      <c r="AG850" s="8">
        <f t="shared" si="250"/>
        <v>3.5545689267966245</v>
      </c>
      <c r="AH850" s="10">
        <f t="shared" si="251"/>
        <v>9.1142792994785236</v>
      </c>
      <c r="AI850" s="63"/>
      <c r="AJ850" s="10">
        <f t="shared" si="261"/>
        <v>8.8859999999999992</v>
      </c>
      <c r="AK850" s="8"/>
      <c r="AL850" s="8">
        <f t="shared" si="252"/>
        <v>4.4429999999999996</v>
      </c>
    </row>
    <row r="851" spans="1:38">
      <c r="A851" s="18">
        <v>41481</v>
      </c>
      <c r="B851" s="19" t="s">
        <v>141</v>
      </c>
      <c r="C851" s="12">
        <v>150.30000000000001</v>
      </c>
      <c r="D851" s="19" t="s">
        <v>80</v>
      </c>
      <c r="E851" s="8">
        <v>8.40916</v>
      </c>
      <c r="F851" s="16">
        <v>83.311199999999999</v>
      </c>
      <c r="G851" s="22">
        <v>150</v>
      </c>
      <c r="H851" s="8">
        <v>-30</v>
      </c>
      <c r="I851" s="10">
        <f t="shared" si="263"/>
        <v>-3.2327281437658275</v>
      </c>
      <c r="J851" s="10">
        <f t="shared" si="254"/>
        <v>-5.6421749930598293E-2</v>
      </c>
      <c r="K851" s="10">
        <f t="shared" si="253"/>
        <v>21.033470239848786</v>
      </c>
      <c r="L851" s="22">
        <v>911</v>
      </c>
      <c r="M851" s="22" t="s">
        <v>36</v>
      </c>
      <c r="N851" s="8" t="s">
        <v>46</v>
      </c>
      <c r="O851" s="10" t="s">
        <v>37</v>
      </c>
      <c r="P851" s="10" t="s">
        <v>38</v>
      </c>
      <c r="Q851" s="11">
        <v>0.48</v>
      </c>
      <c r="R851" s="8" t="s">
        <v>60</v>
      </c>
      <c r="S851" s="31">
        <v>21.6</v>
      </c>
      <c r="T851" s="79">
        <f t="shared" si="262"/>
        <v>3.6643622400000006E-2</v>
      </c>
      <c r="U851" s="22">
        <v>7</v>
      </c>
      <c r="V851" s="22">
        <v>50</v>
      </c>
      <c r="W851" s="10">
        <f t="shared" si="255"/>
        <v>0.87266462599716477</v>
      </c>
      <c r="X851" s="22">
        <v>6</v>
      </c>
      <c r="Y851" s="22">
        <v>2</v>
      </c>
      <c r="Z851" s="10">
        <f t="shared" si="256"/>
        <v>3.4906585039886591E-2</v>
      </c>
      <c r="AA851" s="10">
        <f t="shared" si="257"/>
        <v>5.5717080820478522</v>
      </c>
      <c r="AB851" s="10">
        <f t="shared" si="258"/>
        <v>63.129244173961105</v>
      </c>
      <c r="AC851" s="10">
        <f t="shared" si="249"/>
        <v>7.8911555217451381</v>
      </c>
      <c r="AD851" s="10">
        <f t="shared" si="259"/>
        <v>31.564622086980552</v>
      </c>
      <c r="AE851" s="65"/>
      <c r="AF851" s="10">
        <f t="shared" si="260"/>
        <v>190.59350663499762</v>
      </c>
      <c r="AG851" s="8">
        <f t="shared" si="250"/>
        <v>37.165733793824536</v>
      </c>
      <c r="AH851" s="10">
        <f t="shared" si="251"/>
        <v>95.296753317498812</v>
      </c>
      <c r="AI851" s="63"/>
      <c r="AJ851" s="10">
        <f t="shared" si="261"/>
        <v>216.36660000000001</v>
      </c>
      <c r="AK851" s="8"/>
      <c r="AL851" s="8">
        <f t="shared" si="252"/>
        <v>108.1833</v>
      </c>
    </row>
    <row r="852" spans="1:38">
      <c r="A852" s="18">
        <v>41481</v>
      </c>
      <c r="B852" s="19" t="s">
        <v>141</v>
      </c>
      <c r="C852" s="12">
        <v>150.30000000000001</v>
      </c>
      <c r="D852" s="19" t="s">
        <v>80</v>
      </c>
      <c r="E852" s="8">
        <v>8.40916</v>
      </c>
      <c r="F852" s="16">
        <v>83.311199999999999</v>
      </c>
      <c r="G852" s="22">
        <v>150</v>
      </c>
      <c r="H852" s="8">
        <v>-30</v>
      </c>
      <c r="I852" s="10">
        <f t="shared" si="263"/>
        <v>-3.2327281437658275</v>
      </c>
      <c r="J852" s="10">
        <f t="shared" si="254"/>
        <v>-5.6421749930598293E-2</v>
      </c>
      <c r="K852" s="10">
        <f t="shared" si="253"/>
        <v>21.033470239848786</v>
      </c>
      <c r="L852" s="22">
        <v>972</v>
      </c>
      <c r="M852" s="22" t="s">
        <v>39</v>
      </c>
      <c r="N852" s="7" t="s">
        <v>69</v>
      </c>
      <c r="O852" s="33" t="s">
        <v>65</v>
      </c>
      <c r="P852" s="33" t="s">
        <v>70</v>
      </c>
      <c r="Q852" s="7">
        <v>0.37</v>
      </c>
      <c r="R852" s="7" t="s">
        <v>71</v>
      </c>
      <c r="S852" s="31">
        <v>13.8</v>
      </c>
      <c r="T852" s="79">
        <f t="shared" si="262"/>
        <v>1.4957157600000003E-2</v>
      </c>
      <c r="U852" s="22">
        <v>8</v>
      </c>
      <c r="V852" s="22">
        <v>55</v>
      </c>
      <c r="W852" s="10">
        <f t="shared" si="255"/>
        <v>0.95993108859688125</v>
      </c>
      <c r="X852" s="22">
        <v>7</v>
      </c>
      <c r="Y852" s="22">
        <v>9</v>
      </c>
      <c r="Z852" s="10">
        <f t="shared" si="256"/>
        <v>0.15707963267948966</v>
      </c>
      <c r="AA852" s="10">
        <f t="shared" si="257"/>
        <v>7.6482576095935499</v>
      </c>
      <c r="AB852" s="10">
        <f t="shared" si="258"/>
        <v>28.674297140004377</v>
      </c>
      <c r="AC852" s="10">
        <f t="shared" si="249"/>
        <v>3.5842871425005471</v>
      </c>
      <c r="AD852" s="10">
        <f t="shared" si="259"/>
        <v>14.337148570002189</v>
      </c>
      <c r="AE852" s="65"/>
      <c r="AF852" s="10">
        <f t="shared" si="260"/>
        <v>48.497562387194435</v>
      </c>
      <c r="AG852" s="8">
        <f t="shared" si="250"/>
        <v>9.4570246655029155</v>
      </c>
      <c r="AH852" s="10">
        <f t="shared" si="251"/>
        <v>24.248781193597218</v>
      </c>
      <c r="AI852" s="63"/>
      <c r="AJ852" s="10">
        <f t="shared" si="261"/>
        <v>66.271200000000022</v>
      </c>
      <c r="AK852" s="8"/>
      <c r="AL852" s="8">
        <f t="shared" si="252"/>
        <v>33.135600000000011</v>
      </c>
    </row>
    <row r="853" spans="1:38">
      <c r="A853" s="18">
        <v>41481</v>
      </c>
      <c r="B853" s="19" t="s">
        <v>141</v>
      </c>
      <c r="C853" s="12">
        <v>150.30000000000001</v>
      </c>
      <c r="D853" s="19" t="s">
        <v>80</v>
      </c>
      <c r="E853" s="8">
        <v>8.40916</v>
      </c>
      <c r="F853" s="16">
        <v>83.311199999999999</v>
      </c>
      <c r="G853" s="22">
        <v>150</v>
      </c>
      <c r="H853" s="8">
        <v>-30</v>
      </c>
      <c r="I853" s="10">
        <f t="shared" si="263"/>
        <v>-3.2327281437658275</v>
      </c>
      <c r="J853" s="10">
        <f t="shared" si="254"/>
        <v>-5.6421749930598293E-2</v>
      </c>
      <c r="K853" s="10">
        <f t="shared" si="253"/>
        <v>21.033470239848786</v>
      </c>
      <c r="L853" s="22">
        <v>958</v>
      </c>
      <c r="M853" s="22" t="s">
        <v>39</v>
      </c>
      <c r="N853" s="7" t="s">
        <v>69</v>
      </c>
      <c r="O853" s="33" t="s">
        <v>65</v>
      </c>
      <c r="P853" s="33" t="s">
        <v>70</v>
      </c>
      <c r="Q853" s="7">
        <v>0.37</v>
      </c>
      <c r="R853" s="7" t="s">
        <v>71</v>
      </c>
      <c r="S853" s="31">
        <v>14.2</v>
      </c>
      <c r="T853" s="79">
        <f t="shared" si="262"/>
        <v>1.58368056E-2</v>
      </c>
      <c r="U853" s="22">
        <v>8</v>
      </c>
      <c r="V853" s="22">
        <v>62</v>
      </c>
      <c r="W853" s="10">
        <f t="shared" si="255"/>
        <v>1.0821041362364843</v>
      </c>
      <c r="X853" s="22">
        <v>5</v>
      </c>
      <c r="Y853" s="22">
        <v>9</v>
      </c>
      <c r="Z853" s="10">
        <f t="shared" si="256"/>
        <v>0.15707963267948966</v>
      </c>
      <c r="AA853" s="10">
        <f t="shared" si="257"/>
        <v>7.8457530680725691</v>
      </c>
      <c r="AB853" s="10">
        <f t="shared" si="258"/>
        <v>30.990600139152047</v>
      </c>
      <c r="AC853" s="10">
        <f t="shared" si="249"/>
        <v>3.8738250173940059</v>
      </c>
      <c r="AD853" s="10">
        <f t="shared" si="259"/>
        <v>15.495300069576023</v>
      </c>
      <c r="AE853" s="65"/>
      <c r="AF853" s="10">
        <f t="shared" si="260"/>
        <v>52.066992549100995</v>
      </c>
      <c r="AG853" s="8">
        <f t="shared" si="250"/>
        <v>10.153063547074694</v>
      </c>
      <c r="AH853" s="10">
        <f t="shared" si="251"/>
        <v>26.033496274550497</v>
      </c>
      <c r="AI853" s="63"/>
      <c r="AJ853" s="10">
        <f t="shared" si="261"/>
        <v>71.777999999999977</v>
      </c>
      <c r="AK853" s="8"/>
      <c r="AL853" s="8">
        <f t="shared" si="252"/>
        <v>35.888999999999989</v>
      </c>
    </row>
    <row r="854" spans="1:38">
      <c r="A854" s="18">
        <v>41481</v>
      </c>
      <c r="B854" s="19" t="s">
        <v>141</v>
      </c>
      <c r="C854" s="12">
        <v>150.30000000000001</v>
      </c>
      <c r="D854" s="19" t="s">
        <v>80</v>
      </c>
      <c r="E854" s="8">
        <v>8.40916</v>
      </c>
      <c r="F854" s="16">
        <v>83.311199999999999</v>
      </c>
      <c r="G854" s="22">
        <v>150</v>
      </c>
      <c r="H854" s="8">
        <v>-30</v>
      </c>
      <c r="I854" s="10">
        <f t="shared" si="263"/>
        <v>-3.2327281437658275</v>
      </c>
      <c r="J854" s="10">
        <f t="shared" si="254"/>
        <v>-5.6421749930598293E-2</v>
      </c>
      <c r="K854" s="10">
        <f t="shared" si="253"/>
        <v>21.033470239848786</v>
      </c>
      <c r="L854" s="22">
        <v>924</v>
      </c>
      <c r="M854" s="22" t="s">
        <v>36</v>
      </c>
      <c r="N854" s="8" t="s">
        <v>46</v>
      </c>
      <c r="O854" s="10" t="s">
        <v>37</v>
      </c>
      <c r="P854" s="10" t="s">
        <v>38</v>
      </c>
      <c r="Q854" s="11">
        <v>0.48</v>
      </c>
      <c r="R854" s="8" t="s">
        <v>60</v>
      </c>
      <c r="S854" s="31">
        <v>17.5</v>
      </c>
      <c r="T854" s="79">
        <f t="shared" si="262"/>
        <v>2.4052875000000001E-2</v>
      </c>
      <c r="U854" s="22">
        <v>8</v>
      </c>
      <c r="V854" s="22">
        <v>52</v>
      </c>
      <c r="W854" s="10">
        <f t="shared" si="255"/>
        <v>0.90757121103705141</v>
      </c>
      <c r="X854" s="22">
        <v>6</v>
      </c>
      <c r="Y854" s="22">
        <v>9</v>
      </c>
      <c r="Z854" s="10">
        <f t="shared" si="256"/>
        <v>0.15707963267948966</v>
      </c>
      <c r="AA854" s="10">
        <f t="shared" si="257"/>
        <v>7.2426928190951614</v>
      </c>
      <c r="AB854" s="10">
        <f t="shared" si="258"/>
        <v>54.380860828354663</v>
      </c>
      <c r="AC854" s="10">
        <f t="shared" si="249"/>
        <v>6.7976076035443329</v>
      </c>
      <c r="AD854" s="10">
        <f t="shared" si="259"/>
        <v>27.190430414177332</v>
      </c>
      <c r="AE854" s="65"/>
      <c r="AF854" s="10">
        <f t="shared" si="260"/>
        <v>113.4193719398</v>
      </c>
      <c r="AG854" s="8">
        <f t="shared" si="250"/>
        <v>22.116777528261</v>
      </c>
      <c r="AH854" s="10">
        <f t="shared" si="251"/>
        <v>56.709685969900001</v>
      </c>
      <c r="AI854" s="63"/>
      <c r="AJ854" s="10">
        <f t="shared" si="261"/>
        <v>126.24449999999999</v>
      </c>
      <c r="AK854" s="8"/>
      <c r="AL854" s="8">
        <f t="shared" si="252"/>
        <v>63.122249999999994</v>
      </c>
    </row>
    <row r="855" spans="1:38">
      <c r="A855" s="18">
        <v>41481</v>
      </c>
      <c r="B855" s="19" t="s">
        <v>141</v>
      </c>
      <c r="C855" s="12">
        <v>150.30000000000001</v>
      </c>
      <c r="D855" s="19" t="s">
        <v>80</v>
      </c>
      <c r="E855" s="8">
        <v>8.40916</v>
      </c>
      <c r="F855" s="16">
        <v>83.311199999999999</v>
      </c>
      <c r="G855" s="22">
        <v>150</v>
      </c>
      <c r="H855" s="8">
        <v>-30</v>
      </c>
      <c r="I855" s="10">
        <f t="shared" si="263"/>
        <v>-3.2327281437658275</v>
      </c>
      <c r="J855" s="10">
        <f t="shared" si="254"/>
        <v>-5.6421749930598293E-2</v>
      </c>
      <c r="K855" s="10">
        <f t="shared" si="253"/>
        <v>21.033470239848786</v>
      </c>
      <c r="L855" s="22">
        <v>890</v>
      </c>
      <c r="M855" s="22" t="s">
        <v>54</v>
      </c>
      <c r="N855" s="8" t="s">
        <v>55</v>
      </c>
      <c r="O855" s="10" t="s">
        <v>56</v>
      </c>
      <c r="P855" s="10" t="s">
        <v>57</v>
      </c>
      <c r="Q855" s="11">
        <v>0.315</v>
      </c>
      <c r="R855" s="12" t="s">
        <v>66</v>
      </c>
      <c r="S855" s="31">
        <v>22.5</v>
      </c>
      <c r="T855" s="79">
        <f t="shared" si="262"/>
        <v>3.9760875000000001E-2</v>
      </c>
      <c r="U855" s="22">
        <v>18</v>
      </c>
      <c r="V855" s="22">
        <v>75</v>
      </c>
      <c r="W855" s="10">
        <f t="shared" si="255"/>
        <v>1.3089969389957472</v>
      </c>
      <c r="X855" s="22">
        <v>5</v>
      </c>
      <c r="Y855" s="22">
        <v>8</v>
      </c>
      <c r="Z855" s="10">
        <f t="shared" si="256"/>
        <v>0.13962634015954636</v>
      </c>
      <c r="AA855" s="10">
        <f t="shared" si="257"/>
        <v>18.082530378003558</v>
      </c>
      <c r="AB855" s="10">
        <f t="shared" si="258"/>
        <v>138.73959648122926</v>
      </c>
      <c r="AC855" s="10">
        <f t="shared" si="249"/>
        <v>17.342449560153657</v>
      </c>
      <c r="AD855" s="10">
        <f t="shared" si="259"/>
        <v>69.369798240614628</v>
      </c>
      <c r="AE855" s="65"/>
      <c r="AF855" s="10">
        <f t="shared" si="260"/>
        <v>138.25600338639745</v>
      </c>
      <c r="AG855" s="8">
        <f t="shared" si="250"/>
        <v>26.959920660347503</v>
      </c>
      <c r="AH855" s="10">
        <f t="shared" si="251"/>
        <v>69.128001693198726</v>
      </c>
      <c r="AI855" s="63"/>
      <c r="AJ855" s="10">
        <f t="shared" si="261"/>
        <v>239.4795</v>
      </c>
      <c r="AK855" s="8"/>
      <c r="AL855" s="8">
        <f t="shared" si="252"/>
        <v>119.73975</v>
      </c>
    </row>
    <row r="856" spans="1:38">
      <c r="A856" s="18">
        <v>41481</v>
      </c>
      <c r="B856" s="19" t="s">
        <v>141</v>
      </c>
      <c r="C856" s="12">
        <v>150.30000000000001</v>
      </c>
      <c r="D856" s="19" t="s">
        <v>80</v>
      </c>
      <c r="E856" s="8">
        <v>8.40916</v>
      </c>
      <c r="F856" s="16">
        <v>83.311199999999999</v>
      </c>
      <c r="G856" s="22">
        <v>150</v>
      </c>
      <c r="H856" s="8">
        <v>-30</v>
      </c>
      <c r="I856" s="10">
        <f t="shared" si="263"/>
        <v>-3.2327281437658275</v>
      </c>
      <c r="J856" s="10">
        <f t="shared" si="254"/>
        <v>-5.6421749930598293E-2</v>
      </c>
      <c r="K856" s="10">
        <f t="shared" si="253"/>
        <v>21.033470239848786</v>
      </c>
      <c r="L856" s="22">
        <v>835</v>
      </c>
      <c r="M856" s="22" t="s">
        <v>36</v>
      </c>
      <c r="N856" s="8" t="s">
        <v>46</v>
      </c>
      <c r="O856" s="10" t="s">
        <v>37</v>
      </c>
      <c r="P856" s="10" t="s">
        <v>38</v>
      </c>
      <c r="Q856" s="11">
        <v>0.48</v>
      </c>
      <c r="R856" s="8" t="s">
        <v>60</v>
      </c>
      <c r="S856" s="31">
        <v>15.3</v>
      </c>
      <c r="T856" s="79">
        <f t="shared" si="262"/>
        <v>1.8385428600000003E-2</v>
      </c>
      <c r="U856" s="22">
        <v>9</v>
      </c>
      <c r="V856" s="22">
        <v>37</v>
      </c>
      <c r="W856" s="10">
        <f t="shared" si="255"/>
        <v>0.64577182323790194</v>
      </c>
      <c r="X856" s="22">
        <v>8</v>
      </c>
      <c r="Y856" s="22">
        <v>-4</v>
      </c>
      <c r="Z856" s="10">
        <f t="shared" si="256"/>
        <v>-6.9813170079773182E-2</v>
      </c>
      <c r="AA856" s="10">
        <f t="shared" si="257"/>
        <v>4.8582834184154322</v>
      </c>
      <c r="AB856" s="10">
        <f t="shared" si="258"/>
        <v>29.02299655187376</v>
      </c>
      <c r="AC856" s="10">
        <f t="shared" si="249"/>
        <v>3.62787456898422</v>
      </c>
      <c r="AD856" s="10">
        <f t="shared" si="259"/>
        <v>14.51149827593688</v>
      </c>
      <c r="AE856" s="65"/>
      <c r="AF856" s="10">
        <f t="shared" si="260"/>
        <v>81.297685587999297</v>
      </c>
      <c r="AG856" s="8">
        <f t="shared" si="250"/>
        <v>15.853048689659863</v>
      </c>
      <c r="AH856" s="10">
        <f t="shared" si="251"/>
        <v>40.648842793999648</v>
      </c>
      <c r="AI856" s="63"/>
      <c r="AJ856" s="10">
        <f t="shared" si="261"/>
        <v>88.142700000000005</v>
      </c>
      <c r="AK856" s="8"/>
      <c r="AL856" s="8">
        <f t="shared" si="252"/>
        <v>44.071350000000002</v>
      </c>
    </row>
    <row r="857" spans="1:38">
      <c r="A857" s="18">
        <v>41481</v>
      </c>
      <c r="B857" s="19" t="s">
        <v>141</v>
      </c>
      <c r="C857" s="12">
        <v>150.30000000000001</v>
      </c>
      <c r="D857" s="19" t="s">
        <v>80</v>
      </c>
      <c r="E857" s="8">
        <v>8.40916</v>
      </c>
      <c r="F857" s="16">
        <v>83.311199999999999</v>
      </c>
      <c r="G857" s="22">
        <v>150</v>
      </c>
      <c r="H857" s="8">
        <v>-30</v>
      </c>
      <c r="I857" s="10">
        <f t="shared" si="263"/>
        <v>-3.2327281437658275</v>
      </c>
      <c r="J857" s="10">
        <f t="shared" si="254"/>
        <v>-5.6421749930598293E-2</v>
      </c>
      <c r="K857" s="10">
        <f t="shared" si="253"/>
        <v>21.033470239848786</v>
      </c>
      <c r="L857" s="22">
        <v>852</v>
      </c>
      <c r="M857" s="22" t="s">
        <v>78</v>
      </c>
      <c r="N857" s="7" t="s">
        <v>87</v>
      </c>
      <c r="O857" s="33" t="s">
        <v>88</v>
      </c>
      <c r="P857" s="33" t="s">
        <v>89</v>
      </c>
      <c r="Q857" s="38">
        <v>0.64</v>
      </c>
      <c r="R857" s="7" t="s">
        <v>90</v>
      </c>
      <c r="S857" s="31">
        <v>12.3</v>
      </c>
      <c r="T857" s="79">
        <f t="shared" si="262"/>
        <v>1.1882316600000001E-2</v>
      </c>
      <c r="U857" s="22">
        <v>13</v>
      </c>
      <c r="V857" s="22">
        <v>70</v>
      </c>
      <c r="W857" s="10">
        <f t="shared" si="255"/>
        <v>1.2217304763960306</v>
      </c>
      <c r="X857" s="22">
        <v>6</v>
      </c>
      <c r="Y857" s="22">
        <v>-2</v>
      </c>
      <c r="Z857" s="10">
        <f t="shared" si="256"/>
        <v>-3.4906585039886591E-2</v>
      </c>
      <c r="AA857" s="10">
        <f t="shared" si="257"/>
        <v>12.006607090001802</v>
      </c>
      <c r="AB857" s="10">
        <f t="shared" si="258"/>
        <v>59.067363613773317</v>
      </c>
      <c r="AC857" s="10">
        <f t="shared" si="249"/>
        <v>7.3834204517216646</v>
      </c>
      <c r="AD857" s="10">
        <f t="shared" si="259"/>
        <v>29.533681806886658</v>
      </c>
      <c r="AE857" s="65"/>
      <c r="AF857" s="10">
        <f t="shared" si="260"/>
        <v>63.009417016569316</v>
      </c>
      <c r="AG857" s="8">
        <f t="shared" si="250"/>
        <v>12.286836318231018</v>
      </c>
      <c r="AH857" s="10">
        <f t="shared" si="251"/>
        <v>31.504708508284658</v>
      </c>
      <c r="AI857" s="63"/>
      <c r="AJ857" s="10">
        <f t="shared" si="261"/>
        <v>47.729700000000008</v>
      </c>
      <c r="AK857" s="8"/>
      <c r="AL857" s="8">
        <f t="shared" si="252"/>
        <v>23.864850000000004</v>
      </c>
    </row>
    <row r="858" spans="1:38">
      <c r="A858" s="18">
        <v>41481</v>
      </c>
      <c r="B858" s="19" t="s">
        <v>141</v>
      </c>
      <c r="C858" s="12">
        <v>150.30000000000001</v>
      </c>
      <c r="D858" s="19" t="s">
        <v>80</v>
      </c>
      <c r="E858" s="8">
        <v>8.40916</v>
      </c>
      <c r="F858" s="16">
        <v>83.311199999999999</v>
      </c>
      <c r="G858" s="22">
        <v>150</v>
      </c>
      <c r="H858" s="8">
        <v>-30</v>
      </c>
      <c r="I858" s="10">
        <f t="shared" si="263"/>
        <v>-3.2327281437658275</v>
      </c>
      <c r="J858" s="10">
        <f t="shared" si="254"/>
        <v>-5.6421749930598293E-2</v>
      </c>
      <c r="K858" s="10">
        <f t="shared" si="253"/>
        <v>21.033470239848786</v>
      </c>
      <c r="L858" s="22">
        <v>850</v>
      </c>
      <c r="M858" s="22" t="s">
        <v>78</v>
      </c>
      <c r="N858" s="7" t="s">
        <v>87</v>
      </c>
      <c r="O858" s="33" t="s">
        <v>88</v>
      </c>
      <c r="P858" s="33" t="s">
        <v>89</v>
      </c>
      <c r="Q858" s="38">
        <v>0.64</v>
      </c>
      <c r="R858" s="7" t="s">
        <v>90</v>
      </c>
      <c r="S858" s="31">
        <v>18.899999999999999</v>
      </c>
      <c r="T858" s="79">
        <f t="shared" si="262"/>
        <v>2.8055273399999994E-2</v>
      </c>
      <c r="U858" s="22">
        <v>17</v>
      </c>
      <c r="V858" s="22">
        <v>76</v>
      </c>
      <c r="W858" s="10">
        <f t="shared" si="255"/>
        <v>1.3264502315156905</v>
      </c>
      <c r="X858" s="22">
        <v>6</v>
      </c>
      <c r="Y858" s="22">
        <v>-2</v>
      </c>
      <c r="Z858" s="10">
        <f t="shared" si="256"/>
        <v>-3.4906585039886591E-2</v>
      </c>
      <c r="AA858" s="10">
        <f t="shared" si="257"/>
        <v>16.285630366476937</v>
      </c>
      <c r="AB858" s="10">
        <f t="shared" si="258"/>
        <v>176.4068266804656</v>
      </c>
      <c r="AC858" s="10">
        <f t="shared" si="249"/>
        <v>22.0508533350582</v>
      </c>
      <c r="AD858" s="10">
        <f t="shared" si="259"/>
        <v>88.2034133402328</v>
      </c>
      <c r="AE858" s="65"/>
      <c r="AF858" s="10">
        <f t="shared" si="260"/>
        <v>182.90865937424698</v>
      </c>
      <c r="AG858" s="8">
        <f t="shared" si="250"/>
        <v>35.667188577978159</v>
      </c>
      <c r="AH858" s="10">
        <f t="shared" si="251"/>
        <v>91.45432968712349</v>
      </c>
      <c r="AI858" s="63"/>
      <c r="AJ858" s="10">
        <f t="shared" si="261"/>
        <v>154.22069999999994</v>
      </c>
      <c r="AK858" s="8"/>
      <c r="AL858" s="8">
        <f t="shared" si="252"/>
        <v>77.110349999999968</v>
      </c>
    </row>
    <row r="859" spans="1:38">
      <c r="A859" s="18">
        <v>41481</v>
      </c>
      <c r="B859" s="19" t="s">
        <v>141</v>
      </c>
      <c r="C859" s="12">
        <v>150.30000000000001</v>
      </c>
      <c r="D859" s="19" t="s">
        <v>80</v>
      </c>
      <c r="E859" s="8">
        <v>8.40916</v>
      </c>
      <c r="F859" s="16">
        <v>83.311199999999999</v>
      </c>
      <c r="G859" s="22">
        <v>150</v>
      </c>
      <c r="H859" s="8">
        <v>-30</v>
      </c>
      <c r="I859" s="10">
        <f t="shared" si="263"/>
        <v>-3.2327281437658275</v>
      </c>
      <c r="J859" s="10">
        <f t="shared" si="254"/>
        <v>-5.6421749930598293E-2</v>
      </c>
      <c r="K859" s="10">
        <f t="shared" si="253"/>
        <v>21.033470239848786</v>
      </c>
      <c r="L859" s="22">
        <v>845</v>
      </c>
      <c r="M859" s="22" t="s">
        <v>78</v>
      </c>
      <c r="N859" s="7" t="s">
        <v>87</v>
      </c>
      <c r="O859" s="33" t="s">
        <v>88</v>
      </c>
      <c r="P859" s="33" t="s">
        <v>89</v>
      </c>
      <c r="Q859" s="38">
        <v>0.64</v>
      </c>
      <c r="R859" s="7" t="s">
        <v>90</v>
      </c>
      <c r="S859" s="31">
        <v>18.8</v>
      </c>
      <c r="T859" s="79">
        <f t="shared" si="262"/>
        <v>2.7759177600000004E-2</v>
      </c>
      <c r="U859" s="22">
        <v>16</v>
      </c>
      <c r="V859" s="22">
        <v>60</v>
      </c>
      <c r="W859" s="10">
        <f t="shared" si="255"/>
        <v>1.0471975511965976</v>
      </c>
      <c r="X859" s="22">
        <v>6</v>
      </c>
      <c r="Y859" s="22">
        <v>-2</v>
      </c>
      <c r="Z859" s="10">
        <f t="shared" si="256"/>
        <v>-3.4906585039886591E-2</v>
      </c>
      <c r="AA859" s="10">
        <f t="shared" si="257"/>
        <v>13.647009480336012</v>
      </c>
      <c r="AB859" s="10">
        <f t="shared" si="258"/>
        <v>147.91863724463582</v>
      </c>
      <c r="AC859" s="10">
        <f t="shared" si="249"/>
        <v>18.489829655579477</v>
      </c>
      <c r="AD859" s="10">
        <f t="shared" si="259"/>
        <v>73.959318622317909</v>
      </c>
      <c r="AE859" s="65"/>
      <c r="AF859" s="10">
        <f t="shared" si="260"/>
        <v>180.52871438961705</v>
      </c>
      <c r="AG859" s="8">
        <f t="shared" si="250"/>
        <v>35.203099305975329</v>
      </c>
      <c r="AH859" s="10">
        <f t="shared" si="251"/>
        <v>90.264357194808525</v>
      </c>
      <c r="AI859" s="63"/>
      <c r="AJ859" s="10">
        <f t="shared" si="261"/>
        <v>152.12620000000001</v>
      </c>
      <c r="AK859" s="8"/>
      <c r="AL859" s="8">
        <f t="shared" si="252"/>
        <v>76.063100000000006</v>
      </c>
    </row>
    <row r="860" spans="1:38">
      <c r="A860" s="18">
        <v>41481</v>
      </c>
      <c r="B860" s="19" t="s">
        <v>141</v>
      </c>
      <c r="C860" s="12">
        <v>150.30000000000001</v>
      </c>
      <c r="D860" s="19" t="s">
        <v>80</v>
      </c>
      <c r="E860" s="8">
        <v>8.40916</v>
      </c>
      <c r="F860" s="16">
        <v>83.311199999999999</v>
      </c>
      <c r="G860" s="22">
        <v>150</v>
      </c>
      <c r="H860" s="8">
        <v>-30</v>
      </c>
      <c r="I860" s="10">
        <f t="shared" si="263"/>
        <v>-3.2327281437658275</v>
      </c>
      <c r="J860" s="10">
        <f t="shared" si="254"/>
        <v>-5.6421749930598293E-2</v>
      </c>
      <c r="K860" s="10">
        <f t="shared" si="253"/>
        <v>21.033470239848786</v>
      </c>
      <c r="L860" s="22">
        <v>851</v>
      </c>
      <c r="M860" s="22" t="s">
        <v>78</v>
      </c>
      <c r="N860" s="7" t="s">
        <v>87</v>
      </c>
      <c r="O860" s="33" t="s">
        <v>88</v>
      </c>
      <c r="P860" s="33" t="s">
        <v>89</v>
      </c>
      <c r="Q860" s="38">
        <v>0.64</v>
      </c>
      <c r="R860" s="7" t="s">
        <v>90</v>
      </c>
      <c r="S860" s="31">
        <v>16.2</v>
      </c>
      <c r="T860" s="79">
        <f t="shared" si="262"/>
        <v>2.0612037600000001E-2</v>
      </c>
      <c r="U860" s="22">
        <v>12</v>
      </c>
      <c r="V860" s="22">
        <v>70</v>
      </c>
      <c r="W860" s="10">
        <f t="shared" si="255"/>
        <v>1.2217304763960306</v>
      </c>
      <c r="X860" s="22">
        <v>6</v>
      </c>
      <c r="Y860" s="22">
        <v>-2</v>
      </c>
      <c r="Z860" s="10">
        <f t="shared" si="256"/>
        <v>-3.4906585039886591E-2</v>
      </c>
      <c r="AA860" s="10">
        <f t="shared" si="257"/>
        <v>11.066914469215893</v>
      </c>
      <c r="AB860" s="10">
        <f t="shared" si="258"/>
        <v>91.82143684692285</v>
      </c>
      <c r="AC860" s="10">
        <f t="shared" si="249"/>
        <v>11.477679605865356</v>
      </c>
      <c r="AD860" s="10">
        <f t="shared" si="259"/>
        <v>45.910718423461425</v>
      </c>
      <c r="AE860" s="65"/>
      <c r="AF860" s="10">
        <f t="shared" si="260"/>
        <v>124.90941683568299</v>
      </c>
      <c r="AG860" s="8">
        <f t="shared" si="250"/>
        <v>24.357336282958183</v>
      </c>
      <c r="AH860" s="10">
        <f t="shared" si="251"/>
        <v>62.454708417841495</v>
      </c>
      <c r="AI860" s="63"/>
      <c r="AJ860" s="10">
        <f t="shared" si="261"/>
        <v>102.864</v>
      </c>
      <c r="AK860" s="8"/>
      <c r="AL860" s="8">
        <f t="shared" si="252"/>
        <v>51.432000000000002</v>
      </c>
    </row>
    <row r="861" spans="1:38">
      <c r="A861" s="18">
        <v>41481</v>
      </c>
      <c r="B861" s="19" t="s">
        <v>141</v>
      </c>
      <c r="C861" s="12">
        <v>150.30000000000001</v>
      </c>
      <c r="D861" s="19" t="s">
        <v>80</v>
      </c>
      <c r="E861" s="8">
        <v>8.40916</v>
      </c>
      <c r="F861" s="16">
        <v>83.311199999999999</v>
      </c>
      <c r="G861" s="22">
        <v>150</v>
      </c>
      <c r="H861" s="8">
        <v>-30</v>
      </c>
      <c r="I861" s="10">
        <f t="shared" si="263"/>
        <v>-3.2327281437658275</v>
      </c>
      <c r="J861" s="10">
        <f t="shared" si="254"/>
        <v>-5.6421749930598293E-2</v>
      </c>
      <c r="K861" s="10">
        <f t="shared" si="253"/>
        <v>21.033470239848786</v>
      </c>
      <c r="L861" s="22">
        <v>899</v>
      </c>
      <c r="M861" s="22" t="s">
        <v>130</v>
      </c>
      <c r="N861" s="7" t="s">
        <v>99</v>
      </c>
      <c r="O861" s="33" t="s">
        <v>99</v>
      </c>
      <c r="P861" s="33" t="s">
        <v>99</v>
      </c>
      <c r="Q861" s="7">
        <v>0.57999999999999996</v>
      </c>
      <c r="R861" s="7" t="s">
        <v>103</v>
      </c>
      <c r="S861" s="30">
        <v>7</v>
      </c>
      <c r="T861" s="79">
        <f t="shared" si="262"/>
        <v>3.8484600000000002E-3</v>
      </c>
      <c r="U861" s="22">
        <v>6</v>
      </c>
      <c r="V861" s="22">
        <v>44</v>
      </c>
      <c r="W861" s="10">
        <f t="shared" si="255"/>
        <v>0.76794487087750496</v>
      </c>
      <c r="X861" s="22">
        <v>5</v>
      </c>
      <c r="Y861" s="22">
        <v>-3</v>
      </c>
      <c r="Z861" s="10">
        <f t="shared" si="256"/>
        <v>-5.235987755982989E-2</v>
      </c>
      <c r="AA861" s="10">
        <f t="shared" si="257"/>
        <v>3.9062704415392644</v>
      </c>
      <c r="AB861" s="10">
        <f t="shared" si="258"/>
        <v>6.4941889346824322</v>
      </c>
      <c r="AC861" s="10">
        <f t="shared" si="249"/>
        <v>0.81177361683530402</v>
      </c>
      <c r="AD861" s="10">
        <f t="shared" si="259"/>
        <v>3.2470944673412161</v>
      </c>
      <c r="AE861" s="65"/>
      <c r="AF861" s="10">
        <f t="shared" si="260"/>
        <v>14.096751983193448</v>
      </c>
      <c r="AG861" s="8">
        <f t="shared" si="250"/>
        <v>2.7488666367227226</v>
      </c>
      <c r="AH861" s="10">
        <f t="shared" si="251"/>
        <v>7.0483759915967239</v>
      </c>
      <c r="AI861" s="63"/>
      <c r="AJ861" s="10">
        <f t="shared" si="261"/>
        <v>8.8859999999999992</v>
      </c>
      <c r="AK861" s="8"/>
      <c r="AL861" s="8">
        <f t="shared" si="252"/>
        <v>4.4429999999999996</v>
      </c>
    </row>
    <row r="862" spans="1:38">
      <c r="A862" s="18">
        <v>41481</v>
      </c>
      <c r="B862" s="19" t="s">
        <v>141</v>
      </c>
      <c r="C862" s="12">
        <v>150.30000000000001</v>
      </c>
      <c r="D862" s="19" t="s">
        <v>80</v>
      </c>
      <c r="E862" s="8">
        <v>8.40916</v>
      </c>
      <c r="F862" s="16">
        <v>83.311199999999999</v>
      </c>
      <c r="G862" s="22">
        <v>150</v>
      </c>
      <c r="H862" s="8">
        <v>-30</v>
      </c>
      <c r="I862" s="10">
        <f t="shared" si="263"/>
        <v>-3.2327281437658275</v>
      </c>
      <c r="J862" s="10">
        <f t="shared" si="254"/>
        <v>-5.6421749930598293E-2</v>
      </c>
      <c r="K862" s="10">
        <f t="shared" si="253"/>
        <v>21.033470239848786</v>
      </c>
      <c r="L862" s="22">
        <v>941</v>
      </c>
      <c r="M862" s="22" t="s">
        <v>54</v>
      </c>
      <c r="N862" s="8" t="s">
        <v>55</v>
      </c>
      <c r="O862" s="10" t="s">
        <v>56</v>
      </c>
      <c r="P862" s="10" t="s">
        <v>57</v>
      </c>
      <c r="Q862" s="11">
        <v>0.315</v>
      </c>
      <c r="R862" s="12" t="s">
        <v>66</v>
      </c>
      <c r="S862" s="30">
        <v>7</v>
      </c>
      <c r="T862" s="79">
        <f t="shared" si="262"/>
        <v>3.8484600000000002E-3</v>
      </c>
      <c r="U862" s="22">
        <v>10</v>
      </c>
      <c r="V862" s="22">
        <v>52</v>
      </c>
      <c r="W862" s="10">
        <f t="shared" si="255"/>
        <v>0.90757121103705141</v>
      </c>
      <c r="X862" s="22">
        <v>7</v>
      </c>
      <c r="Y862" s="22">
        <v>-5</v>
      </c>
      <c r="Z862" s="10">
        <f t="shared" si="256"/>
        <v>-8.7266462599716474E-2</v>
      </c>
      <c r="AA862" s="10">
        <f t="shared" si="257"/>
        <v>7.2700173368336127</v>
      </c>
      <c r="AB862" s="10">
        <f t="shared" si="258"/>
        <v>6.5599612922063892</v>
      </c>
      <c r="AC862" s="10">
        <f t="shared" si="249"/>
        <v>0.81999516152579865</v>
      </c>
      <c r="AD862" s="10">
        <f t="shared" si="259"/>
        <v>3.2799806461031946</v>
      </c>
      <c r="AE862" s="65"/>
      <c r="AF862" s="10">
        <f t="shared" si="260"/>
        <v>7.655994611561959</v>
      </c>
      <c r="AG862" s="8">
        <f t="shared" si="250"/>
        <v>1.492918949254582</v>
      </c>
      <c r="AH862" s="10">
        <f t="shared" si="251"/>
        <v>3.8279973057809795</v>
      </c>
      <c r="AI862" s="63"/>
      <c r="AJ862" s="10">
        <f t="shared" si="261"/>
        <v>8.8859999999999992</v>
      </c>
      <c r="AK862" s="8"/>
      <c r="AL862" s="8">
        <f t="shared" si="252"/>
        <v>4.4429999999999996</v>
      </c>
    </row>
    <row r="863" spans="1:38">
      <c r="A863" s="18">
        <v>41481</v>
      </c>
      <c r="B863" s="19" t="s">
        <v>141</v>
      </c>
      <c r="C863" s="12">
        <v>150.30000000000001</v>
      </c>
      <c r="D863" s="19" t="s">
        <v>80</v>
      </c>
      <c r="E863" s="8">
        <v>8.40916</v>
      </c>
      <c r="F863" s="16">
        <v>83.311199999999999</v>
      </c>
      <c r="G863" s="22">
        <v>150</v>
      </c>
      <c r="H863" s="8">
        <v>-30</v>
      </c>
      <c r="I863" s="10">
        <f t="shared" si="263"/>
        <v>-3.2327281437658275</v>
      </c>
      <c r="J863" s="10">
        <f t="shared" si="254"/>
        <v>-5.6421749930598293E-2</v>
      </c>
      <c r="K863" s="10">
        <f t="shared" si="253"/>
        <v>21.033470239848786</v>
      </c>
      <c r="L863" s="22">
        <v>978</v>
      </c>
      <c r="M863" s="22" t="s">
        <v>36</v>
      </c>
      <c r="N863" s="8" t="s">
        <v>46</v>
      </c>
      <c r="O863" s="10" t="s">
        <v>37</v>
      </c>
      <c r="P863" s="10" t="s">
        <v>38</v>
      </c>
      <c r="Q863" s="11">
        <v>0.48</v>
      </c>
      <c r="R863" s="8" t="s">
        <v>60</v>
      </c>
      <c r="S863" s="31">
        <v>14.4</v>
      </c>
      <c r="T863" s="79">
        <f t="shared" si="262"/>
        <v>1.6286054400000003E-2</v>
      </c>
      <c r="U863" s="22">
        <v>11</v>
      </c>
      <c r="V863" s="22">
        <v>47</v>
      </c>
      <c r="W863" s="10">
        <f t="shared" si="255"/>
        <v>0.82030474843733492</v>
      </c>
      <c r="X863" s="22">
        <v>7</v>
      </c>
      <c r="Y863" s="22">
        <v>4</v>
      </c>
      <c r="Z863" s="10">
        <f t="shared" si="256"/>
        <v>6.9813170079773182E-2</v>
      </c>
      <c r="AA863" s="10">
        <f t="shared" si="257"/>
        <v>8.5331860340197512</v>
      </c>
      <c r="AB863" s="10">
        <f t="shared" si="258"/>
        <v>43.973852019043598</v>
      </c>
      <c r="AC863" s="10">
        <f t="shared" si="249"/>
        <v>5.4967315023804497</v>
      </c>
      <c r="AD863" s="10">
        <f t="shared" si="259"/>
        <v>21.986926009521799</v>
      </c>
      <c r="AE863" s="65"/>
      <c r="AF863" s="10">
        <f t="shared" si="260"/>
        <v>69.935033949884442</v>
      </c>
      <c r="AG863" s="8">
        <f t="shared" si="250"/>
        <v>13.637331620227467</v>
      </c>
      <c r="AH863" s="10">
        <f t="shared" si="251"/>
        <v>34.967516974942221</v>
      </c>
      <c r="AI863" s="63"/>
      <c r="AJ863" s="10">
        <f t="shared" si="261"/>
        <v>74.620199999999997</v>
      </c>
      <c r="AK863" s="8"/>
      <c r="AL863" s="8">
        <f t="shared" si="252"/>
        <v>37.310099999999998</v>
      </c>
    </row>
    <row r="864" spans="1:38">
      <c r="A864" s="18">
        <v>41481</v>
      </c>
      <c r="B864" s="19" t="s">
        <v>141</v>
      </c>
      <c r="C864" s="12">
        <v>150.30000000000001</v>
      </c>
      <c r="D864" s="19" t="s">
        <v>80</v>
      </c>
      <c r="E864" s="8">
        <v>8.40916</v>
      </c>
      <c r="F864" s="16">
        <v>83.311199999999999</v>
      </c>
      <c r="G864" s="22">
        <v>150</v>
      </c>
      <c r="H864" s="8">
        <v>-30</v>
      </c>
      <c r="I864" s="10">
        <f t="shared" si="263"/>
        <v>-3.2327281437658275</v>
      </c>
      <c r="J864" s="10">
        <f t="shared" si="254"/>
        <v>-5.6421749930598293E-2</v>
      </c>
      <c r="K864" s="10">
        <f t="shared" si="253"/>
        <v>21.033470239848786</v>
      </c>
      <c r="L864" s="22">
        <v>935</v>
      </c>
      <c r="M864" s="22" t="s">
        <v>149</v>
      </c>
      <c r="N864" s="8" t="s">
        <v>167</v>
      </c>
      <c r="O864" s="10" t="s">
        <v>168</v>
      </c>
      <c r="P864" s="10" t="s">
        <v>169</v>
      </c>
      <c r="Q864" s="8">
        <v>0.41699999999999998</v>
      </c>
      <c r="R864" s="22" t="s">
        <v>170</v>
      </c>
      <c r="S864" s="30">
        <v>10</v>
      </c>
      <c r="T864" s="79">
        <f t="shared" si="262"/>
        <v>7.8539999999999999E-3</v>
      </c>
      <c r="U864" s="22">
        <v>12</v>
      </c>
      <c r="V864" s="22">
        <v>50</v>
      </c>
      <c r="W864" s="10">
        <f t="shared" si="255"/>
        <v>0.87266462599716477</v>
      </c>
      <c r="X864" s="22">
        <v>8</v>
      </c>
      <c r="Y864" s="22">
        <v>-3</v>
      </c>
      <c r="Z864" s="10">
        <f t="shared" si="256"/>
        <v>-5.235987755982989E-2</v>
      </c>
      <c r="AA864" s="10">
        <f t="shared" si="257"/>
        <v>8.7738456674841867</v>
      </c>
      <c r="AB864" s="10">
        <f t="shared" si="258"/>
        <v>19.924535447483411</v>
      </c>
      <c r="AC864" s="10">
        <f t="shared" si="249"/>
        <v>2.4905669309354264</v>
      </c>
      <c r="AD864" s="10">
        <f t="shared" si="259"/>
        <v>9.9622677237417054</v>
      </c>
      <c r="AE864" s="65"/>
      <c r="AF864" s="10">
        <f t="shared" si="260"/>
        <v>24.529967298657528</v>
      </c>
      <c r="AG864" s="8">
        <f t="shared" si="250"/>
        <v>4.7833436232382178</v>
      </c>
      <c r="AH864" s="10">
        <f t="shared" si="251"/>
        <v>12.264983649328764</v>
      </c>
      <c r="AI864" s="63"/>
      <c r="AJ864" s="10">
        <f t="shared" si="261"/>
        <v>25.766999999999996</v>
      </c>
      <c r="AK864" s="8"/>
      <c r="AL864" s="8">
        <f t="shared" si="252"/>
        <v>12.883499999999998</v>
      </c>
    </row>
    <row r="865" spans="1:38">
      <c r="A865" s="18">
        <v>41481</v>
      </c>
      <c r="B865" s="19" t="s">
        <v>141</v>
      </c>
      <c r="C865" s="12">
        <v>150.30000000000001</v>
      </c>
      <c r="D865" s="19" t="s">
        <v>80</v>
      </c>
      <c r="E865" s="8">
        <v>8.40916</v>
      </c>
      <c r="F865" s="16">
        <v>83.311199999999999</v>
      </c>
      <c r="G865" s="22">
        <v>150</v>
      </c>
      <c r="H865" s="8">
        <v>-30</v>
      </c>
      <c r="I865" s="10">
        <f t="shared" si="263"/>
        <v>-3.2327281437658275</v>
      </c>
      <c r="J865" s="10">
        <f t="shared" si="254"/>
        <v>-5.6421749930598293E-2</v>
      </c>
      <c r="K865" s="10">
        <f t="shared" si="253"/>
        <v>21.033470239848786</v>
      </c>
      <c r="L865" s="22">
        <v>940</v>
      </c>
      <c r="M865" s="22" t="s">
        <v>36</v>
      </c>
      <c r="N865" s="8" t="s">
        <v>46</v>
      </c>
      <c r="O865" s="10" t="s">
        <v>37</v>
      </c>
      <c r="P865" s="10" t="s">
        <v>38</v>
      </c>
      <c r="Q865" s="11">
        <v>0.48</v>
      </c>
      <c r="R865" s="8" t="s">
        <v>60</v>
      </c>
      <c r="S865" s="30">
        <v>20.7</v>
      </c>
      <c r="T865" s="79">
        <f t="shared" si="262"/>
        <v>3.3653604599999998E-2</v>
      </c>
      <c r="U865" s="22">
        <v>7</v>
      </c>
      <c r="V865" s="22">
        <v>62</v>
      </c>
      <c r="W865" s="10">
        <f t="shared" si="255"/>
        <v>1.0821041362364843</v>
      </c>
      <c r="X865" s="22">
        <v>7</v>
      </c>
      <c r="Y865" s="22">
        <v>3</v>
      </c>
      <c r="Z865" s="10">
        <f t="shared" si="256"/>
        <v>5.235987755982989E-2</v>
      </c>
      <c r="AA865" s="10">
        <f t="shared" si="257"/>
        <v>6.5469848437130951</v>
      </c>
      <c r="AB865" s="10">
        <f t="shared" si="258"/>
        <v>67.815909291218716</v>
      </c>
      <c r="AC865" s="10">
        <f t="shared" si="249"/>
        <v>8.4769886614023395</v>
      </c>
      <c r="AD865" s="10">
        <f t="shared" si="259"/>
        <v>33.907954645609358</v>
      </c>
      <c r="AE865" s="65"/>
      <c r="AF865" s="10">
        <f t="shared" si="260"/>
        <v>171.66016214803835</v>
      </c>
      <c r="AG865" s="8">
        <f t="shared" si="250"/>
        <v>33.473731618867482</v>
      </c>
      <c r="AH865" s="10">
        <f t="shared" si="251"/>
        <v>85.830081074019176</v>
      </c>
      <c r="AI865" s="63"/>
      <c r="AJ865" s="10">
        <f t="shared" si="261"/>
        <v>194.45249999999996</v>
      </c>
      <c r="AK865" s="8"/>
      <c r="AL865" s="8">
        <f t="shared" si="252"/>
        <v>97.226249999999979</v>
      </c>
    </row>
    <row r="866" spans="1:38">
      <c r="A866" s="18">
        <v>41481</v>
      </c>
      <c r="B866" s="19" t="s">
        <v>141</v>
      </c>
      <c r="C866" s="12">
        <v>150.30000000000001</v>
      </c>
      <c r="D866" s="19" t="s">
        <v>80</v>
      </c>
      <c r="E866" s="8">
        <v>8.40916</v>
      </c>
      <c r="F866" s="16">
        <v>83.311199999999999</v>
      </c>
      <c r="G866" s="22">
        <v>150</v>
      </c>
      <c r="H866" s="8">
        <v>-30</v>
      </c>
      <c r="I866" s="10">
        <f t="shared" si="263"/>
        <v>-3.2327281437658275</v>
      </c>
      <c r="J866" s="10">
        <f t="shared" si="254"/>
        <v>-5.6421749930598293E-2</v>
      </c>
      <c r="K866" s="10">
        <f t="shared" si="253"/>
        <v>21.033470239848786</v>
      </c>
      <c r="L866" s="22">
        <v>1013</v>
      </c>
      <c r="M866" s="22" t="s">
        <v>36</v>
      </c>
      <c r="N866" s="8" t="s">
        <v>46</v>
      </c>
      <c r="O866" s="10" t="s">
        <v>37</v>
      </c>
      <c r="P866" s="10" t="s">
        <v>38</v>
      </c>
      <c r="Q866" s="11">
        <v>0.48</v>
      </c>
      <c r="R866" s="8" t="s">
        <v>60</v>
      </c>
      <c r="S866" s="30">
        <v>9</v>
      </c>
      <c r="T866" s="79">
        <f t="shared" si="262"/>
        <v>6.3617400000000003E-3</v>
      </c>
      <c r="U866" s="22">
        <v>8</v>
      </c>
      <c r="V866" s="22">
        <v>25</v>
      </c>
      <c r="W866" s="10">
        <f t="shared" si="255"/>
        <v>0.43633231299858238</v>
      </c>
      <c r="X866" s="22">
        <v>7</v>
      </c>
      <c r="Y866" s="22">
        <v>15</v>
      </c>
      <c r="Z866" s="10">
        <f t="shared" si="256"/>
        <v>0.26179938779914941</v>
      </c>
      <c r="AA866" s="10">
        <f t="shared" si="257"/>
        <v>5.1926794096432403</v>
      </c>
      <c r="AB866" s="10">
        <f t="shared" si="258"/>
        <v>11.39390048699112</v>
      </c>
      <c r="AC866" s="10">
        <f t="shared" si="249"/>
        <v>1.42423756087389</v>
      </c>
      <c r="AD866" s="10">
        <f t="shared" si="259"/>
        <v>5.6969502434955599</v>
      </c>
      <c r="AE866" s="65"/>
      <c r="AF866" s="10">
        <f t="shared" si="260"/>
        <v>21.732555839272521</v>
      </c>
      <c r="AG866" s="8">
        <f t="shared" si="250"/>
        <v>4.2378483886581417</v>
      </c>
      <c r="AH866" s="10">
        <f t="shared" si="251"/>
        <v>10.866277919636261</v>
      </c>
      <c r="AI866" s="63"/>
      <c r="AJ866" s="10">
        <f t="shared" si="261"/>
        <v>18.659999999999997</v>
      </c>
      <c r="AK866" s="8"/>
      <c r="AL866" s="8">
        <f t="shared" si="252"/>
        <v>9.3299999999999983</v>
      </c>
    </row>
    <row r="867" spans="1:38">
      <c r="A867" s="18">
        <v>41481</v>
      </c>
      <c r="B867" s="19" t="s">
        <v>141</v>
      </c>
      <c r="C867" s="12">
        <v>150.30000000000001</v>
      </c>
      <c r="D867" s="19" t="s">
        <v>80</v>
      </c>
      <c r="E867" s="8">
        <v>8.40916</v>
      </c>
      <c r="F867" s="16">
        <v>83.311199999999999</v>
      </c>
      <c r="G867" s="22">
        <v>150</v>
      </c>
      <c r="H867" s="8">
        <v>-30</v>
      </c>
      <c r="I867" s="10">
        <f t="shared" si="263"/>
        <v>-3.2327281437658275</v>
      </c>
      <c r="J867" s="10">
        <f t="shared" si="254"/>
        <v>-5.6421749930598293E-2</v>
      </c>
      <c r="K867" s="10">
        <f t="shared" si="253"/>
        <v>21.033470239848786</v>
      </c>
      <c r="L867" s="22">
        <v>920</v>
      </c>
      <c r="M867" s="22" t="s">
        <v>39</v>
      </c>
      <c r="N867" s="7" t="s">
        <v>69</v>
      </c>
      <c r="O867" s="33" t="s">
        <v>65</v>
      </c>
      <c r="P867" s="33" t="s">
        <v>70</v>
      </c>
      <c r="Q867" s="7">
        <v>0.37</v>
      </c>
      <c r="R867" s="7" t="s">
        <v>71</v>
      </c>
      <c r="S867" s="30">
        <v>14.5</v>
      </c>
      <c r="T867" s="79">
        <f t="shared" si="262"/>
        <v>1.6513035000000002E-2</v>
      </c>
      <c r="U867" s="22">
        <v>8</v>
      </c>
      <c r="V867" s="22">
        <v>60</v>
      </c>
      <c r="W867" s="10">
        <f t="shared" si="255"/>
        <v>1.0471975511965976</v>
      </c>
      <c r="X867" s="22">
        <v>5</v>
      </c>
      <c r="Y867" s="22">
        <v>3</v>
      </c>
      <c r="Z867" s="10">
        <f t="shared" si="256"/>
        <v>5.235987755982989E-2</v>
      </c>
      <c r="AA867" s="10">
        <f t="shared" si="257"/>
        <v>7.1898830114902283</v>
      </c>
      <c r="AB867" s="10">
        <f t="shared" si="258"/>
        <v>29.693521145049832</v>
      </c>
      <c r="AC867" s="10">
        <f t="shared" si="249"/>
        <v>3.711690143131229</v>
      </c>
      <c r="AD867" s="10">
        <f t="shared" si="259"/>
        <v>14.846760572524916</v>
      </c>
      <c r="AE867" s="65"/>
      <c r="AF867" s="10">
        <f t="shared" si="260"/>
        <v>54.843117197174983</v>
      </c>
      <c r="AG867" s="8">
        <f t="shared" si="250"/>
        <v>10.694407853449123</v>
      </c>
      <c r="AH867" s="10">
        <f t="shared" si="251"/>
        <v>27.421558598587492</v>
      </c>
      <c r="AI867" s="63"/>
      <c r="AJ867" s="10">
        <f t="shared" si="261"/>
        <v>76.063500000000005</v>
      </c>
      <c r="AK867" s="8"/>
      <c r="AL867" s="8">
        <f t="shared" si="252"/>
        <v>38.031750000000002</v>
      </c>
    </row>
    <row r="868" spans="1:38">
      <c r="A868" s="18">
        <v>41461</v>
      </c>
      <c r="B868" s="19" t="s">
        <v>34</v>
      </c>
      <c r="C868" s="12">
        <v>150.4</v>
      </c>
      <c r="D868" s="19" t="s">
        <v>80</v>
      </c>
      <c r="E868" s="8">
        <v>8.4107299999999992</v>
      </c>
      <c r="F868" s="16">
        <v>83.312600000000003</v>
      </c>
      <c r="G868" s="22">
        <v>150</v>
      </c>
      <c r="H868" s="8">
        <v>5</v>
      </c>
      <c r="I868" s="10">
        <f t="shared" si="263"/>
        <v>19.983330554894014</v>
      </c>
      <c r="J868" s="10">
        <f t="shared" si="254"/>
        <v>0.34877491369728597</v>
      </c>
      <c r="K868" s="10">
        <v>21</v>
      </c>
      <c r="L868" s="22">
        <v>83</v>
      </c>
      <c r="M868" t="s">
        <v>36</v>
      </c>
      <c r="N868" s="8" t="s">
        <v>46</v>
      </c>
      <c r="O868" s="10" t="s">
        <v>37</v>
      </c>
      <c r="P868" s="10" t="s">
        <v>38</v>
      </c>
      <c r="Q868" s="11">
        <v>0.48</v>
      </c>
      <c r="R868" s="8" t="s">
        <v>60</v>
      </c>
      <c r="S868" s="30">
        <v>12</v>
      </c>
      <c r="T868" s="79">
        <f t="shared" si="262"/>
        <v>1.130976E-2</v>
      </c>
      <c r="U868" s="8">
        <v>10</v>
      </c>
      <c r="V868" s="8">
        <v>43</v>
      </c>
      <c r="W868" s="10">
        <f t="shared" ref="W868:W902" si="264">RADIANS(V868)</f>
        <v>0.75049157835756175</v>
      </c>
      <c r="X868" s="8">
        <v>5</v>
      </c>
      <c r="Y868" s="22">
        <v>11</v>
      </c>
      <c r="Z868" s="10">
        <f t="shared" ref="Z868:Z902" si="265">RADIANS(Y868)</f>
        <v>0.19198621771937624</v>
      </c>
      <c r="AA868" s="10">
        <f t="shared" ref="AA868:AA902" si="266">(SIN(W868)*U868)+(SIN(Z868)*X868)</f>
        <v>7.7740285775077087</v>
      </c>
      <c r="AB868" s="10">
        <f t="shared" ref="AB868:AB902" si="267">0.0776*(Q868*S868^2*AA868)^0.94</f>
        <v>28.595427378859227</v>
      </c>
      <c r="AC868" s="10">
        <f t="shared" si="249"/>
        <v>3.5744284223574034</v>
      </c>
      <c r="AD868" s="10">
        <f t="shared" si="259"/>
        <v>14.297713689429614</v>
      </c>
      <c r="AE868" s="65"/>
      <c r="AF868" s="10">
        <f t="shared" si="260"/>
        <v>44.441042596259827</v>
      </c>
      <c r="AG868" s="8">
        <f t="shared" si="250"/>
        <v>8.6660033062706674</v>
      </c>
      <c r="AH868" s="10">
        <f t="shared" si="251"/>
        <v>22.220521298129913</v>
      </c>
      <c r="AI868" s="63"/>
      <c r="AJ868" s="10">
        <f t="shared" si="261"/>
        <v>44.420999999999992</v>
      </c>
      <c r="AK868" s="8"/>
      <c r="AL868" s="8">
        <f t="shared" si="252"/>
        <v>22.210499999999996</v>
      </c>
    </row>
    <row r="869" spans="1:38">
      <c r="A869" s="18">
        <v>41461</v>
      </c>
      <c r="B869" s="19" t="s">
        <v>34</v>
      </c>
      <c r="C869" s="12">
        <v>150.4</v>
      </c>
      <c r="D869" s="19" t="s">
        <v>80</v>
      </c>
      <c r="E869" s="8">
        <v>8.4107299999999992</v>
      </c>
      <c r="F869" s="16">
        <v>83.312600000000003</v>
      </c>
      <c r="G869" s="22">
        <v>150</v>
      </c>
      <c r="H869" s="8">
        <v>5</v>
      </c>
      <c r="I869" s="10">
        <f t="shared" si="263"/>
        <v>19.983330554894014</v>
      </c>
      <c r="J869" s="10">
        <f t="shared" si="254"/>
        <v>0.34877491369728597</v>
      </c>
      <c r="K869" s="10">
        <v>21</v>
      </c>
      <c r="L869" s="22">
        <v>82</v>
      </c>
      <c r="M869" s="22" t="s">
        <v>95</v>
      </c>
      <c r="N869" s="7" t="s">
        <v>109</v>
      </c>
      <c r="O869" s="57" t="s">
        <v>110</v>
      </c>
      <c r="P869" s="33" t="s">
        <v>246</v>
      </c>
      <c r="Q869" s="22">
        <v>0.64</v>
      </c>
      <c r="R869" s="22" t="s">
        <v>190</v>
      </c>
      <c r="S869" s="31">
        <v>8.1999999999999993</v>
      </c>
      <c r="T869" s="79">
        <f t="shared" si="262"/>
        <v>5.2810295999999998E-3</v>
      </c>
      <c r="U869" s="8">
        <v>9</v>
      </c>
      <c r="V869" s="8">
        <v>60</v>
      </c>
      <c r="W869" s="10">
        <f t="shared" si="264"/>
        <v>1.0471975511965976</v>
      </c>
      <c r="X869" s="8">
        <v>5</v>
      </c>
      <c r="Y869" s="22">
        <v>18</v>
      </c>
      <c r="Z869" s="10">
        <f t="shared" si="265"/>
        <v>0.31415926535897931</v>
      </c>
      <c r="AA869" s="10">
        <f t="shared" si="266"/>
        <v>9.3393136059346844</v>
      </c>
      <c r="AB869" s="10">
        <f t="shared" si="267"/>
        <v>21.76391397499059</v>
      </c>
      <c r="AC869" s="10">
        <f t="shared" si="249"/>
        <v>2.7204892468738238</v>
      </c>
      <c r="AD869" s="10">
        <f t="shared" si="259"/>
        <v>10.881956987495295</v>
      </c>
      <c r="AE869" s="65"/>
      <c r="AF869" s="10">
        <f t="shared" si="260"/>
        <v>23.002254691595358</v>
      </c>
      <c r="AG869" s="8">
        <f t="shared" si="250"/>
        <v>4.4854396648610946</v>
      </c>
      <c r="AH869" s="10">
        <f t="shared" si="251"/>
        <v>11.501127345797679</v>
      </c>
      <c r="AI869" s="63"/>
      <c r="AJ869" s="10">
        <f t="shared" si="261"/>
        <v>14.040000000000006</v>
      </c>
      <c r="AK869" s="8"/>
      <c r="AL869" s="8">
        <f t="shared" si="252"/>
        <v>7.0200000000000031</v>
      </c>
    </row>
    <row r="870" spans="1:38">
      <c r="A870" s="18">
        <v>41461</v>
      </c>
      <c r="B870" s="19" t="s">
        <v>34</v>
      </c>
      <c r="C870" s="12">
        <v>150.4</v>
      </c>
      <c r="D870" s="19" t="s">
        <v>80</v>
      </c>
      <c r="E870" s="8">
        <v>8.4107299999999992</v>
      </c>
      <c r="F870" s="16">
        <v>83.312600000000003</v>
      </c>
      <c r="G870" s="22">
        <v>150</v>
      </c>
      <c r="H870" s="8">
        <v>5</v>
      </c>
      <c r="I870" s="10">
        <f t="shared" si="263"/>
        <v>19.983330554894014</v>
      </c>
      <c r="J870" s="10">
        <f t="shared" si="254"/>
        <v>0.34877491369728597</v>
      </c>
      <c r="K870" s="10">
        <v>21</v>
      </c>
      <c r="L870" s="22">
        <v>81</v>
      </c>
      <c r="M870" s="46" t="s">
        <v>77</v>
      </c>
      <c r="N870" s="56" t="s">
        <v>43</v>
      </c>
      <c r="O870" s="33" t="s">
        <v>99</v>
      </c>
      <c r="P870" s="33" t="s">
        <v>99</v>
      </c>
      <c r="Q870" s="22">
        <v>0.57999999999999996</v>
      </c>
      <c r="R870" s="22" t="s">
        <v>103</v>
      </c>
      <c r="S870" s="30">
        <v>5</v>
      </c>
      <c r="T870" s="79">
        <f t="shared" si="262"/>
        <v>1.9635E-3</v>
      </c>
      <c r="U870" s="8">
        <v>6</v>
      </c>
      <c r="V870" s="8">
        <v>42</v>
      </c>
      <c r="W870" s="10">
        <f t="shared" si="264"/>
        <v>0.73303828583761843</v>
      </c>
      <c r="X870" s="8">
        <v>5</v>
      </c>
      <c r="Y870" s="22">
        <v>18</v>
      </c>
      <c r="Z870" s="10">
        <f t="shared" si="265"/>
        <v>0.31415926535897931</v>
      </c>
      <c r="AA870" s="10">
        <f t="shared" si="266"/>
        <v>5.5598686100278867</v>
      </c>
      <c r="AB870" s="10">
        <f t="shared" si="267"/>
        <v>4.8073783154408192</v>
      </c>
      <c r="AC870" s="10">
        <f t="shared" si="249"/>
        <v>0.6009222894301024</v>
      </c>
      <c r="AD870" s="10">
        <f t="shared" si="259"/>
        <v>2.4036891577204096</v>
      </c>
      <c r="AE870" s="65"/>
      <c r="AF870" s="10">
        <f t="shared" si="260"/>
        <v>6.1842367063455539</v>
      </c>
      <c r="AG870" s="8">
        <f t="shared" si="250"/>
        <v>1.205926157737383</v>
      </c>
      <c r="AH870" s="10">
        <f t="shared" si="251"/>
        <v>3.0921183531727769</v>
      </c>
      <c r="AI870" s="63"/>
      <c r="AJ870" s="10">
        <f t="shared" si="261"/>
        <v>5.032</v>
      </c>
      <c r="AK870" s="8"/>
      <c r="AL870" s="8">
        <f t="shared" si="252"/>
        <v>2.516</v>
      </c>
    </row>
    <row r="871" spans="1:38">
      <c r="A871" s="18">
        <v>41461</v>
      </c>
      <c r="B871" s="19" t="s">
        <v>34</v>
      </c>
      <c r="C871" s="12">
        <v>150.4</v>
      </c>
      <c r="D871" s="19" t="s">
        <v>80</v>
      </c>
      <c r="E871" s="8">
        <v>8.4107299999999992</v>
      </c>
      <c r="F871" s="16">
        <v>83.312600000000003</v>
      </c>
      <c r="G871" s="22">
        <v>150</v>
      </c>
      <c r="H871" s="8">
        <v>5</v>
      </c>
      <c r="I871" s="10">
        <f t="shared" si="263"/>
        <v>19.983330554894014</v>
      </c>
      <c r="J871" s="10">
        <f t="shared" si="254"/>
        <v>0.34877491369728597</v>
      </c>
      <c r="K871" s="10">
        <v>21</v>
      </c>
      <c r="L871" s="22">
        <v>80</v>
      </c>
      <c r="M871" s="31" t="s">
        <v>231</v>
      </c>
      <c r="N871" s="8" t="s">
        <v>171</v>
      </c>
      <c r="O871" s="33" t="s">
        <v>99</v>
      </c>
      <c r="P871" s="33" t="s">
        <v>99</v>
      </c>
      <c r="Q871" s="22">
        <v>0.57999999999999996</v>
      </c>
      <c r="R871" s="22" t="s">
        <v>103</v>
      </c>
      <c r="S871" s="30">
        <v>7</v>
      </c>
      <c r="T871" s="79">
        <f t="shared" si="262"/>
        <v>3.8484600000000002E-3</v>
      </c>
      <c r="U871" s="22">
        <v>10</v>
      </c>
      <c r="V871" s="22">
        <v>58</v>
      </c>
      <c r="W871" s="10">
        <f t="shared" si="264"/>
        <v>1.0122909661567112</v>
      </c>
      <c r="X871" s="22">
        <v>5</v>
      </c>
      <c r="Y871" s="22">
        <v>18</v>
      </c>
      <c r="Z871" s="10">
        <f t="shared" si="265"/>
        <v>0.31415926535897931</v>
      </c>
      <c r="AA871" s="10">
        <f t="shared" si="266"/>
        <v>10.025565933438996</v>
      </c>
      <c r="AB871" s="10">
        <f t="shared" si="267"/>
        <v>15.751093664862113</v>
      </c>
      <c r="AC871" s="10">
        <f t="shared" si="249"/>
        <v>1.9688867081077641</v>
      </c>
      <c r="AD871" s="10">
        <f t="shared" si="259"/>
        <v>7.8755468324310565</v>
      </c>
      <c r="AE871" s="65"/>
      <c r="AF871" s="10">
        <f t="shared" si="260"/>
        <v>14.096751983193448</v>
      </c>
      <c r="AG871" s="8">
        <f t="shared" si="250"/>
        <v>2.7488666367227226</v>
      </c>
      <c r="AH871" s="10">
        <f t="shared" si="251"/>
        <v>7.0483759915967239</v>
      </c>
      <c r="AI871" s="63"/>
      <c r="AJ871" s="10">
        <f t="shared" si="261"/>
        <v>8.8859999999999992</v>
      </c>
      <c r="AK871" s="8"/>
      <c r="AL871" s="8">
        <f t="shared" si="252"/>
        <v>4.4429999999999996</v>
      </c>
    </row>
    <row r="872" spans="1:38">
      <c r="A872" s="18">
        <v>41461</v>
      </c>
      <c r="B872" s="19" t="s">
        <v>34</v>
      </c>
      <c r="C872" s="12">
        <v>150.4</v>
      </c>
      <c r="D872" s="19" t="s">
        <v>80</v>
      </c>
      <c r="E872" s="8">
        <v>8.4107299999999992</v>
      </c>
      <c r="F872" s="16">
        <v>83.312600000000003</v>
      </c>
      <c r="G872" s="22">
        <v>150</v>
      </c>
      <c r="H872" s="8">
        <v>5</v>
      </c>
      <c r="I872" s="10">
        <f t="shared" si="263"/>
        <v>19.983330554894014</v>
      </c>
      <c r="J872" s="10">
        <f t="shared" si="254"/>
        <v>0.34877491369728597</v>
      </c>
      <c r="K872" s="10">
        <v>21</v>
      </c>
      <c r="L872" s="22" t="s">
        <v>94</v>
      </c>
      <c r="M872" s="8" t="s">
        <v>96</v>
      </c>
      <c r="N872" s="8" t="s">
        <v>69</v>
      </c>
      <c r="O872" s="58" t="s">
        <v>65</v>
      </c>
      <c r="P872" s="10" t="s">
        <v>102</v>
      </c>
      <c r="Q872" s="22">
        <v>0.48</v>
      </c>
      <c r="R872" s="22" t="s">
        <v>190</v>
      </c>
      <c r="S872" s="30">
        <v>8.4</v>
      </c>
      <c r="T872" s="79">
        <f t="shared" si="262"/>
        <v>5.5417824000000004E-3</v>
      </c>
      <c r="U872" s="22">
        <v>10</v>
      </c>
      <c r="V872" s="22">
        <v>55</v>
      </c>
      <c r="W872" s="10">
        <f t="shared" si="264"/>
        <v>0.95993108859688125</v>
      </c>
      <c r="X872" s="22">
        <v>5</v>
      </c>
      <c r="Y872" s="22">
        <v>10</v>
      </c>
      <c r="Z872" s="10">
        <f t="shared" si="265"/>
        <v>0.17453292519943295</v>
      </c>
      <c r="AA872" s="10">
        <f t="shared" si="266"/>
        <v>9.0597613312245695</v>
      </c>
      <c r="AB872" s="10">
        <f t="shared" si="267"/>
        <v>16.887419570489634</v>
      </c>
      <c r="AC872" s="10">
        <f t="shared" si="249"/>
        <v>2.1109274463112042</v>
      </c>
      <c r="AD872" s="10">
        <f t="shared" si="259"/>
        <v>8.4437097852448169</v>
      </c>
      <c r="AE872" s="65"/>
      <c r="AF872" s="10">
        <f t="shared" si="260"/>
        <v>18.31348911782424</v>
      </c>
      <c r="AG872" s="8">
        <f t="shared" si="250"/>
        <v>3.5711303779757269</v>
      </c>
      <c r="AH872" s="10">
        <f t="shared" si="251"/>
        <v>9.1567445589121199</v>
      </c>
      <c r="AI872" s="63"/>
      <c r="AJ872" s="10">
        <f t="shared" si="261"/>
        <v>15.106199999999987</v>
      </c>
      <c r="AK872" s="8"/>
      <c r="AL872" s="8">
        <f t="shared" si="252"/>
        <v>7.5530999999999935</v>
      </c>
    </row>
    <row r="873" spans="1:38">
      <c r="A873" s="18">
        <v>41461</v>
      </c>
      <c r="B873" s="19" t="s">
        <v>34</v>
      </c>
      <c r="C873" s="12">
        <v>150.4</v>
      </c>
      <c r="D873" s="19" t="s">
        <v>80</v>
      </c>
      <c r="E873" s="8">
        <v>8.4107299999999992</v>
      </c>
      <c r="F873" s="16">
        <v>83.312600000000003</v>
      </c>
      <c r="G873" s="22">
        <v>150</v>
      </c>
      <c r="H873" s="8">
        <v>5</v>
      </c>
      <c r="I873" s="10">
        <f t="shared" si="263"/>
        <v>19.983330554894014</v>
      </c>
      <c r="J873" s="10">
        <f t="shared" si="254"/>
        <v>0.34877491369728597</v>
      </c>
      <c r="K873" s="10">
        <v>21</v>
      </c>
      <c r="L873" s="22">
        <v>78</v>
      </c>
      <c r="M873" s="31" t="s">
        <v>231</v>
      </c>
      <c r="N873" s="8" t="s">
        <v>171</v>
      </c>
      <c r="O873" s="33" t="s">
        <v>99</v>
      </c>
      <c r="P873" s="33" t="s">
        <v>99</v>
      </c>
      <c r="Q873" s="22">
        <v>0.57999999999999996</v>
      </c>
      <c r="R873" s="22" t="s">
        <v>103</v>
      </c>
      <c r="S873" s="30">
        <v>10.199999999999999</v>
      </c>
      <c r="T873" s="79">
        <f t="shared" si="262"/>
        <v>8.1713015999999999E-3</v>
      </c>
      <c r="U873" s="22">
        <v>9</v>
      </c>
      <c r="V873" s="22">
        <v>57</v>
      </c>
      <c r="W873" s="10">
        <f t="shared" si="264"/>
        <v>0.99483767363676789</v>
      </c>
      <c r="X873" s="22">
        <v>5</v>
      </c>
      <c r="Y873" s="22">
        <v>15</v>
      </c>
      <c r="Z873" s="10">
        <f t="shared" si="265"/>
        <v>0.26179938779914941</v>
      </c>
      <c r="AA873" s="10">
        <f t="shared" si="266"/>
        <v>8.8421303370214197</v>
      </c>
      <c r="AB873" s="10">
        <f t="shared" si="267"/>
        <v>28.40637759744196</v>
      </c>
      <c r="AC873" s="10">
        <f t="shared" si="249"/>
        <v>3.550797199680245</v>
      </c>
      <c r="AD873" s="10">
        <f t="shared" si="259"/>
        <v>14.20318879872098</v>
      </c>
      <c r="AE873" s="65"/>
      <c r="AF873" s="10">
        <f t="shared" si="260"/>
        <v>35.8404777052612</v>
      </c>
      <c r="AG873" s="8">
        <f t="shared" si="250"/>
        <v>6.9888931525259341</v>
      </c>
      <c r="AH873" s="10">
        <f t="shared" si="251"/>
        <v>17.9202388526306</v>
      </c>
      <c r="AI873" s="63"/>
      <c r="AJ873" s="10">
        <f t="shared" si="261"/>
        <v>27.366</v>
      </c>
      <c r="AK873" s="8"/>
      <c r="AL873" s="8">
        <f t="shared" si="252"/>
        <v>13.683</v>
      </c>
    </row>
    <row r="874" spans="1:38">
      <c r="A874" s="18">
        <v>41461</v>
      </c>
      <c r="B874" s="19" t="s">
        <v>34</v>
      </c>
      <c r="C874" s="12">
        <v>150.4</v>
      </c>
      <c r="D874" s="19" t="s">
        <v>80</v>
      </c>
      <c r="E874" s="8">
        <v>8.4107299999999992</v>
      </c>
      <c r="F874" s="16">
        <v>83.312600000000003</v>
      </c>
      <c r="G874" s="22">
        <v>150</v>
      </c>
      <c r="H874" s="8">
        <v>5</v>
      </c>
      <c r="I874" s="10">
        <f t="shared" si="263"/>
        <v>19.983330554894014</v>
      </c>
      <c r="J874" s="10">
        <f t="shared" si="254"/>
        <v>0.34877491369728597</v>
      </c>
      <c r="K874" s="10">
        <v>21</v>
      </c>
      <c r="L874" s="22">
        <v>77</v>
      </c>
      <c r="M874" s="22" t="s">
        <v>72</v>
      </c>
      <c r="N874" s="22" t="s">
        <v>93</v>
      </c>
      <c r="O874" s="10" t="s">
        <v>91</v>
      </c>
      <c r="P874" s="15" t="s">
        <v>92</v>
      </c>
      <c r="Q874" s="8">
        <v>0.48</v>
      </c>
      <c r="R874" s="22" t="s">
        <v>190</v>
      </c>
      <c r="S874" s="30">
        <v>8</v>
      </c>
      <c r="T874" s="79">
        <f t="shared" si="262"/>
        <v>5.0265600000000002E-3</v>
      </c>
      <c r="U874" s="22">
        <v>9</v>
      </c>
      <c r="V874" s="22">
        <v>57</v>
      </c>
      <c r="W874" s="10">
        <f t="shared" si="264"/>
        <v>0.99483767363676789</v>
      </c>
      <c r="X874" s="22">
        <v>5</v>
      </c>
      <c r="Y874" s="22">
        <v>15</v>
      </c>
      <c r="Z874" s="10">
        <f t="shared" si="265"/>
        <v>0.26179938779914941</v>
      </c>
      <c r="AA874" s="10">
        <f t="shared" si="266"/>
        <v>8.8421303370214197</v>
      </c>
      <c r="AB874" s="10">
        <f t="shared" si="267"/>
        <v>15.059174213976343</v>
      </c>
      <c r="AC874" s="10">
        <f t="shared" si="249"/>
        <v>1.8823967767470429</v>
      </c>
      <c r="AD874" s="10">
        <f t="shared" si="259"/>
        <v>7.5295871069881715</v>
      </c>
      <c r="AE874" s="65"/>
      <c r="AF874" s="10">
        <f t="shared" si="260"/>
        <v>16.228082658620366</v>
      </c>
      <c r="AG874" s="8">
        <f t="shared" si="250"/>
        <v>3.1644761184309713</v>
      </c>
      <c r="AH874" s="10">
        <f t="shared" si="251"/>
        <v>8.114041329310183</v>
      </c>
      <c r="AI874" s="63"/>
      <c r="AJ874" s="10">
        <f t="shared" si="261"/>
        <v>13.033000000000001</v>
      </c>
      <c r="AK874" s="8"/>
      <c r="AL874" s="8">
        <f t="shared" si="252"/>
        <v>6.5165000000000006</v>
      </c>
    </row>
    <row r="875" spans="1:38">
      <c r="A875" s="18">
        <v>41461</v>
      </c>
      <c r="B875" s="19" t="s">
        <v>34</v>
      </c>
      <c r="C875" s="12">
        <v>150.4</v>
      </c>
      <c r="D875" s="19" t="s">
        <v>80</v>
      </c>
      <c r="E875" s="8">
        <v>8.4107299999999992</v>
      </c>
      <c r="F875" s="16">
        <v>83.312600000000003</v>
      </c>
      <c r="G875" s="22">
        <v>150</v>
      </c>
      <c r="H875" s="8">
        <v>5</v>
      </c>
      <c r="I875" s="10">
        <f t="shared" si="263"/>
        <v>19.983330554894014</v>
      </c>
      <c r="J875" s="10">
        <f t="shared" si="254"/>
        <v>0.34877491369728597</v>
      </c>
      <c r="K875" s="10">
        <v>21</v>
      </c>
      <c r="L875" s="22">
        <v>76</v>
      </c>
      <c r="M875" s="31" t="s">
        <v>231</v>
      </c>
      <c r="N875" s="8" t="s">
        <v>171</v>
      </c>
      <c r="O875" s="33" t="s">
        <v>99</v>
      </c>
      <c r="P875" s="33" t="s">
        <v>99</v>
      </c>
      <c r="Q875" s="22">
        <v>0.57999999999999996</v>
      </c>
      <c r="R875" s="22" t="s">
        <v>103</v>
      </c>
      <c r="S875" s="30">
        <v>6.5</v>
      </c>
      <c r="T875" s="79">
        <f t="shared" si="262"/>
        <v>3.3183150000000001E-3</v>
      </c>
      <c r="U875" s="22">
        <v>9</v>
      </c>
      <c r="V875" s="22">
        <v>72</v>
      </c>
      <c r="W875" s="10">
        <f t="shared" si="264"/>
        <v>1.2566370614359172</v>
      </c>
      <c r="X875" s="22">
        <v>5</v>
      </c>
      <c r="Y875" s="22">
        <v>16</v>
      </c>
      <c r="Z875" s="10">
        <f t="shared" si="265"/>
        <v>0.27925268031909273</v>
      </c>
      <c r="AA875" s="10">
        <f t="shared" si="266"/>
        <v>9.9376954257413761</v>
      </c>
      <c r="AB875" s="10">
        <f t="shared" si="267"/>
        <v>13.589694286305816</v>
      </c>
      <c r="AC875" s="10">
        <f t="shared" si="249"/>
        <v>1.698711785788227</v>
      </c>
      <c r="AD875" s="10">
        <f t="shared" si="259"/>
        <v>6.7948471431529081</v>
      </c>
      <c r="AE875" s="65"/>
      <c r="AF875" s="10">
        <f t="shared" si="260"/>
        <v>11.744815846187073</v>
      </c>
      <c r="AG875" s="8">
        <f t="shared" si="250"/>
        <v>2.2902390900064793</v>
      </c>
      <c r="AH875" s="10">
        <f t="shared" si="251"/>
        <v>5.8724079230935367</v>
      </c>
      <c r="AI875" s="63"/>
      <c r="AJ875" s="10">
        <f t="shared" si="261"/>
        <v>7.3674999999999962</v>
      </c>
      <c r="AK875" s="8"/>
      <c r="AL875" s="8">
        <f t="shared" si="252"/>
        <v>3.6837499999999981</v>
      </c>
    </row>
    <row r="876" spans="1:38">
      <c r="A876" s="18">
        <v>41461</v>
      </c>
      <c r="B876" s="19" t="s">
        <v>34</v>
      </c>
      <c r="C876" s="12">
        <v>150.4</v>
      </c>
      <c r="D876" s="19" t="s">
        <v>80</v>
      </c>
      <c r="E876" s="8">
        <v>8.4107299999999992</v>
      </c>
      <c r="F876" s="16">
        <v>83.312600000000003</v>
      </c>
      <c r="G876" s="22">
        <v>150</v>
      </c>
      <c r="H876" s="8">
        <v>5</v>
      </c>
      <c r="I876" s="10">
        <f t="shared" si="263"/>
        <v>19.983330554894014</v>
      </c>
      <c r="J876" s="10">
        <f t="shared" si="254"/>
        <v>0.34877491369728597</v>
      </c>
      <c r="K876" s="10">
        <v>21</v>
      </c>
      <c r="L876" s="22">
        <v>75</v>
      </c>
      <c r="M876" s="22" t="s">
        <v>107</v>
      </c>
      <c r="N876" s="22" t="s">
        <v>63</v>
      </c>
      <c r="O876" s="10" t="s">
        <v>108</v>
      </c>
      <c r="P876" s="15" t="s">
        <v>92</v>
      </c>
      <c r="Q876" s="8">
        <v>0.57999999999999996</v>
      </c>
      <c r="R876" s="22" t="s">
        <v>190</v>
      </c>
      <c r="S876" s="30">
        <v>10.6</v>
      </c>
      <c r="T876" s="79">
        <f t="shared" si="262"/>
        <v>8.8247544000000008E-3</v>
      </c>
      <c r="U876" s="22">
        <v>11</v>
      </c>
      <c r="V876" s="22">
        <v>65</v>
      </c>
      <c r="W876" s="10">
        <f t="shared" si="264"/>
        <v>1.1344640137963142</v>
      </c>
      <c r="X876" s="22">
        <v>5</v>
      </c>
      <c r="Y876" s="22">
        <v>20</v>
      </c>
      <c r="Z876" s="10">
        <f t="shared" si="265"/>
        <v>0.3490658503988659</v>
      </c>
      <c r="AA876" s="10">
        <f t="shared" si="266"/>
        <v>11.679486374031493</v>
      </c>
      <c r="AB876" s="10">
        <f t="shared" si="267"/>
        <v>39.667733018618897</v>
      </c>
      <c r="AC876" s="10">
        <f t="shared" si="249"/>
        <v>4.9584666273273621</v>
      </c>
      <c r="AD876" s="10">
        <f t="shared" si="259"/>
        <v>19.833866509309448</v>
      </c>
      <c r="AE876" s="65"/>
      <c r="AF876" s="10">
        <f t="shared" si="260"/>
        <v>39.43882684557483</v>
      </c>
      <c r="AG876" s="8">
        <f t="shared" si="250"/>
        <v>7.6905712348870923</v>
      </c>
      <c r="AH876" s="10">
        <f t="shared" si="251"/>
        <v>19.719413422787415</v>
      </c>
      <c r="AI876" s="63"/>
      <c r="AJ876" s="10">
        <f t="shared" si="261"/>
        <v>30.741599999999991</v>
      </c>
      <c r="AK876" s="8"/>
      <c r="AL876" s="8">
        <f t="shared" si="252"/>
        <v>15.370799999999996</v>
      </c>
    </row>
    <row r="877" spans="1:38">
      <c r="A877" s="18">
        <v>41461</v>
      </c>
      <c r="B877" s="19" t="s">
        <v>34</v>
      </c>
      <c r="C877" s="12">
        <v>150.4</v>
      </c>
      <c r="D877" s="19" t="s">
        <v>80</v>
      </c>
      <c r="E877" s="8">
        <v>8.4107299999999992</v>
      </c>
      <c r="F877" s="16">
        <v>83.312600000000003</v>
      </c>
      <c r="G877" s="22">
        <v>150</v>
      </c>
      <c r="H877" s="8">
        <v>5</v>
      </c>
      <c r="I877" s="10">
        <f t="shared" si="263"/>
        <v>19.983330554894014</v>
      </c>
      <c r="J877" s="10">
        <f t="shared" si="254"/>
        <v>0.34877491369728597</v>
      </c>
      <c r="K877" s="10">
        <v>21</v>
      </c>
      <c r="L877" s="22">
        <v>74</v>
      </c>
      <c r="M877" s="22" t="s">
        <v>151</v>
      </c>
      <c r="N877" s="22" t="s">
        <v>84</v>
      </c>
      <c r="O877" s="58" t="s">
        <v>85</v>
      </c>
      <c r="P877" s="50" t="s">
        <v>86</v>
      </c>
      <c r="Q877" s="22">
        <v>0.53</v>
      </c>
      <c r="R877" s="22" t="s">
        <v>190</v>
      </c>
      <c r="S877" s="30">
        <v>8.1999999999999993</v>
      </c>
      <c r="T877" s="79">
        <f t="shared" si="262"/>
        <v>5.2810295999999998E-3</v>
      </c>
      <c r="U877" s="22">
        <v>14</v>
      </c>
      <c r="V877" s="22">
        <v>48</v>
      </c>
      <c r="W877" s="10">
        <f t="shared" si="264"/>
        <v>0.83775804095727824</v>
      </c>
      <c r="X877" s="22">
        <v>5</v>
      </c>
      <c r="Y877" s="22">
        <v>25</v>
      </c>
      <c r="Z877" s="10">
        <f t="shared" si="265"/>
        <v>0.43633231299858238</v>
      </c>
      <c r="AA877" s="10">
        <f t="shared" si="266"/>
        <v>12.517118865387017</v>
      </c>
      <c r="AB877" s="10">
        <f t="shared" si="267"/>
        <v>24.005192611661403</v>
      </c>
      <c r="AC877" s="10">
        <f t="shared" si="249"/>
        <v>3.0006490764576754</v>
      </c>
      <c r="AD877" s="10">
        <f t="shared" si="259"/>
        <v>12.002596305830702</v>
      </c>
      <c r="AE877" s="65"/>
      <c r="AF877" s="10">
        <f t="shared" si="260"/>
        <v>19.048742166477407</v>
      </c>
      <c r="AG877" s="8">
        <f t="shared" si="250"/>
        <v>3.7145047224630945</v>
      </c>
      <c r="AH877" s="10">
        <f t="shared" si="251"/>
        <v>9.5243710832387034</v>
      </c>
      <c r="AI877" s="63"/>
      <c r="AJ877" s="10">
        <f t="shared" si="261"/>
        <v>14.040000000000006</v>
      </c>
      <c r="AK877" s="8"/>
      <c r="AL877" s="8">
        <f t="shared" si="252"/>
        <v>7.0200000000000031</v>
      </c>
    </row>
    <row r="878" spans="1:38">
      <c r="A878" s="18">
        <v>41461</v>
      </c>
      <c r="B878" s="19" t="s">
        <v>34</v>
      </c>
      <c r="C878" s="12">
        <v>150.4</v>
      </c>
      <c r="D878" s="19" t="s">
        <v>80</v>
      </c>
      <c r="E878" s="8">
        <v>8.4107299999999992</v>
      </c>
      <c r="F878" s="16">
        <v>83.312600000000003</v>
      </c>
      <c r="G878" s="22">
        <v>150</v>
      </c>
      <c r="H878" s="8">
        <v>5</v>
      </c>
      <c r="I878" s="10">
        <f t="shared" si="263"/>
        <v>19.983330554894014</v>
      </c>
      <c r="J878" s="10">
        <f t="shared" si="254"/>
        <v>0.34877491369728597</v>
      </c>
      <c r="K878" s="10">
        <v>21</v>
      </c>
      <c r="L878" s="22">
        <v>73</v>
      </c>
      <c r="M878" s="22" t="s">
        <v>151</v>
      </c>
      <c r="N878" s="22" t="s">
        <v>84</v>
      </c>
      <c r="O878" s="58" t="s">
        <v>85</v>
      </c>
      <c r="P878" s="50" t="s">
        <v>86</v>
      </c>
      <c r="Q878" s="22">
        <v>0.53</v>
      </c>
      <c r="R878" s="22" t="s">
        <v>190</v>
      </c>
      <c r="S878" s="30">
        <v>12</v>
      </c>
      <c r="T878" s="79">
        <f t="shared" si="262"/>
        <v>1.130976E-2</v>
      </c>
      <c r="U878" s="22">
        <v>14</v>
      </c>
      <c r="V878" s="22">
        <v>61</v>
      </c>
      <c r="W878" s="10">
        <f t="shared" si="264"/>
        <v>1.064650843716541</v>
      </c>
      <c r="X878" s="22">
        <v>6</v>
      </c>
      <c r="Y878" s="22">
        <v>10</v>
      </c>
      <c r="Z878" s="10">
        <f t="shared" si="265"/>
        <v>0.17453292519943295</v>
      </c>
      <c r="AA878" s="10">
        <f t="shared" si="266"/>
        <v>13.286564965953122</v>
      </c>
      <c r="AB878" s="10">
        <f t="shared" si="267"/>
        <v>51.945715632238958</v>
      </c>
      <c r="AC878" s="10">
        <f t="shared" si="249"/>
        <v>6.4932144540298697</v>
      </c>
      <c r="AD878" s="10">
        <f t="shared" si="259"/>
        <v>25.972857816119479</v>
      </c>
      <c r="AE878" s="65"/>
      <c r="AF878" s="10">
        <f t="shared" si="260"/>
        <v>49.070317866703562</v>
      </c>
      <c r="AG878" s="8">
        <f t="shared" si="250"/>
        <v>9.5687119840071944</v>
      </c>
      <c r="AH878" s="10">
        <f t="shared" si="251"/>
        <v>24.535158933351781</v>
      </c>
      <c r="AI878" s="63"/>
      <c r="AJ878" s="10">
        <f t="shared" si="261"/>
        <v>44.420999999999992</v>
      </c>
      <c r="AK878" s="8"/>
      <c r="AL878" s="8">
        <f t="shared" si="252"/>
        <v>22.210499999999996</v>
      </c>
    </row>
    <row r="879" spans="1:38">
      <c r="A879" s="18">
        <v>41461</v>
      </c>
      <c r="B879" s="19" t="s">
        <v>34</v>
      </c>
      <c r="C879" s="12">
        <v>150.4</v>
      </c>
      <c r="D879" s="19" t="s">
        <v>80</v>
      </c>
      <c r="E879" s="8">
        <v>8.4107299999999992</v>
      </c>
      <c r="F879" s="16">
        <v>83.312600000000003</v>
      </c>
      <c r="G879" s="22">
        <v>150</v>
      </c>
      <c r="H879" s="8">
        <v>5</v>
      </c>
      <c r="I879" s="10">
        <f t="shared" si="263"/>
        <v>19.983330554894014</v>
      </c>
      <c r="J879" s="10">
        <f t="shared" si="254"/>
        <v>0.34877491369728597</v>
      </c>
      <c r="K879" s="10">
        <v>21</v>
      </c>
      <c r="L879" s="22">
        <v>72</v>
      </c>
      <c r="M879" s="22" t="s">
        <v>151</v>
      </c>
      <c r="N879" s="22" t="s">
        <v>84</v>
      </c>
      <c r="O879" s="58" t="s">
        <v>85</v>
      </c>
      <c r="P879" s="50" t="s">
        <v>86</v>
      </c>
      <c r="Q879" s="22">
        <v>0.53</v>
      </c>
      <c r="R879" s="22" t="s">
        <v>190</v>
      </c>
      <c r="S879" s="30">
        <v>6.6</v>
      </c>
      <c r="T879" s="79">
        <f t="shared" si="262"/>
        <v>3.4212023999999996E-3</v>
      </c>
      <c r="U879" s="22">
        <v>10</v>
      </c>
      <c r="V879" s="22">
        <v>45</v>
      </c>
      <c r="W879" s="10">
        <f t="shared" si="264"/>
        <v>0.78539816339744828</v>
      </c>
      <c r="X879" s="22">
        <v>6</v>
      </c>
      <c r="Y879" s="22">
        <v>14</v>
      </c>
      <c r="Z879" s="10">
        <f t="shared" si="265"/>
        <v>0.24434609527920614</v>
      </c>
      <c r="AA879" s="10">
        <f t="shared" si="266"/>
        <v>8.5225991854634806</v>
      </c>
      <c r="AB879" s="10">
        <f t="shared" si="267"/>
        <v>11.121449082976074</v>
      </c>
      <c r="AC879" s="10">
        <f t="shared" si="249"/>
        <v>1.3901811353720093</v>
      </c>
      <c r="AD879" s="10">
        <f t="shared" si="259"/>
        <v>5.5607245414880371</v>
      </c>
      <c r="AE879" s="65"/>
      <c r="AF879" s="10">
        <f t="shared" si="260"/>
        <v>11.143134988816222</v>
      </c>
      <c r="AG879" s="8">
        <f t="shared" si="250"/>
        <v>2.1729113228191634</v>
      </c>
      <c r="AH879" s="10">
        <f t="shared" si="251"/>
        <v>5.5715674944081108</v>
      </c>
      <c r="AI879" s="63"/>
      <c r="AJ879" s="10">
        <f t="shared" si="261"/>
        <v>7.6415999999999933</v>
      </c>
      <c r="AK879" s="8"/>
      <c r="AL879" s="8">
        <f t="shared" si="252"/>
        <v>3.8207999999999966</v>
      </c>
    </row>
    <row r="880" spans="1:38">
      <c r="A880" s="18">
        <v>41461</v>
      </c>
      <c r="B880" s="19" t="s">
        <v>34</v>
      </c>
      <c r="C880" s="12">
        <v>150.4</v>
      </c>
      <c r="D880" s="19" t="s">
        <v>80</v>
      </c>
      <c r="E880" s="8">
        <v>8.4107299999999992</v>
      </c>
      <c r="F880" s="16">
        <v>83.312600000000003</v>
      </c>
      <c r="G880" s="22">
        <v>150</v>
      </c>
      <c r="H880" s="8">
        <v>5</v>
      </c>
      <c r="I880" s="10">
        <f t="shared" si="263"/>
        <v>19.983330554894014</v>
      </c>
      <c r="J880" s="10">
        <f t="shared" si="254"/>
        <v>0.34877491369728597</v>
      </c>
      <c r="K880" s="10">
        <v>21</v>
      </c>
      <c r="L880" s="22">
        <v>71</v>
      </c>
      <c r="M880" s="22" t="s">
        <v>72</v>
      </c>
      <c r="N880" s="22" t="s">
        <v>93</v>
      </c>
      <c r="O880" s="10" t="s">
        <v>91</v>
      </c>
      <c r="P880" s="15" t="s">
        <v>92</v>
      </c>
      <c r="Q880" s="8">
        <v>0.48</v>
      </c>
      <c r="R880" s="22" t="s">
        <v>190</v>
      </c>
      <c r="S880" s="30">
        <v>14</v>
      </c>
      <c r="T880" s="79">
        <f t="shared" si="262"/>
        <v>1.5393840000000001E-2</v>
      </c>
      <c r="U880" s="22">
        <v>12</v>
      </c>
      <c r="V880" s="22">
        <v>65</v>
      </c>
      <c r="W880" s="10">
        <f t="shared" si="264"/>
        <v>1.1344640137963142</v>
      </c>
      <c r="X880" s="22">
        <v>6</v>
      </c>
      <c r="Y880" s="22">
        <v>15</v>
      </c>
      <c r="Z880" s="10">
        <f t="shared" si="265"/>
        <v>0.26179938779914941</v>
      </c>
      <c r="AA880" s="10">
        <f t="shared" si="266"/>
        <v>12.428607715054923</v>
      </c>
      <c r="AB880" s="10">
        <f t="shared" si="267"/>
        <v>59.389042470224261</v>
      </c>
      <c r="AC880" s="10">
        <f t="shared" si="249"/>
        <v>7.4236303087780326</v>
      </c>
      <c r="AD880" s="10">
        <f t="shared" si="259"/>
        <v>29.694521235112131</v>
      </c>
      <c r="AE880" s="65"/>
      <c r="AF880" s="10">
        <f t="shared" si="260"/>
        <v>65.206702995753432</v>
      </c>
      <c r="AG880" s="8">
        <f t="shared" si="250"/>
        <v>12.71530708417192</v>
      </c>
      <c r="AH880" s="10">
        <f t="shared" si="251"/>
        <v>32.603351497876716</v>
      </c>
      <c r="AI880" s="63"/>
      <c r="AJ880" s="10">
        <f t="shared" si="261"/>
        <v>68.99499999999999</v>
      </c>
      <c r="AK880" s="8"/>
      <c r="AL880" s="8">
        <f t="shared" si="252"/>
        <v>34.497499999999995</v>
      </c>
    </row>
    <row r="881" spans="1:38">
      <c r="A881" s="18">
        <v>41461</v>
      </c>
      <c r="B881" s="19" t="s">
        <v>34</v>
      </c>
      <c r="C881" s="12">
        <v>150.4</v>
      </c>
      <c r="D881" s="19" t="s">
        <v>80</v>
      </c>
      <c r="E881" s="8">
        <v>8.4107299999999992</v>
      </c>
      <c r="F881" s="16">
        <v>83.312600000000003</v>
      </c>
      <c r="G881" s="22">
        <v>150</v>
      </c>
      <c r="H881" s="8">
        <v>5</v>
      </c>
      <c r="I881" s="10">
        <f t="shared" si="263"/>
        <v>19.983330554894014</v>
      </c>
      <c r="J881" s="10">
        <f t="shared" si="254"/>
        <v>0.34877491369728597</v>
      </c>
      <c r="K881" s="10">
        <v>21</v>
      </c>
      <c r="L881" s="22">
        <v>70</v>
      </c>
      <c r="M881" s="22" t="s">
        <v>107</v>
      </c>
      <c r="N881" s="22" t="s">
        <v>63</v>
      </c>
      <c r="O881" s="10" t="s">
        <v>108</v>
      </c>
      <c r="P881" s="15" t="s">
        <v>92</v>
      </c>
      <c r="Q881" s="8">
        <v>0.57999999999999996</v>
      </c>
      <c r="R881" s="22" t="s">
        <v>190</v>
      </c>
      <c r="S881" s="30">
        <v>7</v>
      </c>
      <c r="T881" s="79">
        <f t="shared" si="262"/>
        <v>3.8484600000000002E-3</v>
      </c>
      <c r="U881" s="22">
        <v>9</v>
      </c>
      <c r="V881" s="22">
        <v>65</v>
      </c>
      <c r="W881" s="10">
        <f t="shared" si="264"/>
        <v>1.1344640137963142</v>
      </c>
      <c r="X881" s="22">
        <v>5</v>
      </c>
      <c r="Y881" s="22">
        <v>15</v>
      </c>
      <c r="Z881" s="10">
        <f t="shared" si="265"/>
        <v>0.26179938779914941</v>
      </c>
      <c r="AA881" s="10">
        <f t="shared" si="266"/>
        <v>9.4508653088424524</v>
      </c>
      <c r="AB881" s="10">
        <f t="shared" si="267"/>
        <v>14.900870136059609</v>
      </c>
      <c r="AC881" s="10">
        <f t="shared" si="249"/>
        <v>1.8626087670074511</v>
      </c>
      <c r="AD881" s="10">
        <f t="shared" si="259"/>
        <v>7.4504350680298046</v>
      </c>
      <c r="AE881" s="65"/>
      <c r="AF881" s="10">
        <f t="shared" si="260"/>
        <v>14.096751983193448</v>
      </c>
      <c r="AG881" s="8">
        <f t="shared" si="250"/>
        <v>2.7488666367227226</v>
      </c>
      <c r="AH881" s="10">
        <f t="shared" si="251"/>
        <v>7.0483759915967239</v>
      </c>
      <c r="AI881" s="63"/>
      <c r="AJ881" s="10">
        <f t="shared" si="261"/>
        <v>8.8859999999999992</v>
      </c>
      <c r="AK881" s="8"/>
      <c r="AL881" s="8">
        <f t="shared" si="252"/>
        <v>4.4429999999999996</v>
      </c>
    </row>
    <row r="882" spans="1:38">
      <c r="A882" s="18">
        <v>41461</v>
      </c>
      <c r="B882" s="19" t="s">
        <v>34</v>
      </c>
      <c r="C882" s="12">
        <v>150.4</v>
      </c>
      <c r="D882" s="19" t="s">
        <v>80</v>
      </c>
      <c r="E882" s="8">
        <v>8.4107299999999992</v>
      </c>
      <c r="F882" s="16">
        <v>83.312600000000003</v>
      </c>
      <c r="G882" s="22">
        <v>150</v>
      </c>
      <c r="H882" s="8">
        <v>5</v>
      </c>
      <c r="I882" s="10">
        <f t="shared" si="263"/>
        <v>19.983330554894014</v>
      </c>
      <c r="J882" s="10">
        <f t="shared" si="254"/>
        <v>0.34877491369728597</v>
      </c>
      <c r="K882" s="10">
        <v>21</v>
      </c>
      <c r="L882" s="22" t="s">
        <v>94</v>
      </c>
      <c r="M882" t="s">
        <v>36</v>
      </c>
      <c r="N882" s="8" t="s">
        <v>46</v>
      </c>
      <c r="O882" s="10" t="s">
        <v>37</v>
      </c>
      <c r="P882" s="10" t="s">
        <v>38</v>
      </c>
      <c r="Q882" s="11">
        <v>0.48</v>
      </c>
      <c r="R882" s="8" t="s">
        <v>60</v>
      </c>
      <c r="S882" s="30">
        <v>14</v>
      </c>
      <c r="T882" s="79">
        <f t="shared" si="262"/>
        <v>1.5393840000000001E-2</v>
      </c>
      <c r="U882" s="22">
        <v>11</v>
      </c>
      <c r="V882" s="22">
        <v>56</v>
      </c>
      <c r="W882" s="10">
        <f t="shared" si="264"/>
        <v>0.97738438111682457</v>
      </c>
      <c r="X882" s="22">
        <v>5</v>
      </c>
      <c r="Y882" s="22">
        <v>15</v>
      </c>
      <c r="Z882" s="10">
        <f t="shared" si="265"/>
        <v>0.26179938779914941</v>
      </c>
      <c r="AA882" s="10">
        <f t="shared" si="266"/>
        <v>10.413508523618063</v>
      </c>
      <c r="AB882" s="10">
        <f t="shared" si="267"/>
        <v>50.291019959356866</v>
      </c>
      <c r="AC882" s="10">
        <f t="shared" si="249"/>
        <v>6.2863774949196083</v>
      </c>
      <c r="AD882" s="10">
        <f t="shared" si="259"/>
        <v>25.145509979678433</v>
      </c>
      <c r="AE882" s="65"/>
      <c r="AF882" s="10">
        <f t="shared" si="260"/>
        <v>65.206702995753432</v>
      </c>
      <c r="AG882" s="8">
        <f t="shared" si="250"/>
        <v>12.71530708417192</v>
      </c>
      <c r="AH882" s="10">
        <f t="shared" si="251"/>
        <v>32.603351497876716</v>
      </c>
      <c r="AI882" s="63"/>
      <c r="AJ882" s="10">
        <f t="shared" si="261"/>
        <v>68.99499999999999</v>
      </c>
      <c r="AK882" s="8"/>
      <c r="AL882" s="8">
        <f t="shared" si="252"/>
        <v>34.497499999999995</v>
      </c>
    </row>
    <row r="883" spans="1:38">
      <c r="A883" s="18">
        <v>41461</v>
      </c>
      <c r="B883" s="19" t="s">
        <v>34</v>
      </c>
      <c r="C883" s="12">
        <v>150.4</v>
      </c>
      <c r="D883" s="19" t="s">
        <v>80</v>
      </c>
      <c r="E883" s="8">
        <v>8.4107299999999992</v>
      </c>
      <c r="F883" s="16">
        <v>83.312600000000003</v>
      </c>
      <c r="G883" s="22">
        <v>150</v>
      </c>
      <c r="H883" s="8">
        <v>5</v>
      </c>
      <c r="I883" s="10">
        <f t="shared" si="263"/>
        <v>19.983330554894014</v>
      </c>
      <c r="J883" s="10">
        <f t="shared" si="254"/>
        <v>0.34877491369728597</v>
      </c>
      <c r="K883" s="10">
        <v>21</v>
      </c>
      <c r="L883" s="22">
        <v>89</v>
      </c>
      <c r="M883" t="s">
        <v>36</v>
      </c>
      <c r="N883" s="8" t="s">
        <v>46</v>
      </c>
      <c r="O883" s="10" t="s">
        <v>37</v>
      </c>
      <c r="P883" s="10" t="s">
        <v>38</v>
      </c>
      <c r="Q883" s="11">
        <v>0.48</v>
      </c>
      <c r="R883" s="8" t="s">
        <v>60</v>
      </c>
      <c r="S883" s="30">
        <v>14.2</v>
      </c>
      <c r="T883" s="79">
        <f t="shared" si="262"/>
        <v>1.58368056E-2</v>
      </c>
      <c r="U883" s="22">
        <v>12</v>
      </c>
      <c r="V883" s="22">
        <v>57</v>
      </c>
      <c r="W883" s="10">
        <f t="shared" si="264"/>
        <v>0.99483767363676789</v>
      </c>
      <c r="X883" s="22">
        <v>5</v>
      </c>
      <c r="Y883" s="22">
        <v>12</v>
      </c>
      <c r="Z883" s="10">
        <f t="shared" si="265"/>
        <v>0.20943951023931956</v>
      </c>
      <c r="AA883" s="10">
        <f t="shared" si="266"/>
        <v>11.103605269433885</v>
      </c>
      <c r="AB883" s="10">
        <f t="shared" si="267"/>
        <v>54.861382211629405</v>
      </c>
      <c r="AC883" s="10">
        <f t="shared" ref="AC883:AC944" si="268">AB883*0.125</f>
        <v>6.8576727764536756</v>
      </c>
      <c r="AD883" s="10">
        <f t="shared" si="259"/>
        <v>27.430691105814702</v>
      </c>
      <c r="AE883" s="65"/>
      <c r="AF883" s="10">
        <f t="shared" si="260"/>
        <v>67.546368712347231</v>
      </c>
      <c r="AG883" s="8">
        <f t="shared" ref="AG883:AG944" si="269">AF883*0.195</f>
        <v>13.17154189890771</v>
      </c>
      <c r="AH883" s="10">
        <f t="shared" ref="AH883:AH944" si="270">AF883/2</f>
        <v>33.773184356173616</v>
      </c>
      <c r="AI883" s="63"/>
      <c r="AJ883" s="10">
        <f t="shared" si="261"/>
        <v>71.777999999999977</v>
      </c>
      <c r="AK883" s="8"/>
      <c r="AL883" s="8">
        <f t="shared" ref="AL883:AL944" si="271">AJ883/2</f>
        <v>35.888999999999989</v>
      </c>
    </row>
    <row r="884" spans="1:38">
      <c r="A884" s="18">
        <v>41461</v>
      </c>
      <c r="B884" s="19" t="s">
        <v>34</v>
      </c>
      <c r="C884" s="12">
        <v>150.4</v>
      </c>
      <c r="D884" s="19" t="s">
        <v>80</v>
      </c>
      <c r="E884" s="8">
        <v>8.4107299999999992</v>
      </c>
      <c r="F884" s="16">
        <v>83.312600000000003</v>
      </c>
      <c r="G884" s="22">
        <v>150</v>
      </c>
      <c r="H884" s="8">
        <v>5</v>
      </c>
      <c r="I884" s="10">
        <f t="shared" si="263"/>
        <v>19.983330554894014</v>
      </c>
      <c r="J884" s="10">
        <f t="shared" si="254"/>
        <v>0.34877491369728597</v>
      </c>
      <c r="K884" s="10">
        <v>21</v>
      </c>
      <c r="L884" s="22">
        <v>116</v>
      </c>
      <c r="M884" s="31" t="s">
        <v>253</v>
      </c>
      <c r="N884" s="7" t="s">
        <v>197</v>
      </c>
      <c r="O884" s="57" t="s">
        <v>228</v>
      </c>
      <c r="P884" s="33" t="s">
        <v>229</v>
      </c>
      <c r="Q884" s="22">
        <v>0.89</v>
      </c>
      <c r="R884" s="22" t="s">
        <v>190</v>
      </c>
      <c r="S884" s="30">
        <v>6</v>
      </c>
      <c r="T884" s="79">
        <f t="shared" si="262"/>
        <v>2.8274400000000001E-3</v>
      </c>
      <c r="U884" s="22">
        <v>8</v>
      </c>
      <c r="V884" s="22">
        <v>43</v>
      </c>
      <c r="W884" s="10">
        <f t="shared" si="264"/>
        <v>0.75049157835756175</v>
      </c>
      <c r="X884" s="22">
        <v>5</v>
      </c>
      <c r="Y884" s="22">
        <v>15</v>
      </c>
      <c r="Z884" s="10">
        <f t="shared" si="265"/>
        <v>0.26179938779914941</v>
      </c>
      <c r="AA884" s="10">
        <f t="shared" si="266"/>
        <v>6.7500821060125915</v>
      </c>
      <c r="AB884" s="10">
        <f t="shared" si="267"/>
        <v>12.155230264695104</v>
      </c>
      <c r="AC884" s="10">
        <f t="shared" si="268"/>
        <v>1.5194037830868881</v>
      </c>
      <c r="AD884" s="10">
        <f t="shared" si="259"/>
        <v>6.0776151323475522</v>
      </c>
      <c r="AE884" s="65"/>
      <c r="AF884" s="10">
        <f t="shared" si="260"/>
        <v>14.806472409894313</v>
      </c>
      <c r="AG884" s="8">
        <f t="shared" si="269"/>
        <v>2.8872621199293911</v>
      </c>
      <c r="AH884" s="10">
        <f t="shared" si="270"/>
        <v>7.4032362049471567</v>
      </c>
      <c r="AI884" s="63"/>
      <c r="AJ884" s="10">
        <f t="shared" si="261"/>
        <v>6.2189999999999976</v>
      </c>
      <c r="AK884" s="8"/>
      <c r="AL884" s="8">
        <f t="shared" si="271"/>
        <v>3.1094999999999988</v>
      </c>
    </row>
    <row r="885" spans="1:38">
      <c r="A885" s="18">
        <v>41461</v>
      </c>
      <c r="B885" s="19" t="s">
        <v>34</v>
      </c>
      <c r="C885" s="12">
        <v>150.4</v>
      </c>
      <c r="D885" s="19" t="s">
        <v>80</v>
      </c>
      <c r="E885" s="8">
        <v>8.4107299999999992</v>
      </c>
      <c r="F885" s="16">
        <v>83.312600000000003</v>
      </c>
      <c r="G885" s="22">
        <v>150</v>
      </c>
      <c r="H885" s="8">
        <v>5</v>
      </c>
      <c r="I885" s="10">
        <f t="shared" si="263"/>
        <v>19.983330554894014</v>
      </c>
      <c r="J885" s="10">
        <f t="shared" si="254"/>
        <v>0.34877491369728597</v>
      </c>
      <c r="K885" s="10">
        <v>21</v>
      </c>
      <c r="L885" s="22">
        <v>117</v>
      </c>
      <c r="M885" s="22" t="s">
        <v>151</v>
      </c>
      <c r="N885" s="22" t="s">
        <v>84</v>
      </c>
      <c r="O885" s="58" t="s">
        <v>85</v>
      </c>
      <c r="P885" s="50" t="s">
        <v>86</v>
      </c>
      <c r="Q885" s="22">
        <v>0.53</v>
      </c>
      <c r="R885" s="22" t="s">
        <v>190</v>
      </c>
      <c r="S885" s="30">
        <v>5.4</v>
      </c>
      <c r="T885" s="79">
        <f t="shared" si="262"/>
        <v>2.2902264000000004E-3</v>
      </c>
      <c r="U885" s="22">
        <v>7</v>
      </c>
      <c r="V885" s="22">
        <v>50</v>
      </c>
      <c r="W885" s="10">
        <f t="shared" si="264"/>
        <v>0.87266462599716477</v>
      </c>
      <c r="X885" s="22">
        <v>6</v>
      </c>
      <c r="Y885" s="22">
        <v>20</v>
      </c>
      <c r="Z885" s="10">
        <f t="shared" si="265"/>
        <v>0.3490658503988659</v>
      </c>
      <c r="AA885" s="10">
        <f t="shared" si="266"/>
        <v>7.4144319617868586</v>
      </c>
      <c r="AB885" s="10">
        <f t="shared" si="267"/>
        <v>6.6904375051591591</v>
      </c>
      <c r="AC885" s="10">
        <f t="shared" si="268"/>
        <v>0.83630468814489489</v>
      </c>
      <c r="AD885" s="10">
        <f t="shared" si="259"/>
        <v>3.3452187525795796</v>
      </c>
      <c r="AE885" s="65"/>
      <c r="AF885" s="10">
        <f t="shared" si="260"/>
        <v>6.8149543993639741</v>
      </c>
      <c r="AG885" s="8">
        <f t="shared" si="269"/>
        <v>1.328916107875975</v>
      </c>
      <c r="AH885" s="10">
        <f t="shared" si="270"/>
        <v>3.407477199681987</v>
      </c>
      <c r="AI885" s="63"/>
      <c r="AJ885" s="10">
        <f t="shared" si="261"/>
        <v>5.3291999999999966</v>
      </c>
      <c r="AK885" s="8"/>
      <c r="AL885" s="8">
        <f t="shared" si="271"/>
        <v>2.6645999999999983</v>
      </c>
    </row>
    <row r="886" spans="1:38">
      <c r="A886" s="18">
        <v>41461</v>
      </c>
      <c r="B886" s="19" t="s">
        <v>34</v>
      </c>
      <c r="C886" s="12">
        <v>150.4</v>
      </c>
      <c r="D886" s="19" t="s">
        <v>80</v>
      </c>
      <c r="E886" s="8">
        <v>8.4107299999999992</v>
      </c>
      <c r="F886" s="16">
        <v>83.312600000000003</v>
      </c>
      <c r="G886" s="22">
        <v>150</v>
      </c>
      <c r="H886" s="8">
        <v>5</v>
      </c>
      <c r="I886" s="10">
        <f t="shared" si="263"/>
        <v>19.983330554894014</v>
      </c>
      <c r="J886" s="10">
        <f t="shared" si="254"/>
        <v>0.34877491369728597</v>
      </c>
      <c r="K886" s="10">
        <v>21</v>
      </c>
      <c r="L886" s="22">
        <v>118</v>
      </c>
      <c r="M886" s="22" t="s">
        <v>202</v>
      </c>
      <c r="N886" s="28" t="s">
        <v>111</v>
      </c>
      <c r="O886" s="10" t="s">
        <v>112</v>
      </c>
      <c r="P886" s="10" t="s">
        <v>113</v>
      </c>
      <c r="Q886" s="22">
        <v>0.51</v>
      </c>
      <c r="R886" s="59" t="s">
        <v>190</v>
      </c>
      <c r="S886" s="30">
        <v>16</v>
      </c>
      <c r="T886" s="79">
        <f t="shared" si="262"/>
        <v>2.0106240000000001E-2</v>
      </c>
      <c r="U886" s="22">
        <v>10</v>
      </c>
      <c r="V886" s="22">
        <v>62</v>
      </c>
      <c r="W886" s="10">
        <f t="shared" si="264"/>
        <v>1.0821041362364843</v>
      </c>
      <c r="X886" s="22">
        <v>5</v>
      </c>
      <c r="Y886" s="22">
        <v>12</v>
      </c>
      <c r="Z886" s="10">
        <f t="shared" si="265"/>
        <v>0.20943951023931956</v>
      </c>
      <c r="AA886" s="10">
        <f t="shared" si="266"/>
        <v>9.8690343826780644</v>
      </c>
      <c r="AB886" s="10">
        <f t="shared" si="267"/>
        <v>65.064101452471391</v>
      </c>
      <c r="AC886" s="10">
        <f t="shared" si="268"/>
        <v>8.1330126815589239</v>
      </c>
      <c r="AD886" s="10">
        <f t="shared" si="259"/>
        <v>32.532050726235695</v>
      </c>
      <c r="AE886" s="65"/>
      <c r="AF886" s="10">
        <f t="shared" si="260"/>
        <v>96.518042977845838</v>
      </c>
      <c r="AG886" s="8">
        <f t="shared" si="269"/>
        <v>18.821018380679938</v>
      </c>
      <c r="AH886" s="10">
        <f t="shared" si="270"/>
        <v>48.259021488922919</v>
      </c>
      <c r="AI886" s="63"/>
      <c r="AJ886" s="10">
        <f t="shared" si="261"/>
        <v>99.48899999999999</v>
      </c>
      <c r="AK886" s="8"/>
      <c r="AL886" s="8">
        <f t="shared" si="271"/>
        <v>49.744499999999995</v>
      </c>
    </row>
    <row r="887" spans="1:38">
      <c r="A887" s="18">
        <v>41461</v>
      </c>
      <c r="B887" s="19" t="s">
        <v>34</v>
      </c>
      <c r="C887" s="12">
        <v>150.4</v>
      </c>
      <c r="D887" s="19" t="s">
        <v>80</v>
      </c>
      <c r="E887" s="8">
        <v>8.4107299999999992</v>
      </c>
      <c r="F887" s="16">
        <v>83.312600000000003</v>
      </c>
      <c r="G887" s="22">
        <v>150</v>
      </c>
      <c r="H887" s="8">
        <v>5</v>
      </c>
      <c r="I887" s="10">
        <f t="shared" si="263"/>
        <v>19.983330554894014</v>
      </c>
      <c r="J887" s="10">
        <f t="shared" si="254"/>
        <v>0.34877491369728597</v>
      </c>
      <c r="K887" s="10">
        <v>21</v>
      </c>
      <c r="L887" s="22">
        <v>119</v>
      </c>
      <c r="M887" s="22" t="s">
        <v>72</v>
      </c>
      <c r="N887" s="22" t="s">
        <v>93</v>
      </c>
      <c r="O887" s="10" t="s">
        <v>91</v>
      </c>
      <c r="P887" s="15" t="s">
        <v>92</v>
      </c>
      <c r="Q887" s="8">
        <v>0.48</v>
      </c>
      <c r="R887" s="22" t="s">
        <v>190</v>
      </c>
      <c r="S887" s="30">
        <v>7</v>
      </c>
      <c r="T887" s="79">
        <f t="shared" si="262"/>
        <v>3.8484600000000002E-3</v>
      </c>
      <c r="U887" s="22">
        <v>13</v>
      </c>
      <c r="V887" s="22">
        <v>45</v>
      </c>
      <c r="W887" s="10">
        <f t="shared" si="264"/>
        <v>0.78539816339744828</v>
      </c>
      <c r="X887" s="22">
        <v>5</v>
      </c>
      <c r="Y887" s="22">
        <v>8</v>
      </c>
      <c r="Z887" s="10">
        <f t="shared" si="265"/>
        <v>0.13962634015954636</v>
      </c>
      <c r="AA887" s="10">
        <f t="shared" si="266"/>
        <v>9.8882536602254447</v>
      </c>
      <c r="AB887" s="10">
        <f t="shared" si="267"/>
        <v>13.014432114731465</v>
      </c>
      <c r="AC887" s="10">
        <f t="shared" si="268"/>
        <v>1.6268040143414331</v>
      </c>
      <c r="AD887" s="10">
        <f t="shared" si="259"/>
        <v>6.5072160573657323</v>
      </c>
      <c r="AE887" s="65"/>
      <c r="AF887" s="10">
        <f t="shared" si="260"/>
        <v>11.666277503332509</v>
      </c>
      <c r="AG887" s="8">
        <f t="shared" si="269"/>
        <v>2.2749241131498392</v>
      </c>
      <c r="AH887" s="10">
        <f t="shared" si="270"/>
        <v>5.8331387516662545</v>
      </c>
      <c r="AI887" s="63"/>
      <c r="AJ887" s="10">
        <f t="shared" si="261"/>
        <v>8.8859999999999992</v>
      </c>
      <c r="AK887" s="8"/>
      <c r="AL887" s="8">
        <f t="shared" si="271"/>
        <v>4.4429999999999996</v>
      </c>
    </row>
    <row r="888" spans="1:38">
      <c r="A888" s="18">
        <v>41460</v>
      </c>
      <c r="B888" s="19" t="s">
        <v>34</v>
      </c>
      <c r="C888" s="12">
        <v>150.4</v>
      </c>
      <c r="D888" s="9" t="s">
        <v>80</v>
      </c>
      <c r="E888" s="8">
        <v>8.4107299999999992</v>
      </c>
      <c r="F888" s="16">
        <v>83.312600000000003</v>
      </c>
      <c r="G888" s="22">
        <v>150</v>
      </c>
      <c r="H888" s="8">
        <v>5</v>
      </c>
      <c r="I888" s="10">
        <f t="shared" si="263"/>
        <v>19.983330554894014</v>
      </c>
      <c r="J888" s="10">
        <f t="shared" si="254"/>
        <v>0.34877491369728597</v>
      </c>
      <c r="K888" s="10">
        <v>21</v>
      </c>
      <c r="L888" s="8">
        <v>38</v>
      </c>
      <c r="M888" s="46" t="s">
        <v>77</v>
      </c>
      <c r="N888" s="56" t="s">
        <v>43</v>
      </c>
      <c r="O888" s="33" t="s">
        <v>99</v>
      </c>
      <c r="P888" s="33" t="s">
        <v>99</v>
      </c>
      <c r="Q888" s="22">
        <v>0.57999999999999996</v>
      </c>
      <c r="R888" s="22" t="s">
        <v>103</v>
      </c>
      <c r="S888" s="29">
        <v>32</v>
      </c>
      <c r="T888" s="79">
        <f t="shared" si="262"/>
        <v>8.0424960000000004E-2</v>
      </c>
      <c r="U888" s="8">
        <f>14+2</f>
        <v>16</v>
      </c>
      <c r="V888" s="8">
        <v>74</v>
      </c>
      <c r="W888" s="10">
        <f t="shared" si="264"/>
        <v>1.2915436464758039</v>
      </c>
      <c r="X888" s="8">
        <v>7</v>
      </c>
      <c r="Y888" s="8">
        <v>16</v>
      </c>
      <c r="Z888" s="10">
        <f t="shared" si="265"/>
        <v>0.27925268031909273</v>
      </c>
      <c r="AA888" s="10">
        <f t="shared" si="266"/>
        <v>17.309648625732095</v>
      </c>
      <c r="AB888" s="10">
        <f t="shared" si="267"/>
        <v>458.30748634611791</v>
      </c>
      <c r="AC888" s="10">
        <f t="shared" si="268"/>
        <v>57.288435793264739</v>
      </c>
      <c r="AD888" s="10">
        <f t="shared" si="259"/>
        <v>229.15374317305896</v>
      </c>
      <c r="AE888" s="65"/>
      <c r="AF888" s="10">
        <f t="shared" si="260"/>
        <v>598.85839571059364</v>
      </c>
      <c r="AG888" s="8">
        <f t="shared" si="269"/>
        <v>116.77738716356576</v>
      </c>
      <c r="AH888" s="10">
        <f t="shared" si="270"/>
        <v>299.42919785529682</v>
      </c>
      <c r="AI888" s="63"/>
      <c r="AJ888" s="10">
        <f t="shared" si="261"/>
        <v>556.56099999999992</v>
      </c>
      <c r="AK888" s="8"/>
      <c r="AL888" s="8">
        <f t="shared" si="271"/>
        <v>278.28049999999996</v>
      </c>
    </row>
    <row r="889" spans="1:38">
      <c r="A889" s="18">
        <v>41460</v>
      </c>
      <c r="B889" s="19" t="s">
        <v>34</v>
      </c>
      <c r="C889" s="12">
        <v>150.4</v>
      </c>
      <c r="D889" s="19" t="s">
        <v>80</v>
      </c>
      <c r="E889" s="8">
        <v>8.4107299999999992</v>
      </c>
      <c r="F889" s="16">
        <v>83.312600000000003</v>
      </c>
      <c r="G889" s="22">
        <v>150</v>
      </c>
      <c r="H889" s="22">
        <v>5</v>
      </c>
      <c r="I889" s="10">
        <f t="shared" si="263"/>
        <v>19.983330554894014</v>
      </c>
      <c r="J889" s="10">
        <f t="shared" si="254"/>
        <v>0.34877491369728597</v>
      </c>
      <c r="K889" s="10">
        <v>21</v>
      </c>
      <c r="L889" s="22">
        <v>78</v>
      </c>
      <c r="M889" s="22" t="s">
        <v>72</v>
      </c>
      <c r="N889" s="22" t="s">
        <v>93</v>
      </c>
      <c r="O889" s="10" t="s">
        <v>91</v>
      </c>
      <c r="P889" s="15" t="s">
        <v>92</v>
      </c>
      <c r="Q889" s="8">
        <v>0.48</v>
      </c>
      <c r="R889" s="22" t="s">
        <v>190</v>
      </c>
      <c r="S889" s="29">
        <v>12.5</v>
      </c>
      <c r="T889" s="79">
        <f t="shared" si="262"/>
        <v>1.2271875E-2</v>
      </c>
      <c r="U889" s="8">
        <v>12</v>
      </c>
      <c r="V889" s="8">
        <v>77</v>
      </c>
      <c r="W889" s="10">
        <f t="shared" si="264"/>
        <v>1.3439035240356338</v>
      </c>
      <c r="X889" s="22">
        <v>5</v>
      </c>
      <c r="Y889" s="8">
        <v>19</v>
      </c>
      <c r="Z889" s="10">
        <f t="shared" si="265"/>
        <v>0.33161255787892263</v>
      </c>
      <c r="AA889" s="10">
        <f t="shared" si="266"/>
        <v>13.320281549708605</v>
      </c>
      <c r="AB889" s="10">
        <f t="shared" si="267"/>
        <v>51.22263422418095</v>
      </c>
      <c r="AC889" s="10">
        <f t="shared" si="268"/>
        <v>6.4028292780226188</v>
      </c>
      <c r="AD889" s="10">
        <f t="shared" si="259"/>
        <v>25.611317112090475</v>
      </c>
      <c r="AE889" s="65"/>
      <c r="AF889" s="10">
        <f t="shared" si="260"/>
        <v>49.192021567922559</v>
      </c>
      <c r="AG889" s="8">
        <f t="shared" si="269"/>
        <v>9.5924442057448989</v>
      </c>
      <c r="AH889" s="10">
        <f t="shared" si="270"/>
        <v>24.59601078396128</v>
      </c>
      <c r="AI889" s="63"/>
      <c r="AJ889" s="10">
        <f t="shared" si="261"/>
        <v>50.009499999999989</v>
      </c>
      <c r="AK889" s="8"/>
      <c r="AL889" s="8">
        <f t="shared" si="271"/>
        <v>25.004749999999994</v>
      </c>
    </row>
    <row r="890" spans="1:38">
      <c r="A890" s="18">
        <v>41460</v>
      </c>
      <c r="B890" s="19" t="s">
        <v>34</v>
      </c>
      <c r="C890" s="12">
        <v>150.4</v>
      </c>
      <c r="D890" s="9" t="s">
        <v>80</v>
      </c>
      <c r="E890" s="7">
        <v>8.4107299999999992</v>
      </c>
      <c r="F890" s="21">
        <v>83.312600000000003</v>
      </c>
      <c r="G890" s="22">
        <v>150</v>
      </c>
      <c r="H890" s="8">
        <v>5</v>
      </c>
      <c r="I890" s="10">
        <f t="shared" si="263"/>
        <v>19.983330554894014</v>
      </c>
      <c r="J890" s="10">
        <f t="shared" ref="J890:J951" si="272">RADIANS(I890)</f>
        <v>0.34877491369728597</v>
      </c>
      <c r="K890" s="10">
        <v>21</v>
      </c>
      <c r="L890" s="8">
        <v>89</v>
      </c>
      <c r="M890" s="8" t="s">
        <v>36</v>
      </c>
      <c r="N890" s="8" t="s">
        <v>46</v>
      </c>
      <c r="O890" s="10" t="s">
        <v>37</v>
      </c>
      <c r="P890" s="10" t="s">
        <v>38</v>
      </c>
      <c r="Q890" s="11">
        <v>0.48</v>
      </c>
      <c r="R890" s="8" t="s">
        <v>60</v>
      </c>
      <c r="S890" s="12">
        <v>19.600000000000001</v>
      </c>
      <c r="T890" s="79">
        <f t="shared" si="262"/>
        <v>3.0171926400000007E-2</v>
      </c>
      <c r="U890" s="8">
        <v>12</v>
      </c>
      <c r="V890" s="8">
        <v>72</v>
      </c>
      <c r="W890" s="10">
        <f t="shared" si="264"/>
        <v>1.2566370614359172</v>
      </c>
      <c r="X890" s="8">
        <v>5</v>
      </c>
      <c r="Y890" s="8">
        <v>20</v>
      </c>
      <c r="Z890" s="10">
        <f t="shared" si="265"/>
        <v>0.3490658503988659</v>
      </c>
      <c r="AA890" s="10">
        <f t="shared" si="266"/>
        <v>13.122778912170185</v>
      </c>
      <c r="AB890" s="10">
        <f t="shared" si="267"/>
        <v>117.65602233947676</v>
      </c>
      <c r="AC890" s="10">
        <f t="shared" si="268"/>
        <v>14.707002792434595</v>
      </c>
      <c r="AD890" s="10">
        <f t="shared" si="259"/>
        <v>58.828011169738382</v>
      </c>
      <c r="AE890" s="65"/>
      <c r="AF890" s="10">
        <f t="shared" si="260"/>
        <v>150.05857714422578</v>
      </c>
      <c r="AG890" s="8">
        <f t="shared" si="269"/>
        <v>29.261422543124027</v>
      </c>
      <c r="AH890" s="10">
        <f t="shared" si="270"/>
        <v>75.02928857211289</v>
      </c>
      <c r="AI890" s="63"/>
      <c r="AJ890" s="10">
        <f t="shared" si="261"/>
        <v>169.29660000000001</v>
      </c>
      <c r="AK890" s="8"/>
      <c r="AL890" s="8">
        <f t="shared" si="271"/>
        <v>84.648300000000006</v>
      </c>
    </row>
    <row r="891" spans="1:38">
      <c r="A891" s="18">
        <v>41460</v>
      </c>
      <c r="B891" s="19" t="s">
        <v>34</v>
      </c>
      <c r="C891" s="12">
        <v>150.4</v>
      </c>
      <c r="D891" s="9" t="s">
        <v>80</v>
      </c>
      <c r="E891" s="7">
        <v>8.4107299999999992</v>
      </c>
      <c r="F891" s="21">
        <v>83.312600000000003</v>
      </c>
      <c r="G891" s="22">
        <v>150</v>
      </c>
      <c r="H891" s="8">
        <v>5</v>
      </c>
      <c r="I891" s="10">
        <f t="shared" si="263"/>
        <v>19.983330554894014</v>
      </c>
      <c r="J891" s="10">
        <f t="shared" si="272"/>
        <v>0.34877491369728597</v>
      </c>
      <c r="K891" s="10">
        <v>21</v>
      </c>
      <c r="L891" s="8">
        <v>90</v>
      </c>
      <c r="M891" s="8" t="s">
        <v>36</v>
      </c>
      <c r="N891" s="8" t="s">
        <v>46</v>
      </c>
      <c r="O891" s="10" t="s">
        <v>37</v>
      </c>
      <c r="P891" s="10" t="s">
        <v>38</v>
      </c>
      <c r="Q891" s="11">
        <v>0.48</v>
      </c>
      <c r="R891" s="8" t="s">
        <v>60</v>
      </c>
      <c r="S891" s="29">
        <v>22</v>
      </c>
      <c r="T891" s="79">
        <f t="shared" si="262"/>
        <v>3.8013360000000003E-2</v>
      </c>
      <c r="U891" s="8">
        <v>14</v>
      </c>
      <c r="V891" s="8">
        <v>76</v>
      </c>
      <c r="W891" s="10">
        <f t="shared" si="264"/>
        <v>1.3264502315156905</v>
      </c>
      <c r="X891" s="8">
        <v>5</v>
      </c>
      <c r="Y891" s="8">
        <v>18</v>
      </c>
      <c r="Z891" s="10">
        <f t="shared" si="265"/>
        <v>0.31415926535897931</v>
      </c>
      <c r="AA891" s="10">
        <f t="shared" si="266"/>
        <v>15.129225139738686</v>
      </c>
      <c r="AB891" s="10">
        <f t="shared" si="267"/>
        <v>167.11322056477229</v>
      </c>
      <c r="AC891" s="10">
        <f t="shared" si="268"/>
        <v>20.889152570596536</v>
      </c>
      <c r="AD891" s="10">
        <f t="shared" si="259"/>
        <v>83.556610282386146</v>
      </c>
      <c r="AE891" s="65"/>
      <c r="AF891" s="10">
        <f t="shared" si="260"/>
        <v>199.37630972130992</v>
      </c>
      <c r="AG891" s="8">
        <f t="shared" si="269"/>
        <v>38.878380395655434</v>
      </c>
      <c r="AH891" s="10">
        <f t="shared" si="270"/>
        <v>99.688154860654961</v>
      </c>
      <c r="AI891" s="63"/>
      <c r="AJ891" s="10">
        <f t="shared" si="261"/>
        <v>226.49099999999996</v>
      </c>
      <c r="AK891" s="8"/>
      <c r="AL891" s="8">
        <f t="shared" si="271"/>
        <v>113.24549999999998</v>
      </c>
    </row>
    <row r="892" spans="1:38">
      <c r="A892" s="18">
        <v>41460</v>
      </c>
      <c r="B892" s="19" t="s">
        <v>34</v>
      </c>
      <c r="C892" s="12">
        <v>150.4</v>
      </c>
      <c r="D892" s="9" t="s">
        <v>80</v>
      </c>
      <c r="E892" s="7">
        <v>8.4107299999999992</v>
      </c>
      <c r="F892" s="21">
        <v>83.312600000000003</v>
      </c>
      <c r="G892" s="22">
        <v>150</v>
      </c>
      <c r="H892" s="8">
        <v>5</v>
      </c>
      <c r="I892" s="10">
        <f t="shared" si="263"/>
        <v>19.983330554894014</v>
      </c>
      <c r="J892" s="10">
        <f t="shared" si="272"/>
        <v>0.34877491369728597</v>
      </c>
      <c r="K892" s="10">
        <v>21</v>
      </c>
      <c r="L892" s="8">
        <v>92</v>
      </c>
      <c r="M892" s="8" t="s">
        <v>36</v>
      </c>
      <c r="N892" s="8" t="s">
        <v>46</v>
      </c>
      <c r="O892" s="10" t="s">
        <v>37</v>
      </c>
      <c r="P892" s="10" t="s">
        <v>38</v>
      </c>
      <c r="Q892" s="11">
        <v>0.48</v>
      </c>
      <c r="R892" s="8" t="s">
        <v>60</v>
      </c>
      <c r="S892" s="12">
        <v>21.3</v>
      </c>
      <c r="T892" s="79">
        <f t="shared" si="262"/>
        <v>3.5632812600000008E-2</v>
      </c>
      <c r="U892" s="8">
        <v>10</v>
      </c>
      <c r="V892" s="8">
        <v>78</v>
      </c>
      <c r="W892" s="10">
        <f t="shared" si="264"/>
        <v>1.3613568165555769</v>
      </c>
      <c r="X892" s="8">
        <v>5</v>
      </c>
      <c r="Y892" s="8">
        <v>14</v>
      </c>
      <c r="Z892" s="10">
        <f t="shared" si="265"/>
        <v>0.24434609527920614</v>
      </c>
      <c r="AA892" s="10">
        <f t="shared" si="266"/>
        <v>10.991085485336393</v>
      </c>
      <c r="AB892" s="10">
        <f t="shared" si="267"/>
        <v>116.45557643395884</v>
      </c>
      <c r="AC892" s="10">
        <f t="shared" si="268"/>
        <v>14.556947054244855</v>
      </c>
      <c r="AD892" s="10">
        <f t="shared" si="259"/>
        <v>58.22778821697942</v>
      </c>
      <c r="AE892" s="65"/>
      <c r="AF892" s="10">
        <f t="shared" si="260"/>
        <v>184.15542023039833</v>
      </c>
      <c r="AG892" s="8">
        <f t="shared" si="269"/>
        <v>35.910306944927676</v>
      </c>
      <c r="AH892" s="10">
        <f t="shared" si="270"/>
        <v>92.077710115199167</v>
      </c>
      <c r="AI892" s="63"/>
      <c r="AJ892" s="10">
        <f t="shared" si="261"/>
        <v>208.92870000000002</v>
      </c>
      <c r="AK892" s="8"/>
      <c r="AL892" s="8">
        <f t="shared" si="271"/>
        <v>104.46435000000001</v>
      </c>
    </row>
    <row r="893" spans="1:38">
      <c r="A893" s="18">
        <v>41460</v>
      </c>
      <c r="B893" s="19" t="s">
        <v>34</v>
      </c>
      <c r="C893" s="12">
        <v>150.4</v>
      </c>
      <c r="D893" s="9" t="s">
        <v>80</v>
      </c>
      <c r="E893" s="7">
        <v>8.4107299999999992</v>
      </c>
      <c r="F893" s="21">
        <v>83.312600000000003</v>
      </c>
      <c r="G893" s="22">
        <v>150</v>
      </c>
      <c r="H893" s="8">
        <v>5</v>
      </c>
      <c r="I893" s="10">
        <f t="shared" si="263"/>
        <v>19.983330554894014</v>
      </c>
      <c r="J893" s="10">
        <f t="shared" si="272"/>
        <v>0.34877491369728597</v>
      </c>
      <c r="K893" s="10">
        <v>21</v>
      </c>
      <c r="L893" s="8">
        <v>99</v>
      </c>
      <c r="M893" s="8" t="s">
        <v>36</v>
      </c>
      <c r="N893" s="8" t="s">
        <v>46</v>
      </c>
      <c r="O893" s="10" t="s">
        <v>37</v>
      </c>
      <c r="P893" s="10" t="s">
        <v>38</v>
      </c>
      <c r="Q893" s="11">
        <v>0.48</v>
      </c>
      <c r="R893" s="8" t="s">
        <v>60</v>
      </c>
      <c r="S893" s="29">
        <v>15.5</v>
      </c>
      <c r="T893" s="79">
        <f t="shared" si="262"/>
        <v>1.8869235000000002E-2</v>
      </c>
      <c r="U893" s="8">
        <v>11</v>
      </c>
      <c r="V893" s="8">
        <v>54</v>
      </c>
      <c r="W893" s="10">
        <f t="shared" si="264"/>
        <v>0.94247779607693793</v>
      </c>
      <c r="X893" s="8">
        <v>5</v>
      </c>
      <c r="Y893" s="8">
        <v>14</v>
      </c>
      <c r="Z893" s="10">
        <f t="shared" si="265"/>
        <v>0.24434609527920614</v>
      </c>
      <c r="AA893" s="10">
        <f t="shared" si="266"/>
        <v>10.108796416122761</v>
      </c>
      <c r="AB893" s="10">
        <f t="shared" si="267"/>
        <v>59.220157786393052</v>
      </c>
      <c r="AC893" s="10">
        <f t="shared" si="268"/>
        <v>7.4025197232991315</v>
      </c>
      <c r="AD893" s="10">
        <f t="shared" si="259"/>
        <v>29.610078893196526</v>
      </c>
      <c r="AE893" s="65"/>
      <c r="AF893" s="10">
        <f t="shared" si="260"/>
        <v>83.960659275525302</v>
      </c>
      <c r="AG893" s="8">
        <f t="shared" si="269"/>
        <v>16.372328558727435</v>
      </c>
      <c r="AH893" s="10">
        <f t="shared" si="270"/>
        <v>41.980329637762651</v>
      </c>
      <c r="AI893" s="63"/>
      <c r="AJ893" s="10">
        <f t="shared" si="261"/>
        <v>91.31049999999999</v>
      </c>
      <c r="AK893" s="8"/>
      <c r="AL893" s="8">
        <f t="shared" si="271"/>
        <v>45.655249999999995</v>
      </c>
    </row>
    <row r="894" spans="1:38">
      <c r="A894" s="18">
        <v>41460</v>
      </c>
      <c r="B894" s="19" t="s">
        <v>34</v>
      </c>
      <c r="C894" s="12">
        <v>150.4</v>
      </c>
      <c r="D894" s="9" t="s">
        <v>80</v>
      </c>
      <c r="E894" s="7">
        <v>8.4107299999999992</v>
      </c>
      <c r="F894" s="21">
        <v>83.312600000000003</v>
      </c>
      <c r="G894" s="22">
        <v>150</v>
      </c>
      <c r="H894" s="8">
        <v>5</v>
      </c>
      <c r="I894" s="10">
        <f t="shared" si="263"/>
        <v>19.983330554894014</v>
      </c>
      <c r="J894" s="10">
        <f t="shared" si="272"/>
        <v>0.34877491369728597</v>
      </c>
      <c r="K894" s="10">
        <v>21</v>
      </c>
      <c r="L894" s="8">
        <v>97</v>
      </c>
      <c r="M894" s="8" t="s">
        <v>36</v>
      </c>
      <c r="N894" s="8" t="s">
        <v>46</v>
      </c>
      <c r="O894" s="10" t="s">
        <v>37</v>
      </c>
      <c r="P894" s="10" t="s">
        <v>38</v>
      </c>
      <c r="Q894" s="11">
        <v>0.48</v>
      </c>
      <c r="R894" s="8" t="s">
        <v>60</v>
      </c>
      <c r="S894" s="12">
        <v>20.3</v>
      </c>
      <c r="T894" s="79">
        <f t="shared" si="262"/>
        <v>3.2365548600000002E-2</v>
      </c>
      <c r="U894" s="8">
        <v>14</v>
      </c>
      <c r="V894" s="8">
        <v>65</v>
      </c>
      <c r="W894" s="10">
        <f t="shared" si="264"/>
        <v>1.1344640137963142</v>
      </c>
      <c r="X894" s="8">
        <v>5</v>
      </c>
      <c r="Y894" s="8">
        <v>15</v>
      </c>
      <c r="Z894" s="10">
        <f t="shared" si="265"/>
        <v>0.26179938779914941</v>
      </c>
      <c r="AA894" s="10">
        <f t="shared" si="266"/>
        <v>13.982404244025702</v>
      </c>
      <c r="AB894" s="10">
        <f t="shared" si="267"/>
        <v>133.4037317000456</v>
      </c>
      <c r="AC894" s="10">
        <f t="shared" si="268"/>
        <v>16.6754664625057</v>
      </c>
      <c r="AD894" s="10">
        <f t="shared" si="259"/>
        <v>66.701865850022799</v>
      </c>
      <c r="AE894" s="65"/>
      <c r="AF894" s="10">
        <f t="shared" si="260"/>
        <v>163.61040823897508</v>
      </c>
      <c r="AG894" s="8">
        <f t="shared" si="269"/>
        <v>31.904029606600144</v>
      </c>
      <c r="AH894" s="10">
        <f t="shared" si="270"/>
        <v>81.805204119487541</v>
      </c>
      <c r="AI894" s="63"/>
      <c r="AJ894" s="10">
        <f t="shared" si="261"/>
        <v>185.09770000000003</v>
      </c>
      <c r="AK894" s="8"/>
      <c r="AL894" s="8">
        <f t="shared" si="271"/>
        <v>92.548850000000016</v>
      </c>
    </row>
    <row r="895" spans="1:38">
      <c r="A895" s="18">
        <v>41460</v>
      </c>
      <c r="B895" s="19" t="s">
        <v>34</v>
      </c>
      <c r="C895" s="12">
        <v>150.4</v>
      </c>
      <c r="D895" s="9" t="s">
        <v>80</v>
      </c>
      <c r="E895" s="7">
        <v>8.4107299999999992</v>
      </c>
      <c r="F895" s="21">
        <v>83.312600000000003</v>
      </c>
      <c r="G895" s="22">
        <v>150</v>
      </c>
      <c r="H895" s="8">
        <v>5</v>
      </c>
      <c r="I895" s="10">
        <f t="shared" si="263"/>
        <v>19.983330554894014</v>
      </c>
      <c r="J895" s="10">
        <f t="shared" si="272"/>
        <v>0.34877491369728597</v>
      </c>
      <c r="K895" s="10">
        <v>21</v>
      </c>
      <c r="L895" s="8">
        <v>96</v>
      </c>
      <c r="M895" s="22" t="s">
        <v>151</v>
      </c>
      <c r="N895" s="22" t="s">
        <v>84</v>
      </c>
      <c r="O895" s="58" t="s">
        <v>85</v>
      </c>
      <c r="P895" s="50" t="s">
        <v>86</v>
      </c>
      <c r="Q895" s="22">
        <v>0.53</v>
      </c>
      <c r="R895" s="22" t="s">
        <v>190</v>
      </c>
      <c r="S895" s="29">
        <v>17.3</v>
      </c>
      <c r="T895" s="79">
        <f t="shared" si="262"/>
        <v>2.3506236600000004E-2</v>
      </c>
      <c r="U895" s="8">
        <v>20</v>
      </c>
      <c r="V895" s="8">
        <v>68</v>
      </c>
      <c r="W895" s="10">
        <f t="shared" si="264"/>
        <v>1.1868238913561442</v>
      </c>
      <c r="X895" s="8">
        <v>5</v>
      </c>
      <c r="Y895" s="8">
        <v>14</v>
      </c>
      <c r="Z895" s="10">
        <f t="shared" si="265"/>
        <v>0.24434609527920614</v>
      </c>
      <c r="AA895" s="10">
        <f t="shared" si="266"/>
        <v>19.753286569334087</v>
      </c>
      <c r="AB895" s="10">
        <f t="shared" si="267"/>
        <v>150.00602918517097</v>
      </c>
      <c r="AC895" s="10">
        <f t="shared" si="268"/>
        <v>18.750753648146372</v>
      </c>
      <c r="AD895" s="10">
        <f t="shared" si="259"/>
        <v>75.003014592585487</v>
      </c>
      <c r="AE895" s="65"/>
      <c r="AF895" s="10">
        <f t="shared" si="260"/>
        <v>121.72172685990623</v>
      </c>
      <c r="AG895" s="8">
        <f t="shared" si="269"/>
        <v>23.735736737681716</v>
      </c>
      <c r="AH895" s="10">
        <f t="shared" si="270"/>
        <v>60.860863429953113</v>
      </c>
      <c r="AI895" s="63"/>
      <c r="AJ895" s="10">
        <f t="shared" si="261"/>
        <v>122.48469999999999</v>
      </c>
      <c r="AK895" s="8"/>
      <c r="AL895" s="8">
        <f t="shared" si="271"/>
        <v>61.242349999999995</v>
      </c>
    </row>
    <row r="896" spans="1:38">
      <c r="A896" s="18">
        <v>41460</v>
      </c>
      <c r="B896" s="19" t="s">
        <v>34</v>
      </c>
      <c r="C896" s="12">
        <v>150.4</v>
      </c>
      <c r="D896" s="9" t="s">
        <v>80</v>
      </c>
      <c r="E896" s="7">
        <v>8.4107299999999992</v>
      </c>
      <c r="F896" s="21">
        <v>83.312600000000003</v>
      </c>
      <c r="G896" s="22">
        <v>150</v>
      </c>
      <c r="H896" s="8">
        <v>5</v>
      </c>
      <c r="I896" s="10">
        <f t="shared" si="263"/>
        <v>19.983330554894014</v>
      </c>
      <c r="J896" s="10">
        <f t="shared" si="272"/>
        <v>0.34877491369728597</v>
      </c>
      <c r="K896" s="10">
        <v>21</v>
      </c>
      <c r="L896" s="8">
        <v>98</v>
      </c>
      <c r="M896" s="8" t="s">
        <v>36</v>
      </c>
      <c r="N896" s="8" t="s">
        <v>46</v>
      </c>
      <c r="O896" s="10" t="s">
        <v>37</v>
      </c>
      <c r="P896" s="10" t="s">
        <v>38</v>
      </c>
      <c r="Q896" s="11">
        <v>0.48</v>
      </c>
      <c r="R896" s="8" t="s">
        <v>60</v>
      </c>
      <c r="S896" s="12">
        <v>15.5</v>
      </c>
      <c r="T896" s="79">
        <f t="shared" si="262"/>
        <v>1.8869235000000002E-2</v>
      </c>
      <c r="U896" s="8">
        <v>9</v>
      </c>
      <c r="V896" s="8">
        <v>53</v>
      </c>
      <c r="W896" s="10">
        <f t="shared" si="264"/>
        <v>0.92502450355699462</v>
      </c>
      <c r="X896" s="8">
        <v>5</v>
      </c>
      <c r="Y896" s="8">
        <v>14</v>
      </c>
      <c r="Z896" s="10">
        <f t="shared" si="265"/>
        <v>0.24434609527920614</v>
      </c>
      <c r="AA896" s="10">
        <f t="shared" si="266"/>
        <v>8.3973290684239732</v>
      </c>
      <c r="AB896" s="10">
        <f t="shared" si="267"/>
        <v>49.744466665678452</v>
      </c>
      <c r="AC896" s="10">
        <f t="shared" si="268"/>
        <v>6.2180583332098065</v>
      </c>
      <c r="AD896" s="10">
        <f t="shared" si="259"/>
        <v>24.872233332839226</v>
      </c>
      <c r="AE896" s="65"/>
      <c r="AF896" s="10">
        <f t="shared" si="260"/>
        <v>83.960659275525302</v>
      </c>
      <c r="AG896" s="8">
        <f t="shared" si="269"/>
        <v>16.372328558727435</v>
      </c>
      <c r="AH896" s="10">
        <f t="shared" si="270"/>
        <v>41.980329637762651</v>
      </c>
      <c r="AI896" s="63"/>
      <c r="AJ896" s="10">
        <f t="shared" si="261"/>
        <v>91.31049999999999</v>
      </c>
      <c r="AK896" s="8"/>
      <c r="AL896" s="8">
        <f t="shared" si="271"/>
        <v>45.655249999999995</v>
      </c>
    </row>
    <row r="897" spans="1:38">
      <c r="A897" s="18">
        <v>41460</v>
      </c>
      <c r="B897" s="19" t="s">
        <v>34</v>
      </c>
      <c r="C897" s="12">
        <v>150.4</v>
      </c>
      <c r="D897" s="9" t="s">
        <v>80</v>
      </c>
      <c r="E897" s="7">
        <v>8.4107299999999992</v>
      </c>
      <c r="F897" s="21">
        <v>83.312600000000003</v>
      </c>
      <c r="G897" s="22">
        <v>150</v>
      </c>
      <c r="H897" s="8">
        <v>5</v>
      </c>
      <c r="I897" s="10">
        <f t="shared" si="263"/>
        <v>19.983330554894014</v>
      </c>
      <c r="J897" s="10">
        <f t="shared" si="272"/>
        <v>0.34877491369728597</v>
      </c>
      <c r="K897" s="10">
        <v>21</v>
      </c>
      <c r="L897" s="8">
        <v>94</v>
      </c>
      <c r="M897" s="31" t="s">
        <v>231</v>
      </c>
      <c r="N897" s="8" t="s">
        <v>171</v>
      </c>
      <c r="O897" s="33" t="s">
        <v>99</v>
      </c>
      <c r="P897" s="33" t="s">
        <v>99</v>
      </c>
      <c r="Q897" s="22">
        <v>0.57999999999999996</v>
      </c>
      <c r="R897" s="22" t="s">
        <v>103</v>
      </c>
      <c r="S897" s="29">
        <v>34</v>
      </c>
      <c r="T897" s="79">
        <f t="shared" si="262"/>
        <v>9.079224000000001E-2</v>
      </c>
      <c r="U897" s="8">
        <v>17</v>
      </c>
      <c r="V897" s="8">
        <v>44</v>
      </c>
      <c r="W897" s="10">
        <f t="shared" si="264"/>
        <v>0.76794487087750496</v>
      </c>
      <c r="X897" s="8">
        <v>6</v>
      </c>
      <c r="Y897" s="8">
        <v>15</v>
      </c>
      <c r="Z897" s="10">
        <f t="shared" si="265"/>
        <v>0.26179938779914941</v>
      </c>
      <c r="AA897" s="10">
        <f t="shared" si="266"/>
        <v>13.362106568418078</v>
      </c>
      <c r="AB897" s="10">
        <f t="shared" si="267"/>
        <v>402.70482626400747</v>
      </c>
      <c r="AC897" s="10">
        <f t="shared" si="268"/>
        <v>50.338103283000933</v>
      </c>
      <c r="AD897" s="10">
        <f t="shared" si="259"/>
        <v>201.35241313200373</v>
      </c>
      <c r="AE897" s="65"/>
      <c r="AF897" s="10">
        <f t="shared" si="260"/>
        <v>692.52338749670525</v>
      </c>
      <c r="AG897" s="8">
        <f t="shared" si="269"/>
        <v>135.04206056185754</v>
      </c>
      <c r="AH897" s="10">
        <f t="shared" si="270"/>
        <v>346.26169374835263</v>
      </c>
      <c r="AI897" s="63"/>
      <c r="AJ897" s="10">
        <f t="shared" si="261"/>
        <v>640.33499999999992</v>
      </c>
      <c r="AK897" s="8"/>
      <c r="AL897" s="8">
        <f t="shared" si="271"/>
        <v>320.16749999999996</v>
      </c>
    </row>
    <row r="898" spans="1:38">
      <c r="A898" s="18">
        <v>41460</v>
      </c>
      <c r="B898" s="19" t="s">
        <v>34</v>
      </c>
      <c r="C898" s="12">
        <v>150.4</v>
      </c>
      <c r="D898" s="9" t="s">
        <v>80</v>
      </c>
      <c r="E898" s="7">
        <v>8.4107299999999992</v>
      </c>
      <c r="F898" s="21">
        <v>83.312600000000003</v>
      </c>
      <c r="G898" s="22">
        <v>150</v>
      </c>
      <c r="H898" s="8">
        <v>5</v>
      </c>
      <c r="I898" s="10">
        <f t="shared" si="263"/>
        <v>19.983330554894014</v>
      </c>
      <c r="J898" s="10">
        <f t="shared" si="272"/>
        <v>0.34877491369728597</v>
      </c>
      <c r="K898" s="10">
        <v>21</v>
      </c>
      <c r="L898" s="8">
        <v>95</v>
      </c>
      <c r="M898" s="8" t="s">
        <v>78</v>
      </c>
      <c r="N898" s="22" t="s">
        <v>87</v>
      </c>
      <c r="O898" s="10" t="s">
        <v>88</v>
      </c>
      <c r="P898" s="10" t="s">
        <v>89</v>
      </c>
      <c r="Q898" s="23">
        <v>0.64</v>
      </c>
      <c r="R898" s="22" t="s">
        <v>90</v>
      </c>
      <c r="S898" s="12">
        <v>45.4</v>
      </c>
      <c r="T898" s="79">
        <f t="shared" si="262"/>
        <v>0.16188350639999999</v>
      </c>
      <c r="U898" s="8">
        <v>19</v>
      </c>
      <c r="V898" s="8">
        <v>70</v>
      </c>
      <c r="W898" s="10">
        <f t="shared" si="264"/>
        <v>1.2217304763960306</v>
      </c>
      <c r="X898" s="8">
        <v>7</v>
      </c>
      <c r="Y898" s="8">
        <v>12</v>
      </c>
      <c r="Z898" s="10">
        <f t="shared" si="265"/>
        <v>0.20943951023931956</v>
      </c>
      <c r="AA898" s="10">
        <f t="shared" si="266"/>
        <v>19.309541630656572</v>
      </c>
      <c r="AB898" s="10">
        <f t="shared" si="267"/>
        <v>1075.3789891213146</v>
      </c>
      <c r="AC898" s="10">
        <f t="shared" si="268"/>
        <v>134.42237364016432</v>
      </c>
      <c r="AD898" s="10">
        <f t="shared" si="259"/>
        <v>537.68949456065729</v>
      </c>
      <c r="AE898" s="65"/>
      <c r="AF898" s="10">
        <f t="shared" si="260"/>
        <v>1513.3744479982195</v>
      </c>
      <c r="AG898" s="8">
        <f t="shared" si="269"/>
        <v>295.10801735965282</v>
      </c>
      <c r="AH898" s="10">
        <f t="shared" si="270"/>
        <v>756.68722399910973</v>
      </c>
      <c r="AI898" s="63"/>
      <c r="AJ898" s="10">
        <f t="shared" si="261"/>
        <v>1230.8892000000001</v>
      </c>
      <c r="AK898" s="8"/>
      <c r="AL898" s="8">
        <f t="shared" si="271"/>
        <v>615.44460000000004</v>
      </c>
    </row>
    <row r="899" spans="1:38">
      <c r="A899" s="18">
        <v>41460</v>
      </c>
      <c r="B899" s="19" t="s">
        <v>34</v>
      </c>
      <c r="C899" s="12">
        <v>150.4</v>
      </c>
      <c r="D899" s="9" t="s">
        <v>80</v>
      </c>
      <c r="E899" s="7">
        <v>8.4107299999999992</v>
      </c>
      <c r="F899" s="21">
        <v>83.312600000000003</v>
      </c>
      <c r="G899" s="22">
        <v>150</v>
      </c>
      <c r="H899" s="8">
        <v>5</v>
      </c>
      <c r="I899" s="10">
        <f t="shared" si="263"/>
        <v>19.983330554894014</v>
      </c>
      <c r="J899" s="10">
        <f t="shared" si="272"/>
        <v>0.34877491369728597</v>
      </c>
      <c r="K899" s="10">
        <v>21</v>
      </c>
      <c r="L899" s="8">
        <v>91</v>
      </c>
      <c r="M899" s="8" t="s">
        <v>78</v>
      </c>
      <c r="N899" s="22" t="s">
        <v>87</v>
      </c>
      <c r="O899" s="10" t="s">
        <v>88</v>
      </c>
      <c r="P899" s="10" t="s">
        <v>89</v>
      </c>
      <c r="Q899" s="23">
        <v>0.64</v>
      </c>
      <c r="R899" s="22" t="s">
        <v>90</v>
      </c>
      <c r="S899" s="29">
        <v>36.4</v>
      </c>
      <c r="T899" s="79">
        <f t="shared" si="262"/>
        <v>0.10406235839999999</v>
      </c>
      <c r="U899" s="8">
        <v>19</v>
      </c>
      <c r="V899" s="8">
        <v>70</v>
      </c>
      <c r="W899" s="10">
        <f t="shared" si="264"/>
        <v>1.2217304763960306</v>
      </c>
      <c r="X899" s="8">
        <v>7</v>
      </c>
      <c r="Y899" s="8">
        <v>12</v>
      </c>
      <c r="Z899" s="10">
        <f t="shared" si="265"/>
        <v>0.20943951023931956</v>
      </c>
      <c r="AA899" s="10">
        <f t="shared" si="266"/>
        <v>19.309541630656572</v>
      </c>
      <c r="AB899" s="10">
        <f t="shared" si="267"/>
        <v>709.85091228624538</v>
      </c>
      <c r="AC899" s="10">
        <f t="shared" si="268"/>
        <v>88.731364035780672</v>
      </c>
      <c r="AD899" s="10">
        <f t="shared" si="259"/>
        <v>354.92545614312269</v>
      </c>
      <c r="AE899" s="65"/>
      <c r="AF899" s="10">
        <f t="shared" si="260"/>
        <v>899.17861551951819</v>
      </c>
      <c r="AG899" s="8">
        <f t="shared" si="269"/>
        <v>175.33983002630606</v>
      </c>
      <c r="AH899" s="10">
        <f t="shared" si="270"/>
        <v>449.58930775975909</v>
      </c>
      <c r="AI899" s="63"/>
      <c r="AJ899" s="10">
        <f t="shared" si="261"/>
        <v>748.67819999999983</v>
      </c>
      <c r="AK899" s="8"/>
      <c r="AL899" s="8">
        <f t="shared" si="271"/>
        <v>374.33909999999992</v>
      </c>
    </row>
    <row r="900" spans="1:38">
      <c r="A900" s="18">
        <v>41460</v>
      </c>
      <c r="B900" s="19" t="s">
        <v>34</v>
      </c>
      <c r="C900" s="12">
        <v>150.4</v>
      </c>
      <c r="D900" s="9" t="s">
        <v>80</v>
      </c>
      <c r="E900" s="7">
        <v>8.4107299999999992</v>
      </c>
      <c r="F900" s="21">
        <v>83.312600000000003</v>
      </c>
      <c r="G900" s="22">
        <v>150</v>
      </c>
      <c r="H900" s="8">
        <v>5</v>
      </c>
      <c r="I900" s="10">
        <f t="shared" si="263"/>
        <v>19.983330554894014</v>
      </c>
      <c r="J900" s="10">
        <f t="shared" si="272"/>
        <v>0.34877491369728597</v>
      </c>
      <c r="K900" s="10">
        <v>21</v>
      </c>
      <c r="L900" s="8">
        <v>93</v>
      </c>
      <c r="M900" s="31" t="s">
        <v>79</v>
      </c>
      <c r="N900" s="8" t="s">
        <v>212</v>
      </c>
      <c r="O900" s="10" t="s">
        <v>213</v>
      </c>
      <c r="P900" s="15" t="s">
        <v>92</v>
      </c>
      <c r="Q900" s="22">
        <v>0.78</v>
      </c>
      <c r="R900" s="22" t="s">
        <v>190</v>
      </c>
      <c r="S900" s="12">
        <v>62.3</v>
      </c>
      <c r="T900" s="79">
        <f t="shared" si="262"/>
        <v>0.3048365166</v>
      </c>
      <c r="U900" s="8">
        <v>26</v>
      </c>
      <c r="V900" s="8">
        <v>73</v>
      </c>
      <c r="W900" s="10">
        <f t="shared" si="264"/>
        <v>1.2740903539558606</v>
      </c>
      <c r="X900" s="8">
        <v>6</v>
      </c>
      <c r="Y900" s="8">
        <v>15</v>
      </c>
      <c r="Z900" s="10">
        <f t="shared" si="265"/>
        <v>0.26179938779914941</v>
      </c>
      <c r="AA900" s="10">
        <f t="shared" si="266"/>
        <v>26.416837925654043</v>
      </c>
      <c r="AB900" s="10">
        <f t="shared" si="267"/>
        <v>3152.3625343060626</v>
      </c>
      <c r="AC900" s="10">
        <f t="shared" si="268"/>
        <v>394.04531678825782</v>
      </c>
      <c r="AD900" s="10">
        <f t="shared" si="259"/>
        <v>1576.1812671530313</v>
      </c>
      <c r="AE900" s="65"/>
      <c r="AF900" s="10">
        <f t="shared" si="260"/>
        <v>3810.9316364339588</v>
      </c>
      <c r="AG900" s="8">
        <f t="shared" si="269"/>
        <v>743.13166910462201</v>
      </c>
      <c r="AH900" s="10">
        <f t="shared" si="270"/>
        <v>1905.4658182169794</v>
      </c>
      <c r="AI900" s="63"/>
      <c r="AJ900" s="10">
        <f t="shared" si="261"/>
        <v>2460.2796999999996</v>
      </c>
      <c r="AK900" s="8"/>
      <c r="AL900" s="8">
        <f t="shared" si="271"/>
        <v>1230.1398499999998</v>
      </c>
    </row>
    <row r="901" spans="1:38">
      <c r="A901" s="18">
        <v>41460</v>
      </c>
      <c r="B901" s="19" t="s">
        <v>34</v>
      </c>
      <c r="C901" s="12">
        <v>150.4</v>
      </c>
      <c r="D901" s="9" t="s">
        <v>80</v>
      </c>
      <c r="E901" s="7">
        <v>8.4107299999999992</v>
      </c>
      <c r="F901" s="21">
        <v>83.312600000000003</v>
      </c>
      <c r="G901" s="22">
        <v>150</v>
      </c>
      <c r="H901" s="8">
        <v>5</v>
      </c>
      <c r="I901" s="10">
        <f t="shared" si="263"/>
        <v>19.983330554894014</v>
      </c>
      <c r="J901" s="10">
        <f t="shared" si="272"/>
        <v>0.34877491369728597</v>
      </c>
      <c r="K901" s="10">
        <v>21</v>
      </c>
      <c r="L901" s="8">
        <v>86</v>
      </c>
      <c r="M901" s="22" t="s">
        <v>151</v>
      </c>
      <c r="N901" s="22" t="s">
        <v>84</v>
      </c>
      <c r="O901" s="58" t="s">
        <v>85</v>
      </c>
      <c r="P901" s="50" t="s">
        <v>86</v>
      </c>
      <c r="Q901" s="22">
        <v>0.53</v>
      </c>
      <c r="R901" s="22" t="s">
        <v>190</v>
      </c>
      <c r="S901" s="12">
        <v>7.2</v>
      </c>
      <c r="T901" s="79">
        <f t="shared" si="262"/>
        <v>4.0715136000000008E-3</v>
      </c>
      <c r="U901" s="8">
        <f>10+3</f>
        <v>13</v>
      </c>
      <c r="V901" s="8">
        <v>66</v>
      </c>
      <c r="W901" s="10">
        <f t="shared" si="264"/>
        <v>1.1519173063162575</v>
      </c>
      <c r="X901" s="8">
        <v>6</v>
      </c>
      <c r="Y901" s="8">
        <v>17</v>
      </c>
      <c r="Z901" s="10">
        <f t="shared" si="265"/>
        <v>0.29670597283903605</v>
      </c>
      <c r="AA901" s="10">
        <f t="shared" si="266"/>
        <v>13.630321177690231</v>
      </c>
      <c r="AB901" s="10">
        <f t="shared" si="267"/>
        <v>20.365817891700495</v>
      </c>
      <c r="AC901" s="10">
        <f t="shared" si="268"/>
        <v>2.5457272364625618</v>
      </c>
      <c r="AD901" s="10">
        <f t="shared" si="259"/>
        <v>10.182908945850247</v>
      </c>
      <c r="AE901" s="65"/>
      <c r="AF901" s="10">
        <f t="shared" si="260"/>
        <v>13.808818541236986</v>
      </c>
      <c r="AG901" s="8">
        <f t="shared" si="269"/>
        <v>2.6927196155412125</v>
      </c>
      <c r="AH901" s="10">
        <f t="shared" si="270"/>
        <v>6.9044092706184932</v>
      </c>
      <c r="AI901" s="63"/>
      <c r="AJ901" s="10">
        <f t="shared" si="261"/>
        <v>9.5969999999999978</v>
      </c>
      <c r="AK901" s="8"/>
      <c r="AL901" s="8">
        <f t="shared" si="271"/>
        <v>4.7984999999999989</v>
      </c>
    </row>
    <row r="902" spans="1:38">
      <c r="A902" s="18">
        <v>41460</v>
      </c>
      <c r="B902" s="19" t="s">
        <v>34</v>
      </c>
      <c r="C902" s="12">
        <v>150.4</v>
      </c>
      <c r="D902" s="9" t="s">
        <v>80</v>
      </c>
      <c r="E902" s="7">
        <v>8.4107299999999992</v>
      </c>
      <c r="F902" s="21">
        <v>83.312600000000003</v>
      </c>
      <c r="G902" s="22">
        <v>150</v>
      </c>
      <c r="H902" s="8">
        <v>5</v>
      </c>
      <c r="I902" s="10">
        <f t="shared" si="263"/>
        <v>19.983330554894014</v>
      </c>
      <c r="J902" s="10">
        <f t="shared" si="272"/>
        <v>0.34877491369728597</v>
      </c>
      <c r="K902" s="10">
        <v>21</v>
      </c>
      <c r="L902" s="8">
        <v>100</v>
      </c>
      <c r="M902" s="31" t="s">
        <v>76</v>
      </c>
      <c r="N902" s="7" t="s">
        <v>84</v>
      </c>
      <c r="O902" s="33" t="s">
        <v>99</v>
      </c>
      <c r="P902" s="33" t="s">
        <v>99</v>
      </c>
      <c r="Q902" s="22">
        <v>0.61</v>
      </c>
      <c r="R902" s="22" t="s">
        <v>190</v>
      </c>
      <c r="S902" s="29">
        <v>6</v>
      </c>
      <c r="T902" s="79">
        <f t="shared" si="262"/>
        <v>2.8274400000000001E-3</v>
      </c>
      <c r="U902" s="8">
        <v>13</v>
      </c>
      <c r="V902" s="8">
        <v>65</v>
      </c>
      <c r="W902" s="10">
        <f t="shared" si="264"/>
        <v>1.1344640137963142</v>
      </c>
      <c r="X902" s="8">
        <v>5</v>
      </c>
      <c r="Y902" s="8">
        <v>22</v>
      </c>
      <c r="Z902" s="10">
        <f t="shared" si="265"/>
        <v>0.38397243543875248</v>
      </c>
      <c r="AA902" s="10">
        <f t="shared" si="266"/>
        <v>13.65503419855601</v>
      </c>
      <c r="AB902" s="10">
        <f t="shared" si="267"/>
        <v>16.526136726792576</v>
      </c>
      <c r="AC902" s="10">
        <f t="shared" si="268"/>
        <v>2.065767090849072</v>
      </c>
      <c r="AD902" s="10">
        <f t="shared" si="259"/>
        <v>8.2630683633962878</v>
      </c>
      <c r="AE902" s="65"/>
      <c r="AF902" s="10">
        <f t="shared" si="260"/>
        <v>10.148256370826438</v>
      </c>
      <c r="AG902" s="8">
        <f t="shared" si="269"/>
        <v>1.9789099923111555</v>
      </c>
      <c r="AH902" s="10">
        <f t="shared" si="270"/>
        <v>5.074128185413219</v>
      </c>
      <c r="AI902" s="63"/>
      <c r="AJ902" s="10">
        <f t="shared" si="261"/>
        <v>6.2189999999999976</v>
      </c>
      <c r="AK902" s="8"/>
      <c r="AL902" s="8">
        <f t="shared" si="271"/>
        <v>3.1094999999999988</v>
      </c>
    </row>
    <row r="903" spans="1:38">
      <c r="A903" s="18">
        <v>41471</v>
      </c>
      <c r="B903" s="19" t="s">
        <v>141</v>
      </c>
      <c r="C903" s="12">
        <v>150.5</v>
      </c>
      <c r="D903" s="9" t="s">
        <v>80</v>
      </c>
      <c r="E903" s="8">
        <v>8.4093300000000006</v>
      </c>
      <c r="F903" s="8">
        <v>83.312430000000006</v>
      </c>
      <c r="G903" s="22">
        <v>150</v>
      </c>
      <c r="H903" s="22">
        <v>-18</v>
      </c>
      <c r="I903" s="10">
        <f t="shared" si="263"/>
        <v>-5.4954255543470261</v>
      </c>
      <c r="J903" s="10">
        <f t="shared" si="272"/>
        <v>-9.5913269721590186E-2</v>
      </c>
      <c r="K903" s="10">
        <f t="shared" ref="K903:K933" si="273">21/COS(J903)</f>
        <v>21.096964869155499</v>
      </c>
      <c r="L903" s="22">
        <v>565</v>
      </c>
      <c r="M903" s="22" t="s">
        <v>133</v>
      </c>
      <c r="N903" s="8" t="s">
        <v>198</v>
      </c>
      <c r="O903" s="58" t="s">
        <v>199</v>
      </c>
      <c r="P903" s="10" t="s">
        <v>200</v>
      </c>
      <c r="Q903" s="22">
        <v>0.57999999999999996</v>
      </c>
      <c r="R903" s="22" t="s">
        <v>190</v>
      </c>
      <c r="S903" s="30">
        <v>7.9</v>
      </c>
      <c r="T903" s="79">
        <f t="shared" si="262"/>
        <v>4.9016814000000008E-3</v>
      </c>
      <c r="U903" s="22">
        <v>7</v>
      </c>
      <c r="V903" s="22">
        <v>44</v>
      </c>
      <c r="W903" s="10">
        <f t="shared" ref="W903:W913" si="274">RADIANS(V903)</f>
        <v>0.76794487087750496</v>
      </c>
      <c r="X903" s="22">
        <v>5</v>
      </c>
      <c r="Y903" s="22">
        <v>23</v>
      </c>
      <c r="Z903" s="10">
        <f t="shared" ref="Z903:Z933" si="275">RADIANS(Y903)</f>
        <v>0.4014257279586958</v>
      </c>
      <c r="AA903" s="10">
        <f t="shared" ref="AA903:AA933" si="276">(SIN(W903)*U903)+(SIN(Z903)*X903)</f>
        <v>6.8162642356593501</v>
      </c>
      <c r="AB903" s="10">
        <f t="shared" ref="AB903:AB933" si="277">0.0776*(Q903*S903^2*AA903)^0.94</f>
        <v>13.758041004362596</v>
      </c>
      <c r="AC903" s="10">
        <f t="shared" si="268"/>
        <v>1.7197551255453245</v>
      </c>
      <c r="AD903" s="10">
        <f t="shared" ref="AD903:AD966" si="278">AB903/2</f>
        <v>6.879020502181298</v>
      </c>
      <c r="AE903" s="65"/>
      <c r="AF903" s="10">
        <f t="shared" ref="AF903:AF966" si="279">Q903*EXP(-1.239+1.98*LN(S903)+0.207*(LN(S903))^2-0.0281*(LN(S903))^3)</f>
        <v>19.007632389037273</v>
      </c>
      <c r="AG903" s="8">
        <f t="shared" si="269"/>
        <v>3.7064883158622681</v>
      </c>
      <c r="AH903" s="10">
        <f t="shared" si="270"/>
        <v>9.5038161945186364</v>
      </c>
      <c r="AI903" s="63"/>
      <c r="AJ903" s="10">
        <f t="shared" ref="AJ903:AJ966" si="280">21.297-6.953*S903+0.74*(S903^2)</f>
        <v>12.55169999999999</v>
      </c>
      <c r="AK903" s="8"/>
      <c r="AL903" s="8">
        <f t="shared" si="271"/>
        <v>6.2758499999999948</v>
      </c>
    </row>
    <row r="904" spans="1:38">
      <c r="A904" s="18">
        <v>41471</v>
      </c>
      <c r="B904" s="19" t="s">
        <v>141</v>
      </c>
      <c r="C904" s="12">
        <v>150.5</v>
      </c>
      <c r="D904" s="19" t="s">
        <v>80</v>
      </c>
      <c r="E904" s="8">
        <v>8.4093300000000006</v>
      </c>
      <c r="F904" s="8">
        <v>83.312430000000006</v>
      </c>
      <c r="G904" s="22">
        <v>150</v>
      </c>
      <c r="H904" s="22">
        <v>-18</v>
      </c>
      <c r="I904" s="10">
        <f t="shared" si="263"/>
        <v>-5.4954255543470261</v>
      </c>
      <c r="J904" s="10">
        <f t="shared" si="272"/>
        <v>-9.5913269721590186E-2</v>
      </c>
      <c r="K904" s="10">
        <f t="shared" si="273"/>
        <v>21.096964869155499</v>
      </c>
      <c r="L904" s="22">
        <v>576</v>
      </c>
      <c r="M904" s="22" t="s">
        <v>142</v>
      </c>
      <c r="N904" s="22" t="s">
        <v>194</v>
      </c>
      <c r="O904" s="10" t="s">
        <v>195</v>
      </c>
      <c r="P904" s="15" t="s">
        <v>92</v>
      </c>
      <c r="Q904" s="22">
        <v>0.66</v>
      </c>
      <c r="R904" s="22" t="s">
        <v>190</v>
      </c>
      <c r="S904" s="30">
        <v>11</v>
      </c>
      <c r="T904" s="79">
        <f t="shared" ref="T904:T967" si="281">0.00007854*S904^2</f>
        <v>9.5033400000000007E-3</v>
      </c>
      <c r="U904" s="22">
        <v>10</v>
      </c>
      <c r="V904" s="22">
        <v>47</v>
      </c>
      <c r="W904" s="10">
        <f t="shared" si="274"/>
        <v>0.82030474843733492</v>
      </c>
      <c r="X904" s="22">
        <v>7</v>
      </c>
      <c r="Y904" s="22">
        <v>7</v>
      </c>
      <c r="Z904" s="10">
        <f t="shared" si="275"/>
        <v>0.12217304763960307</v>
      </c>
      <c r="AA904" s="10">
        <f t="shared" si="276"/>
        <v>8.1666224200277373</v>
      </c>
      <c r="AB904" s="10">
        <f t="shared" si="277"/>
        <v>34.306087961168579</v>
      </c>
      <c r="AC904" s="10">
        <f t="shared" si="268"/>
        <v>4.2882609951460724</v>
      </c>
      <c r="AD904" s="10">
        <f t="shared" si="278"/>
        <v>17.15304398058429</v>
      </c>
      <c r="AE904" s="65"/>
      <c r="AF904" s="10">
        <f t="shared" si="279"/>
        <v>49.210821495238854</v>
      </c>
      <c r="AG904" s="8">
        <f t="shared" si="269"/>
        <v>9.5961101915715776</v>
      </c>
      <c r="AH904" s="10">
        <f t="shared" si="270"/>
        <v>24.605410747619427</v>
      </c>
      <c r="AI904" s="63"/>
      <c r="AJ904" s="10">
        <f t="shared" si="280"/>
        <v>34.353999999999985</v>
      </c>
      <c r="AK904" s="8"/>
      <c r="AL904" s="8">
        <f t="shared" si="271"/>
        <v>17.176999999999992</v>
      </c>
    </row>
    <row r="905" spans="1:38">
      <c r="A905" s="18">
        <v>41471</v>
      </c>
      <c r="B905" s="19" t="s">
        <v>141</v>
      </c>
      <c r="C905" s="12">
        <v>150.5</v>
      </c>
      <c r="D905" s="19" t="s">
        <v>80</v>
      </c>
      <c r="E905" s="8">
        <v>8.4093300000000006</v>
      </c>
      <c r="F905" s="8">
        <v>83.312430000000006</v>
      </c>
      <c r="G905" s="22">
        <v>150</v>
      </c>
      <c r="H905" s="22">
        <v>-18</v>
      </c>
      <c r="I905" s="10">
        <f t="shared" si="263"/>
        <v>-5.4954255543470261</v>
      </c>
      <c r="J905" s="10">
        <f t="shared" si="272"/>
        <v>-9.5913269721590186E-2</v>
      </c>
      <c r="K905" s="10">
        <f t="shared" si="273"/>
        <v>21.096964869155499</v>
      </c>
      <c r="L905" s="22">
        <v>7025</v>
      </c>
      <c r="M905" s="22" t="s">
        <v>96</v>
      </c>
      <c r="N905" s="8" t="s">
        <v>69</v>
      </c>
      <c r="O905" s="58" t="s">
        <v>65</v>
      </c>
      <c r="P905" s="10" t="s">
        <v>102</v>
      </c>
      <c r="Q905" s="22">
        <v>0.48</v>
      </c>
      <c r="R905" s="22" t="s">
        <v>190</v>
      </c>
      <c r="S905" s="30">
        <v>7</v>
      </c>
      <c r="T905" s="79">
        <f t="shared" si="281"/>
        <v>3.8484600000000002E-3</v>
      </c>
      <c r="U905" s="22">
        <v>6</v>
      </c>
      <c r="V905" s="22">
        <v>33</v>
      </c>
      <c r="W905" s="10">
        <f t="shared" si="274"/>
        <v>0.57595865315812877</v>
      </c>
      <c r="X905" s="22">
        <v>5</v>
      </c>
      <c r="Y905" s="22">
        <v>23</v>
      </c>
      <c r="Z905" s="10">
        <f t="shared" si="275"/>
        <v>0.4014257279586958</v>
      </c>
      <c r="AA905" s="10">
        <f t="shared" si="276"/>
        <v>5.2214898525365321</v>
      </c>
      <c r="AB905" s="10">
        <f t="shared" si="277"/>
        <v>7.140680007620114</v>
      </c>
      <c r="AC905" s="10">
        <f t="shared" si="268"/>
        <v>0.89258500095251425</v>
      </c>
      <c r="AD905" s="10">
        <f t="shared" si="278"/>
        <v>3.570340003810057</v>
      </c>
      <c r="AE905" s="65"/>
      <c r="AF905" s="10">
        <f t="shared" si="279"/>
        <v>11.666277503332509</v>
      </c>
      <c r="AG905" s="8">
        <f t="shared" si="269"/>
        <v>2.2749241131498392</v>
      </c>
      <c r="AH905" s="10">
        <f t="shared" si="270"/>
        <v>5.8331387516662545</v>
      </c>
      <c r="AI905" s="63"/>
      <c r="AJ905" s="10">
        <f t="shared" si="280"/>
        <v>8.8859999999999992</v>
      </c>
      <c r="AK905" s="8"/>
      <c r="AL905" s="8">
        <f t="shared" si="271"/>
        <v>4.4429999999999996</v>
      </c>
    </row>
    <row r="906" spans="1:38">
      <c r="A906" s="18">
        <v>41471</v>
      </c>
      <c r="B906" s="19" t="s">
        <v>141</v>
      </c>
      <c r="C906" s="12">
        <v>150.5</v>
      </c>
      <c r="D906" s="19" t="s">
        <v>80</v>
      </c>
      <c r="E906" s="8">
        <v>8.4093300000000006</v>
      </c>
      <c r="F906" s="8">
        <v>83.312430000000006</v>
      </c>
      <c r="G906" s="22">
        <v>150</v>
      </c>
      <c r="H906" s="22">
        <v>-18</v>
      </c>
      <c r="I906" s="10">
        <f t="shared" si="263"/>
        <v>-5.4954255543470261</v>
      </c>
      <c r="J906" s="10">
        <f t="shared" si="272"/>
        <v>-9.5913269721590186E-2</v>
      </c>
      <c r="K906" s="10">
        <f t="shared" si="273"/>
        <v>21.096964869155499</v>
      </c>
      <c r="L906" s="22">
        <v>6004</v>
      </c>
      <c r="M906" s="22" t="s">
        <v>252</v>
      </c>
      <c r="N906" s="8" t="s">
        <v>198</v>
      </c>
      <c r="O906" s="10" t="s">
        <v>226</v>
      </c>
      <c r="P906" s="10" t="s">
        <v>227</v>
      </c>
      <c r="Q906" s="22">
        <v>0.54</v>
      </c>
      <c r="R906" s="22" t="s">
        <v>190</v>
      </c>
      <c r="S906" s="30">
        <v>6.5</v>
      </c>
      <c r="T906" s="79">
        <f t="shared" si="281"/>
        <v>3.3183150000000001E-3</v>
      </c>
      <c r="U906" s="22">
        <v>7</v>
      </c>
      <c r="V906" s="22">
        <v>39</v>
      </c>
      <c r="W906" s="10">
        <f t="shared" si="274"/>
        <v>0.68067840827778847</v>
      </c>
      <c r="X906" s="22">
        <v>6</v>
      </c>
      <c r="Y906" s="22">
        <v>23</v>
      </c>
      <c r="Z906" s="10">
        <f t="shared" si="275"/>
        <v>0.4014257279586958</v>
      </c>
      <c r="AA906" s="10">
        <f t="shared" si="276"/>
        <v>6.7496295082845039</v>
      </c>
      <c r="AB906" s="10">
        <f t="shared" si="277"/>
        <v>8.8330787971962543</v>
      </c>
      <c r="AC906" s="10">
        <f t="shared" si="268"/>
        <v>1.1041348496495318</v>
      </c>
      <c r="AD906" s="10">
        <f t="shared" si="278"/>
        <v>4.4165393985981272</v>
      </c>
      <c r="AE906" s="65"/>
      <c r="AF906" s="10">
        <f t="shared" si="279"/>
        <v>10.934828546450035</v>
      </c>
      <c r="AG906" s="8">
        <f t="shared" si="269"/>
        <v>2.1322915665577571</v>
      </c>
      <c r="AH906" s="10">
        <f t="shared" si="270"/>
        <v>5.4674142732250175</v>
      </c>
      <c r="AI906" s="63"/>
      <c r="AJ906" s="10">
        <f t="shared" si="280"/>
        <v>7.3674999999999962</v>
      </c>
      <c r="AK906" s="8"/>
      <c r="AL906" s="8">
        <f t="shared" si="271"/>
        <v>3.6837499999999981</v>
      </c>
    </row>
    <row r="907" spans="1:38">
      <c r="A907" s="18">
        <v>41471</v>
      </c>
      <c r="B907" s="19" t="s">
        <v>141</v>
      </c>
      <c r="C907" s="12">
        <v>150.5</v>
      </c>
      <c r="D907" s="19" t="s">
        <v>80</v>
      </c>
      <c r="E907" s="8">
        <v>8.4093300000000006</v>
      </c>
      <c r="F907" s="8">
        <v>83.312430000000006</v>
      </c>
      <c r="G907" s="22">
        <v>150</v>
      </c>
      <c r="H907" s="22">
        <v>-18</v>
      </c>
      <c r="I907" s="10">
        <f t="shared" si="263"/>
        <v>-5.4954255543470261</v>
      </c>
      <c r="J907" s="10">
        <f t="shared" si="272"/>
        <v>-9.5913269721590186E-2</v>
      </c>
      <c r="K907" s="10">
        <f t="shared" si="273"/>
        <v>21.096964869155499</v>
      </c>
      <c r="L907" s="22">
        <v>570</v>
      </c>
      <c r="M907" s="22" t="s">
        <v>39</v>
      </c>
      <c r="N907" s="7" t="s">
        <v>69</v>
      </c>
      <c r="O907" s="33" t="s">
        <v>65</v>
      </c>
      <c r="P907" s="33" t="s">
        <v>70</v>
      </c>
      <c r="Q907" s="7">
        <v>0.37</v>
      </c>
      <c r="R907" s="7" t="s">
        <v>71</v>
      </c>
      <c r="S907" s="30">
        <v>7.8</v>
      </c>
      <c r="T907" s="79">
        <f t="shared" si="281"/>
        <v>4.7783736E-3</v>
      </c>
      <c r="U907" s="22">
        <v>8</v>
      </c>
      <c r="V907" s="22">
        <v>54</v>
      </c>
      <c r="W907" s="10">
        <f t="shared" si="274"/>
        <v>0.94247779607693793</v>
      </c>
      <c r="X907" s="22">
        <v>5</v>
      </c>
      <c r="Y907" s="22">
        <v>12</v>
      </c>
      <c r="Z907" s="10">
        <f t="shared" si="275"/>
        <v>0.20943951023931956</v>
      </c>
      <c r="AA907" s="10">
        <f t="shared" si="276"/>
        <v>7.5116944090883759</v>
      </c>
      <c r="AB907" s="10">
        <f t="shared" si="277"/>
        <v>9.6450133228714563</v>
      </c>
      <c r="AC907" s="10">
        <f t="shared" si="268"/>
        <v>1.205626665358932</v>
      </c>
      <c r="AD907" s="10">
        <f t="shared" si="278"/>
        <v>4.8225066614357281</v>
      </c>
      <c r="AE907" s="65"/>
      <c r="AF907" s="10">
        <f t="shared" si="279"/>
        <v>11.749194449882149</v>
      </c>
      <c r="AG907" s="8">
        <f t="shared" si="269"/>
        <v>2.2910929177270192</v>
      </c>
      <c r="AH907" s="10">
        <f t="shared" si="270"/>
        <v>5.8745972249410743</v>
      </c>
      <c r="AI907" s="63"/>
      <c r="AJ907" s="10">
        <f t="shared" si="280"/>
        <v>12.085199999999993</v>
      </c>
      <c r="AK907" s="8"/>
      <c r="AL907" s="8">
        <f t="shared" si="271"/>
        <v>6.0425999999999966</v>
      </c>
    </row>
    <row r="908" spans="1:38">
      <c r="A908" s="18">
        <v>41471</v>
      </c>
      <c r="B908" s="19" t="s">
        <v>141</v>
      </c>
      <c r="C908" s="12">
        <v>150.5</v>
      </c>
      <c r="D908" s="19" t="s">
        <v>80</v>
      </c>
      <c r="E908" s="8">
        <v>8.4093300000000006</v>
      </c>
      <c r="F908" s="8">
        <v>83.312430000000006</v>
      </c>
      <c r="G908" s="22">
        <v>150</v>
      </c>
      <c r="H908" s="22">
        <v>-18</v>
      </c>
      <c r="I908" s="10">
        <f t="shared" si="263"/>
        <v>-5.4954255543470261</v>
      </c>
      <c r="J908" s="10">
        <f t="shared" si="272"/>
        <v>-9.5913269721590186E-2</v>
      </c>
      <c r="K908" s="10">
        <f t="shared" si="273"/>
        <v>21.096964869155499</v>
      </c>
      <c r="L908" s="22">
        <v>498</v>
      </c>
      <c r="M908" s="22" t="s">
        <v>39</v>
      </c>
      <c r="N908" s="7" t="s">
        <v>69</v>
      </c>
      <c r="O908" s="33" t="s">
        <v>65</v>
      </c>
      <c r="P908" s="33" t="s">
        <v>70</v>
      </c>
      <c r="Q908" s="7">
        <v>0.37</v>
      </c>
      <c r="R908" s="7" t="s">
        <v>71</v>
      </c>
      <c r="S908" s="30">
        <v>17.7</v>
      </c>
      <c r="T908" s="79">
        <f t="shared" si="281"/>
        <v>2.4605796599999997E-2</v>
      </c>
      <c r="U908" s="22">
        <v>12</v>
      </c>
      <c r="V908" s="22">
        <v>66</v>
      </c>
      <c r="W908" s="10">
        <f t="shared" si="274"/>
        <v>1.1519173063162575</v>
      </c>
      <c r="X908" s="22">
        <v>6</v>
      </c>
      <c r="Y908" s="22">
        <v>3</v>
      </c>
      <c r="Z908" s="10">
        <f t="shared" si="275"/>
        <v>5.235987755982989E-2</v>
      </c>
      <c r="AA908" s="10">
        <f t="shared" si="276"/>
        <v>11.276561229168873</v>
      </c>
      <c r="AB908" s="10">
        <f t="shared" si="277"/>
        <v>65.94884047010693</v>
      </c>
      <c r="AC908" s="10">
        <f t="shared" si="268"/>
        <v>8.2436050587633662</v>
      </c>
      <c r="AD908" s="10">
        <f t="shared" si="278"/>
        <v>32.974420235053465</v>
      </c>
      <c r="AE908" s="65"/>
      <c r="AF908" s="10">
        <f t="shared" si="279"/>
        <v>89.920194191916792</v>
      </c>
      <c r="AG908" s="8">
        <f t="shared" si="269"/>
        <v>17.534437867423776</v>
      </c>
      <c r="AH908" s="10">
        <f t="shared" si="270"/>
        <v>44.960097095958396</v>
      </c>
      <c r="AI908" s="63"/>
      <c r="AJ908" s="10">
        <f t="shared" si="280"/>
        <v>130.06349999999998</v>
      </c>
      <c r="AK908" s="8"/>
      <c r="AL908" s="8">
        <f t="shared" si="271"/>
        <v>65.031749999999988</v>
      </c>
    </row>
    <row r="909" spans="1:38">
      <c r="A909" s="18">
        <v>41471</v>
      </c>
      <c r="B909" s="19" t="s">
        <v>141</v>
      </c>
      <c r="C909" s="12">
        <v>150.5</v>
      </c>
      <c r="D909" s="19" t="s">
        <v>80</v>
      </c>
      <c r="E909" s="8">
        <v>8.4093300000000006</v>
      </c>
      <c r="F909" s="8">
        <v>83.312430000000006</v>
      </c>
      <c r="G909" s="22">
        <v>150</v>
      </c>
      <c r="H909" s="22">
        <v>-18</v>
      </c>
      <c r="I909" s="10">
        <f t="shared" ref="I909:I970" si="282">1/TAN(H909/100)</f>
        <v>-5.4954255543470261</v>
      </c>
      <c r="J909" s="10">
        <f t="shared" si="272"/>
        <v>-9.5913269721590186E-2</v>
      </c>
      <c r="K909" s="10">
        <f t="shared" si="273"/>
        <v>21.096964869155499</v>
      </c>
      <c r="L909" s="22">
        <v>7011</v>
      </c>
      <c r="M909" s="22" t="s">
        <v>135</v>
      </c>
      <c r="N909" s="22" t="s">
        <v>180</v>
      </c>
      <c r="O909" s="10" t="s">
        <v>217</v>
      </c>
      <c r="P909" s="10" t="s">
        <v>221</v>
      </c>
      <c r="Q909" s="24">
        <v>0.38</v>
      </c>
      <c r="R909" s="31" t="s">
        <v>190</v>
      </c>
      <c r="S909" s="30">
        <v>59.1</v>
      </c>
      <c r="T909" s="79">
        <f t="shared" si="281"/>
        <v>0.2743252974</v>
      </c>
      <c r="U909" s="22">
        <v>19</v>
      </c>
      <c r="V909" s="22">
        <v>70</v>
      </c>
      <c r="W909" s="10">
        <f t="shared" si="274"/>
        <v>1.2217304763960306</v>
      </c>
      <c r="X909" s="22">
        <v>7</v>
      </c>
      <c r="Y909" s="22">
        <v>-5</v>
      </c>
      <c r="Z909" s="10">
        <f t="shared" si="275"/>
        <v>-8.7266462599716474E-2</v>
      </c>
      <c r="AA909" s="10">
        <f t="shared" si="276"/>
        <v>17.244069595698651</v>
      </c>
      <c r="AB909" s="10">
        <f t="shared" si="277"/>
        <v>972.48776716287909</v>
      </c>
      <c r="AC909" s="10">
        <f t="shared" si="268"/>
        <v>121.56097089535989</v>
      </c>
      <c r="AD909" s="10">
        <f t="shared" si="278"/>
        <v>486.24388358143955</v>
      </c>
      <c r="AE909" s="65"/>
      <c r="AF909" s="10">
        <f t="shared" si="279"/>
        <v>1648.1383087847742</v>
      </c>
      <c r="AG909" s="8">
        <f t="shared" si="269"/>
        <v>321.38697021303096</v>
      </c>
      <c r="AH909" s="10">
        <f t="shared" si="270"/>
        <v>824.06915439238708</v>
      </c>
      <c r="AI909" s="63"/>
      <c r="AJ909" s="10">
        <f t="shared" si="280"/>
        <v>2195.0540999999998</v>
      </c>
      <c r="AK909" s="8"/>
      <c r="AL909" s="8">
        <f t="shared" si="271"/>
        <v>1097.5270499999999</v>
      </c>
    </row>
    <row r="910" spans="1:38">
      <c r="A910" s="18">
        <v>41471</v>
      </c>
      <c r="B910" s="19" t="s">
        <v>141</v>
      </c>
      <c r="C910" s="12">
        <v>150.5</v>
      </c>
      <c r="D910" s="19" t="s">
        <v>80</v>
      </c>
      <c r="E910" s="8">
        <v>8.4093300000000006</v>
      </c>
      <c r="F910" s="8">
        <v>83.312430000000006</v>
      </c>
      <c r="G910" s="22">
        <v>150</v>
      </c>
      <c r="H910" s="22">
        <v>-18</v>
      </c>
      <c r="I910" s="10">
        <f t="shared" si="282"/>
        <v>-5.4954255543470261</v>
      </c>
      <c r="J910" s="10">
        <f t="shared" si="272"/>
        <v>-9.5913269721590186E-2</v>
      </c>
      <c r="K910" s="10">
        <f t="shared" si="273"/>
        <v>21.096964869155499</v>
      </c>
      <c r="L910" s="22">
        <v>6040</v>
      </c>
      <c r="M910" s="31" t="s">
        <v>124</v>
      </c>
      <c r="N910" s="8" t="s">
        <v>167</v>
      </c>
      <c r="O910" s="10" t="s">
        <v>188</v>
      </c>
      <c r="P910" s="10" t="s">
        <v>189</v>
      </c>
      <c r="Q910" s="22">
        <v>0.47</v>
      </c>
      <c r="R910" s="22" t="s">
        <v>190</v>
      </c>
      <c r="S910" s="30">
        <v>8.8000000000000007</v>
      </c>
      <c r="T910" s="79">
        <f t="shared" si="281"/>
        <v>6.0821376000000016E-3</v>
      </c>
      <c r="U910" s="22">
        <v>13</v>
      </c>
      <c r="V910" s="22">
        <v>37</v>
      </c>
      <c r="W910" s="10">
        <f t="shared" si="274"/>
        <v>0.64577182323790194</v>
      </c>
      <c r="X910" s="22">
        <v>9</v>
      </c>
      <c r="Y910" s="22">
        <v>-3</v>
      </c>
      <c r="Z910" s="10">
        <f t="shared" si="275"/>
        <v>-5.235987755982989E-2</v>
      </c>
      <c r="AA910" s="10">
        <f t="shared" si="276"/>
        <v>7.3525716947901332</v>
      </c>
      <c r="AB910" s="10">
        <f t="shared" si="277"/>
        <v>14.849575653260432</v>
      </c>
      <c r="AC910" s="10">
        <f t="shared" si="268"/>
        <v>1.856196956657554</v>
      </c>
      <c r="AD910" s="10">
        <f t="shared" si="278"/>
        <v>7.4247878266302161</v>
      </c>
      <c r="AE910" s="65"/>
      <c r="AF910" s="10">
        <f t="shared" si="279"/>
        <v>20.125278793461636</v>
      </c>
      <c r="AG910" s="8">
        <f t="shared" si="269"/>
        <v>3.924429364725019</v>
      </c>
      <c r="AH910" s="10">
        <f t="shared" si="270"/>
        <v>10.062639396730818</v>
      </c>
      <c r="AI910" s="63"/>
      <c r="AJ910" s="10">
        <f t="shared" si="280"/>
        <v>17.416199999999996</v>
      </c>
      <c r="AK910" s="8"/>
      <c r="AL910" s="8">
        <f t="shared" si="271"/>
        <v>8.7080999999999982</v>
      </c>
    </row>
    <row r="911" spans="1:38">
      <c r="A911" s="18">
        <v>41471</v>
      </c>
      <c r="B911" s="19" t="s">
        <v>141</v>
      </c>
      <c r="C911" s="12">
        <v>150.5</v>
      </c>
      <c r="D911" s="19" t="s">
        <v>80</v>
      </c>
      <c r="E911" s="8">
        <v>8.4093300000000006</v>
      </c>
      <c r="F911" s="8">
        <v>83.312430000000006</v>
      </c>
      <c r="G911" s="22">
        <v>150</v>
      </c>
      <c r="H911" s="22">
        <v>-18</v>
      </c>
      <c r="I911" s="10">
        <f t="shared" si="282"/>
        <v>-5.4954255543470261</v>
      </c>
      <c r="J911" s="10">
        <f t="shared" si="272"/>
        <v>-9.5913269721590186E-2</v>
      </c>
      <c r="K911" s="10">
        <f t="shared" si="273"/>
        <v>21.096964869155499</v>
      </c>
      <c r="L911" s="22">
        <v>7001</v>
      </c>
      <c r="M911" s="22" t="s">
        <v>149</v>
      </c>
      <c r="N911" s="7" t="s">
        <v>167</v>
      </c>
      <c r="O911" s="33" t="s">
        <v>168</v>
      </c>
      <c r="P911" s="33" t="s">
        <v>169</v>
      </c>
      <c r="Q911" s="7">
        <v>0.41699999999999998</v>
      </c>
      <c r="R911" s="7" t="s">
        <v>170</v>
      </c>
      <c r="S911" s="30">
        <v>5.5</v>
      </c>
      <c r="T911" s="79">
        <f t="shared" si="281"/>
        <v>2.3758350000000002E-3</v>
      </c>
      <c r="U911" s="22">
        <v>9</v>
      </c>
      <c r="V911" s="22">
        <v>49</v>
      </c>
      <c r="W911" s="10">
        <f t="shared" si="274"/>
        <v>0.85521133347722145</v>
      </c>
      <c r="X911" s="22">
        <v>6</v>
      </c>
      <c r="Y911" s="22">
        <v>6</v>
      </c>
      <c r="Z911" s="10">
        <f t="shared" si="275"/>
        <v>0.10471975511965978</v>
      </c>
      <c r="AA911" s="10">
        <f t="shared" si="276"/>
        <v>7.419557001610869</v>
      </c>
      <c r="AB911" s="10">
        <f t="shared" si="277"/>
        <v>5.5312943003583817</v>
      </c>
      <c r="AC911" s="10">
        <f t="shared" si="268"/>
        <v>0.69141178754479771</v>
      </c>
      <c r="AD911" s="10">
        <f t="shared" si="278"/>
        <v>2.7656471501791908</v>
      </c>
      <c r="AE911" s="65"/>
      <c r="AF911" s="10">
        <f t="shared" si="279"/>
        <v>5.6074341387841686</v>
      </c>
      <c r="AG911" s="8">
        <f t="shared" si="269"/>
        <v>1.0934496570629129</v>
      </c>
      <c r="AH911" s="10">
        <f t="shared" si="270"/>
        <v>2.8037170693920843</v>
      </c>
      <c r="AI911" s="63"/>
      <c r="AJ911" s="10">
        <f t="shared" si="280"/>
        <v>5.4404999999999966</v>
      </c>
      <c r="AK911" s="8"/>
      <c r="AL911" s="8">
        <f t="shared" si="271"/>
        <v>2.7202499999999983</v>
      </c>
    </row>
    <row r="912" spans="1:38">
      <c r="A912" s="18">
        <v>41471</v>
      </c>
      <c r="B912" s="19" t="s">
        <v>141</v>
      </c>
      <c r="C912" s="12">
        <v>150.5</v>
      </c>
      <c r="D912" s="19" t="s">
        <v>80</v>
      </c>
      <c r="E912" s="8">
        <v>8.4093300000000006</v>
      </c>
      <c r="F912" s="8">
        <v>83.312430000000006</v>
      </c>
      <c r="G912" s="22">
        <v>150</v>
      </c>
      <c r="H912" s="22">
        <v>-18</v>
      </c>
      <c r="I912" s="10">
        <f t="shared" si="282"/>
        <v>-5.4954255543470261</v>
      </c>
      <c r="J912" s="10">
        <f t="shared" si="272"/>
        <v>-9.5913269721590186E-2</v>
      </c>
      <c r="K912" s="10">
        <f t="shared" si="273"/>
        <v>21.096964869155499</v>
      </c>
      <c r="L912" s="22">
        <v>7026</v>
      </c>
      <c r="M912" s="22" t="s">
        <v>252</v>
      </c>
      <c r="N912" s="8" t="s">
        <v>198</v>
      </c>
      <c r="O912" s="10" t="s">
        <v>226</v>
      </c>
      <c r="P912" s="10" t="s">
        <v>227</v>
      </c>
      <c r="Q912" s="22">
        <v>0.54</v>
      </c>
      <c r="R912" s="22" t="s">
        <v>190</v>
      </c>
      <c r="S912" s="30">
        <v>8</v>
      </c>
      <c r="T912" s="79">
        <f t="shared" si="281"/>
        <v>5.0265600000000002E-3</v>
      </c>
      <c r="U912" s="22">
        <v>10</v>
      </c>
      <c r="V912" s="22">
        <v>35</v>
      </c>
      <c r="W912" s="10">
        <f t="shared" si="274"/>
        <v>0.6108652381980153</v>
      </c>
      <c r="X912" s="22">
        <v>7</v>
      </c>
      <c r="Y912" s="22">
        <v>7</v>
      </c>
      <c r="Z912" s="10">
        <f t="shared" si="275"/>
        <v>0.12217304763960307</v>
      </c>
      <c r="AA912" s="10">
        <f t="shared" si="276"/>
        <v>6.5888497673464927</v>
      </c>
      <c r="AB912" s="10">
        <f t="shared" si="277"/>
        <v>12.758571741730771</v>
      </c>
      <c r="AC912" s="10">
        <f t="shared" si="268"/>
        <v>1.5948214677163464</v>
      </c>
      <c r="AD912" s="10">
        <f t="shared" si="278"/>
        <v>6.3792858708653855</v>
      </c>
      <c r="AE912" s="65"/>
      <c r="AF912" s="10">
        <f t="shared" si="279"/>
        <v>18.256592990947915</v>
      </c>
      <c r="AG912" s="8">
        <f t="shared" si="269"/>
        <v>3.5600356332348437</v>
      </c>
      <c r="AH912" s="10">
        <f t="shared" si="270"/>
        <v>9.1282964954739576</v>
      </c>
      <c r="AI912" s="63"/>
      <c r="AJ912" s="10">
        <f t="shared" si="280"/>
        <v>13.033000000000001</v>
      </c>
      <c r="AK912" s="8"/>
      <c r="AL912" s="8">
        <f t="shared" si="271"/>
        <v>6.5165000000000006</v>
      </c>
    </row>
    <row r="913" spans="1:38">
      <c r="A913" s="18">
        <v>41471</v>
      </c>
      <c r="B913" s="19" t="s">
        <v>141</v>
      </c>
      <c r="C913" s="12">
        <v>150.5</v>
      </c>
      <c r="D913" s="19" t="s">
        <v>80</v>
      </c>
      <c r="E913" s="8">
        <v>8.4093300000000006</v>
      </c>
      <c r="F913" s="8">
        <v>83.312430000000006</v>
      </c>
      <c r="G913" s="22">
        <v>150</v>
      </c>
      <c r="H913" s="22">
        <v>-18</v>
      </c>
      <c r="I913" s="10">
        <f t="shared" si="282"/>
        <v>-5.4954255543470261</v>
      </c>
      <c r="J913" s="10">
        <f t="shared" si="272"/>
        <v>-9.5913269721590186E-2</v>
      </c>
      <c r="K913" s="10">
        <f t="shared" si="273"/>
        <v>21.096964869155499</v>
      </c>
      <c r="L913" s="22">
        <v>563</v>
      </c>
      <c r="M913" s="22" t="s">
        <v>140</v>
      </c>
      <c r="N913" s="60" t="s">
        <v>244</v>
      </c>
      <c r="O913" s="33" t="s">
        <v>242</v>
      </c>
      <c r="P913" s="33" t="s">
        <v>243</v>
      </c>
      <c r="Q913" s="42">
        <v>0.7</v>
      </c>
      <c r="R913" s="7" t="s">
        <v>190</v>
      </c>
      <c r="S913" s="30">
        <v>5.8</v>
      </c>
      <c r="T913" s="79">
        <f t="shared" si="281"/>
        <v>2.6420856E-3</v>
      </c>
      <c r="U913" s="22">
        <v>8</v>
      </c>
      <c r="V913" s="22">
        <v>54</v>
      </c>
      <c r="W913" s="10">
        <f t="shared" si="274"/>
        <v>0.94247779607693793</v>
      </c>
      <c r="X913" s="22">
        <v>5</v>
      </c>
      <c r="Y913" s="22">
        <v>0</v>
      </c>
      <c r="Z913" s="10">
        <f t="shared" si="275"/>
        <v>0</v>
      </c>
      <c r="AA913" s="10">
        <f t="shared" si="276"/>
        <v>6.4721359549995796</v>
      </c>
      <c r="AB913" s="10">
        <f t="shared" si="277"/>
        <v>8.7474864908272405</v>
      </c>
      <c r="AC913" s="10">
        <f t="shared" si="268"/>
        <v>1.0934358113534051</v>
      </c>
      <c r="AD913" s="10">
        <f t="shared" si="278"/>
        <v>4.3737432454136203</v>
      </c>
      <c r="AE913" s="65"/>
      <c r="AF913" s="10">
        <f t="shared" si="279"/>
        <v>10.7176385470939</v>
      </c>
      <c r="AG913" s="8">
        <f t="shared" si="269"/>
        <v>2.0899395166833106</v>
      </c>
      <c r="AH913" s="10">
        <f t="shared" si="270"/>
        <v>5.35881927354695</v>
      </c>
      <c r="AI913" s="63"/>
      <c r="AJ913" s="10">
        <f t="shared" si="280"/>
        <v>5.8632000000000026</v>
      </c>
      <c r="AK913" s="8"/>
      <c r="AL913" s="8">
        <f t="shared" si="271"/>
        <v>2.9316000000000013</v>
      </c>
    </row>
    <row r="914" spans="1:38">
      <c r="A914" s="18">
        <v>41471</v>
      </c>
      <c r="B914" s="19" t="s">
        <v>141</v>
      </c>
      <c r="C914" s="12">
        <v>150.5</v>
      </c>
      <c r="D914" s="19" t="s">
        <v>80</v>
      </c>
      <c r="E914" s="8">
        <v>8.4093300000000006</v>
      </c>
      <c r="F914" s="8">
        <v>83.312430000000006</v>
      </c>
      <c r="G914" s="22">
        <v>150</v>
      </c>
      <c r="H914" s="22">
        <v>-18</v>
      </c>
      <c r="I914" s="10">
        <f t="shared" si="282"/>
        <v>-5.4954255543470261</v>
      </c>
      <c r="J914" s="10">
        <f t="shared" si="272"/>
        <v>-9.5913269721590186E-2</v>
      </c>
      <c r="K914" s="10">
        <f t="shared" si="273"/>
        <v>21.096964869155499</v>
      </c>
      <c r="L914" s="22">
        <v>6014</v>
      </c>
      <c r="M914" s="22" t="s">
        <v>143</v>
      </c>
      <c r="N914" s="28" t="s">
        <v>55</v>
      </c>
      <c r="O914" s="10" t="s">
        <v>205</v>
      </c>
      <c r="P914" s="10" t="s">
        <v>206</v>
      </c>
      <c r="Q914" s="59">
        <v>0.75</v>
      </c>
      <c r="R914" s="59" t="s">
        <v>190</v>
      </c>
      <c r="S914" s="30">
        <v>5.8</v>
      </c>
      <c r="T914" s="79">
        <f t="shared" si="281"/>
        <v>2.6420856E-3</v>
      </c>
      <c r="U914" s="22">
        <v>8</v>
      </c>
      <c r="V914" s="22">
        <v>41</v>
      </c>
      <c r="W914" s="10">
        <f t="shared" ref="W914:W929" si="283">RADIANS(X914)</f>
        <v>0.10471975511965978</v>
      </c>
      <c r="X914" s="22">
        <v>6</v>
      </c>
      <c r="Y914" s="22">
        <v>-3</v>
      </c>
      <c r="Z914" s="10">
        <f t="shared" si="275"/>
        <v>-5.235987755982989E-2</v>
      </c>
      <c r="AA914" s="10">
        <f t="shared" si="276"/>
        <v>0.52221196868356479</v>
      </c>
      <c r="AB914" s="10">
        <f t="shared" si="277"/>
        <v>0.87587059991153027</v>
      </c>
      <c r="AC914" s="10">
        <f t="shared" si="268"/>
        <v>0.10948382498894128</v>
      </c>
      <c r="AD914" s="10">
        <f t="shared" si="278"/>
        <v>0.43793529995576513</v>
      </c>
      <c r="AE914" s="65"/>
      <c r="AF914" s="10">
        <f t="shared" si="279"/>
        <v>11.483184157600608</v>
      </c>
      <c r="AG914" s="8">
        <f t="shared" si="269"/>
        <v>2.2392209107321186</v>
      </c>
      <c r="AH914" s="10">
        <f t="shared" si="270"/>
        <v>5.7415920788003039</v>
      </c>
      <c r="AI914" s="63"/>
      <c r="AJ914" s="10">
        <f t="shared" si="280"/>
        <v>5.8632000000000026</v>
      </c>
      <c r="AK914" s="8"/>
      <c r="AL914" s="8">
        <f t="shared" si="271"/>
        <v>2.9316000000000013</v>
      </c>
    </row>
    <row r="915" spans="1:38">
      <c r="A915" s="18">
        <v>41471</v>
      </c>
      <c r="B915" s="19" t="s">
        <v>141</v>
      </c>
      <c r="C915" s="12">
        <v>150.5</v>
      </c>
      <c r="D915" s="19" t="s">
        <v>80</v>
      </c>
      <c r="E915" s="8">
        <v>8.4093300000000006</v>
      </c>
      <c r="F915" s="8">
        <v>83.312430000000006</v>
      </c>
      <c r="G915" s="22">
        <v>150</v>
      </c>
      <c r="H915" s="22">
        <v>-18</v>
      </c>
      <c r="I915" s="10">
        <f t="shared" si="282"/>
        <v>-5.4954255543470261</v>
      </c>
      <c r="J915" s="10">
        <f t="shared" si="272"/>
        <v>-9.5913269721590186E-2</v>
      </c>
      <c r="K915" s="10">
        <f t="shared" si="273"/>
        <v>21.096964869155499</v>
      </c>
      <c r="L915" s="22">
        <v>7006</v>
      </c>
      <c r="M915" s="22" t="s">
        <v>245</v>
      </c>
      <c r="N915" s="8" t="s">
        <v>123</v>
      </c>
      <c r="O915" s="57" t="s">
        <v>235</v>
      </c>
      <c r="P915" s="33" t="s">
        <v>236</v>
      </c>
      <c r="Q915" s="7">
        <v>0.62</v>
      </c>
      <c r="R915" s="7" t="s">
        <v>190</v>
      </c>
      <c r="S915" s="30">
        <v>7.3</v>
      </c>
      <c r="T915" s="79">
        <f t="shared" si="281"/>
        <v>4.1853966000000003E-3</v>
      </c>
      <c r="U915" s="22">
        <v>5</v>
      </c>
      <c r="V915" s="22">
        <v>40</v>
      </c>
      <c r="W915" s="10">
        <f t="shared" si="283"/>
        <v>8.7266462599716474E-2</v>
      </c>
      <c r="X915" s="22">
        <v>5</v>
      </c>
      <c r="Y915" s="22">
        <v>9</v>
      </c>
      <c r="Z915" s="10">
        <f t="shared" si="275"/>
        <v>0.15707963267948966</v>
      </c>
      <c r="AA915" s="10">
        <f t="shared" si="276"/>
        <v>1.2179510389394452</v>
      </c>
      <c r="AB915" s="10">
        <f t="shared" si="277"/>
        <v>2.5017789083714939</v>
      </c>
      <c r="AC915" s="10">
        <f t="shared" si="268"/>
        <v>0.31272236354643673</v>
      </c>
      <c r="AD915" s="10">
        <f t="shared" si="278"/>
        <v>1.2508894541857469</v>
      </c>
      <c r="AE915" s="65"/>
      <c r="AF915" s="10">
        <f t="shared" si="279"/>
        <v>16.713383983498911</v>
      </c>
      <c r="AG915" s="8">
        <f t="shared" si="269"/>
        <v>3.2591098767822877</v>
      </c>
      <c r="AH915" s="10">
        <f t="shared" si="270"/>
        <v>8.3566919917494555</v>
      </c>
      <c r="AI915" s="63"/>
      <c r="AJ915" s="10">
        <f t="shared" si="280"/>
        <v>9.974699999999995</v>
      </c>
      <c r="AK915" s="8"/>
      <c r="AL915" s="8">
        <f t="shared" si="271"/>
        <v>4.9873499999999975</v>
      </c>
    </row>
    <row r="916" spans="1:38">
      <c r="A916" s="18">
        <v>41471</v>
      </c>
      <c r="B916" s="19" t="s">
        <v>141</v>
      </c>
      <c r="C916" s="12">
        <v>150.5</v>
      </c>
      <c r="D916" s="19" t="s">
        <v>80</v>
      </c>
      <c r="E916" s="8">
        <v>8.4093300000000006</v>
      </c>
      <c r="F916" s="8">
        <v>83.312430000000006</v>
      </c>
      <c r="G916" s="22">
        <v>150</v>
      </c>
      <c r="H916" s="22">
        <v>-18</v>
      </c>
      <c r="I916" s="10">
        <f t="shared" si="282"/>
        <v>-5.4954255543470261</v>
      </c>
      <c r="J916" s="10">
        <f t="shared" si="272"/>
        <v>-9.5913269721590186E-2</v>
      </c>
      <c r="K916" s="10">
        <f t="shared" si="273"/>
        <v>21.096964869155499</v>
      </c>
      <c r="L916" s="22">
        <v>6016</v>
      </c>
      <c r="M916" s="31" t="s">
        <v>231</v>
      </c>
      <c r="N916" s="8" t="s">
        <v>171</v>
      </c>
      <c r="O916" s="33" t="s">
        <v>99</v>
      </c>
      <c r="P916" s="33" t="s">
        <v>99</v>
      </c>
      <c r="Q916" s="7">
        <v>0.57999999999999996</v>
      </c>
      <c r="R916" s="7" t="s">
        <v>103</v>
      </c>
      <c r="S916" s="30">
        <v>36.700000000000003</v>
      </c>
      <c r="T916" s="79">
        <f t="shared" si="281"/>
        <v>0.10578474060000001</v>
      </c>
      <c r="U916" s="22">
        <v>7</v>
      </c>
      <c r="V916" s="22">
        <v>71</v>
      </c>
      <c r="W916" s="10">
        <f t="shared" si="283"/>
        <v>0.12217304763960307</v>
      </c>
      <c r="X916" s="22">
        <v>7</v>
      </c>
      <c r="Y916" s="22">
        <v>18</v>
      </c>
      <c r="Z916" s="10">
        <f t="shared" si="275"/>
        <v>0.31415926535897931</v>
      </c>
      <c r="AA916" s="10">
        <f t="shared" si="276"/>
        <v>3.016204364460664</v>
      </c>
      <c r="AB916" s="10">
        <f t="shared" si="277"/>
        <v>114.74911749990558</v>
      </c>
      <c r="AC916" s="10">
        <f t="shared" si="268"/>
        <v>14.343639687488198</v>
      </c>
      <c r="AD916" s="10">
        <f t="shared" si="278"/>
        <v>57.37455874995279</v>
      </c>
      <c r="AE916" s="65"/>
      <c r="AF916" s="10">
        <f t="shared" si="279"/>
        <v>830.94303965632366</v>
      </c>
      <c r="AG916" s="8">
        <f t="shared" si="269"/>
        <v>162.03389273298313</v>
      </c>
      <c r="AH916" s="10">
        <f t="shared" si="270"/>
        <v>415.47151982816183</v>
      </c>
      <c r="AI916" s="63"/>
      <c r="AJ916" s="10">
        <f t="shared" si="280"/>
        <v>762.82050000000004</v>
      </c>
      <c r="AK916" s="8"/>
      <c r="AL916" s="8">
        <f t="shared" si="271"/>
        <v>381.41025000000002</v>
      </c>
    </row>
    <row r="917" spans="1:38">
      <c r="A917" s="18">
        <v>41471</v>
      </c>
      <c r="B917" s="19" t="s">
        <v>141</v>
      </c>
      <c r="C917" s="12">
        <v>150.5</v>
      </c>
      <c r="D917" s="19" t="s">
        <v>80</v>
      </c>
      <c r="E917" s="8">
        <v>8.4093300000000006</v>
      </c>
      <c r="F917" s="8">
        <v>83.312430000000006</v>
      </c>
      <c r="G917" s="22">
        <v>150</v>
      </c>
      <c r="H917" s="22">
        <v>-18</v>
      </c>
      <c r="I917" s="10">
        <f t="shared" si="282"/>
        <v>-5.4954255543470261</v>
      </c>
      <c r="J917" s="10">
        <f t="shared" si="272"/>
        <v>-9.5913269721590186E-2</v>
      </c>
      <c r="K917" s="10">
        <f t="shared" si="273"/>
        <v>21.096964869155499</v>
      </c>
      <c r="L917" s="22">
        <v>6006</v>
      </c>
      <c r="M917" s="22" t="s">
        <v>39</v>
      </c>
      <c r="N917" s="7" t="s">
        <v>69</v>
      </c>
      <c r="O917" s="33" t="s">
        <v>65</v>
      </c>
      <c r="P917" s="33" t="s">
        <v>70</v>
      </c>
      <c r="Q917" s="7">
        <v>0.37</v>
      </c>
      <c r="R917" s="7" t="s">
        <v>71</v>
      </c>
      <c r="S917" s="30">
        <v>13.6</v>
      </c>
      <c r="T917" s="79">
        <f t="shared" si="281"/>
        <v>1.4526758399999999E-2</v>
      </c>
      <c r="U917" s="22">
        <v>10</v>
      </c>
      <c r="V917" s="22">
        <v>53</v>
      </c>
      <c r="W917" s="10">
        <f t="shared" si="283"/>
        <v>0.12217304763960307</v>
      </c>
      <c r="X917" s="22">
        <v>7</v>
      </c>
      <c r="Y917" s="22">
        <v>16</v>
      </c>
      <c r="Z917" s="10">
        <f t="shared" si="275"/>
        <v>0.27925268031909273</v>
      </c>
      <c r="AA917" s="10">
        <f t="shared" si="276"/>
        <v>3.148154924770469</v>
      </c>
      <c r="AB917" s="10">
        <f t="shared" si="277"/>
        <v>12.111480108379093</v>
      </c>
      <c r="AC917" s="10">
        <f t="shared" si="268"/>
        <v>1.5139350135473866</v>
      </c>
      <c r="AD917" s="10">
        <f t="shared" si="278"/>
        <v>6.0557400541895463</v>
      </c>
      <c r="AE917" s="65"/>
      <c r="AF917" s="10">
        <f t="shared" si="279"/>
        <v>46.768959521787558</v>
      </c>
      <c r="AG917" s="8">
        <f t="shared" si="269"/>
        <v>9.1199471067485742</v>
      </c>
      <c r="AH917" s="10">
        <f t="shared" si="270"/>
        <v>23.384479760893779</v>
      </c>
      <c r="AI917" s="63"/>
      <c r="AJ917" s="10">
        <f t="shared" si="280"/>
        <v>63.606599999999986</v>
      </c>
      <c r="AK917" s="8"/>
      <c r="AL917" s="8">
        <f t="shared" si="271"/>
        <v>31.803299999999993</v>
      </c>
    </row>
    <row r="918" spans="1:38">
      <c r="A918" s="18">
        <v>41471</v>
      </c>
      <c r="B918" s="19" t="s">
        <v>141</v>
      </c>
      <c r="C918" s="12">
        <v>150.5</v>
      </c>
      <c r="D918" s="19" t="s">
        <v>80</v>
      </c>
      <c r="E918" s="8">
        <v>8.4093300000000006</v>
      </c>
      <c r="F918" s="8">
        <v>83.312430000000006</v>
      </c>
      <c r="G918" s="22">
        <v>150</v>
      </c>
      <c r="H918" s="22">
        <v>-18</v>
      </c>
      <c r="I918" s="10">
        <f t="shared" si="282"/>
        <v>-5.4954255543470261</v>
      </c>
      <c r="J918" s="10">
        <f t="shared" si="272"/>
        <v>-9.5913269721590186E-2</v>
      </c>
      <c r="K918" s="10">
        <f t="shared" si="273"/>
        <v>21.096964869155499</v>
      </c>
      <c r="L918" s="22">
        <v>511</v>
      </c>
      <c r="M918" s="22" t="s">
        <v>39</v>
      </c>
      <c r="N918" s="7" t="s">
        <v>69</v>
      </c>
      <c r="O918" s="33" t="s">
        <v>65</v>
      </c>
      <c r="P918" s="33" t="s">
        <v>70</v>
      </c>
      <c r="Q918" s="7">
        <v>0.37</v>
      </c>
      <c r="R918" s="7" t="s">
        <v>71</v>
      </c>
      <c r="S918" s="30">
        <v>14.5</v>
      </c>
      <c r="T918" s="79">
        <f t="shared" si="281"/>
        <v>1.6513035000000002E-2</v>
      </c>
      <c r="U918" s="22">
        <v>11</v>
      </c>
      <c r="V918" s="22">
        <v>50</v>
      </c>
      <c r="W918" s="10">
        <f t="shared" si="283"/>
        <v>0.12217304763960307</v>
      </c>
      <c r="X918" s="22">
        <v>7</v>
      </c>
      <c r="Y918" s="22">
        <v>16</v>
      </c>
      <c r="Z918" s="10">
        <f t="shared" si="275"/>
        <v>0.27925268031909273</v>
      </c>
      <c r="AA918" s="10">
        <f t="shared" si="276"/>
        <v>3.2700242681756162</v>
      </c>
      <c r="AB918" s="10">
        <f t="shared" si="277"/>
        <v>14.158625780371857</v>
      </c>
      <c r="AC918" s="10">
        <f t="shared" si="268"/>
        <v>1.7698282225464821</v>
      </c>
      <c r="AD918" s="10">
        <f t="shared" si="278"/>
        <v>7.0793128901859284</v>
      </c>
      <c r="AE918" s="65"/>
      <c r="AF918" s="10">
        <f t="shared" si="279"/>
        <v>54.843117197174983</v>
      </c>
      <c r="AG918" s="8">
        <f t="shared" si="269"/>
        <v>10.694407853449123</v>
      </c>
      <c r="AH918" s="10">
        <f t="shared" si="270"/>
        <v>27.421558598587492</v>
      </c>
      <c r="AI918" s="63"/>
      <c r="AJ918" s="10">
        <f t="shared" si="280"/>
        <v>76.063500000000005</v>
      </c>
      <c r="AK918" s="8"/>
      <c r="AL918" s="8">
        <f t="shared" si="271"/>
        <v>38.031750000000002</v>
      </c>
    </row>
    <row r="919" spans="1:38">
      <c r="A919" s="18">
        <v>41471</v>
      </c>
      <c r="B919" s="19" t="s">
        <v>141</v>
      </c>
      <c r="C919" s="12">
        <v>150.5</v>
      </c>
      <c r="D919" s="19" t="s">
        <v>80</v>
      </c>
      <c r="E919" s="8">
        <v>8.4093300000000006</v>
      </c>
      <c r="F919" s="8">
        <v>83.312430000000006</v>
      </c>
      <c r="G919" s="22">
        <v>150</v>
      </c>
      <c r="H919" s="22">
        <v>-18</v>
      </c>
      <c r="I919" s="10">
        <f t="shared" si="282"/>
        <v>-5.4954255543470261</v>
      </c>
      <c r="J919" s="10">
        <f t="shared" si="272"/>
        <v>-9.5913269721590186E-2</v>
      </c>
      <c r="K919" s="10">
        <f t="shared" si="273"/>
        <v>21.096964869155499</v>
      </c>
      <c r="L919" s="22">
        <v>505</v>
      </c>
      <c r="M919" s="49" t="s">
        <v>144</v>
      </c>
      <c r="N919" s="7" t="s">
        <v>99</v>
      </c>
      <c r="O919" s="33" t="s">
        <v>99</v>
      </c>
      <c r="P919" s="33" t="s">
        <v>99</v>
      </c>
      <c r="Q919" s="7">
        <v>0.57999999999999996</v>
      </c>
      <c r="R919" s="7" t="s">
        <v>103</v>
      </c>
      <c r="S919" s="30">
        <v>9.1999999999999993</v>
      </c>
      <c r="T919" s="79">
        <f t="shared" si="281"/>
        <v>6.6476255999999992E-3</v>
      </c>
      <c r="U919" s="22">
        <v>7</v>
      </c>
      <c r="V919" s="22">
        <v>30</v>
      </c>
      <c r="W919" s="10">
        <f t="shared" si="283"/>
        <v>0.12217304763960307</v>
      </c>
      <c r="X919" s="22">
        <v>7</v>
      </c>
      <c r="Y919" s="22">
        <v>15</v>
      </c>
      <c r="Z919" s="10">
        <f t="shared" si="275"/>
        <v>0.26179938779914941</v>
      </c>
      <c r="AA919" s="10">
        <f t="shared" si="276"/>
        <v>2.6648187195536774</v>
      </c>
      <c r="AB919" s="10">
        <f t="shared" si="277"/>
        <v>7.5776189224507311</v>
      </c>
      <c r="AC919" s="10">
        <f t="shared" si="268"/>
        <v>0.94720236530634139</v>
      </c>
      <c r="AD919" s="10">
        <f t="shared" si="278"/>
        <v>3.7888094612253655</v>
      </c>
      <c r="AE919" s="65"/>
      <c r="AF919" s="10">
        <f t="shared" si="279"/>
        <v>27.73319160415701</v>
      </c>
      <c r="AG919" s="8">
        <f t="shared" si="269"/>
        <v>5.4079723628106171</v>
      </c>
      <c r="AH919" s="10">
        <f t="shared" si="270"/>
        <v>13.866595802078505</v>
      </c>
      <c r="AI919" s="63"/>
      <c r="AJ919" s="10">
        <f t="shared" si="280"/>
        <v>19.962999999999994</v>
      </c>
      <c r="AK919" s="8"/>
      <c r="AL919" s="8">
        <f t="shared" si="271"/>
        <v>9.9814999999999969</v>
      </c>
    </row>
    <row r="920" spans="1:38">
      <c r="A920" s="18">
        <v>41471</v>
      </c>
      <c r="B920" s="19" t="s">
        <v>141</v>
      </c>
      <c r="C920" s="12">
        <v>150.5</v>
      </c>
      <c r="D920" s="19" t="s">
        <v>80</v>
      </c>
      <c r="E920" s="8">
        <v>8.4093300000000006</v>
      </c>
      <c r="F920" s="8">
        <v>83.312430000000006</v>
      </c>
      <c r="G920" s="22">
        <v>150</v>
      </c>
      <c r="H920" s="22">
        <v>-18</v>
      </c>
      <c r="I920" s="10">
        <f t="shared" si="282"/>
        <v>-5.4954255543470261</v>
      </c>
      <c r="J920" s="10">
        <f t="shared" si="272"/>
        <v>-9.5913269721590186E-2</v>
      </c>
      <c r="K920" s="10">
        <f t="shared" si="273"/>
        <v>21.096964869155499</v>
      </c>
      <c r="L920" s="22">
        <v>577</v>
      </c>
      <c r="M920" s="22" t="s">
        <v>39</v>
      </c>
      <c r="N920" s="7" t="s">
        <v>69</v>
      </c>
      <c r="O920" s="33" t="s">
        <v>65</v>
      </c>
      <c r="P920" s="33" t="s">
        <v>70</v>
      </c>
      <c r="Q920" s="7">
        <v>0.37</v>
      </c>
      <c r="R920" s="7" t="s">
        <v>71</v>
      </c>
      <c r="S920" s="30">
        <v>15.4</v>
      </c>
      <c r="T920" s="79">
        <f t="shared" si="281"/>
        <v>1.8626546400000003E-2</v>
      </c>
      <c r="U920" s="22">
        <v>10</v>
      </c>
      <c r="V920" s="22">
        <v>56</v>
      </c>
      <c r="W920" s="10">
        <f t="shared" si="283"/>
        <v>0.13962634015954636</v>
      </c>
      <c r="X920" s="22">
        <v>8</v>
      </c>
      <c r="Y920" s="22">
        <v>20</v>
      </c>
      <c r="Z920" s="10">
        <f t="shared" si="275"/>
        <v>0.3490658503988659</v>
      </c>
      <c r="AA920" s="10">
        <f t="shared" si="276"/>
        <v>4.1278921562060038</v>
      </c>
      <c r="AB920" s="10">
        <f t="shared" si="277"/>
        <v>19.737627072516101</v>
      </c>
      <c r="AC920" s="10">
        <f t="shared" si="268"/>
        <v>2.4672033840645127</v>
      </c>
      <c r="AD920" s="10">
        <f t="shared" si="278"/>
        <v>9.8688135362580507</v>
      </c>
      <c r="AE920" s="65"/>
      <c r="AF920" s="10">
        <f t="shared" si="279"/>
        <v>63.688445950848326</v>
      </c>
      <c r="AG920" s="8">
        <f t="shared" si="269"/>
        <v>12.419246960415425</v>
      </c>
      <c r="AH920" s="10">
        <f t="shared" si="270"/>
        <v>31.844222975424163</v>
      </c>
      <c r="AI920" s="63"/>
      <c r="AJ920" s="10">
        <f t="shared" si="280"/>
        <v>89.719200000000001</v>
      </c>
      <c r="AK920" s="8"/>
      <c r="AL920" s="8">
        <f t="shared" si="271"/>
        <v>44.8596</v>
      </c>
    </row>
    <row r="921" spans="1:38">
      <c r="A921" s="18">
        <v>41471</v>
      </c>
      <c r="B921" s="19" t="s">
        <v>141</v>
      </c>
      <c r="C921" s="12">
        <v>150.5</v>
      </c>
      <c r="D921" s="19" t="s">
        <v>80</v>
      </c>
      <c r="E921" s="8">
        <v>8.4093300000000006</v>
      </c>
      <c r="F921" s="8">
        <v>83.312430000000006</v>
      </c>
      <c r="G921" s="22">
        <v>150</v>
      </c>
      <c r="H921" s="22">
        <v>-18</v>
      </c>
      <c r="I921" s="10">
        <f t="shared" si="282"/>
        <v>-5.4954255543470261</v>
      </c>
      <c r="J921" s="10">
        <f t="shared" si="272"/>
        <v>-9.5913269721590186E-2</v>
      </c>
      <c r="K921" s="10">
        <f t="shared" si="273"/>
        <v>21.096964869155499</v>
      </c>
      <c r="L921" s="22">
        <v>6027</v>
      </c>
      <c r="M921" s="22" t="s">
        <v>72</v>
      </c>
      <c r="N921" s="22" t="s">
        <v>93</v>
      </c>
      <c r="O921" s="10" t="s">
        <v>91</v>
      </c>
      <c r="P921" s="15" t="s">
        <v>92</v>
      </c>
      <c r="Q921" s="8">
        <v>0.48</v>
      </c>
      <c r="R921" s="22" t="s">
        <v>190</v>
      </c>
      <c r="S921" s="30">
        <v>6.8</v>
      </c>
      <c r="T921" s="79">
        <f t="shared" si="281"/>
        <v>3.6316895999999998E-3</v>
      </c>
      <c r="U921" s="22">
        <v>10</v>
      </c>
      <c r="V921" s="22">
        <v>40</v>
      </c>
      <c r="W921" s="10">
        <f t="shared" si="283"/>
        <v>8.7266462599716474E-2</v>
      </c>
      <c r="X921" s="22">
        <v>5</v>
      </c>
      <c r="Y921" s="22">
        <v>6</v>
      </c>
      <c r="Z921" s="10">
        <f t="shared" si="275"/>
        <v>0.10471975511965978</v>
      </c>
      <c r="AA921" s="10">
        <f t="shared" si="276"/>
        <v>1.394199743814849</v>
      </c>
      <c r="AB921" s="10">
        <f t="shared" si="277"/>
        <v>1.954387782053542</v>
      </c>
      <c r="AC921" s="10">
        <f t="shared" si="268"/>
        <v>0.24429847275669275</v>
      </c>
      <c r="AD921" s="10">
        <f t="shared" si="278"/>
        <v>0.97719389102677101</v>
      </c>
      <c r="AE921" s="65"/>
      <c r="AF921" s="10">
        <f t="shared" si="279"/>
        <v>10.861716492644655</v>
      </c>
      <c r="AG921" s="8">
        <f t="shared" si="269"/>
        <v>2.1180347160657078</v>
      </c>
      <c r="AH921" s="10">
        <f t="shared" si="270"/>
        <v>5.4308582463223276</v>
      </c>
      <c r="AI921" s="63"/>
      <c r="AJ921" s="10">
        <f t="shared" si="280"/>
        <v>8.2341999999999977</v>
      </c>
      <c r="AK921" s="8"/>
      <c r="AL921" s="8">
        <f t="shared" si="271"/>
        <v>4.1170999999999989</v>
      </c>
    </row>
    <row r="922" spans="1:38">
      <c r="A922" s="18">
        <v>41471</v>
      </c>
      <c r="B922" s="19" t="s">
        <v>141</v>
      </c>
      <c r="C922" s="12">
        <v>150.5</v>
      </c>
      <c r="D922" s="19" t="s">
        <v>80</v>
      </c>
      <c r="E922" s="8">
        <v>8.4093300000000006</v>
      </c>
      <c r="F922" s="8">
        <v>83.312430000000006</v>
      </c>
      <c r="G922" s="22">
        <v>150</v>
      </c>
      <c r="H922" s="22">
        <v>-18</v>
      </c>
      <c r="I922" s="10">
        <f t="shared" si="282"/>
        <v>-5.4954255543470261</v>
      </c>
      <c r="J922" s="10">
        <f t="shared" si="272"/>
        <v>-9.5913269721590186E-2</v>
      </c>
      <c r="K922" s="10">
        <f t="shared" si="273"/>
        <v>21.096964869155499</v>
      </c>
      <c r="L922" s="22">
        <v>6011</v>
      </c>
      <c r="M922" s="22" t="s">
        <v>72</v>
      </c>
      <c r="N922" s="22" t="s">
        <v>93</v>
      </c>
      <c r="O922" s="10" t="s">
        <v>91</v>
      </c>
      <c r="P922" s="15" t="s">
        <v>92</v>
      </c>
      <c r="Q922" s="8">
        <v>0.48</v>
      </c>
      <c r="R922" s="22" t="s">
        <v>190</v>
      </c>
      <c r="S922" s="30">
        <v>7.8</v>
      </c>
      <c r="T922" s="79">
        <f t="shared" si="281"/>
        <v>4.7783736E-3</v>
      </c>
      <c r="U922" s="22">
        <v>9</v>
      </c>
      <c r="V922" s="22">
        <v>46</v>
      </c>
      <c r="W922" s="10">
        <f t="shared" si="283"/>
        <v>0.10471975511965978</v>
      </c>
      <c r="X922" s="22">
        <v>6</v>
      </c>
      <c r="Y922" s="22">
        <v>8</v>
      </c>
      <c r="Z922" s="10">
        <f t="shared" si="275"/>
        <v>0.13962634015954636</v>
      </c>
      <c r="AA922" s="10">
        <f t="shared" si="276"/>
        <v>1.775794775169274</v>
      </c>
      <c r="AB922" s="10">
        <f t="shared" si="277"/>
        <v>3.175378828684754</v>
      </c>
      <c r="AC922" s="10">
        <f t="shared" si="268"/>
        <v>0.39692235358559425</v>
      </c>
      <c r="AD922" s="10">
        <f t="shared" si="278"/>
        <v>1.587689414342377</v>
      </c>
      <c r="AE922" s="65"/>
      <c r="AF922" s="10">
        <f t="shared" si="279"/>
        <v>15.242198205252516</v>
      </c>
      <c r="AG922" s="8">
        <f t="shared" si="269"/>
        <v>2.9722286500242405</v>
      </c>
      <c r="AH922" s="10">
        <f t="shared" si="270"/>
        <v>7.6210991026262578</v>
      </c>
      <c r="AI922" s="63"/>
      <c r="AJ922" s="10">
        <f t="shared" si="280"/>
        <v>12.085199999999993</v>
      </c>
      <c r="AK922" s="8"/>
      <c r="AL922" s="8">
        <f t="shared" si="271"/>
        <v>6.0425999999999966</v>
      </c>
    </row>
    <row r="923" spans="1:38">
      <c r="A923" s="18">
        <v>41471</v>
      </c>
      <c r="B923" s="19" t="s">
        <v>141</v>
      </c>
      <c r="C923" s="12">
        <v>150.5</v>
      </c>
      <c r="D923" s="19" t="s">
        <v>80</v>
      </c>
      <c r="E923" s="8">
        <v>8.4093300000000006</v>
      </c>
      <c r="F923" s="8">
        <v>83.312430000000006</v>
      </c>
      <c r="G923" s="22">
        <v>150</v>
      </c>
      <c r="H923" s="22">
        <v>-18</v>
      </c>
      <c r="I923" s="10">
        <f t="shared" si="282"/>
        <v>-5.4954255543470261</v>
      </c>
      <c r="J923" s="10">
        <f t="shared" si="272"/>
        <v>-9.5913269721590186E-2</v>
      </c>
      <c r="K923" s="10">
        <f t="shared" si="273"/>
        <v>21.096964869155499</v>
      </c>
      <c r="L923" s="22">
        <v>6039</v>
      </c>
      <c r="M923" s="31" t="s">
        <v>231</v>
      </c>
      <c r="N923" s="8" t="s">
        <v>171</v>
      </c>
      <c r="O923" s="33" t="s">
        <v>99</v>
      </c>
      <c r="P923" s="33" t="s">
        <v>99</v>
      </c>
      <c r="Q923" s="7">
        <v>0.57999999999999996</v>
      </c>
      <c r="R923" s="7" t="s">
        <v>103</v>
      </c>
      <c r="S923" s="30">
        <v>10</v>
      </c>
      <c r="T923" s="79">
        <f t="shared" si="281"/>
        <v>7.8539999999999999E-3</v>
      </c>
      <c r="U923" s="22">
        <v>11</v>
      </c>
      <c r="V923" s="22">
        <v>45</v>
      </c>
      <c r="W923" s="10">
        <f t="shared" si="283"/>
        <v>0.12217304763960307</v>
      </c>
      <c r="X923" s="22">
        <v>7</v>
      </c>
      <c r="Y923" s="22">
        <v>6</v>
      </c>
      <c r="Z923" s="10">
        <f t="shared" si="275"/>
        <v>0.10471975511965978</v>
      </c>
      <c r="AA923" s="10">
        <f t="shared" si="276"/>
        <v>2.0722620203301965</v>
      </c>
      <c r="AB923" s="10">
        <f t="shared" si="277"/>
        <v>6.9974857486137063</v>
      </c>
      <c r="AC923" s="10">
        <f t="shared" si="268"/>
        <v>0.87468571857671329</v>
      </c>
      <c r="AD923" s="10">
        <f t="shared" si="278"/>
        <v>3.4987428743068532</v>
      </c>
      <c r="AE923" s="65"/>
      <c r="AF923" s="10">
        <f t="shared" si="279"/>
        <v>34.11841974393613</v>
      </c>
      <c r="AG923" s="8">
        <f t="shared" si="269"/>
        <v>6.6530918500675451</v>
      </c>
      <c r="AH923" s="10">
        <f t="shared" si="270"/>
        <v>17.059209871968065</v>
      </c>
      <c r="AI923" s="63"/>
      <c r="AJ923" s="10">
        <f t="shared" si="280"/>
        <v>25.766999999999996</v>
      </c>
      <c r="AK923" s="8"/>
      <c r="AL923" s="8">
        <f t="shared" si="271"/>
        <v>12.883499999999998</v>
      </c>
    </row>
    <row r="924" spans="1:38">
      <c r="A924" s="18">
        <v>41471</v>
      </c>
      <c r="B924" s="19" t="s">
        <v>141</v>
      </c>
      <c r="C924" s="12">
        <v>150.5</v>
      </c>
      <c r="D924" s="19" t="s">
        <v>80</v>
      </c>
      <c r="E924" s="8">
        <v>8.4093300000000006</v>
      </c>
      <c r="F924" s="8">
        <v>83.312430000000006</v>
      </c>
      <c r="G924" s="22">
        <v>150</v>
      </c>
      <c r="H924" s="22">
        <v>-18</v>
      </c>
      <c r="I924" s="10">
        <f t="shared" si="282"/>
        <v>-5.4954255543470261</v>
      </c>
      <c r="J924" s="10">
        <f t="shared" si="272"/>
        <v>-9.5913269721590186E-2</v>
      </c>
      <c r="K924" s="10">
        <f t="shared" si="273"/>
        <v>21.096964869155499</v>
      </c>
      <c r="L924" s="22">
        <v>573</v>
      </c>
      <c r="M924" s="31" t="s">
        <v>231</v>
      </c>
      <c r="N924" s="8" t="s">
        <v>171</v>
      </c>
      <c r="O924" s="33" t="s">
        <v>99</v>
      </c>
      <c r="P924" s="33" t="s">
        <v>99</v>
      </c>
      <c r="Q924" s="7">
        <v>0.57999999999999996</v>
      </c>
      <c r="R924" s="7" t="s">
        <v>103</v>
      </c>
      <c r="S924" s="30">
        <v>20.5</v>
      </c>
      <c r="T924" s="79">
        <f t="shared" si="281"/>
        <v>3.3006435000000001E-2</v>
      </c>
      <c r="U924" s="22">
        <v>15</v>
      </c>
      <c r="V924" s="22">
        <v>55</v>
      </c>
      <c r="W924" s="10">
        <f t="shared" si="283"/>
        <v>0.12217304763960307</v>
      </c>
      <c r="X924" s="22">
        <v>7</v>
      </c>
      <c r="Y924" s="22">
        <v>6</v>
      </c>
      <c r="Z924" s="10">
        <f t="shared" si="275"/>
        <v>0.10471975511965978</v>
      </c>
      <c r="AA924" s="10">
        <f t="shared" si="276"/>
        <v>2.5597393939507862</v>
      </c>
      <c r="AB924" s="10">
        <f t="shared" si="277"/>
        <v>32.906773435205189</v>
      </c>
      <c r="AC924" s="10">
        <f t="shared" si="268"/>
        <v>4.1133466794006486</v>
      </c>
      <c r="AD924" s="10">
        <f t="shared" si="278"/>
        <v>16.453386717602594</v>
      </c>
      <c r="AE924" s="65"/>
      <c r="AF924" s="10">
        <f t="shared" si="279"/>
        <v>202.52555149056087</v>
      </c>
      <c r="AG924" s="8">
        <f t="shared" si="269"/>
        <v>39.492482540659374</v>
      </c>
      <c r="AH924" s="10">
        <f t="shared" si="270"/>
        <v>101.26277574528044</v>
      </c>
      <c r="AI924" s="63"/>
      <c r="AJ924" s="10">
        <f t="shared" si="280"/>
        <v>189.74549999999999</v>
      </c>
      <c r="AK924" s="8"/>
      <c r="AL924" s="8">
        <f t="shared" si="271"/>
        <v>94.872749999999996</v>
      </c>
    </row>
    <row r="925" spans="1:38">
      <c r="A925" s="18">
        <v>41471</v>
      </c>
      <c r="B925" s="19" t="s">
        <v>141</v>
      </c>
      <c r="C925" s="12">
        <v>150.5</v>
      </c>
      <c r="D925" s="19" t="s">
        <v>80</v>
      </c>
      <c r="E925" s="8">
        <v>8.4093300000000006</v>
      </c>
      <c r="F925" s="8">
        <v>83.312430000000006</v>
      </c>
      <c r="G925" s="22">
        <v>150</v>
      </c>
      <c r="H925" s="22">
        <v>-18</v>
      </c>
      <c r="I925" s="10">
        <f t="shared" si="282"/>
        <v>-5.4954255543470261</v>
      </c>
      <c r="J925" s="10">
        <f t="shared" si="272"/>
        <v>-9.5913269721590186E-2</v>
      </c>
      <c r="K925" s="10">
        <f t="shared" si="273"/>
        <v>21.096964869155499</v>
      </c>
      <c r="L925" s="22">
        <v>501</v>
      </c>
      <c r="M925" s="22" t="s">
        <v>39</v>
      </c>
      <c r="N925" s="7" t="s">
        <v>69</v>
      </c>
      <c r="O925" s="33" t="s">
        <v>65</v>
      </c>
      <c r="P925" s="33" t="s">
        <v>70</v>
      </c>
      <c r="Q925" s="7">
        <v>0.37</v>
      </c>
      <c r="R925" s="7" t="s">
        <v>71</v>
      </c>
      <c r="S925" s="30">
        <v>31.1</v>
      </c>
      <c r="T925" s="79">
        <f t="shared" si="281"/>
        <v>7.5964673400000002E-2</v>
      </c>
      <c r="U925" s="22">
        <v>18</v>
      </c>
      <c r="V925" s="22">
        <v>75</v>
      </c>
      <c r="W925" s="10">
        <f t="shared" si="283"/>
        <v>0.12217304763960307</v>
      </c>
      <c r="X925" s="22">
        <v>7</v>
      </c>
      <c r="Y925" s="22">
        <v>6</v>
      </c>
      <c r="Z925" s="10">
        <f t="shared" si="275"/>
        <v>0.10471975511965978</v>
      </c>
      <c r="AA925" s="10">
        <f t="shared" si="276"/>
        <v>2.9253474241662287</v>
      </c>
      <c r="AB925" s="10">
        <f t="shared" si="277"/>
        <v>53.526355961283791</v>
      </c>
      <c r="AC925" s="10">
        <f t="shared" si="268"/>
        <v>6.6907944951604739</v>
      </c>
      <c r="AD925" s="10">
        <f t="shared" si="278"/>
        <v>26.763177980641895</v>
      </c>
      <c r="AE925" s="65"/>
      <c r="AF925" s="10">
        <f t="shared" si="279"/>
        <v>356.70158730858998</v>
      </c>
      <c r="AG925" s="8">
        <f t="shared" si="269"/>
        <v>69.556809525175055</v>
      </c>
      <c r="AH925" s="10">
        <f t="shared" si="270"/>
        <v>178.35079365429499</v>
      </c>
      <c r="AI925" s="63"/>
      <c r="AJ925" s="10">
        <f t="shared" si="280"/>
        <v>520.79410000000007</v>
      </c>
      <c r="AK925" s="8"/>
      <c r="AL925" s="8">
        <f t="shared" si="271"/>
        <v>260.39705000000004</v>
      </c>
    </row>
    <row r="926" spans="1:38">
      <c r="A926" s="18">
        <v>41471</v>
      </c>
      <c r="B926" s="19" t="s">
        <v>141</v>
      </c>
      <c r="C926" s="12">
        <v>150.5</v>
      </c>
      <c r="D926" s="19" t="s">
        <v>80</v>
      </c>
      <c r="E926" s="8">
        <v>8.4093300000000006</v>
      </c>
      <c r="F926" s="8">
        <v>83.312430000000006</v>
      </c>
      <c r="G926" s="22">
        <v>150</v>
      </c>
      <c r="H926" s="22">
        <v>-18</v>
      </c>
      <c r="I926" s="10">
        <f t="shared" si="282"/>
        <v>-5.4954255543470261</v>
      </c>
      <c r="J926" s="10">
        <f t="shared" si="272"/>
        <v>-9.5913269721590186E-2</v>
      </c>
      <c r="K926" s="10">
        <f t="shared" si="273"/>
        <v>21.096964869155499</v>
      </c>
      <c r="L926" s="22">
        <v>525</v>
      </c>
      <c r="M926" s="22" t="s">
        <v>47</v>
      </c>
      <c r="N926" s="8" t="s">
        <v>48</v>
      </c>
      <c r="O926" s="10" t="s">
        <v>49</v>
      </c>
      <c r="P926" s="10" t="s">
        <v>50</v>
      </c>
      <c r="Q926" s="20">
        <v>0.75</v>
      </c>
      <c r="R926" s="8" t="s">
        <v>67</v>
      </c>
      <c r="S926" s="30">
        <v>7</v>
      </c>
      <c r="T926" s="79">
        <f t="shared" si="281"/>
        <v>3.8484600000000002E-3</v>
      </c>
      <c r="U926" s="22">
        <v>8</v>
      </c>
      <c r="V926" s="22">
        <v>53</v>
      </c>
      <c r="W926" s="10">
        <f t="shared" si="283"/>
        <v>8.7266462599716474E-2</v>
      </c>
      <c r="X926" s="22">
        <v>5</v>
      </c>
      <c r="Y926" s="22">
        <v>5</v>
      </c>
      <c r="Z926" s="10">
        <f t="shared" si="275"/>
        <v>8.7266462599716474E-2</v>
      </c>
      <c r="AA926" s="10">
        <f t="shared" si="276"/>
        <v>1.1330246557195562</v>
      </c>
      <c r="AB926" s="10">
        <f t="shared" si="277"/>
        <v>2.5833819632069255</v>
      </c>
      <c r="AC926" s="10">
        <f t="shared" si="268"/>
        <v>0.32292274540086569</v>
      </c>
      <c r="AD926" s="10">
        <f t="shared" si="278"/>
        <v>1.2916909816034627</v>
      </c>
      <c r="AE926" s="65"/>
      <c r="AF926" s="10">
        <f t="shared" si="279"/>
        <v>18.228558598957047</v>
      </c>
      <c r="AG926" s="8">
        <f t="shared" si="269"/>
        <v>3.5545689267966245</v>
      </c>
      <c r="AH926" s="10">
        <f t="shared" si="270"/>
        <v>9.1142792994785236</v>
      </c>
      <c r="AI926" s="63"/>
      <c r="AJ926" s="10">
        <f t="shared" si="280"/>
        <v>8.8859999999999992</v>
      </c>
      <c r="AK926" s="8"/>
      <c r="AL926" s="8">
        <f t="shared" si="271"/>
        <v>4.4429999999999996</v>
      </c>
    </row>
    <row r="927" spans="1:38">
      <c r="A927" s="18">
        <v>41471</v>
      </c>
      <c r="B927" s="19" t="s">
        <v>141</v>
      </c>
      <c r="C927" s="12">
        <v>150.5</v>
      </c>
      <c r="D927" s="19" t="s">
        <v>80</v>
      </c>
      <c r="E927" s="8">
        <v>8.4093300000000006</v>
      </c>
      <c r="F927" s="8">
        <v>83.312430000000006</v>
      </c>
      <c r="G927" s="22">
        <v>150</v>
      </c>
      <c r="H927" s="22">
        <v>-18</v>
      </c>
      <c r="I927" s="10">
        <f t="shared" si="282"/>
        <v>-5.4954255543470261</v>
      </c>
      <c r="J927" s="10">
        <f t="shared" si="272"/>
        <v>-9.5913269721590186E-2</v>
      </c>
      <c r="K927" s="10">
        <f t="shared" si="273"/>
        <v>21.096964869155499</v>
      </c>
      <c r="L927" s="22">
        <v>543</v>
      </c>
      <c r="M927" s="31" t="s">
        <v>231</v>
      </c>
      <c r="N927" s="8" t="s">
        <v>171</v>
      </c>
      <c r="O927" s="33" t="s">
        <v>99</v>
      </c>
      <c r="P927" s="33" t="s">
        <v>99</v>
      </c>
      <c r="Q927" s="7">
        <v>0.57999999999999996</v>
      </c>
      <c r="R927" s="7" t="s">
        <v>103</v>
      </c>
      <c r="S927" s="30">
        <v>47.8</v>
      </c>
      <c r="T927" s="79">
        <f t="shared" si="281"/>
        <v>0.17945133359999998</v>
      </c>
      <c r="U927" s="22">
        <v>13</v>
      </c>
      <c r="V927" s="22">
        <v>55</v>
      </c>
      <c r="W927" s="10">
        <f t="shared" si="283"/>
        <v>0.13962634015954636</v>
      </c>
      <c r="X927" s="22">
        <v>8</v>
      </c>
      <c r="Y927" s="22">
        <v>8</v>
      </c>
      <c r="Z927" s="10">
        <f t="shared" si="275"/>
        <v>0.13962634015954636</v>
      </c>
      <c r="AA927" s="10">
        <f t="shared" si="276"/>
        <v>2.9226351201613743</v>
      </c>
      <c r="AB927" s="10">
        <f t="shared" si="277"/>
        <v>183.07818726727356</v>
      </c>
      <c r="AC927" s="10">
        <f t="shared" si="268"/>
        <v>22.884773408409195</v>
      </c>
      <c r="AD927" s="10">
        <f t="shared" si="278"/>
        <v>91.539093633636782</v>
      </c>
      <c r="AE927" s="65"/>
      <c r="AF927" s="10">
        <f t="shared" si="279"/>
        <v>1546.11052599966</v>
      </c>
      <c r="AG927" s="8">
        <f t="shared" si="269"/>
        <v>301.49155256993373</v>
      </c>
      <c r="AH927" s="10">
        <f t="shared" si="270"/>
        <v>773.05526299983001</v>
      </c>
      <c r="AI927" s="63"/>
      <c r="AJ927" s="10">
        <f t="shared" si="280"/>
        <v>1379.7251999999999</v>
      </c>
      <c r="AK927" s="8"/>
      <c r="AL927" s="8">
        <f t="shared" si="271"/>
        <v>689.86259999999993</v>
      </c>
    </row>
    <row r="928" spans="1:38">
      <c r="A928" s="18">
        <v>41471</v>
      </c>
      <c r="B928" s="19" t="s">
        <v>141</v>
      </c>
      <c r="C928" s="12">
        <v>150.5</v>
      </c>
      <c r="D928" s="19" t="s">
        <v>80</v>
      </c>
      <c r="E928" s="8">
        <v>8.4093300000000006</v>
      </c>
      <c r="F928" s="8">
        <v>83.312430000000006</v>
      </c>
      <c r="G928" s="22">
        <v>150</v>
      </c>
      <c r="H928" s="22">
        <v>-18</v>
      </c>
      <c r="I928" s="10">
        <f t="shared" si="282"/>
        <v>-5.4954255543470261</v>
      </c>
      <c r="J928" s="10">
        <f t="shared" si="272"/>
        <v>-9.5913269721590186E-2</v>
      </c>
      <c r="K928" s="10">
        <f t="shared" si="273"/>
        <v>21.096964869155499</v>
      </c>
      <c r="L928" s="22">
        <v>582</v>
      </c>
      <c r="M928" s="22" t="s">
        <v>39</v>
      </c>
      <c r="N928" s="7" t="s">
        <v>69</v>
      </c>
      <c r="O928" s="33" t="s">
        <v>65</v>
      </c>
      <c r="P928" s="33" t="s">
        <v>70</v>
      </c>
      <c r="Q928" s="7">
        <v>0.37</v>
      </c>
      <c r="R928" s="7" t="s">
        <v>71</v>
      </c>
      <c r="S928" s="30">
        <v>16.600000000000001</v>
      </c>
      <c r="T928" s="79">
        <f t="shared" si="281"/>
        <v>2.1642482400000006E-2</v>
      </c>
      <c r="U928" s="22">
        <v>11</v>
      </c>
      <c r="V928" s="22">
        <v>55</v>
      </c>
      <c r="W928" s="10">
        <f t="shared" si="283"/>
        <v>8.7266462599716474E-2</v>
      </c>
      <c r="X928" s="22">
        <v>5</v>
      </c>
      <c r="Y928" s="22">
        <v>18</v>
      </c>
      <c r="Z928" s="10">
        <f t="shared" si="275"/>
        <v>0.31415926535897931</v>
      </c>
      <c r="AA928" s="10">
        <f t="shared" si="276"/>
        <v>2.5037981420989768</v>
      </c>
      <c r="AB928" s="10">
        <f t="shared" si="277"/>
        <v>14.205545040696885</v>
      </c>
      <c r="AC928" s="10">
        <f t="shared" si="268"/>
        <v>1.7756931300871106</v>
      </c>
      <c r="AD928" s="10">
        <f t="shared" si="278"/>
        <v>7.1027725203484424</v>
      </c>
      <c r="AE928" s="65"/>
      <c r="AF928" s="10">
        <f t="shared" si="279"/>
        <v>76.713409448940496</v>
      </c>
      <c r="AG928" s="8">
        <f t="shared" si="269"/>
        <v>14.959114842543396</v>
      </c>
      <c r="AH928" s="10">
        <f t="shared" si="270"/>
        <v>38.356704724470248</v>
      </c>
      <c r="AI928" s="63"/>
      <c r="AJ928" s="10">
        <f t="shared" si="280"/>
        <v>109.79160000000002</v>
      </c>
      <c r="AK928" s="8"/>
      <c r="AL928" s="8">
        <f t="shared" si="271"/>
        <v>54.895800000000008</v>
      </c>
    </row>
    <row r="929" spans="1:38">
      <c r="A929" s="18">
        <v>41471</v>
      </c>
      <c r="B929" s="19" t="s">
        <v>141</v>
      </c>
      <c r="C929" s="12">
        <v>150.5</v>
      </c>
      <c r="D929" s="19" t="s">
        <v>80</v>
      </c>
      <c r="E929" s="8">
        <v>8.4093300000000006</v>
      </c>
      <c r="F929" s="8">
        <v>83.312430000000006</v>
      </c>
      <c r="G929" s="22">
        <v>150</v>
      </c>
      <c r="H929" s="22">
        <v>-18</v>
      </c>
      <c r="I929" s="10">
        <f t="shared" si="282"/>
        <v>-5.4954255543470261</v>
      </c>
      <c r="J929" s="10">
        <f t="shared" si="272"/>
        <v>-9.5913269721590186E-2</v>
      </c>
      <c r="K929" s="10">
        <f t="shared" si="273"/>
        <v>21.096964869155499</v>
      </c>
      <c r="L929" s="22">
        <v>7009</v>
      </c>
      <c r="M929" s="31" t="s">
        <v>231</v>
      </c>
      <c r="N929" s="8" t="s">
        <v>171</v>
      </c>
      <c r="O929" s="33" t="s">
        <v>99</v>
      </c>
      <c r="P929" s="33" t="s">
        <v>99</v>
      </c>
      <c r="Q929" s="7">
        <v>0.57999999999999996</v>
      </c>
      <c r="R929" s="7" t="s">
        <v>103</v>
      </c>
      <c r="S929" s="30">
        <v>24</v>
      </c>
      <c r="T929" s="79">
        <f t="shared" si="281"/>
        <v>4.5239040000000001E-2</v>
      </c>
      <c r="U929" s="22">
        <v>11</v>
      </c>
      <c r="V929" s="22">
        <v>60</v>
      </c>
      <c r="W929" s="10">
        <f t="shared" si="283"/>
        <v>0.12217304763960307</v>
      </c>
      <c r="X929" s="22">
        <v>7</v>
      </c>
      <c r="Y929" s="22">
        <v>17</v>
      </c>
      <c r="Z929" s="10">
        <f t="shared" si="275"/>
        <v>0.29670597283903605</v>
      </c>
      <c r="AA929" s="10">
        <f t="shared" si="276"/>
        <v>3.3871647105157798</v>
      </c>
      <c r="AB929" s="10">
        <f t="shared" si="277"/>
        <v>57.587378189544282</v>
      </c>
      <c r="AC929" s="10">
        <f t="shared" si="268"/>
        <v>7.1984222736930352</v>
      </c>
      <c r="AD929" s="10">
        <f t="shared" si="278"/>
        <v>28.793689094772141</v>
      </c>
      <c r="AE929" s="65"/>
      <c r="AF929" s="10">
        <f t="shared" si="279"/>
        <v>298.13876385934225</v>
      </c>
      <c r="AG929" s="8">
        <f t="shared" si="269"/>
        <v>58.137058952571742</v>
      </c>
      <c r="AH929" s="10">
        <f t="shared" si="270"/>
        <v>149.06938192967112</v>
      </c>
      <c r="AI929" s="63"/>
      <c r="AJ929" s="10">
        <f t="shared" si="280"/>
        <v>280.66499999999996</v>
      </c>
      <c r="AK929" s="8"/>
      <c r="AL929" s="8">
        <f t="shared" si="271"/>
        <v>140.33249999999998</v>
      </c>
    </row>
    <row r="930" spans="1:38">
      <c r="A930" s="18">
        <v>41471</v>
      </c>
      <c r="B930" s="19" t="s">
        <v>141</v>
      </c>
      <c r="C930" s="12">
        <v>150.5</v>
      </c>
      <c r="D930" s="19" t="s">
        <v>80</v>
      </c>
      <c r="E930" s="8">
        <v>8.4093300000000006</v>
      </c>
      <c r="F930" s="8">
        <v>83.312430000000006</v>
      </c>
      <c r="G930" s="22">
        <v>150</v>
      </c>
      <c r="H930" s="22">
        <v>-18</v>
      </c>
      <c r="I930" s="10">
        <f t="shared" si="282"/>
        <v>-5.4954255543470261</v>
      </c>
      <c r="J930" s="10">
        <f t="shared" si="272"/>
        <v>-9.5913269721590186E-2</v>
      </c>
      <c r="K930" s="10">
        <f t="shared" si="273"/>
        <v>21.096964869155499</v>
      </c>
      <c r="L930" s="22">
        <v>6000</v>
      </c>
      <c r="M930" s="31" t="s">
        <v>231</v>
      </c>
      <c r="N930" s="8" t="s">
        <v>171</v>
      </c>
      <c r="O930" s="33" t="s">
        <v>99</v>
      </c>
      <c r="P930" s="33" t="s">
        <v>99</v>
      </c>
      <c r="Q930" s="7">
        <v>0.57999999999999996</v>
      </c>
      <c r="R930" s="7" t="s">
        <v>103</v>
      </c>
      <c r="S930" s="30">
        <v>12.2</v>
      </c>
      <c r="T930" s="79">
        <f t="shared" si="281"/>
        <v>1.1689893599999999E-2</v>
      </c>
      <c r="U930" s="22">
        <v>16</v>
      </c>
      <c r="V930" s="22">
        <v>40</v>
      </c>
      <c r="W930" s="10">
        <f>RADIANS(V930)</f>
        <v>0.69813170079773179</v>
      </c>
      <c r="X930" s="22">
        <v>7</v>
      </c>
      <c r="Y930" s="22">
        <v>17</v>
      </c>
      <c r="Z930" s="10">
        <f t="shared" si="275"/>
        <v>0.29670597283903605</v>
      </c>
      <c r="AA930" s="10">
        <f t="shared" si="276"/>
        <v>12.331203688043786</v>
      </c>
      <c r="AB930" s="10">
        <f t="shared" si="277"/>
        <v>54.373296032147444</v>
      </c>
      <c r="AC930" s="10">
        <f t="shared" si="268"/>
        <v>6.7966620040184305</v>
      </c>
      <c r="AD930" s="10">
        <f t="shared" si="278"/>
        <v>27.186648016073722</v>
      </c>
      <c r="AE930" s="65"/>
      <c r="AF930" s="10">
        <f t="shared" si="279"/>
        <v>55.954180147410653</v>
      </c>
      <c r="AG930" s="8">
        <f t="shared" si="269"/>
        <v>10.911065128745078</v>
      </c>
      <c r="AH930" s="10">
        <f t="shared" si="270"/>
        <v>27.977090073705327</v>
      </c>
      <c r="AI930" s="63"/>
      <c r="AJ930" s="10">
        <f t="shared" si="280"/>
        <v>46.611999999999981</v>
      </c>
      <c r="AK930" s="8"/>
      <c r="AL930" s="8">
        <f t="shared" si="271"/>
        <v>23.30599999999999</v>
      </c>
    </row>
    <row r="931" spans="1:38">
      <c r="A931" s="18">
        <v>41471</v>
      </c>
      <c r="B931" s="19" t="s">
        <v>141</v>
      </c>
      <c r="C931" s="12">
        <v>150.5</v>
      </c>
      <c r="D931" s="19" t="s">
        <v>80</v>
      </c>
      <c r="E931" s="8">
        <v>8.4093300000000006</v>
      </c>
      <c r="F931" s="8">
        <v>83.312430000000006</v>
      </c>
      <c r="G931" s="22">
        <v>150</v>
      </c>
      <c r="H931" s="22">
        <v>-18</v>
      </c>
      <c r="I931" s="10">
        <f t="shared" si="282"/>
        <v>-5.4954255543470261</v>
      </c>
      <c r="J931" s="10">
        <f t="shared" si="272"/>
        <v>-9.5913269721590186E-2</v>
      </c>
      <c r="K931" s="10">
        <f t="shared" si="273"/>
        <v>21.096964869155499</v>
      </c>
      <c r="L931" s="22">
        <v>529</v>
      </c>
      <c r="M931" s="31" t="s">
        <v>231</v>
      </c>
      <c r="N931" s="8" t="s">
        <v>171</v>
      </c>
      <c r="O931" s="33" t="s">
        <v>99</v>
      </c>
      <c r="P931" s="33" t="s">
        <v>99</v>
      </c>
      <c r="Q931" s="7">
        <v>0.57999999999999996</v>
      </c>
      <c r="R931" s="7" t="s">
        <v>103</v>
      </c>
      <c r="S931" s="30">
        <v>18.100000000000001</v>
      </c>
      <c r="T931" s="79">
        <f t="shared" si="281"/>
        <v>2.5730489400000008E-2</v>
      </c>
      <c r="U931" s="22">
        <v>10</v>
      </c>
      <c r="V931" s="22">
        <v>55</v>
      </c>
      <c r="W931" s="10">
        <f>RADIANS(V931)</f>
        <v>0.95993108859688125</v>
      </c>
      <c r="X931" s="22">
        <v>6</v>
      </c>
      <c r="Y931" s="22">
        <v>19</v>
      </c>
      <c r="Z931" s="10">
        <f t="shared" si="275"/>
        <v>0.33161255787892263</v>
      </c>
      <c r="AA931" s="10">
        <f t="shared" si="276"/>
        <v>10.144929369632857</v>
      </c>
      <c r="AB931" s="10">
        <f t="shared" si="277"/>
        <v>95.015365225681833</v>
      </c>
      <c r="AC931" s="10">
        <f t="shared" si="268"/>
        <v>11.876920653210229</v>
      </c>
      <c r="AD931" s="10">
        <f t="shared" si="278"/>
        <v>47.507682612840917</v>
      </c>
      <c r="AE931" s="65"/>
      <c r="AF931" s="10">
        <f t="shared" si="279"/>
        <v>148.96436192781348</v>
      </c>
      <c r="AG931" s="8">
        <f t="shared" si="269"/>
        <v>29.048050575923632</v>
      </c>
      <c r="AH931" s="10">
        <f t="shared" si="270"/>
        <v>74.482180963906742</v>
      </c>
      <c r="AI931" s="63"/>
      <c r="AJ931" s="10">
        <f t="shared" si="280"/>
        <v>137.87910000000005</v>
      </c>
      <c r="AK931" s="8"/>
      <c r="AL931" s="8">
        <f t="shared" si="271"/>
        <v>68.939550000000025</v>
      </c>
    </row>
    <row r="932" spans="1:38">
      <c r="A932" s="18">
        <v>41471</v>
      </c>
      <c r="B932" s="19" t="s">
        <v>141</v>
      </c>
      <c r="C932" s="12">
        <v>150.5</v>
      </c>
      <c r="D932" s="19" t="s">
        <v>80</v>
      </c>
      <c r="E932" s="8">
        <v>8.4093300000000006</v>
      </c>
      <c r="F932" s="8">
        <v>83.312430000000006</v>
      </c>
      <c r="G932" s="22">
        <v>150</v>
      </c>
      <c r="H932" s="22">
        <v>-18</v>
      </c>
      <c r="I932" s="10">
        <f t="shared" si="282"/>
        <v>-5.4954255543470261</v>
      </c>
      <c r="J932" s="10">
        <f t="shared" si="272"/>
        <v>-9.5913269721590186E-2</v>
      </c>
      <c r="K932" s="10">
        <f t="shared" si="273"/>
        <v>21.096964869155499</v>
      </c>
      <c r="L932" s="22">
        <v>6037</v>
      </c>
      <c r="M932" s="31" t="s">
        <v>231</v>
      </c>
      <c r="N932" s="8" t="s">
        <v>171</v>
      </c>
      <c r="O932" s="33" t="s">
        <v>99</v>
      </c>
      <c r="P932" s="33" t="s">
        <v>99</v>
      </c>
      <c r="Q932" s="7">
        <v>0.57999999999999996</v>
      </c>
      <c r="R932" s="7" t="s">
        <v>103</v>
      </c>
      <c r="S932" s="30">
        <v>14.5</v>
      </c>
      <c r="T932" s="79">
        <f t="shared" si="281"/>
        <v>1.6513035000000002E-2</v>
      </c>
      <c r="U932" s="22">
        <v>10</v>
      </c>
      <c r="V932" s="22">
        <v>45</v>
      </c>
      <c r="W932" s="10">
        <f>RADIANS(V932)</f>
        <v>0.78539816339744828</v>
      </c>
      <c r="X932" s="22">
        <v>6</v>
      </c>
      <c r="Y932" s="22">
        <v>19</v>
      </c>
      <c r="Z932" s="10">
        <f t="shared" si="275"/>
        <v>0.33161255787892263</v>
      </c>
      <c r="AA932" s="10">
        <f t="shared" si="276"/>
        <v>9.0244767386084153</v>
      </c>
      <c r="AB932" s="10">
        <f t="shared" si="277"/>
        <v>56.098672898132612</v>
      </c>
      <c r="AC932" s="10">
        <f t="shared" si="268"/>
        <v>7.0123341122665765</v>
      </c>
      <c r="AD932" s="10">
        <f t="shared" si="278"/>
        <v>28.049336449066306</v>
      </c>
      <c r="AE932" s="65"/>
      <c r="AF932" s="10">
        <f t="shared" si="279"/>
        <v>85.970291822598611</v>
      </c>
      <c r="AG932" s="8">
        <f t="shared" si="269"/>
        <v>16.764206905406731</v>
      </c>
      <c r="AH932" s="10">
        <f t="shared" si="270"/>
        <v>42.985145911299306</v>
      </c>
      <c r="AI932" s="63"/>
      <c r="AJ932" s="10">
        <f t="shared" si="280"/>
        <v>76.063500000000005</v>
      </c>
      <c r="AK932" s="8"/>
      <c r="AL932" s="8">
        <f t="shared" si="271"/>
        <v>38.031750000000002</v>
      </c>
    </row>
    <row r="933" spans="1:38">
      <c r="A933" s="18">
        <v>41471</v>
      </c>
      <c r="B933" s="19" t="s">
        <v>141</v>
      </c>
      <c r="C933" s="12">
        <v>150.5</v>
      </c>
      <c r="D933" s="19" t="s">
        <v>80</v>
      </c>
      <c r="E933" s="8">
        <v>8.4093300000000006</v>
      </c>
      <c r="F933" s="8">
        <v>83.312430000000006</v>
      </c>
      <c r="G933" s="22">
        <v>150</v>
      </c>
      <c r="H933" s="22">
        <v>-18</v>
      </c>
      <c r="I933" s="10">
        <f t="shared" si="282"/>
        <v>-5.4954255543470261</v>
      </c>
      <c r="J933" s="10">
        <f t="shared" si="272"/>
        <v>-9.5913269721590186E-2</v>
      </c>
      <c r="K933" s="10">
        <f t="shared" si="273"/>
        <v>21.096964869155499</v>
      </c>
      <c r="L933" s="22">
        <v>6009</v>
      </c>
      <c r="M933" s="22" t="s">
        <v>107</v>
      </c>
      <c r="N933" s="22" t="s">
        <v>63</v>
      </c>
      <c r="O933" s="10" t="s">
        <v>108</v>
      </c>
      <c r="P933" s="15" t="s">
        <v>92</v>
      </c>
      <c r="Q933" s="8">
        <v>0.57999999999999996</v>
      </c>
      <c r="R933" s="22" t="s">
        <v>190</v>
      </c>
      <c r="S933" s="30">
        <v>7.2</v>
      </c>
      <c r="T933" s="79">
        <f t="shared" si="281"/>
        <v>4.0715136000000008E-3</v>
      </c>
      <c r="U933" s="22">
        <v>8</v>
      </c>
      <c r="V933" s="22">
        <v>59</v>
      </c>
      <c r="W933" s="10">
        <f>RADIANS(V933)</f>
        <v>1.0297442586766545</v>
      </c>
      <c r="X933" s="22">
        <v>5</v>
      </c>
      <c r="Y933" s="22">
        <v>16</v>
      </c>
      <c r="Z933" s="10">
        <f t="shared" si="275"/>
        <v>0.27925268031909273</v>
      </c>
      <c r="AA933" s="10">
        <f t="shared" si="276"/>
        <v>8.2355251847018938</v>
      </c>
      <c r="AB933" s="10">
        <f t="shared" si="277"/>
        <v>13.804444980509103</v>
      </c>
      <c r="AC933" s="10">
        <f t="shared" si="268"/>
        <v>1.7255556225636379</v>
      </c>
      <c r="AD933" s="10">
        <f t="shared" si="278"/>
        <v>6.9022224902545517</v>
      </c>
      <c r="AE933" s="65"/>
      <c r="AF933" s="10">
        <f t="shared" si="279"/>
        <v>15.11153727154236</v>
      </c>
      <c r="AG933" s="8">
        <f t="shared" si="269"/>
        <v>2.9467497679507604</v>
      </c>
      <c r="AH933" s="10">
        <f t="shared" si="270"/>
        <v>7.5557686357711802</v>
      </c>
      <c r="AI933" s="63"/>
      <c r="AJ933" s="10">
        <f t="shared" si="280"/>
        <v>9.5969999999999978</v>
      </c>
      <c r="AK933" s="8"/>
      <c r="AL933" s="8">
        <f t="shared" si="271"/>
        <v>4.7984999999999989</v>
      </c>
    </row>
    <row r="934" spans="1:38">
      <c r="A934" s="18">
        <v>41472</v>
      </c>
      <c r="B934" s="19" t="s">
        <v>132</v>
      </c>
      <c r="C934" s="12">
        <v>200.1</v>
      </c>
      <c r="D934" s="9" t="s">
        <v>80</v>
      </c>
      <c r="E934" s="8">
        <v>8.4097399999999993</v>
      </c>
      <c r="F934" s="8">
        <v>83.312539999999998</v>
      </c>
      <c r="G934" s="22">
        <v>200</v>
      </c>
      <c r="H934" s="22">
        <v>-17</v>
      </c>
      <c r="I934" s="10">
        <f t="shared" si="282"/>
        <v>-5.8255767953622053</v>
      </c>
      <c r="J934" s="10">
        <f t="shared" si="272"/>
        <v>-0.1016754959068504</v>
      </c>
      <c r="K934" s="10">
        <f t="shared" ref="K934:K964" si="284">21/COS(J934)</f>
        <v>21.109017558230889</v>
      </c>
      <c r="L934" s="22">
        <v>6624</v>
      </c>
      <c r="M934" s="22" t="s">
        <v>202</v>
      </c>
      <c r="N934" s="28" t="s">
        <v>111</v>
      </c>
      <c r="O934" s="10" t="s">
        <v>112</v>
      </c>
      <c r="P934" s="10" t="s">
        <v>113</v>
      </c>
      <c r="Q934" s="22">
        <v>0.51</v>
      </c>
      <c r="R934" s="59" t="s">
        <v>190</v>
      </c>
      <c r="S934" s="30">
        <v>16.5</v>
      </c>
      <c r="T934" s="79">
        <f t="shared" si="281"/>
        <v>2.1382515000000001E-2</v>
      </c>
      <c r="U934" s="22">
        <v>6</v>
      </c>
      <c r="V934" s="22">
        <v>47</v>
      </c>
      <c r="W934" s="10">
        <f t="shared" ref="W934:W961" si="285">RADIANS(V934)</f>
        <v>0.82030474843733492</v>
      </c>
      <c r="X934" s="22">
        <v>7</v>
      </c>
      <c r="Y934" s="22">
        <v>-2</v>
      </c>
      <c r="Z934" s="10">
        <f t="shared" ref="Z934:Z961" si="286">RADIANS(Y934)</f>
        <v>-3.4906585039886591E-2</v>
      </c>
      <c r="AA934" s="10">
        <f t="shared" ref="AA934:AA961" si="287">(SIN(W934)*U934)+(SIN(Z934)*X934)</f>
        <v>4.1438257327975165</v>
      </c>
      <c r="AB934" s="10">
        <f t="shared" ref="AB934:AB961" si="288">0.0776*(Q934*S934^2*AA934)^0.94</f>
        <v>30.493332963232628</v>
      </c>
      <c r="AC934" s="10">
        <f t="shared" si="268"/>
        <v>3.8116666204040786</v>
      </c>
      <c r="AD934" s="10">
        <f t="shared" si="278"/>
        <v>15.246666481616314</v>
      </c>
      <c r="AE934" s="65"/>
      <c r="AF934" s="10">
        <f t="shared" si="279"/>
        <v>104.168721782083</v>
      </c>
      <c r="AG934" s="8">
        <f t="shared" si="269"/>
        <v>20.312900747506184</v>
      </c>
      <c r="AH934" s="10">
        <f t="shared" si="270"/>
        <v>52.084360891041499</v>
      </c>
      <c r="AI934" s="63"/>
      <c r="AJ934" s="10">
        <f t="shared" si="280"/>
        <v>108.03749999999999</v>
      </c>
      <c r="AK934" s="8"/>
      <c r="AL934" s="8">
        <f t="shared" si="271"/>
        <v>54.018749999999997</v>
      </c>
    </row>
    <row r="935" spans="1:38">
      <c r="A935" s="18">
        <v>41472</v>
      </c>
      <c r="B935" s="19" t="s">
        <v>132</v>
      </c>
      <c r="C935" s="12">
        <v>200.1</v>
      </c>
      <c r="D935" s="19" t="s">
        <v>80</v>
      </c>
      <c r="E935" s="8">
        <v>8.4097399999999993</v>
      </c>
      <c r="F935" s="8">
        <v>83.312539999999998</v>
      </c>
      <c r="G935" s="22">
        <v>200</v>
      </c>
      <c r="H935" s="22">
        <v>-17</v>
      </c>
      <c r="I935" s="10">
        <f t="shared" si="282"/>
        <v>-5.8255767953622053</v>
      </c>
      <c r="J935" s="10">
        <f t="shared" si="272"/>
        <v>-0.1016754959068504</v>
      </c>
      <c r="K935" s="10">
        <f t="shared" si="284"/>
        <v>21.109017558230889</v>
      </c>
      <c r="L935" s="22">
        <v>6005</v>
      </c>
      <c r="M935" s="22" t="s">
        <v>107</v>
      </c>
      <c r="N935" s="22" t="s">
        <v>63</v>
      </c>
      <c r="O935" s="10" t="s">
        <v>108</v>
      </c>
      <c r="P935" s="15" t="s">
        <v>92</v>
      </c>
      <c r="Q935" s="8">
        <v>0.57999999999999996</v>
      </c>
      <c r="R935" s="22" t="s">
        <v>190</v>
      </c>
      <c r="S935" s="30">
        <v>19.5</v>
      </c>
      <c r="T935" s="79">
        <f t="shared" si="281"/>
        <v>2.9864835000000003E-2</v>
      </c>
      <c r="U935" s="22">
        <v>8</v>
      </c>
      <c r="V935" s="22">
        <v>69</v>
      </c>
      <c r="W935" s="10">
        <f t="shared" si="285"/>
        <v>1.2042771838760873</v>
      </c>
      <c r="X935" s="22">
        <v>5</v>
      </c>
      <c r="Y935" s="22">
        <v>1</v>
      </c>
      <c r="Z935" s="10">
        <f t="shared" si="286"/>
        <v>1.7453292519943295E-2</v>
      </c>
      <c r="AA935" s="10">
        <f t="shared" si="287"/>
        <v>7.5559054441640319</v>
      </c>
      <c r="AB935" s="10">
        <f t="shared" si="288"/>
        <v>82.858759705658301</v>
      </c>
      <c r="AC935" s="10">
        <f t="shared" si="268"/>
        <v>10.357344963207288</v>
      </c>
      <c r="AD935" s="10">
        <f t="shared" si="278"/>
        <v>41.42937985282915</v>
      </c>
      <c r="AE935" s="65"/>
      <c r="AF935" s="10">
        <f t="shared" si="279"/>
        <v>179.04825111833995</v>
      </c>
      <c r="AG935" s="8">
        <f t="shared" si="269"/>
        <v>34.914408968076295</v>
      </c>
      <c r="AH935" s="10">
        <f t="shared" si="270"/>
        <v>89.524125559169974</v>
      </c>
      <c r="AI935" s="63"/>
      <c r="AJ935" s="10">
        <f t="shared" si="280"/>
        <v>167.09849999999997</v>
      </c>
      <c r="AK935" s="8"/>
      <c r="AL935" s="8">
        <f t="shared" si="271"/>
        <v>83.549249999999986</v>
      </c>
    </row>
    <row r="936" spans="1:38">
      <c r="A936" s="18">
        <v>41472</v>
      </c>
      <c r="B936" s="19" t="s">
        <v>132</v>
      </c>
      <c r="C936" s="12">
        <v>200.1</v>
      </c>
      <c r="D936" s="19" t="s">
        <v>80</v>
      </c>
      <c r="E936" s="8">
        <v>8.4097399999999993</v>
      </c>
      <c r="F936" s="8">
        <v>83.312539999999998</v>
      </c>
      <c r="G936" s="22">
        <v>200</v>
      </c>
      <c r="H936" s="22">
        <v>-17</v>
      </c>
      <c r="I936" s="10">
        <f t="shared" si="282"/>
        <v>-5.8255767953622053</v>
      </c>
      <c r="J936" s="10">
        <f t="shared" si="272"/>
        <v>-0.1016754959068504</v>
      </c>
      <c r="K936" s="10">
        <f t="shared" si="284"/>
        <v>21.109017558230889</v>
      </c>
      <c r="L936" s="22">
        <v>6008</v>
      </c>
      <c r="M936" s="22" t="s">
        <v>145</v>
      </c>
      <c r="N936" s="8" t="s">
        <v>104</v>
      </c>
      <c r="O936" s="10" t="s">
        <v>204</v>
      </c>
      <c r="P936" s="15" t="s">
        <v>92</v>
      </c>
      <c r="Q936" s="8">
        <v>0.39</v>
      </c>
      <c r="R936" s="22" t="s">
        <v>190</v>
      </c>
      <c r="S936" s="30">
        <v>52.3</v>
      </c>
      <c r="T936" s="79">
        <f t="shared" si="281"/>
        <v>0.21482967659999996</v>
      </c>
      <c r="U936" s="22">
        <v>11</v>
      </c>
      <c r="V936" s="22">
        <v>74</v>
      </c>
      <c r="W936" s="10">
        <f t="shared" si="285"/>
        <v>1.2915436464758039</v>
      </c>
      <c r="X936" s="22">
        <v>6</v>
      </c>
      <c r="Y936" s="22">
        <v>-5</v>
      </c>
      <c r="Z936" s="10">
        <f t="shared" si="286"/>
        <v>-8.7266462599716474E-2</v>
      </c>
      <c r="AA936" s="10">
        <f t="shared" si="287"/>
        <v>10.050944198835559</v>
      </c>
      <c r="AB936" s="10">
        <f t="shared" si="288"/>
        <v>476.78224811937838</v>
      </c>
      <c r="AC936" s="10">
        <f t="shared" si="268"/>
        <v>59.597781014922298</v>
      </c>
      <c r="AD936" s="10">
        <f t="shared" si="278"/>
        <v>238.39112405968919</v>
      </c>
      <c r="AE936" s="65"/>
      <c r="AF936" s="10">
        <f t="shared" si="279"/>
        <v>1279.7179925653461</v>
      </c>
      <c r="AG936" s="8">
        <f t="shared" si="269"/>
        <v>249.5450085502425</v>
      </c>
      <c r="AH936" s="10">
        <f t="shared" si="270"/>
        <v>639.85899628267305</v>
      </c>
      <c r="AI936" s="63"/>
      <c r="AJ936" s="10">
        <f t="shared" si="280"/>
        <v>1681.7696999999996</v>
      </c>
      <c r="AK936" s="8"/>
      <c r="AL936" s="8">
        <f t="shared" si="271"/>
        <v>840.8848499999998</v>
      </c>
    </row>
    <row r="937" spans="1:38">
      <c r="A937" s="18">
        <v>41472</v>
      </c>
      <c r="B937" s="19" t="s">
        <v>132</v>
      </c>
      <c r="C937" s="12">
        <v>200.1</v>
      </c>
      <c r="D937" s="19" t="s">
        <v>80</v>
      </c>
      <c r="E937" s="8">
        <v>8.4097399999999993</v>
      </c>
      <c r="F937" s="8">
        <v>83.312539999999998</v>
      </c>
      <c r="G937" s="22">
        <v>200</v>
      </c>
      <c r="H937" s="22">
        <v>-17</v>
      </c>
      <c r="I937" s="10">
        <f t="shared" si="282"/>
        <v>-5.8255767953622053</v>
      </c>
      <c r="J937" s="10">
        <f t="shared" si="272"/>
        <v>-0.1016754959068504</v>
      </c>
      <c r="K937" s="10">
        <f t="shared" si="284"/>
        <v>21.109017558230889</v>
      </c>
      <c r="L937" s="22">
        <v>558</v>
      </c>
      <c r="M937" s="22" t="s">
        <v>54</v>
      </c>
      <c r="N937" s="8" t="s">
        <v>55</v>
      </c>
      <c r="O937" s="10" t="s">
        <v>56</v>
      </c>
      <c r="P937" s="10" t="s">
        <v>57</v>
      </c>
      <c r="Q937" s="11">
        <v>0.315</v>
      </c>
      <c r="R937" s="12" t="s">
        <v>66</v>
      </c>
      <c r="S937" s="30">
        <v>8.9</v>
      </c>
      <c r="T937" s="79">
        <f t="shared" si="281"/>
        <v>6.2211534000000011E-3</v>
      </c>
      <c r="U937" s="22">
        <v>11</v>
      </c>
      <c r="V937" s="22">
        <v>49</v>
      </c>
      <c r="W937" s="10">
        <f t="shared" si="285"/>
        <v>0.85521133347722145</v>
      </c>
      <c r="X937" s="22">
        <v>6</v>
      </c>
      <c r="Y937" s="22">
        <v>19</v>
      </c>
      <c r="Z937" s="10">
        <f t="shared" si="286"/>
        <v>0.33161255787892263</v>
      </c>
      <c r="AA937" s="10">
        <f t="shared" si="287"/>
        <v>10.255214309193432</v>
      </c>
      <c r="AB937" s="10">
        <f t="shared" si="288"/>
        <v>14.236882816620835</v>
      </c>
      <c r="AC937" s="10">
        <f t="shared" si="268"/>
        <v>1.7796103520776043</v>
      </c>
      <c r="AD937" s="10">
        <f t="shared" si="278"/>
        <v>7.1184414083104173</v>
      </c>
      <c r="AE937" s="65"/>
      <c r="AF937" s="10">
        <f t="shared" si="279"/>
        <v>13.871843029611503</v>
      </c>
      <c r="AG937" s="8">
        <f t="shared" si="269"/>
        <v>2.7050093907742432</v>
      </c>
      <c r="AH937" s="10">
        <f t="shared" si="270"/>
        <v>6.9359215148057514</v>
      </c>
      <c r="AI937" s="63"/>
      <c r="AJ937" s="10">
        <f t="shared" si="280"/>
        <v>18.03070000000001</v>
      </c>
      <c r="AK937" s="8"/>
      <c r="AL937" s="8">
        <f t="shared" si="271"/>
        <v>9.0153500000000051</v>
      </c>
    </row>
    <row r="938" spans="1:38">
      <c r="A938" s="18">
        <v>41472</v>
      </c>
      <c r="B938" s="19" t="s">
        <v>132</v>
      </c>
      <c r="C938" s="12">
        <v>200.1</v>
      </c>
      <c r="D938" s="19" t="s">
        <v>80</v>
      </c>
      <c r="E938" s="8">
        <v>8.4097399999999993</v>
      </c>
      <c r="F938" s="8">
        <v>83.312539999999998</v>
      </c>
      <c r="G938" s="22">
        <v>200</v>
      </c>
      <c r="H938" s="22">
        <v>-17</v>
      </c>
      <c r="I938" s="10">
        <f t="shared" si="282"/>
        <v>-5.8255767953622053</v>
      </c>
      <c r="J938" s="10">
        <f t="shared" si="272"/>
        <v>-0.1016754959068504</v>
      </c>
      <c r="K938" s="10">
        <f t="shared" si="284"/>
        <v>21.109017558230889</v>
      </c>
      <c r="L938" s="22">
        <v>6023</v>
      </c>
      <c r="M938" s="22" t="s">
        <v>107</v>
      </c>
      <c r="N938" s="22" t="s">
        <v>63</v>
      </c>
      <c r="O938" s="10" t="s">
        <v>108</v>
      </c>
      <c r="P938" s="15" t="s">
        <v>92</v>
      </c>
      <c r="Q938" s="8">
        <v>0.57999999999999996</v>
      </c>
      <c r="R938" s="22" t="s">
        <v>190</v>
      </c>
      <c r="S938" s="30">
        <v>29</v>
      </c>
      <c r="T938" s="79">
        <f t="shared" si="281"/>
        <v>6.6052140000000009E-2</v>
      </c>
      <c r="U938" s="22">
        <v>12</v>
      </c>
      <c r="V938" s="22">
        <v>57</v>
      </c>
      <c r="W938" s="10">
        <f t="shared" si="285"/>
        <v>0.99483767363676789</v>
      </c>
      <c r="X938" s="22">
        <v>7</v>
      </c>
      <c r="Y938" s="22">
        <v>11</v>
      </c>
      <c r="Z938" s="10">
        <f t="shared" si="286"/>
        <v>0.19198621771937624</v>
      </c>
      <c r="AA938" s="10">
        <f t="shared" si="287"/>
        <v>11.399709782980903</v>
      </c>
      <c r="AB938" s="10">
        <f t="shared" si="288"/>
        <v>257.20087316964054</v>
      </c>
      <c r="AC938" s="10">
        <f t="shared" si="268"/>
        <v>32.150109146205068</v>
      </c>
      <c r="AD938" s="10">
        <f t="shared" si="278"/>
        <v>128.60043658482027</v>
      </c>
      <c r="AE938" s="65"/>
      <c r="AF938" s="10">
        <f t="shared" si="279"/>
        <v>472.36315118469616</v>
      </c>
      <c r="AG938" s="8">
        <f t="shared" si="269"/>
        <v>92.110814481015751</v>
      </c>
      <c r="AH938" s="10">
        <f t="shared" si="270"/>
        <v>236.18157559234808</v>
      </c>
      <c r="AI938" s="63"/>
      <c r="AJ938" s="10">
        <f t="shared" si="280"/>
        <v>442</v>
      </c>
      <c r="AK938" s="8"/>
      <c r="AL938" s="8">
        <f t="shared" si="271"/>
        <v>221</v>
      </c>
    </row>
    <row r="939" spans="1:38">
      <c r="A939" s="18">
        <v>41472</v>
      </c>
      <c r="B939" s="19" t="s">
        <v>132</v>
      </c>
      <c r="C939" s="12">
        <v>200.1</v>
      </c>
      <c r="D939" s="19" t="s">
        <v>80</v>
      </c>
      <c r="E939" s="8">
        <v>8.4097399999999993</v>
      </c>
      <c r="F939" s="8">
        <v>83.312539999999998</v>
      </c>
      <c r="G939" s="22">
        <v>200</v>
      </c>
      <c r="H939" s="22">
        <v>-17</v>
      </c>
      <c r="I939" s="10">
        <f t="shared" si="282"/>
        <v>-5.8255767953622053</v>
      </c>
      <c r="J939" s="10">
        <f t="shared" si="272"/>
        <v>-0.1016754959068504</v>
      </c>
      <c r="K939" s="10">
        <f t="shared" si="284"/>
        <v>21.109017558230889</v>
      </c>
      <c r="L939" s="22">
        <v>7022</v>
      </c>
      <c r="M939" s="22" t="s">
        <v>54</v>
      </c>
      <c r="N939" s="8" t="s">
        <v>55</v>
      </c>
      <c r="O939" s="10" t="s">
        <v>56</v>
      </c>
      <c r="P939" s="10" t="s">
        <v>57</v>
      </c>
      <c r="Q939" s="11">
        <v>0.315</v>
      </c>
      <c r="R939" s="12" t="s">
        <v>66</v>
      </c>
      <c r="S939" s="30">
        <v>6.8</v>
      </c>
      <c r="T939" s="79">
        <f t="shared" si="281"/>
        <v>3.6316895999999998E-3</v>
      </c>
      <c r="U939" s="22">
        <v>10</v>
      </c>
      <c r="V939" s="22">
        <v>41</v>
      </c>
      <c r="W939" s="10">
        <f t="shared" si="285"/>
        <v>0.71558499331767511</v>
      </c>
      <c r="X939" s="22">
        <v>6</v>
      </c>
      <c r="Y939" s="22">
        <v>18</v>
      </c>
      <c r="Z939" s="10">
        <f t="shared" si="286"/>
        <v>0.31415926535897931</v>
      </c>
      <c r="AA939" s="10">
        <f t="shared" si="287"/>
        <v>8.4146922561547566</v>
      </c>
      <c r="AB939" s="10">
        <f t="shared" si="288"/>
        <v>7.1273213607040073</v>
      </c>
      <c r="AC939" s="10">
        <f t="shared" si="268"/>
        <v>0.89091517008800092</v>
      </c>
      <c r="AD939" s="10">
        <f t="shared" si="278"/>
        <v>3.5636606803520037</v>
      </c>
      <c r="AE939" s="65"/>
      <c r="AF939" s="10">
        <f t="shared" si="279"/>
        <v>7.1280014482980558</v>
      </c>
      <c r="AG939" s="8">
        <f t="shared" si="269"/>
        <v>1.389960282418121</v>
      </c>
      <c r="AH939" s="10">
        <f t="shared" si="270"/>
        <v>3.5640007241490279</v>
      </c>
      <c r="AI939" s="63"/>
      <c r="AJ939" s="10">
        <f t="shared" si="280"/>
        <v>8.2341999999999977</v>
      </c>
      <c r="AK939" s="8"/>
      <c r="AL939" s="8">
        <f t="shared" si="271"/>
        <v>4.1170999999999989</v>
      </c>
    </row>
    <row r="940" spans="1:38">
      <c r="A940" s="18">
        <v>41472</v>
      </c>
      <c r="B940" s="19" t="s">
        <v>132</v>
      </c>
      <c r="C940" s="12">
        <v>200.1</v>
      </c>
      <c r="D940" s="19" t="s">
        <v>80</v>
      </c>
      <c r="E940" s="8">
        <v>8.4097399999999993</v>
      </c>
      <c r="F940" s="8">
        <v>83.312539999999998</v>
      </c>
      <c r="G940" s="22">
        <v>200</v>
      </c>
      <c r="H940" s="22">
        <v>-17</v>
      </c>
      <c r="I940" s="10">
        <f t="shared" si="282"/>
        <v>-5.8255767953622053</v>
      </c>
      <c r="J940" s="10">
        <f t="shared" si="272"/>
        <v>-0.1016754959068504</v>
      </c>
      <c r="K940" s="10">
        <f t="shared" si="284"/>
        <v>21.109017558230889</v>
      </c>
      <c r="L940" s="22">
        <v>7019</v>
      </c>
      <c r="M940" s="31" t="s">
        <v>231</v>
      </c>
      <c r="N940" s="8" t="s">
        <v>171</v>
      </c>
      <c r="O940" s="33" t="s">
        <v>99</v>
      </c>
      <c r="P940" s="33" t="s">
        <v>99</v>
      </c>
      <c r="Q940" s="7">
        <v>0.57999999999999996</v>
      </c>
      <c r="R940" s="7" t="s">
        <v>103</v>
      </c>
      <c r="S940" s="30">
        <v>7.5</v>
      </c>
      <c r="T940" s="79">
        <f t="shared" si="281"/>
        <v>4.4178749999999999E-3</v>
      </c>
      <c r="U940" s="22">
        <v>9</v>
      </c>
      <c r="V940" s="22">
        <v>24</v>
      </c>
      <c r="W940" s="10">
        <f t="shared" si="285"/>
        <v>0.41887902047863912</v>
      </c>
      <c r="X940" s="22">
        <v>6</v>
      </c>
      <c r="Y940" s="22">
        <v>24</v>
      </c>
      <c r="Z940" s="10">
        <f t="shared" si="286"/>
        <v>0.41887902047863912</v>
      </c>
      <c r="AA940" s="10">
        <f t="shared" si="287"/>
        <v>6.1010496461370032</v>
      </c>
      <c r="AB940" s="10">
        <f t="shared" si="288"/>
        <v>11.242929718950348</v>
      </c>
      <c r="AC940" s="10">
        <f t="shared" si="268"/>
        <v>1.4053662148687935</v>
      </c>
      <c r="AD940" s="10">
        <f t="shared" si="278"/>
        <v>5.6214648594751742</v>
      </c>
      <c r="AE940" s="65"/>
      <c r="AF940" s="10">
        <f t="shared" si="279"/>
        <v>16.714951918920377</v>
      </c>
      <c r="AG940" s="8">
        <f t="shared" si="269"/>
        <v>3.2594156241894736</v>
      </c>
      <c r="AH940" s="10">
        <f t="shared" si="270"/>
        <v>8.3574759594601886</v>
      </c>
      <c r="AI940" s="63"/>
      <c r="AJ940" s="10">
        <f t="shared" si="280"/>
        <v>10.7745</v>
      </c>
      <c r="AK940" s="8"/>
      <c r="AL940" s="8">
        <f t="shared" si="271"/>
        <v>5.3872499999999999</v>
      </c>
    </row>
    <row r="941" spans="1:38">
      <c r="A941" s="18">
        <v>41472</v>
      </c>
      <c r="B941" s="19" t="s">
        <v>132</v>
      </c>
      <c r="C941" s="12">
        <v>200.1</v>
      </c>
      <c r="D941" s="19" t="s">
        <v>80</v>
      </c>
      <c r="E941" s="8">
        <v>8.4097399999999993</v>
      </c>
      <c r="F941" s="8">
        <v>83.312539999999998</v>
      </c>
      <c r="G941" s="22">
        <v>200</v>
      </c>
      <c r="H941" s="22">
        <v>-17</v>
      </c>
      <c r="I941" s="10">
        <f t="shared" si="282"/>
        <v>-5.8255767953622053</v>
      </c>
      <c r="J941" s="10">
        <f t="shared" si="272"/>
        <v>-0.1016754959068504</v>
      </c>
      <c r="K941" s="10">
        <f t="shared" si="284"/>
        <v>21.109017558230889</v>
      </c>
      <c r="L941" s="22">
        <v>6026</v>
      </c>
      <c r="M941" s="31" t="s">
        <v>231</v>
      </c>
      <c r="N941" s="8" t="s">
        <v>171</v>
      </c>
      <c r="O941" s="33" t="s">
        <v>99</v>
      </c>
      <c r="P941" s="33" t="s">
        <v>99</v>
      </c>
      <c r="Q941" s="7">
        <v>0.57999999999999996</v>
      </c>
      <c r="R941" s="7" t="s">
        <v>103</v>
      </c>
      <c r="S941" s="30">
        <v>7</v>
      </c>
      <c r="T941" s="79">
        <f t="shared" si="281"/>
        <v>3.8484600000000002E-3</v>
      </c>
      <c r="U941" s="22">
        <v>7</v>
      </c>
      <c r="V941" s="22">
        <v>24</v>
      </c>
      <c r="W941" s="10">
        <f t="shared" si="285"/>
        <v>0.41887902047863912</v>
      </c>
      <c r="X941" s="22">
        <v>5</v>
      </c>
      <c r="Y941" s="22">
        <v>28</v>
      </c>
      <c r="Z941" s="10">
        <f t="shared" si="286"/>
        <v>0.48869219055841229</v>
      </c>
      <c r="AA941" s="10">
        <f t="shared" si="287"/>
        <v>5.1945143154600562</v>
      </c>
      <c r="AB941" s="10">
        <f t="shared" si="288"/>
        <v>8.4894704514110231</v>
      </c>
      <c r="AC941" s="10">
        <f t="shared" si="268"/>
        <v>1.0611838064263779</v>
      </c>
      <c r="AD941" s="10">
        <f t="shared" si="278"/>
        <v>4.2447352257055115</v>
      </c>
      <c r="AE941" s="65"/>
      <c r="AF941" s="10">
        <f t="shared" si="279"/>
        <v>14.096751983193448</v>
      </c>
      <c r="AG941" s="8">
        <f t="shared" si="269"/>
        <v>2.7488666367227226</v>
      </c>
      <c r="AH941" s="10">
        <f t="shared" si="270"/>
        <v>7.0483759915967239</v>
      </c>
      <c r="AI941" s="63"/>
      <c r="AJ941" s="10">
        <f t="shared" si="280"/>
        <v>8.8859999999999992</v>
      </c>
      <c r="AK941" s="8"/>
      <c r="AL941" s="8">
        <f t="shared" si="271"/>
        <v>4.4429999999999996</v>
      </c>
    </row>
    <row r="942" spans="1:38">
      <c r="A942" s="18">
        <v>41472</v>
      </c>
      <c r="B942" s="19" t="s">
        <v>132</v>
      </c>
      <c r="C942" s="12">
        <v>200.1</v>
      </c>
      <c r="D942" s="19" t="s">
        <v>80</v>
      </c>
      <c r="E942" s="8">
        <v>8.4097399999999993</v>
      </c>
      <c r="F942" s="8">
        <v>83.312539999999998</v>
      </c>
      <c r="G942" s="22">
        <v>200</v>
      </c>
      <c r="H942" s="22">
        <v>-17</v>
      </c>
      <c r="I942" s="10">
        <f t="shared" si="282"/>
        <v>-5.8255767953622053</v>
      </c>
      <c r="J942" s="10">
        <f t="shared" si="272"/>
        <v>-0.1016754959068504</v>
      </c>
      <c r="K942" s="10">
        <f t="shared" si="284"/>
        <v>21.109017558230889</v>
      </c>
      <c r="L942" s="22">
        <v>496</v>
      </c>
      <c r="M942" s="31" t="s">
        <v>124</v>
      </c>
      <c r="N942" s="8" t="s">
        <v>167</v>
      </c>
      <c r="O942" s="10" t="s">
        <v>188</v>
      </c>
      <c r="P942" s="10" t="s">
        <v>189</v>
      </c>
      <c r="Q942" s="22">
        <v>0.47</v>
      </c>
      <c r="R942" s="22" t="s">
        <v>190</v>
      </c>
      <c r="S942" s="30">
        <v>9.6</v>
      </c>
      <c r="T942" s="79">
        <f t="shared" si="281"/>
        <v>7.2382464000000004E-3</v>
      </c>
      <c r="U942" s="22">
        <v>5</v>
      </c>
      <c r="V942" s="22">
        <v>31</v>
      </c>
      <c r="W942" s="10">
        <f t="shared" si="285"/>
        <v>0.54105206811824214</v>
      </c>
      <c r="X942" s="22">
        <v>5</v>
      </c>
      <c r="Y942" s="22">
        <v>26</v>
      </c>
      <c r="Z942" s="10">
        <f t="shared" si="286"/>
        <v>0.4537856055185257</v>
      </c>
      <c r="AA942" s="10">
        <f t="shared" si="287"/>
        <v>4.7670461084956575</v>
      </c>
      <c r="AB942" s="10">
        <f t="shared" si="288"/>
        <v>11.637455070109242</v>
      </c>
      <c r="AC942" s="10">
        <f t="shared" si="268"/>
        <v>1.4546818837636553</v>
      </c>
      <c r="AD942" s="10">
        <f t="shared" si="278"/>
        <v>5.818727535054621</v>
      </c>
      <c r="AE942" s="65"/>
      <c r="AF942" s="10">
        <f t="shared" si="279"/>
        <v>24.9798335945469</v>
      </c>
      <c r="AG942" s="8">
        <f t="shared" si="269"/>
        <v>4.8710675509366457</v>
      </c>
      <c r="AH942" s="10">
        <f t="shared" si="270"/>
        <v>12.48991679727345</v>
      </c>
      <c r="AI942" s="63"/>
      <c r="AJ942" s="10">
        <f t="shared" si="280"/>
        <v>22.746599999999987</v>
      </c>
      <c r="AK942" s="8"/>
      <c r="AL942" s="8">
        <f t="shared" si="271"/>
        <v>11.373299999999993</v>
      </c>
    </row>
    <row r="943" spans="1:38">
      <c r="A943" s="18">
        <v>41472</v>
      </c>
      <c r="B943" s="19" t="s">
        <v>132</v>
      </c>
      <c r="C943" s="12">
        <v>200.1</v>
      </c>
      <c r="D943" s="19" t="s">
        <v>80</v>
      </c>
      <c r="E943" s="8">
        <v>8.4097399999999993</v>
      </c>
      <c r="F943" s="8">
        <v>83.312539999999998</v>
      </c>
      <c r="G943" s="22">
        <v>200</v>
      </c>
      <c r="H943" s="22">
        <v>-17</v>
      </c>
      <c r="I943" s="10">
        <f t="shared" si="282"/>
        <v>-5.8255767953622053</v>
      </c>
      <c r="J943" s="10">
        <f t="shared" si="272"/>
        <v>-0.1016754959068504</v>
      </c>
      <c r="K943" s="10">
        <f t="shared" si="284"/>
        <v>21.109017558230889</v>
      </c>
      <c r="L943" s="22">
        <v>6029</v>
      </c>
      <c r="M943" s="22" t="s">
        <v>96</v>
      </c>
      <c r="N943" s="8" t="s">
        <v>69</v>
      </c>
      <c r="O943" s="58" t="s">
        <v>65</v>
      </c>
      <c r="P943" s="10" t="s">
        <v>102</v>
      </c>
      <c r="Q943" s="22">
        <v>0.48</v>
      </c>
      <c r="R943" s="22" t="s">
        <v>190</v>
      </c>
      <c r="S943" s="30">
        <v>9.5</v>
      </c>
      <c r="T943" s="79">
        <f t="shared" si="281"/>
        <v>7.088235E-3</v>
      </c>
      <c r="U943" s="22">
        <v>7</v>
      </c>
      <c r="V943" s="22">
        <v>32</v>
      </c>
      <c r="W943" s="10">
        <f t="shared" si="285"/>
        <v>0.55850536063818546</v>
      </c>
      <c r="X943" s="22">
        <v>6</v>
      </c>
      <c r="Y943" s="22">
        <v>17</v>
      </c>
      <c r="Z943" s="10">
        <f t="shared" si="286"/>
        <v>0.29670597283903605</v>
      </c>
      <c r="AA943" s="10">
        <f t="shared" si="287"/>
        <v>5.4636650779688551</v>
      </c>
      <c r="AB943" s="10">
        <f t="shared" si="288"/>
        <v>13.230732455475801</v>
      </c>
      <c r="AC943" s="10">
        <f t="shared" si="268"/>
        <v>1.6538415569344751</v>
      </c>
      <c r="AD943" s="10">
        <f t="shared" si="278"/>
        <v>6.6153662277379004</v>
      </c>
      <c r="AE943" s="65"/>
      <c r="AF943" s="10">
        <f t="shared" si="279"/>
        <v>24.856059444331692</v>
      </c>
      <c r="AG943" s="8">
        <f t="shared" si="269"/>
        <v>4.8469315916446805</v>
      </c>
      <c r="AH943" s="10">
        <f t="shared" si="270"/>
        <v>12.428029722165846</v>
      </c>
      <c r="AI943" s="63"/>
      <c r="AJ943" s="10">
        <f t="shared" si="280"/>
        <v>22.028499999999994</v>
      </c>
      <c r="AK943" s="8"/>
      <c r="AL943" s="8">
        <f t="shared" si="271"/>
        <v>11.014249999999997</v>
      </c>
    </row>
    <row r="944" spans="1:38">
      <c r="A944" s="18">
        <v>41472</v>
      </c>
      <c r="B944" s="19" t="s">
        <v>132</v>
      </c>
      <c r="C944" s="12">
        <v>200.1</v>
      </c>
      <c r="D944" s="19" t="s">
        <v>80</v>
      </c>
      <c r="E944" s="8">
        <v>8.4097399999999993</v>
      </c>
      <c r="F944" s="8">
        <v>83.312539999999998</v>
      </c>
      <c r="G944" s="22">
        <v>200</v>
      </c>
      <c r="H944" s="22">
        <v>-17</v>
      </c>
      <c r="I944" s="10">
        <f t="shared" si="282"/>
        <v>-5.8255767953622053</v>
      </c>
      <c r="J944" s="10">
        <f t="shared" si="272"/>
        <v>-0.1016754959068504</v>
      </c>
      <c r="K944" s="10">
        <f t="shared" si="284"/>
        <v>21.109017558230889</v>
      </c>
      <c r="L944" s="22">
        <v>578</v>
      </c>
      <c r="M944" s="31" t="s">
        <v>231</v>
      </c>
      <c r="N944" s="8" t="s">
        <v>171</v>
      </c>
      <c r="O944" s="33" t="s">
        <v>99</v>
      </c>
      <c r="P944" s="33" t="s">
        <v>99</v>
      </c>
      <c r="Q944" s="7">
        <v>0.57999999999999996</v>
      </c>
      <c r="R944" s="7" t="s">
        <v>103</v>
      </c>
      <c r="S944" s="30">
        <v>9.1999999999999993</v>
      </c>
      <c r="T944" s="79">
        <f t="shared" si="281"/>
        <v>6.6476255999999992E-3</v>
      </c>
      <c r="U944" s="22">
        <v>7</v>
      </c>
      <c r="V944" s="22">
        <v>33</v>
      </c>
      <c r="W944" s="10">
        <f t="shared" si="285"/>
        <v>0.57595865315812877</v>
      </c>
      <c r="X944" s="22">
        <v>5</v>
      </c>
      <c r="Y944" s="22">
        <v>11</v>
      </c>
      <c r="Z944" s="10">
        <f t="shared" si="286"/>
        <v>0.19198621771937624</v>
      </c>
      <c r="AA944" s="10">
        <f t="shared" si="287"/>
        <v>4.7665182219879139</v>
      </c>
      <c r="AB944" s="10">
        <f t="shared" si="288"/>
        <v>13.089237044274713</v>
      </c>
      <c r="AC944" s="10">
        <f t="shared" si="268"/>
        <v>1.6361546305343391</v>
      </c>
      <c r="AD944" s="10">
        <f t="shared" si="278"/>
        <v>6.5446185221373563</v>
      </c>
      <c r="AE944" s="65"/>
      <c r="AF944" s="10">
        <f t="shared" si="279"/>
        <v>27.73319160415701</v>
      </c>
      <c r="AG944" s="8">
        <f t="shared" si="269"/>
        <v>5.4079723628106171</v>
      </c>
      <c r="AH944" s="10">
        <f t="shared" si="270"/>
        <v>13.866595802078505</v>
      </c>
      <c r="AI944" s="63"/>
      <c r="AJ944" s="10">
        <f t="shared" si="280"/>
        <v>19.962999999999994</v>
      </c>
      <c r="AK944" s="8"/>
      <c r="AL944" s="8">
        <f t="shared" si="271"/>
        <v>9.9814999999999969</v>
      </c>
    </row>
    <row r="945" spans="1:38">
      <c r="A945" s="18">
        <v>41472</v>
      </c>
      <c r="B945" s="19" t="s">
        <v>132</v>
      </c>
      <c r="C945" s="12">
        <v>200.1</v>
      </c>
      <c r="D945" s="19" t="s">
        <v>80</v>
      </c>
      <c r="E945" s="8">
        <v>8.4097399999999993</v>
      </c>
      <c r="F945" s="8">
        <v>83.312539999999998</v>
      </c>
      <c r="G945" s="22">
        <v>200</v>
      </c>
      <c r="H945" s="22">
        <v>-17</v>
      </c>
      <c r="I945" s="10">
        <f t="shared" si="282"/>
        <v>-5.8255767953622053</v>
      </c>
      <c r="J945" s="10">
        <f t="shared" si="272"/>
        <v>-0.1016754959068504</v>
      </c>
      <c r="K945" s="10">
        <f t="shared" si="284"/>
        <v>21.109017558230889</v>
      </c>
      <c r="L945" s="22">
        <v>6019</v>
      </c>
      <c r="M945" s="22" t="s">
        <v>201</v>
      </c>
      <c r="N945" s="8" t="s">
        <v>198</v>
      </c>
      <c r="O945" s="10" t="s">
        <v>99</v>
      </c>
      <c r="P945" s="10" t="s">
        <v>99</v>
      </c>
      <c r="Q945" s="24">
        <v>0.59</v>
      </c>
      <c r="R945" s="22" t="s">
        <v>190</v>
      </c>
      <c r="S945" s="30">
        <v>12.2</v>
      </c>
      <c r="T945" s="79">
        <f t="shared" si="281"/>
        <v>1.1689893599999999E-2</v>
      </c>
      <c r="U945" s="22">
        <v>6</v>
      </c>
      <c r="V945" s="22">
        <v>27</v>
      </c>
      <c r="W945" s="10">
        <f t="shared" si="285"/>
        <v>0.47123889803846897</v>
      </c>
      <c r="X945" s="22">
        <v>5</v>
      </c>
      <c r="Y945" s="22">
        <v>9</v>
      </c>
      <c r="Z945" s="10">
        <f t="shared" si="286"/>
        <v>0.15707963267948966</v>
      </c>
      <c r="AA945" s="10">
        <f t="shared" si="287"/>
        <v>3.5061153236384346</v>
      </c>
      <c r="AB945" s="10">
        <f t="shared" si="288"/>
        <v>16.941650529785193</v>
      </c>
      <c r="AC945" s="10">
        <f t="shared" ref="AC945:AC1006" si="289">AB945*0.125</f>
        <v>2.1177063162231491</v>
      </c>
      <c r="AD945" s="10">
        <f t="shared" si="278"/>
        <v>8.4708252648925964</v>
      </c>
      <c r="AE945" s="65"/>
      <c r="AF945" s="10">
        <f t="shared" si="279"/>
        <v>56.91890739133153</v>
      </c>
      <c r="AG945" s="8">
        <f t="shared" ref="AG945:AG1006" si="290">AF945*0.195</f>
        <v>11.099186941309648</v>
      </c>
      <c r="AH945" s="10">
        <f t="shared" ref="AH945:AH1006" si="291">AF945/2</f>
        <v>28.459453695665765</v>
      </c>
      <c r="AI945" s="63"/>
      <c r="AJ945" s="10">
        <f t="shared" si="280"/>
        <v>46.611999999999981</v>
      </c>
      <c r="AK945" s="8"/>
      <c r="AL945" s="8">
        <f t="shared" ref="AL945:AL1006" si="292">AJ945/2</f>
        <v>23.30599999999999</v>
      </c>
    </row>
    <row r="946" spans="1:38">
      <c r="A946" s="18">
        <v>41472</v>
      </c>
      <c r="B946" s="19" t="s">
        <v>132</v>
      </c>
      <c r="C946" s="12">
        <v>200.1</v>
      </c>
      <c r="D946" s="19" t="s">
        <v>80</v>
      </c>
      <c r="E946" s="8">
        <v>8.4097399999999993</v>
      </c>
      <c r="F946" s="8">
        <v>83.312539999999998</v>
      </c>
      <c r="G946" s="22">
        <v>200</v>
      </c>
      <c r="H946" s="22">
        <v>-17</v>
      </c>
      <c r="I946" s="10">
        <f t="shared" si="282"/>
        <v>-5.8255767953622053</v>
      </c>
      <c r="J946" s="10">
        <f t="shared" si="272"/>
        <v>-0.1016754959068504</v>
      </c>
      <c r="K946" s="10">
        <f t="shared" si="284"/>
        <v>21.109017558230889</v>
      </c>
      <c r="L946" s="22">
        <v>564</v>
      </c>
      <c r="M946" s="22" t="s">
        <v>107</v>
      </c>
      <c r="N946" s="22" t="s">
        <v>63</v>
      </c>
      <c r="O946" s="10" t="s">
        <v>108</v>
      </c>
      <c r="P946" s="15" t="s">
        <v>92</v>
      </c>
      <c r="Q946" s="8">
        <v>0.57999999999999996</v>
      </c>
      <c r="R946" s="22" t="s">
        <v>190</v>
      </c>
      <c r="S946" s="30">
        <v>5.8</v>
      </c>
      <c r="T946" s="79">
        <f t="shared" si="281"/>
        <v>2.6420856E-3</v>
      </c>
      <c r="U946" s="22">
        <v>7</v>
      </c>
      <c r="V946" s="22">
        <v>50</v>
      </c>
      <c r="W946" s="10">
        <f t="shared" si="285"/>
        <v>0.87266462599716477</v>
      </c>
      <c r="X946" s="22">
        <v>5</v>
      </c>
      <c r="Y946" s="22">
        <v>4</v>
      </c>
      <c r="Z946" s="10">
        <f t="shared" si="286"/>
        <v>6.9813170079773182E-2</v>
      </c>
      <c r="AA946" s="10">
        <f t="shared" si="287"/>
        <v>5.7110934705534726</v>
      </c>
      <c r="AB946" s="10">
        <f t="shared" si="288"/>
        <v>6.5169557944801584</v>
      </c>
      <c r="AC946" s="10">
        <f t="shared" si="289"/>
        <v>0.8146194743100198</v>
      </c>
      <c r="AD946" s="10">
        <f t="shared" si="278"/>
        <v>3.2584778972400792</v>
      </c>
      <c r="AE946" s="65"/>
      <c r="AF946" s="10">
        <f t="shared" si="279"/>
        <v>8.880329081877802</v>
      </c>
      <c r="AG946" s="8">
        <f t="shared" si="290"/>
        <v>1.7316641709661715</v>
      </c>
      <c r="AH946" s="10">
        <f t="shared" si="291"/>
        <v>4.440164540938901</v>
      </c>
      <c r="AI946" s="63"/>
      <c r="AJ946" s="10">
        <f t="shared" si="280"/>
        <v>5.8632000000000026</v>
      </c>
      <c r="AK946" s="8"/>
      <c r="AL946" s="8">
        <f t="shared" si="292"/>
        <v>2.9316000000000013</v>
      </c>
    </row>
    <row r="947" spans="1:38">
      <c r="A947" s="18">
        <v>41472</v>
      </c>
      <c r="B947" s="19" t="s">
        <v>132</v>
      </c>
      <c r="C947" s="12">
        <v>200.1</v>
      </c>
      <c r="D947" s="19" t="s">
        <v>80</v>
      </c>
      <c r="E947" s="8">
        <v>8.4097399999999993</v>
      </c>
      <c r="F947" s="8">
        <v>83.312539999999998</v>
      </c>
      <c r="G947" s="22">
        <v>200</v>
      </c>
      <c r="H947" s="22">
        <v>-17</v>
      </c>
      <c r="I947" s="10">
        <f t="shared" si="282"/>
        <v>-5.8255767953622053</v>
      </c>
      <c r="J947" s="10">
        <f t="shared" si="272"/>
        <v>-0.1016754959068504</v>
      </c>
      <c r="K947" s="10">
        <f t="shared" si="284"/>
        <v>21.109017558230889</v>
      </c>
      <c r="L947" s="22">
        <v>6034</v>
      </c>
      <c r="M947" s="22" t="s">
        <v>96</v>
      </c>
      <c r="N947" s="8" t="s">
        <v>69</v>
      </c>
      <c r="O947" s="58" t="s">
        <v>65</v>
      </c>
      <c r="P947" s="10" t="s">
        <v>102</v>
      </c>
      <c r="Q947" s="22">
        <v>0.48</v>
      </c>
      <c r="R947" s="22" t="s">
        <v>190</v>
      </c>
      <c r="S947" s="30">
        <v>11.3</v>
      </c>
      <c r="T947" s="79">
        <f t="shared" si="281"/>
        <v>1.0028772600000001E-2</v>
      </c>
      <c r="U947" s="22">
        <v>11</v>
      </c>
      <c r="V947" s="22">
        <v>62</v>
      </c>
      <c r="W947" s="10">
        <f t="shared" si="285"/>
        <v>1.0821041362364843</v>
      </c>
      <c r="X947" s="22">
        <v>5</v>
      </c>
      <c r="Y947" s="22">
        <v>2</v>
      </c>
      <c r="Z947" s="10">
        <f t="shared" si="286"/>
        <v>3.4906585039886591E-2</v>
      </c>
      <c r="AA947" s="10">
        <f t="shared" si="287"/>
        <v>9.8869210049607013</v>
      </c>
      <c r="AB947" s="10">
        <f t="shared" si="288"/>
        <v>32.016463494169464</v>
      </c>
      <c r="AC947" s="10">
        <f t="shared" si="289"/>
        <v>4.002057936771183</v>
      </c>
      <c r="AD947" s="10">
        <f t="shared" si="278"/>
        <v>16.008231747084732</v>
      </c>
      <c r="AE947" s="65"/>
      <c r="AF947" s="10">
        <f t="shared" si="279"/>
        <v>38.267801490919226</v>
      </c>
      <c r="AG947" s="8">
        <f t="shared" si="290"/>
        <v>7.4622212907292491</v>
      </c>
      <c r="AH947" s="10">
        <f t="shared" si="291"/>
        <v>19.133900745459613</v>
      </c>
      <c r="AI947" s="63"/>
      <c r="AJ947" s="10">
        <f t="shared" si="280"/>
        <v>37.218699999999998</v>
      </c>
      <c r="AK947" s="8"/>
      <c r="AL947" s="8">
        <f t="shared" si="292"/>
        <v>18.609349999999999</v>
      </c>
    </row>
    <row r="948" spans="1:38">
      <c r="A948" s="18">
        <v>41472</v>
      </c>
      <c r="B948" s="19" t="s">
        <v>132</v>
      </c>
      <c r="C948" s="12">
        <v>200.1</v>
      </c>
      <c r="D948" s="19" t="s">
        <v>80</v>
      </c>
      <c r="E948" s="8">
        <v>8.4097399999999993</v>
      </c>
      <c r="F948" s="8">
        <v>83.312539999999998</v>
      </c>
      <c r="G948" s="22">
        <v>200</v>
      </c>
      <c r="H948" s="22">
        <v>-17</v>
      </c>
      <c r="I948" s="10">
        <f t="shared" si="282"/>
        <v>-5.8255767953622053</v>
      </c>
      <c r="J948" s="10">
        <f t="shared" si="272"/>
        <v>-0.1016754959068504</v>
      </c>
      <c r="K948" s="10">
        <f t="shared" si="284"/>
        <v>21.109017558230889</v>
      </c>
      <c r="L948" s="22">
        <v>536</v>
      </c>
      <c r="M948" s="22" t="s">
        <v>252</v>
      </c>
      <c r="N948" s="8" t="s">
        <v>198</v>
      </c>
      <c r="O948" s="10" t="s">
        <v>226</v>
      </c>
      <c r="P948" s="10" t="s">
        <v>227</v>
      </c>
      <c r="Q948" s="22">
        <v>0.54</v>
      </c>
      <c r="R948" s="22" t="s">
        <v>190</v>
      </c>
      <c r="S948" s="30">
        <v>9.1999999999999993</v>
      </c>
      <c r="T948" s="79">
        <f t="shared" si="281"/>
        <v>6.6476255999999992E-3</v>
      </c>
      <c r="U948" s="22">
        <v>9</v>
      </c>
      <c r="V948" s="22">
        <v>63</v>
      </c>
      <c r="W948" s="10">
        <f t="shared" si="285"/>
        <v>1.0995574287564276</v>
      </c>
      <c r="X948" s="22">
        <v>5</v>
      </c>
      <c r="Y948" s="22">
        <v>1</v>
      </c>
      <c r="Z948" s="10">
        <f t="shared" si="286"/>
        <v>1.7453292519943295E-2</v>
      </c>
      <c r="AA948" s="10">
        <f t="shared" si="287"/>
        <v>8.1063207498817285</v>
      </c>
      <c r="AB948" s="10">
        <f t="shared" si="288"/>
        <v>20.16170833038931</v>
      </c>
      <c r="AC948" s="10">
        <f t="shared" si="289"/>
        <v>2.5202135412986637</v>
      </c>
      <c r="AD948" s="10">
        <f t="shared" si="278"/>
        <v>10.080854165194655</v>
      </c>
      <c r="AE948" s="65"/>
      <c r="AF948" s="10">
        <f t="shared" si="279"/>
        <v>25.820557700422047</v>
      </c>
      <c r="AG948" s="8">
        <f t="shared" si="290"/>
        <v>5.035008751582299</v>
      </c>
      <c r="AH948" s="10">
        <f t="shared" si="291"/>
        <v>12.910278850211023</v>
      </c>
      <c r="AI948" s="63"/>
      <c r="AJ948" s="10">
        <f t="shared" si="280"/>
        <v>19.962999999999994</v>
      </c>
      <c r="AK948" s="8"/>
      <c r="AL948" s="8">
        <f t="shared" si="292"/>
        <v>9.9814999999999969</v>
      </c>
    </row>
    <row r="949" spans="1:38">
      <c r="A949" s="18">
        <v>41472</v>
      </c>
      <c r="B949" s="19" t="s">
        <v>132</v>
      </c>
      <c r="C949" s="12">
        <v>200.1</v>
      </c>
      <c r="D949" s="19" t="s">
        <v>80</v>
      </c>
      <c r="E949" s="8">
        <v>8.4097399999999993</v>
      </c>
      <c r="F949" s="8">
        <v>83.312539999999998</v>
      </c>
      <c r="G949" s="22">
        <v>200</v>
      </c>
      <c r="H949" s="22">
        <v>-17</v>
      </c>
      <c r="I949" s="10">
        <f t="shared" si="282"/>
        <v>-5.8255767953622053</v>
      </c>
      <c r="J949" s="10">
        <f t="shared" si="272"/>
        <v>-0.1016754959068504</v>
      </c>
      <c r="K949" s="10">
        <f t="shared" si="284"/>
        <v>21.109017558230889</v>
      </c>
      <c r="L949" s="22">
        <v>583</v>
      </c>
      <c r="M949" s="22" t="s">
        <v>39</v>
      </c>
      <c r="N949" s="7" t="s">
        <v>69</v>
      </c>
      <c r="O949" s="33" t="s">
        <v>65</v>
      </c>
      <c r="P949" s="33" t="s">
        <v>70</v>
      </c>
      <c r="Q949" s="7">
        <v>0.37</v>
      </c>
      <c r="R949" s="7" t="s">
        <v>71</v>
      </c>
      <c r="S949" s="30">
        <v>7</v>
      </c>
      <c r="T949" s="79">
        <f t="shared" si="281"/>
        <v>3.8484600000000002E-3</v>
      </c>
      <c r="U949" s="22">
        <v>9</v>
      </c>
      <c r="V949" s="22">
        <v>47</v>
      </c>
      <c r="W949" s="10">
        <f t="shared" si="285"/>
        <v>0.82030474843733492</v>
      </c>
      <c r="X949" s="22">
        <v>6</v>
      </c>
      <c r="Y949" s="22">
        <v>1</v>
      </c>
      <c r="Z949" s="10">
        <f t="shared" si="286"/>
        <v>1.7453292519943295E-2</v>
      </c>
      <c r="AA949" s="10">
        <f t="shared" si="287"/>
        <v>6.6868977531962353</v>
      </c>
      <c r="AB949" s="10">
        <f t="shared" si="288"/>
        <v>7.0545100867610255</v>
      </c>
      <c r="AC949" s="10">
        <f t="shared" si="289"/>
        <v>0.88181376084512819</v>
      </c>
      <c r="AD949" s="10">
        <f t="shared" si="278"/>
        <v>3.5272550433805128</v>
      </c>
      <c r="AE949" s="65"/>
      <c r="AF949" s="10">
        <f t="shared" si="279"/>
        <v>8.9927555754854769</v>
      </c>
      <c r="AG949" s="8">
        <f t="shared" si="290"/>
        <v>1.753587337219668</v>
      </c>
      <c r="AH949" s="10">
        <f t="shared" si="291"/>
        <v>4.4963777877427384</v>
      </c>
      <c r="AI949" s="63"/>
      <c r="AJ949" s="10">
        <f t="shared" si="280"/>
        <v>8.8859999999999992</v>
      </c>
      <c r="AK949" s="8"/>
      <c r="AL949" s="8">
        <f t="shared" si="292"/>
        <v>4.4429999999999996</v>
      </c>
    </row>
    <row r="950" spans="1:38">
      <c r="A950" s="18">
        <v>41472</v>
      </c>
      <c r="B950" s="19" t="s">
        <v>132</v>
      </c>
      <c r="C950" s="12">
        <v>200.1</v>
      </c>
      <c r="D950" s="19" t="s">
        <v>80</v>
      </c>
      <c r="E950" s="8">
        <v>8.4097399999999993</v>
      </c>
      <c r="F950" s="8">
        <v>83.312539999999998</v>
      </c>
      <c r="G950" s="22">
        <v>200</v>
      </c>
      <c r="H950" s="22">
        <v>-17</v>
      </c>
      <c r="I950" s="10">
        <f t="shared" si="282"/>
        <v>-5.8255767953622053</v>
      </c>
      <c r="J950" s="10">
        <f t="shared" si="272"/>
        <v>-0.1016754959068504</v>
      </c>
      <c r="K950" s="10">
        <f t="shared" si="284"/>
        <v>21.109017558230889</v>
      </c>
      <c r="L950" s="22">
        <v>7029</v>
      </c>
      <c r="M950" s="31" t="s">
        <v>231</v>
      </c>
      <c r="N950" s="8" t="s">
        <v>171</v>
      </c>
      <c r="O950" s="33" t="s">
        <v>99</v>
      </c>
      <c r="P950" s="33" t="s">
        <v>99</v>
      </c>
      <c r="Q950" s="7">
        <v>0.57999999999999996</v>
      </c>
      <c r="R950" s="7" t="s">
        <v>103</v>
      </c>
      <c r="S950" s="30">
        <v>29</v>
      </c>
      <c r="T950" s="79">
        <f t="shared" si="281"/>
        <v>6.6052140000000009E-2</v>
      </c>
      <c r="U950" s="22">
        <v>13</v>
      </c>
      <c r="V950" s="22">
        <v>73</v>
      </c>
      <c r="W950" s="10">
        <f t="shared" si="285"/>
        <v>1.2740903539558606</v>
      </c>
      <c r="X950" s="22">
        <v>5</v>
      </c>
      <c r="Y950" s="22">
        <v>-1</v>
      </c>
      <c r="Z950" s="10">
        <f t="shared" si="286"/>
        <v>-1.7453292519943295E-2</v>
      </c>
      <c r="AA950" s="10">
        <f t="shared" si="287"/>
        <v>12.344699795333042</v>
      </c>
      <c r="AB950" s="10">
        <f t="shared" si="288"/>
        <v>277.19409366868643</v>
      </c>
      <c r="AC950" s="10">
        <f t="shared" si="289"/>
        <v>34.649261708585804</v>
      </c>
      <c r="AD950" s="10">
        <f t="shared" si="278"/>
        <v>138.59704683434322</v>
      </c>
      <c r="AE950" s="65"/>
      <c r="AF950" s="10">
        <f t="shared" si="279"/>
        <v>472.36315118469616</v>
      </c>
      <c r="AG950" s="8">
        <f t="shared" si="290"/>
        <v>92.110814481015751</v>
      </c>
      <c r="AH950" s="10">
        <f t="shared" si="291"/>
        <v>236.18157559234808</v>
      </c>
      <c r="AI950" s="63"/>
      <c r="AJ950" s="10">
        <f t="shared" si="280"/>
        <v>442</v>
      </c>
      <c r="AK950" s="8"/>
      <c r="AL950" s="8">
        <f t="shared" si="292"/>
        <v>221</v>
      </c>
    </row>
    <row r="951" spans="1:38">
      <c r="A951" s="18">
        <v>41472</v>
      </c>
      <c r="B951" s="19" t="s">
        <v>132</v>
      </c>
      <c r="C951" s="12">
        <v>200.1</v>
      </c>
      <c r="D951" s="19" t="s">
        <v>80</v>
      </c>
      <c r="E951" s="8">
        <v>8.4097399999999993</v>
      </c>
      <c r="F951" s="8">
        <v>83.312539999999998</v>
      </c>
      <c r="G951" s="22">
        <v>200</v>
      </c>
      <c r="H951" s="22">
        <v>-17</v>
      </c>
      <c r="I951" s="10">
        <f t="shared" si="282"/>
        <v>-5.8255767953622053</v>
      </c>
      <c r="J951" s="10">
        <f t="shared" si="272"/>
        <v>-0.1016754959068504</v>
      </c>
      <c r="K951" s="10">
        <f t="shared" si="284"/>
        <v>21.109017558230889</v>
      </c>
      <c r="L951" s="22">
        <v>566</v>
      </c>
      <c r="M951" s="22" t="s">
        <v>72</v>
      </c>
      <c r="N951" s="22" t="s">
        <v>93</v>
      </c>
      <c r="O951" s="10" t="s">
        <v>91</v>
      </c>
      <c r="P951" s="15" t="s">
        <v>92</v>
      </c>
      <c r="Q951" s="8">
        <v>0.48</v>
      </c>
      <c r="R951" s="22" t="s">
        <v>190</v>
      </c>
      <c r="S951" s="30">
        <v>6.7</v>
      </c>
      <c r="T951" s="79">
        <f t="shared" si="281"/>
        <v>3.5256606000000001E-3</v>
      </c>
      <c r="U951" s="22">
        <v>9</v>
      </c>
      <c r="V951" s="22">
        <v>51</v>
      </c>
      <c r="W951" s="10">
        <f t="shared" si="285"/>
        <v>0.89011791851710809</v>
      </c>
      <c r="X951" s="22">
        <v>5</v>
      </c>
      <c r="Y951" s="22">
        <v>1</v>
      </c>
      <c r="Z951" s="10">
        <f t="shared" si="286"/>
        <v>1.7453292519943295E-2</v>
      </c>
      <c r="AA951" s="10">
        <f t="shared" si="287"/>
        <v>7.081575685299156</v>
      </c>
      <c r="AB951" s="10">
        <f t="shared" si="288"/>
        <v>8.7573200202606287</v>
      </c>
      <c r="AC951" s="10">
        <f t="shared" si="289"/>
        <v>1.0946650025325786</v>
      </c>
      <c r="AD951" s="10">
        <f t="shared" si="278"/>
        <v>4.3786600101303144</v>
      </c>
      <c r="AE951" s="65"/>
      <c r="AF951" s="10">
        <f t="shared" si="279"/>
        <v>10.472496571251954</v>
      </c>
      <c r="AG951" s="8">
        <f t="shared" si="290"/>
        <v>2.042136831394131</v>
      </c>
      <c r="AH951" s="10">
        <f t="shared" si="291"/>
        <v>5.2362482856259769</v>
      </c>
      <c r="AI951" s="63"/>
      <c r="AJ951" s="10">
        <f t="shared" si="280"/>
        <v>7.9304999999999986</v>
      </c>
      <c r="AK951" s="8"/>
      <c r="AL951" s="8">
        <f t="shared" si="292"/>
        <v>3.9652499999999993</v>
      </c>
    </row>
    <row r="952" spans="1:38">
      <c r="A952" s="18">
        <v>41472</v>
      </c>
      <c r="B952" s="19" t="s">
        <v>132</v>
      </c>
      <c r="C952" s="12">
        <v>200.1</v>
      </c>
      <c r="D952" s="19" t="s">
        <v>80</v>
      </c>
      <c r="E952" s="8">
        <v>8.4097399999999993</v>
      </c>
      <c r="F952" s="8">
        <v>83.312539999999998</v>
      </c>
      <c r="G952" s="22">
        <v>200</v>
      </c>
      <c r="H952" s="22">
        <v>-17</v>
      </c>
      <c r="I952" s="10">
        <f t="shared" si="282"/>
        <v>-5.8255767953622053</v>
      </c>
      <c r="J952" s="10">
        <f t="shared" ref="J952:J1013" si="293">RADIANS(I952)</f>
        <v>-0.1016754959068504</v>
      </c>
      <c r="K952" s="10">
        <f t="shared" si="284"/>
        <v>21.109017558230889</v>
      </c>
      <c r="L952" s="22">
        <v>7025</v>
      </c>
      <c r="M952" s="31" t="s">
        <v>231</v>
      </c>
      <c r="N952" s="8" t="s">
        <v>171</v>
      </c>
      <c r="O952" s="33" t="s">
        <v>99</v>
      </c>
      <c r="P952" s="33" t="s">
        <v>99</v>
      </c>
      <c r="Q952" s="7">
        <v>0.57999999999999996</v>
      </c>
      <c r="R952" s="7" t="s">
        <v>103</v>
      </c>
      <c r="S952" s="30">
        <v>25.6</v>
      </c>
      <c r="T952" s="79">
        <f t="shared" si="281"/>
        <v>5.1471974400000009E-2</v>
      </c>
      <c r="U952" s="22">
        <v>14</v>
      </c>
      <c r="V952" s="22">
        <v>59</v>
      </c>
      <c r="W952" s="10">
        <f t="shared" si="285"/>
        <v>1.0297442586766545</v>
      </c>
      <c r="X952" s="22">
        <v>6</v>
      </c>
      <c r="Y952" s="22">
        <v>2</v>
      </c>
      <c r="Z952" s="10">
        <f t="shared" si="286"/>
        <v>3.4906585039886591E-2</v>
      </c>
      <c r="AA952" s="10">
        <f t="shared" si="287"/>
        <v>12.209739190044578</v>
      </c>
      <c r="AB952" s="10">
        <f t="shared" si="288"/>
        <v>217.00971366464219</v>
      </c>
      <c r="AC952" s="10">
        <f t="shared" si="289"/>
        <v>27.126214208080274</v>
      </c>
      <c r="AD952" s="10">
        <f t="shared" si="278"/>
        <v>108.5048568323211</v>
      </c>
      <c r="AE952" s="65"/>
      <c r="AF952" s="10">
        <f t="shared" si="279"/>
        <v>348.99169394682104</v>
      </c>
      <c r="AG952" s="8">
        <f t="shared" si="290"/>
        <v>68.053380319630108</v>
      </c>
      <c r="AH952" s="10">
        <f t="shared" si="291"/>
        <v>174.49584697341052</v>
      </c>
      <c r="AI952" s="63"/>
      <c r="AJ952" s="10">
        <f t="shared" si="280"/>
        <v>328.26660000000004</v>
      </c>
      <c r="AK952" s="8"/>
      <c r="AL952" s="8">
        <f t="shared" si="292"/>
        <v>164.13330000000002</v>
      </c>
    </row>
    <row r="953" spans="1:38">
      <c r="A953" s="18">
        <v>41472</v>
      </c>
      <c r="B953" s="19" t="s">
        <v>132</v>
      </c>
      <c r="C953" s="12">
        <v>200.1</v>
      </c>
      <c r="D953" s="19" t="s">
        <v>80</v>
      </c>
      <c r="E953" s="8">
        <v>8.4097399999999993</v>
      </c>
      <c r="F953" s="8">
        <v>83.312539999999998</v>
      </c>
      <c r="G953" s="22">
        <v>200</v>
      </c>
      <c r="H953" s="22">
        <v>-17</v>
      </c>
      <c r="I953" s="10">
        <f t="shared" si="282"/>
        <v>-5.8255767953622053</v>
      </c>
      <c r="J953" s="10">
        <f t="shared" si="293"/>
        <v>-0.1016754959068504</v>
      </c>
      <c r="K953" s="10">
        <f t="shared" si="284"/>
        <v>21.109017558230889</v>
      </c>
      <c r="L953" s="22">
        <v>7012</v>
      </c>
      <c r="M953" s="31" t="s">
        <v>231</v>
      </c>
      <c r="N953" s="8" t="s">
        <v>171</v>
      </c>
      <c r="O953" s="33" t="s">
        <v>99</v>
      </c>
      <c r="P953" s="33" t="s">
        <v>99</v>
      </c>
      <c r="Q953" s="7">
        <v>0.57999999999999996</v>
      </c>
      <c r="R953" s="7" t="s">
        <v>103</v>
      </c>
      <c r="S953" s="30">
        <v>26.6</v>
      </c>
      <c r="T953" s="79">
        <f t="shared" si="281"/>
        <v>5.5571762400000009E-2</v>
      </c>
      <c r="U953" s="22">
        <v>13</v>
      </c>
      <c r="V953" s="22">
        <v>67</v>
      </c>
      <c r="W953" s="10">
        <f t="shared" si="285"/>
        <v>1.1693705988362009</v>
      </c>
      <c r="X953" s="22">
        <v>7</v>
      </c>
      <c r="Y953" s="22">
        <v>9</v>
      </c>
      <c r="Z953" s="10">
        <f t="shared" si="286"/>
        <v>0.15707963267948966</v>
      </c>
      <c r="AA953" s="10">
        <f t="shared" si="287"/>
        <v>13.061604350163341</v>
      </c>
      <c r="AB953" s="10">
        <f t="shared" si="288"/>
        <v>248.48389440763066</v>
      </c>
      <c r="AC953" s="10">
        <f t="shared" si="289"/>
        <v>31.060486800953832</v>
      </c>
      <c r="AD953" s="10">
        <f t="shared" si="278"/>
        <v>124.24194720381533</v>
      </c>
      <c r="AE953" s="65"/>
      <c r="AF953" s="10">
        <f t="shared" si="279"/>
        <v>383.10017528550679</v>
      </c>
      <c r="AG953" s="8">
        <f t="shared" si="290"/>
        <v>74.704534180673832</v>
      </c>
      <c r="AH953" s="10">
        <f t="shared" si="291"/>
        <v>191.5500876427534</v>
      </c>
      <c r="AI953" s="63"/>
      <c r="AJ953" s="10">
        <f t="shared" si="280"/>
        <v>359.94160000000005</v>
      </c>
      <c r="AK953" s="8"/>
      <c r="AL953" s="8">
        <f t="shared" si="292"/>
        <v>179.97080000000003</v>
      </c>
    </row>
    <row r="954" spans="1:38">
      <c r="A954" s="18">
        <v>41472</v>
      </c>
      <c r="B954" s="19" t="s">
        <v>132</v>
      </c>
      <c r="C954" s="12">
        <v>200.1</v>
      </c>
      <c r="D954" s="19" t="s">
        <v>80</v>
      </c>
      <c r="E954" s="8">
        <v>8.4097399999999993</v>
      </c>
      <c r="F954" s="8">
        <v>83.312539999999998</v>
      </c>
      <c r="G954" s="22">
        <v>200</v>
      </c>
      <c r="H954" s="22">
        <v>-17</v>
      </c>
      <c r="I954" s="10">
        <f t="shared" si="282"/>
        <v>-5.8255767953622053</v>
      </c>
      <c r="J954" s="10">
        <f t="shared" si="293"/>
        <v>-0.1016754959068504</v>
      </c>
      <c r="K954" s="10">
        <f t="shared" si="284"/>
        <v>21.109017558230889</v>
      </c>
      <c r="L954" s="22">
        <v>6035</v>
      </c>
      <c r="M954" s="31" t="s">
        <v>231</v>
      </c>
      <c r="N954" s="8" t="s">
        <v>171</v>
      </c>
      <c r="O954" s="33" t="s">
        <v>99</v>
      </c>
      <c r="P954" s="33" t="s">
        <v>99</v>
      </c>
      <c r="Q954" s="7">
        <v>0.57999999999999996</v>
      </c>
      <c r="R954" s="7" t="s">
        <v>103</v>
      </c>
      <c r="S954" s="30">
        <v>22.8</v>
      </c>
      <c r="T954" s="79">
        <f t="shared" si="281"/>
        <v>4.0828233600000007E-2</v>
      </c>
      <c r="U954" s="22">
        <v>14</v>
      </c>
      <c r="V954" s="22">
        <v>59</v>
      </c>
      <c r="W954" s="10">
        <f t="shared" si="285"/>
        <v>1.0297442586766545</v>
      </c>
      <c r="X954" s="22">
        <v>7</v>
      </c>
      <c r="Y954" s="22">
        <v>9</v>
      </c>
      <c r="Z954" s="10">
        <f t="shared" si="286"/>
        <v>0.15707963267948966</v>
      </c>
      <c r="AA954" s="10">
        <f t="shared" si="287"/>
        <v>13.095383465111189</v>
      </c>
      <c r="AB954" s="10">
        <f t="shared" si="288"/>
        <v>186.42007335010209</v>
      </c>
      <c r="AC954" s="10">
        <f t="shared" si="289"/>
        <v>23.302509168762761</v>
      </c>
      <c r="AD954" s="10">
        <f t="shared" si="278"/>
        <v>93.210036675051043</v>
      </c>
      <c r="AE954" s="65"/>
      <c r="AF954" s="10">
        <f t="shared" si="279"/>
        <v>262.96666794400198</v>
      </c>
      <c r="AG954" s="8">
        <f t="shared" si="290"/>
        <v>51.278500249080388</v>
      </c>
      <c r="AH954" s="10">
        <f t="shared" si="291"/>
        <v>131.48333397200099</v>
      </c>
      <c r="AI954" s="63"/>
      <c r="AJ954" s="10">
        <f t="shared" si="280"/>
        <v>247.4502</v>
      </c>
      <c r="AK954" s="8"/>
      <c r="AL954" s="8">
        <f t="shared" si="292"/>
        <v>123.7251</v>
      </c>
    </row>
    <row r="955" spans="1:38">
      <c r="A955" s="18">
        <v>41472</v>
      </c>
      <c r="B955" s="19" t="s">
        <v>132</v>
      </c>
      <c r="C955" s="12">
        <v>200.1</v>
      </c>
      <c r="D955" s="19" t="s">
        <v>80</v>
      </c>
      <c r="E955" s="8">
        <v>8.4097399999999993</v>
      </c>
      <c r="F955" s="8">
        <v>83.312539999999998</v>
      </c>
      <c r="G955" s="22">
        <v>200</v>
      </c>
      <c r="H955" s="22">
        <v>-17</v>
      </c>
      <c r="I955" s="10">
        <f t="shared" si="282"/>
        <v>-5.8255767953622053</v>
      </c>
      <c r="J955" s="10">
        <f t="shared" si="293"/>
        <v>-0.1016754959068504</v>
      </c>
      <c r="K955" s="10">
        <f t="shared" si="284"/>
        <v>21.109017558230889</v>
      </c>
      <c r="L955" s="22">
        <v>6025</v>
      </c>
      <c r="M955" s="31" t="s">
        <v>231</v>
      </c>
      <c r="N955" s="8" t="s">
        <v>171</v>
      </c>
      <c r="O955" s="33" t="s">
        <v>99</v>
      </c>
      <c r="P955" s="33" t="s">
        <v>99</v>
      </c>
      <c r="Q955" s="7">
        <v>0.57999999999999996</v>
      </c>
      <c r="R955" s="7" t="s">
        <v>103</v>
      </c>
      <c r="S955" s="30">
        <v>22.8</v>
      </c>
      <c r="T955" s="79">
        <f t="shared" si="281"/>
        <v>4.0828233600000007E-2</v>
      </c>
      <c r="U955" s="22">
        <v>12</v>
      </c>
      <c r="V955" s="22">
        <v>42</v>
      </c>
      <c r="W955" s="10">
        <f t="shared" si="285"/>
        <v>0.73303828583761843</v>
      </c>
      <c r="X955" s="22">
        <v>7</v>
      </c>
      <c r="Y955" s="22">
        <v>9</v>
      </c>
      <c r="Z955" s="10">
        <f t="shared" si="286"/>
        <v>0.15707963267948966</v>
      </c>
      <c r="AA955" s="10">
        <f t="shared" si="287"/>
        <v>9.1246085315879153</v>
      </c>
      <c r="AB955" s="10">
        <f t="shared" si="288"/>
        <v>132.74034262972671</v>
      </c>
      <c r="AC955" s="10">
        <f t="shared" si="289"/>
        <v>16.592542828715839</v>
      </c>
      <c r="AD955" s="10">
        <f t="shared" si="278"/>
        <v>66.370171314863356</v>
      </c>
      <c r="AE955" s="65"/>
      <c r="AF955" s="10">
        <f t="shared" si="279"/>
        <v>262.96666794400198</v>
      </c>
      <c r="AG955" s="8">
        <f t="shared" si="290"/>
        <v>51.278500249080388</v>
      </c>
      <c r="AH955" s="10">
        <f t="shared" si="291"/>
        <v>131.48333397200099</v>
      </c>
      <c r="AI955" s="63"/>
      <c r="AJ955" s="10">
        <f t="shared" si="280"/>
        <v>247.4502</v>
      </c>
      <c r="AK955" s="8"/>
      <c r="AL955" s="8">
        <f t="shared" si="292"/>
        <v>123.7251</v>
      </c>
    </row>
    <row r="956" spans="1:38">
      <c r="A956" s="18">
        <v>41472</v>
      </c>
      <c r="B956" s="19" t="s">
        <v>132</v>
      </c>
      <c r="C956" s="12">
        <v>200.1</v>
      </c>
      <c r="D956" s="19" t="s">
        <v>80</v>
      </c>
      <c r="E956" s="8">
        <v>8.4097399999999993</v>
      </c>
      <c r="F956" s="8">
        <v>83.312539999999998</v>
      </c>
      <c r="G956" s="22">
        <v>200</v>
      </c>
      <c r="H956" s="22">
        <v>-17</v>
      </c>
      <c r="I956" s="10">
        <f t="shared" si="282"/>
        <v>-5.8255767953622053</v>
      </c>
      <c r="J956" s="10">
        <f t="shared" si="293"/>
        <v>-0.1016754959068504</v>
      </c>
      <c r="K956" s="10">
        <f t="shared" si="284"/>
        <v>21.109017558230889</v>
      </c>
      <c r="L956" s="22">
        <v>7015</v>
      </c>
      <c r="M956" s="31" t="s">
        <v>231</v>
      </c>
      <c r="N956" s="8" t="s">
        <v>171</v>
      </c>
      <c r="O956" s="33" t="s">
        <v>99</v>
      </c>
      <c r="P956" s="33" t="s">
        <v>99</v>
      </c>
      <c r="Q956" s="7">
        <v>0.57999999999999996</v>
      </c>
      <c r="R956" s="7" t="s">
        <v>103</v>
      </c>
      <c r="S956" s="30">
        <v>16.5</v>
      </c>
      <c r="T956" s="79">
        <f t="shared" si="281"/>
        <v>2.1382515000000001E-2</v>
      </c>
      <c r="U956" s="22">
        <v>16</v>
      </c>
      <c r="V956" s="22">
        <v>70</v>
      </c>
      <c r="W956" s="10">
        <f t="shared" si="285"/>
        <v>1.2217304763960306</v>
      </c>
      <c r="X956" s="22">
        <v>5</v>
      </c>
      <c r="Y956" s="22">
        <v>0</v>
      </c>
      <c r="Z956" s="10">
        <f t="shared" si="286"/>
        <v>0</v>
      </c>
      <c r="AA956" s="10">
        <f t="shared" si="287"/>
        <v>15.035081932574533</v>
      </c>
      <c r="AB956" s="10">
        <f t="shared" si="288"/>
        <v>115.56685680891978</v>
      </c>
      <c r="AC956" s="10">
        <f t="shared" si="289"/>
        <v>14.445857101114973</v>
      </c>
      <c r="AD956" s="10">
        <f t="shared" si="278"/>
        <v>57.78342840445989</v>
      </c>
      <c r="AE956" s="65"/>
      <c r="AF956" s="10">
        <f t="shared" si="279"/>
        <v>118.46638947766301</v>
      </c>
      <c r="AG956" s="8">
        <f t="shared" si="290"/>
        <v>23.10094594814429</v>
      </c>
      <c r="AH956" s="10">
        <f t="shared" si="291"/>
        <v>59.233194738831507</v>
      </c>
      <c r="AI956" s="63"/>
      <c r="AJ956" s="10">
        <f t="shared" si="280"/>
        <v>108.03749999999999</v>
      </c>
      <c r="AK956" s="8"/>
      <c r="AL956" s="8">
        <f t="shared" si="292"/>
        <v>54.018749999999997</v>
      </c>
    </row>
    <row r="957" spans="1:38">
      <c r="A957" s="18">
        <v>41472</v>
      </c>
      <c r="B957" s="19" t="s">
        <v>132</v>
      </c>
      <c r="C957" s="12">
        <v>200.1</v>
      </c>
      <c r="D957" s="19" t="s">
        <v>80</v>
      </c>
      <c r="E957" s="8">
        <v>8.4097399999999993</v>
      </c>
      <c r="F957" s="8">
        <v>83.312539999999998</v>
      </c>
      <c r="G957" s="22">
        <v>200</v>
      </c>
      <c r="H957" s="22">
        <v>-17</v>
      </c>
      <c r="I957" s="10">
        <f t="shared" si="282"/>
        <v>-5.8255767953622053</v>
      </c>
      <c r="J957" s="10">
        <f t="shared" si="293"/>
        <v>-0.1016754959068504</v>
      </c>
      <c r="K957" s="10">
        <f t="shared" si="284"/>
        <v>21.109017558230889</v>
      </c>
      <c r="L957" s="22">
        <v>575</v>
      </c>
      <c r="M957" s="31" t="s">
        <v>231</v>
      </c>
      <c r="N957" s="8" t="s">
        <v>171</v>
      </c>
      <c r="O957" s="33" t="s">
        <v>99</v>
      </c>
      <c r="P957" s="33" t="s">
        <v>99</v>
      </c>
      <c r="Q957" s="7">
        <v>0.57999999999999996</v>
      </c>
      <c r="R957" s="7" t="s">
        <v>103</v>
      </c>
      <c r="S957" s="30">
        <v>17.2</v>
      </c>
      <c r="T957" s="79">
        <f t="shared" si="281"/>
        <v>2.3235273599999998E-2</v>
      </c>
      <c r="U957" s="22">
        <v>14</v>
      </c>
      <c r="V957" s="22">
        <v>73</v>
      </c>
      <c r="W957" s="10">
        <f t="shared" si="285"/>
        <v>1.2740903539558606</v>
      </c>
      <c r="X957" s="22">
        <v>5</v>
      </c>
      <c r="Y957" s="22">
        <v>1</v>
      </c>
      <c r="Z957" s="10">
        <f t="shared" si="286"/>
        <v>1.7453292519943295E-2</v>
      </c>
      <c r="AA957" s="10">
        <f t="shared" si="287"/>
        <v>13.475528615668914</v>
      </c>
      <c r="AB957" s="10">
        <f t="shared" si="288"/>
        <v>112.73287357858982</v>
      </c>
      <c r="AC957" s="10">
        <f t="shared" si="289"/>
        <v>14.091609197323727</v>
      </c>
      <c r="AD957" s="10">
        <f t="shared" si="278"/>
        <v>56.366436789294909</v>
      </c>
      <c r="AE957" s="65"/>
      <c r="AF957" s="10">
        <f t="shared" si="279"/>
        <v>131.30710558075967</v>
      </c>
      <c r="AG957" s="8">
        <f t="shared" si="290"/>
        <v>25.604885588248138</v>
      </c>
      <c r="AH957" s="10">
        <f t="shared" si="291"/>
        <v>65.653552790379834</v>
      </c>
      <c r="AI957" s="63"/>
      <c r="AJ957" s="10">
        <f t="shared" si="280"/>
        <v>120.62699999999998</v>
      </c>
      <c r="AK957" s="8"/>
      <c r="AL957" s="8">
        <f t="shared" si="292"/>
        <v>60.313499999999991</v>
      </c>
    </row>
    <row r="958" spans="1:38">
      <c r="A958" s="18">
        <v>41472</v>
      </c>
      <c r="B958" s="19" t="s">
        <v>132</v>
      </c>
      <c r="C958" s="12">
        <v>200.1</v>
      </c>
      <c r="D958" s="19" t="s">
        <v>80</v>
      </c>
      <c r="E958" s="8">
        <v>8.4097399999999993</v>
      </c>
      <c r="F958" s="8">
        <v>83.312539999999998</v>
      </c>
      <c r="G958" s="22">
        <v>200</v>
      </c>
      <c r="H958" s="22">
        <v>-17</v>
      </c>
      <c r="I958" s="10">
        <f t="shared" si="282"/>
        <v>-5.8255767953622053</v>
      </c>
      <c r="J958" s="10">
        <f t="shared" si="293"/>
        <v>-0.1016754959068504</v>
      </c>
      <c r="K958" s="10">
        <f t="shared" si="284"/>
        <v>21.109017558230889</v>
      </c>
      <c r="L958" s="22">
        <v>569</v>
      </c>
      <c r="M958" s="22" t="s">
        <v>96</v>
      </c>
      <c r="N958" s="8" t="s">
        <v>69</v>
      </c>
      <c r="O958" s="58" t="s">
        <v>65</v>
      </c>
      <c r="P958" s="10" t="s">
        <v>102</v>
      </c>
      <c r="Q958" s="22">
        <v>0.48</v>
      </c>
      <c r="R958" s="22" t="s">
        <v>190</v>
      </c>
      <c r="S958" s="30">
        <v>9.5</v>
      </c>
      <c r="T958" s="79">
        <f t="shared" si="281"/>
        <v>7.088235E-3</v>
      </c>
      <c r="U958" s="22">
        <v>6</v>
      </c>
      <c r="V958" s="22">
        <v>46</v>
      </c>
      <c r="W958" s="10">
        <f t="shared" si="285"/>
        <v>0.8028514559173916</v>
      </c>
      <c r="X958" s="22">
        <v>5</v>
      </c>
      <c r="Y958" s="22">
        <v>21</v>
      </c>
      <c r="Z958" s="10">
        <f t="shared" si="286"/>
        <v>0.36651914291880922</v>
      </c>
      <c r="AA958" s="10">
        <f t="shared" si="287"/>
        <v>6.107878549758408</v>
      </c>
      <c r="AB958" s="10">
        <f t="shared" si="288"/>
        <v>14.692166170588695</v>
      </c>
      <c r="AC958" s="10">
        <f t="shared" si="289"/>
        <v>1.8365207713235869</v>
      </c>
      <c r="AD958" s="10">
        <f t="shared" si="278"/>
        <v>7.3460830852943477</v>
      </c>
      <c r="AE958" s="65"/>
      <c r="AF958" s="10">
        <f t="shared" si="279"/>
        <v>24.856059444331692</v>
      </c>
      <c r="AG958" s="8">
        <f t="shared" si="290"/>
        <v>4.8469315916446805</v>
      </c>
      <c r="AH958" s="10">
        <f t="shared" si="291"/>
        <v>12.428029722165846</v>
      </c>
      <c r="AI958" s="63"/>
      <c r="AJ958" s="10">
        <f t="shared" si="280"/>
        <v>22.028499999999994</v>
      </c>
      <c r="AK958" s="8"/>
      <c r="AL958" s="8">
        <f t="shared" si="292"/>
        <v>11.014249999999997</v>
      </c>
    </row>
    <row r="959" spans="1:38">
      <c r="A959" s="18">
        <v>41472</v>
      </c>
      <c r="B959" s="19" t="s">
        <v>132</v>
      </c>
      <c r="C959" s="12">
        <v>200.1</v>
      </c>
      <c r="D959" s="19" t="s">
        <v>80</v>
      </c>
      <c r="E959" s="8">
        <v>8.4097399999999993</v>
      </c>
      <c r="F959" s="8">
        <v>83.312539999999998</v>
      </c>
      <c r="G959" s="22">
        <v>200</v>
      </c>
      <c r="H959" s="22">
        <v>-17</v>
      </c>
      <c r="I959" s="10">
        <f t="shared" si="282"/>
        <v>-5.8255767953622053</v>
      </c>
      <c r="J959" s="10">
        <f t="shared" si="293"/>
        <v>-0.1016754959068504</v>
      </c>
      <c r="K959" s="10">
        <f t="shared" si="284"/>
        <v>21.109017558230889</v>
      </c>
      <c r="L959" s="22">
        <v>582</v>
      </c>
      <c r="M959" s="22" t="s">
        <v>107</v>
      </c>
      <c r="N959" s="22" t="s">
        <v>63</v>
      </c>
      <c r="O959" s="10" t="s">
        <v>108</v>
      </c>
      <c r="P959" s="15" t="s">
        <v>92</v>
      </c>
      <c r="Q959" s="8">
        <v>0.57999999999999996</v>
      </c>
      <c r="R959" s="22" t="s">
        <v>190</v>
      </c>
      <c r="S959" s="30">
        <v>27.6</v>
      </c>
      <c r="T959" s="79">
        <f t="shared" si="281"/>
        <v>5.9828630400000013E-2</v>
      </c>
      <c r="U959" s="22">
        <v>10</v>
      </c>
      <c r="V959" s="22">
        <v>50</v>
      </c>
      <c r="W959" s="10">
        <f t="shared" si="285"/>
        <v>0.87266462599716477</v>
      </c>
      <c r="X959" s="22">
        <v>6</v>
      </c>
      <c r="Y959" s="22">
        <v>20</v>
      </c>
      <c r="Z959" s="10">
        <f t="shared" si="286"/>
        <v>0.3490658503988659</v>
      </c>
      <c r="AA959" s="10">
        <f t="shared" si="287"/>
        <v>9.7125652911437932</v>
      </c>
      <c r="AB959" s="10">
        <f t="shared" si="288"/>
        <v>201.59837341407791</v>
      </c>
      <c r="AC959" s="10">
        <f t="shared" si="289"/>
        <v>25.199796676759739</v>
      </c>
      <c r="AD959" s="10">
        <f t="shared" si="278"/>
        <v>100.79918670703896</v>
      </c>
      <c r="AE959" s="65"/>
      <c r="AF959" s="10">
        <f t="shared" si="279"/>
        <v>419.0164369410216</v>
      </c>
      <c r="AG959" s="8">
        <f t="shared" si="290"/>
        <v>81.708205203499219</v>
      </c>
      <c r="AH959" s="10">
        <f t="shared" si="291"/>
        <v>209.5082184705108</v>
      </c>
      <c r="AI959" s="63"/>
      <c r="AJ959" s="10">
        <f t="shared" si="280"/>
        <v>393.09660000000008</v>
      </c>
      <c r="AK959" s="8"/>
      <c r="AL959" s="8">
        <f t="shared" si="292"/>
        <v>196.54830000000004</v>
      </c>
    </row>
    <row r="960" spans="1:38">
      <c r="A960" s="18">
        <v>41472</v>
      </c>
      <c r="B960" s="19" t="s">
        <v>132</v>
      </c>
      <c r="C960" s="12">
        <v>200.1</v>
      </c>
      <c r="D960" s="19" t="s">
        <v>80</v>
      </c>
      <c r="E960" s="8">
        <v>8.4097399999999993</v>
      </c>
      <c r="F960" s="8">
        <v>83.312539999999998</v>
      </c>
      <c r="G960" s="22">
        <v>200</v>
      </c>
      <c r="H960" s="22">
        <v>-17</v>
      </c>
      <c r="I960" s="10">
        <f t="shared" si="282"/>
        <v>-5.8255767953622053</v>
      </c>
      <c r="J960" s="10">
        <f t="shared" si="293"/>
        <v>-0.1016754959068504</v>
      </c>
      <c r="K960" s="10">
        <f t="shared" si="284"/>
        <v>21.109017558230889</v>
      </c>
      <c r="L960" s="22">
        <v>7027</v>
      </c>
      <c r="M960" s="22" t="s">
        <v>107</v>
      </c>
      <c r="N960" s="22" t="s">
        <v>63</v>
      </c>
      <c r="O960" s="10" t="s">
        <v>108</v>
      </c>
      <c r="P960" s="15" t="s">
        <v>92</v>
      </c>
      <c r="Q960" s="8">
        <v>0.57999999999999996</v>
      </c>
      <c r="R960" s="22" t="s">
        <v>190</v>
      </c>
      <c r="S960" s="30">
        <v>29</v>
      </c>
      <c r="T960" s="79">
        <f t="shared" si="281"/>
        <v>6.6052140000000009E-2</v>
      </c>
      <c r="U960" s="22">
        <v>14</v>
      </c>
      <c r="V960" s="22">
        <v>52</v>
      </c>
      <c r="W960" s="10">
        <f t="shared" si="285"/>
        <v>0.90757121103705141</v>
      </c>
      <c r="X960" s="22">
        <v>6</v>
      </c>
      <c r="Y960" s="22">
        <v>12</v>
      </c>
      <c r="Z960" s="10">
        <f t="shared" si="286"/>
        <v>0.20943951023931956</v>
      </c>
      <c r="AA960" s="10">
        <f t="shared" si="287"/>
        <v>12.279620695400665</v>
      </c>
      <c r="AB960" s="10">
        <f t="shared" si="288"/>
        <v>275.82023632565409</v>
      </c>
      <c r="AC960" s="10">
        <f t="shared" si="289"/>
        <v>34.477529540706762</v>
      </c>
      <c r="AD960" s="10">
        <f t="shared" si="278"/>
        <v>137.91011816282705</v>
      </c>
      <c r="AE960" s="65"/>
      <c r="AF960" s="10">
        <f t="shared" si="279"/>
        <v>472.36315118469616</v>
      </c>
      <c r="AG960" s="8">
        <f t="shared" si="290"/>
        <v>92.110814481015751</v>
      </c>
      <c r="AH960" s="10">
        <f t="shared" si="291"/>
        <v>236.18157559234808</v>
      </c>
      <c r="AI960" s="63"/>
      <c r="AJ960" s="10">
        <f t="shared" si="280"/>
        <v>442</v>
      </c>
      <c r="AK960" s="8"/>
      <c r="AL960" s="8">
        <f t="shared" si="292"/>
        <v>221</v>
      </c>
    </row>
    <row r="961" spans="1:38">
      <c r="A961" s="18">
        <v>41472</v>
      </c>
      <c r="B961" s="19" t="s">
        <v>132</v>
      </c>
      <c r="C961" s="12">
        <v>200.1</v>
      </c>
      <c r="D961" s="19" t="s">
        <v>80</v>
      </c>
      <c r="E961" s="8">
        <v>8.4097399999999993</v>
      </c>
      <c r="F961" s="8">
        <v>83.312539999999998</v>
      </c>
      <c r="G961" s="22">
        <v>200</v>
      </c>
      <c r="H961" s="22">
        <v>-17</v>
      </c>
      <c r="I961" s="10">
        <f t="shared" si="282"/>
        <v>-5.8255767953622053</v>
      </c>
      <c r="J961" s="10">
        <f t="shared" si="293"/>
        <v>-0.1016754959068504</v>
      </c>
      <c r="K961" s="10">
        <f t="shared" si="284"/>
        <v>21.109017558230889</v>
      </c>
      <c r="L961" s="22">
        <v>7021</v>
      </c>
      <c r="M961" s="22" t="s">
        <v>72</v>
      </c>
      <c r="N961" s="22" t="s">
        <v>93</v>
      </c>
      <c r="O961" s="10" t="s">
        <v>91</v>
      </c>
      <c r="P961" s="15" t="s">
        <v>92</v>
      </c>
      <c r="Q961" s="8">
        <v>0.48</v>
      </c>
      <c r="R961" s="22" t="s">
        <v>190</v>
      </c>
      <c r="S961" s="30">
        <v>6.7</v>
      </c>
      <c r="T961" s="79">
        <f t="shared" si="281"/>
        <v>3.5256606000000001E-3</v>
      </c>
      <c r="U961" s="22">
        <v>10</v>
      </c>
      <c r="V961" s="22">
        <v>45</v>
      </c>
      <c r="W961" s="10">
        <f t="shared" si="285"/>
        <v>0.78539816339744828</v>
      </c>
      <c r="X961" s="22">
        <v>6</v>
      </c>
      <c r="Y961" s="22">
        <v>15</v>
      </c>
      <c r="Z961" s="10">
        <f t="shared" si="286"/>
        <v>0.26179938779914941</v>
      </c>
      <c r="AA961" s="10">
        <f t="shared" si="287"/>
        <v>8.6239820824805982</v>
      </c>
      <c r="AB961" s="10">
        <f t="shared" si="288"/>
        <v>10.539366043155876</v>
      </c>
      <c r="AC961" s="10">
        <f t="shared" si="289"/>
        <v>1.3174207553944846</v>
      </c>
      <c r="AD961" s="10">
        <f t="shared" si="278"/>
        <v>5.2696830215779382</v>
      </c>
      <c r="AE961" s="65"/>
      <c r="AF961" s="10">
        <f t="shared" si="279"/>
        <v>10.472496571251954</v>
      </c>
      <c r="AG961" s="8">
        <f t="shared" si="290"/>
        <v>2.042136831394131</v>
      </c>
      <c r="AH961" s="10">
        <f t="shared" si="291"/>
        <v>5.2362482856259769</v>
      </c>
      <c r="AI961" s="63"/>
      <c r="AJ961" s="10">
        <f t="shared" si="280"/>
        <v>7.9304999999999986</v>
      </c>
      <c r="AK961" s="8"/>
      <c r="AL961" s="8">
        <f t="shared" si="292"/>
        <v>3.9652499999999993</v>
      </c>
    </row>
    <row r="962" spans="1:38">
      <c r="A962" s="18">
        <v>41459</v>
      </c>
      <c r="B962" s="19" t="s">
        <v>34</v>
      </c>
      <c r="C962" s="12">
        <v>200.2</v>
      </c>
      <c r="D962" s="9" t="s">
        <v>80</v>
      </c>
      <c r="E962" s="8">
        <v>8.4116700000000009</v>
      </c>
      <c r="F962" s="8">
        <v>83.311890000000005</v>
      </c>
      <c r="G962" s="22">
        <v>200</v>
      </c>
      <c r="H962" s="8">
        <v>12</v>
      </c>
      <c r="I962" s="10">
        <f t="shared" si="282"/>
        <v>8.2932948805945319</v>
      </c>
      <c r="J962" s="10">
        <f t="shared" si="293"/>
        <v>0.14474530150516457</v>
      </c>
      <c r="K962" s="10">
        <f t="shared" si="284"/>
        <v>21.221924545521965</v>
      </c>
      <c r="L962" s="8">
        <v>7</v>
      </c>
      <c r="M962" s="8" t="s">
        <v>39</v>
      </c>
      <c r="N962" s="8" t="s">
        <v>69</v>
      </c>
      <c r="O962" s="10" t="s">
        <v>65</v>
      </c>
      <c r="P962" s="10" t="s">
        <v>70</v>
      </c>
      <c r="Q962" s="8">
        <v>0.37</v>
      </c>
      <c r="R962" s="8" t="s">
        <v>71</v>
      </c>
      <c r="S962" s="12">
        <v>25.2</v>
      </c>
      <c r="T962" s="79">
        <f t="shared" si="281"/>
        <v>4.9876041599999997E-2</v>
      </c>
      <c r="U962" s="8">
        <v>20</v>
      </c>
      <c r="V962" s="8">
        <v>80</v>
      </c>
      <c r="W962" s="10">
        <f t="shared" ref="W962:W1004" si="294">RADIANS(V962)</f>
        <v>1.3962634015954636</v>
      </c>
      <c r="X962" s="8">
        <v>6</v>
      </c>
      <c r="Y962" s="8">
        <v>8</v>
      </c>
      <c r="Z962" s="10">
        <f t="shared" ref="Z962:Z1004" si="295">RADIANS(Y962)</f>
        <v>0.13962634015954636</v>
      </c>
      <c r="AA962" s="10">
        <f t="shared" ref="AA962:AA1004" si="296">(SIN(W962)*U962)+(SIN(Z962)*X962)</f>
        <v>20.531193666004551</v>
      </c>
      <c r="AB962" s="10">
        <f t="shared" ref="AB962:AB1004" si="297">0.0776*(Q962*S962^2*AA962)^0.94</f>
        <v>225.04724782854484</v>
      </c>
      <c r="AC962" s="10">
        <f t="shared" si="289"/>
        <v>28.130905978568105</v>
      </c>
      <c r="AD962" s="10">
        <f t="shared" si="278"/>
        <v>112.52362391427242</v>
      </c>
      <c r="AE962" s="65"/>
      <c r="AF962" s="10">
        <f t="shared" si="279"/>
        <v>214.24979405552517</v>
      </c>
      <c r="AG962" s="8">
        <f t="shared" si="290"/>
        <v>41.77870984082741</v>
      </c>
      <c r="AH962" s="10">
        <f t="shared" si="291"/>
        <v>107.12489702776259</v>
      </c>
      <c r="AI962" s="63"/>
      <c r="AJ962" s="10">
        <f t="shared" si="280"/>
        <v>316.01099999999997</v>
      </c>
      <c r="AK962" s="8"/>
      <c r="AL962" s="8">
        <f t="shared" si="292"/>
        <v>158.00549999999998</v>
      </c>
    </row>
    <row r="963" spans="1:38">
      <c r="A963" s="18">
        <v>41459</v>
      </c>
      <c r="B963" s="19" t="s">
        <v>34</v>
      </c>
      <c r="C963" s="12">
        <v>200.2</v>
      </c>
      <c r="D963" s="9" t="s">
        <v>80</v>
      </c>
      <c r="E963" s="8">
        <v>8.4116700000000009</v>
      </c>
      <c r="F963" s="8">
        <v>83.311890000000005</v>
      </c>
      <c r="G963" s="22">
        <v>200</v>
      </c>
      <c r="H963" s="8">
        <v>12</v>
      </c>
      <c r="I963" s="10">
        <f t="shared" si="282"/>
        <v>8.2932948805945319</v>
      </c>
      <c r="J963" s="10">
        <f t="shared" si="293"/>
        <v>0.14474530150516457</v>
      </c>
      <c r="K963" s="10">
        <f t="shared" si="284"/>
        <v>21.221924545521965</v>
      </c>
      <c r="L963" s="8">
        <v>8</v>
      </c>
      <c r="M963" s="31" t="s">
        <v>231</v>
      </c>
      <c r="N963" s="8" t="s">
        <v>171</v>
      </c>
      <c r="O963" s="33" t="s">
        <v>99</v>
      </c>
      <c r="P963" s="33" t="s">
        <v>99</v>
      </c>
      <c r="Q963" s="22">
        <v>0.57999999999999996</v>
      </c>
      <c r="R963" s="22" t="s">
        <v>103</v>
      </c>
      <c r="S963" s="29">
        <v>20</v>
      </c>
      <c r="T963" s="79">
        <f t="shared" si="281"/>
        <v>3.1415999999999999E-2</v>
      </c>
      <c r="U963" s="8">
        <v>15</v>
      </c>
      <c r="V963" s="8">
        <v>70</v>
      </c>
      <c r="W963" s="10">
        <f t="shared" si="294"/>
        <v>1.2217304763960306</v>
      </c>
      <c r="X963" s="8">
        <v>6</v>
      </c>
      <c r="Y963" s="8">
        <v>12</v>
      </c>
      <c r="Z963" s="10">
        <f t="shared" si="295"/>
        <v>0.20943951023931956</v>
      </c>
      <c r="AA963" s="10">
        <f t="shared" si="296"/>
        <v>15.34285945669518</v>
      </c>
      <c r="AB963" s="10">
        <f t="shared" si="297"/>
        <v>169.11119385491673</v>
      </c>
      <c r="AC963" s="10">
        <f t="shared" si="289"/>
        <v>21.138899231864592</v>
      </c>
      <c r="AD963" s="10">
        <f t="shared" si="278"/>
        <v>84.555596927458367</v>
      </c>
      <c r="AE963" s="65"/>
      <c r="AF963" s="10">
        <f t="shared" si="279"/>
        <v>190.57756940942721</v>
      </c>
      <c r="AG963" s="8">
        <f t="shared" si="290"/>
        <v>37.162626034838304</v>
      </c>
      <c r="AH963" s="10">
        <f t="shared" si="291"/>
        <v>95.288784704713606</v>
      </c>
      <c r="AI963" s="63"/>
      <c r="AJ963" s="10">
        <f t="shared" si="280"/>
        <v>178.23699999999999</v>
      </c>
      <c r="AK963" s="8"/>
      <c r="AL963" s="8">
        <f t="shared" si="292"/>
        <v>89.118499999999997</v>
      </c>
    </row>
    <row r="964" spans="1:38">
      <c r="A964" s="18">
        <v>41459</v>
      </c>
      <c r="B964" s="19" t="s">
        <v>34</v>
      </c>
      <c r="C964" s="12">
        <v>200.2</v>
      </c>
      <c r="D964" s="9" t="s">
        <v>80</v>
      </c>
      <c r="E964" s="8">
        <v>8.4116700000000009</v>
      </c>
      <c r="F964" s="8">
        <v>83.311890000000005</v>
      </c>
      <c r="G964" s="22">
        <v>200</v>
      </c>
      <c r="H964" s="8">
        <v>12</v>
      </c>
      <c r="I964" s="10">
        <f t="shared" si="282"/>
        <v>8.2932948805945319</v>
      </c>
      <c r="J964" s="10">
        <f t="shared" si="293"/>
        <v>0.14474530150516457</v>
      </c>
      <c r="K964" s="10">
        <f t="shared" si="284"/>
        <v>21.221924545521965</v>
      </c>
      <c r="L964" s="8">
        <v>9</v>
      </c>
      <c r="M964" s="8" t="s">
        <v>39</v>
      </c>
      <c r="N964" s="8" t="s">
        <v>69</v>
      </c>
      <c r="O964" s="10" t="s">
        <v>65</v>
      </c>
      <c r="P964" s="10" t="s">
        <v>70</v>
      </c>
      <c r="Q964" s="8">
        <v>0.37</v>
      </c>
      <c r="R964" s="8" t="s">
        <v>71</v>
      </c>
      <c r="S964" s="12">
        <v>25.5</v>
      </c>
      <c r="T964" s="79">
        <f t="shared" si="281"/>
        <v>5.1070635000000003E-2</v>
      </c>
      <c r="U964" s="8">
        <v>13</v>
      </c>
      <c r="V964" s="8">
        <v>88</v>
      </c>
      <c r="W964" s="10">
        <f t="shared" si="294"/>
        <v>1.5358897417550099</v>
      </c>
      <c r="X964" s="8">
        <v>5</v>
      </c>
      <c r="Y964" s="8">
        <v>16</v>
      </c>
      <c r="Z964" s="10">
        <f t="shared" si="295"/>
        <v>0.27925268031909273</v>
      </c>
      <c r="AA964" s="10">
        <f t="shared" si="296"/>
        <v>14.370267530333241</v>
      </c>
      <c r="AB964" s="10">
        <f t="shared" si="297"/>
        <v>164.54467921541718</v>
      </c>
      <c r="AC964" s="10">
        <f t="shared" si="289"/>
        <v>20.568084901927147</v>
      </c>
      <c r="AD964" s="10">
        <f t="shared" si="278"/>
        <v>82.272339607708588</v>
      </c>
      <c r="AE964" s="65"/>
      <c r="AF964" s="10">
        <f t="shared" si="279"/>
        <v>220.51979881364119</v>
      </c>
      <c r="AG964" s="8">
        <f t="shared" si="290"/>
        <v>43.001360768660035</v>
      </c>
      <c r="AH964" s="10">
        <f t="shared" si="291"/>
        <v>110.25989940682059</v>
      </c>
      <c r="AI964" s="63"/>
      <c r="AJ964" s="10">
        <f t="shared" si="280"/>
        <v>325.18049999999999</v>
      </c>
      <c r="AK964" s="8"/>
      <c r="AL964" s="8">
        <f t="shared" si="292"/>
        <v>162.59025</v>
      </c>
    </row>
    <row r="965" spans="1:38">
      <c r="A965" s="18">
        <v>41459</v>
      </c>
      <c r="B965" s="19" t="s">
        <v>34</v>
      </c>
      <c r="C965" s="12">
        <v>200.2</v>
      </c>
      <c r="D965" s="9" t="s">
        <v>80</v>
      </c>
      <c r="E965" s="8">
        <v>8.4116700000000009</v>
      </c>
      <c r="F965" s="8">
        <v>83.311890000000005</v>
      </c>
      <c r="G965" s="22">
        <v>200</v>
      </c>
      <c r="H965" s="8">
        <v>12</v>
      </c>
      <c r="I965" s="10">
        <f t="shared" si="282"/>
        <v>8.2932948805945319</v>
      </c>
      <c r="J965" s="10">
        <f t="shared" si="293"/>
        <v>0.14474530150516457</v>
      </c>
      <c r="K965" s="10">
        <f t="shared" ref="K965:K996" si="298">21/COS(J965)</f>
        <v>21.221924545521965</v>
      </c>
      <c r="L965" s="8">
        <v>10</v>
      </c>
      <c r="M965" s="8" t="s">
        <v>40</v>
      </c>
      <c r="N965" s="8" t="s">
        <v>43</v>
      </c>
      <c r="O965" s="10" t="s">
        <v>44</v>
      </c>
      <c r="P965" s="10" t="s">
        <v>45</v>
      </c>
      <c r="Q965" s="8">
        <v>0.52</v>
      </c>
      <c r="R965" s="8" t="s">
        <v>68</v>
      </c>
      <c r="S965" s="12">
        <v>28.5</v>
      </c>
      <c r="T965" s="79">
        <f t="shared" si="281"/>
        <v>6.3794114999999998E-2</v>
      </c>
      <c r="U965" s="8">
        <v>17</v>
      </c>
      <c r="V965" s="8">
        <v>70</v>
      </c>
      <c r="W965" s="10">
        <f t="shared" si="294"/>
        <v>1.2217304763960306</v>
      </c>
      <c r="X965" s="8">
        <v>6</v>
      </c>
      <c r="Y965" s="8">
        <v>22</v>
      </c>
      <c r="Z965" s="10">
        <f t="shared" si="295"/>
        <v>0.38397243543875248</v>
      </c>
      <c r="AA965" s="10">
        <f t="shared" si="296"/>
        <v>18.222414113855915</v>
      </c>
      <c r="AB965" s="10">
        <f t="shared" si="297"/>
        <v>349.12645475886501</v>
      </c>
      <c r="AC965" s="10">
        <f t="shared" si="289"/>
        <v>43.640806844858126</v>
      </c>
      <c r="AD965" s="10">
        <f t="shared" si="278"/>
        <v>174.5632273794325</v>
      </c>
      <c r="AE965" s="65"/>
      <c r="AF965" s="10">
        <f t="shared" si="279"/>
        <v>406.04695463536837</v>
      </c>
      <c r="AG965" s="8">
        <f t="shared" si="290"/>
        <v>79.179156153896841</v>
      </c>
      <c r="AH965" s="10">
        <f t="shared" si="291"/>
        <v>203.02347731768418</v>
      </c>
      <c r="AI965" s="63"/>
      <c r="AJ965" s="10">
        <f t="shared" si="280"/>
        <v>424.2014999999999</v>
      </c>
      <c r="AK965" s="8"/>
      <c r="AL965" s="8">
        <f t="shared" si="292"/>
        <v>212.10074999999995</v>
      </c>
    </row>
    <row r="966" spans="1:38">
      <c r="A966" s="18">
        <v>41459</v>
      </c>
      <c r="B966" s="19" t="s">
        <v>34</v>
      </c>
      <c r="C966" s="12">
        <v>200.2</v>
      </c>
      <c r="D966" s="9" t="s">
        <v>80</v>
      </c>
      <c r="E966" s="8">
        <v>8.4116700000000009</v>
      </c>
      <c r="F966" s="8">
        <v>83.311890000000005</v>
      </c>
      <c r="G966" s="22">
        <v>200</v>
      </c>
      <c r="H966" s="8">
        <v>12</v>
      </c>
      <c r="I966" s="10">
        <f t="shared" si="282"/>
        <v>8.2932948805945319</v>
      </c>
      <c r="J966" s="10">
        <f t="shared" si="293"/>
        <v>0.14474530150516457</v>
      </c>
      <c r="K966" s="10">
        <f t="shared" si="298"/>
        <v>21.221924545521965</v>
      </c>
      <c r="L966" s="8">
        <v>11</v>
      </c>
      <c r="M966" s="8" t="s">
        <v>40</v>
      </c>
      <c r="N966" s="8" t="s">
        <v>43</v>
      </c>
      <c r="O966" s="10" t="s">
        <v>44</v>
      </c>
      <c r="P966" s="10" t="s">
        <v>45</v>
      </c>
      <c r="Q966" s="8">
        <v>0.52</v>
      </c>
      <c r="R966" s="8" t="s">
        <v>68</v>
      </c>
      <c r="S966" s="12">
        <v>30.6</v>
      </c>
      <c r="T966" s="79">
        <f t="shared" si="281"/>
        <v>7.3541714400000013E-2</v>
      </c>
      <c r="U966" s="8">
        <v>17</v>
      </c>
      <c r="V966" s="8">
        <v>84</v>
      </c>
      <c r="W966" s="10">
        <f t="shared" si="294"/>
        <v>1.4660765716752369</v>
      </c>
      <c r="X966" s="8">
        <v>5</v>
      </c>
      <c r="Y966" s="8">
        <v>22</v>
      </c>
      <c r="Z966" s="10">
        <f t="shared" si="295"/>
        <v>0.38397243543875248</v>
      </c>
      <c r="AA966" s="10">
        <f t="shared" si="296"/>
        <v>18.779905188340205</v>
      </c>
      <c r="AB966" s="10">
        <f t="shared" si="297"/>
        <v>410.51869316039893</v>
      </c>
      <c r="AC966" s="10">
        <f t="shared" si="289"/>
        <v>51.314836645049866</v>
      </c>
      <c r="AD966" s="10">
        <f t="shared" si="278"/>
        <v>205.25934658019946</v>
      </c>
      <c r="AE966" s="65"/>
      <c r="AF966" s="10">
        <f t="shared" si="279"/>
        <v>482.11887560398355</v>
      </c>
      <c r="AG966" s="8">
        <f t="shared" si="290"/>
        <v>94.013180742776797</v>
      </c>
      <c r="AH966" s="10">
        <f t="shared" si="291"/>
        <v>241.05943780199178</v>
      </c>
      <c r="AI966" s="63"/>
      <c r="AJ966" s="10">
        <f t="shared" si="280"/>
        <v>501.44160000000005</v>
      </c>
      <c r="AK966" s="8"/>
      <c r="AL966" s="8">
        <f t="shared" si="292"/>
        <v>250.72080000000003</v>
      </c>
    </row>
    <row r="967" spans="1:38">
      <c r="A967" s="18">
        <v>41459</v>
      </c>
      <c r="B967" s="19" t="s">
        <v>34</v>
      </c>
      <c r="C967" s="12">
        <v>200.2</v>
      </c>
      <c r="D967" s="9" t="s">
        <v>80</v>
      </c>
      <c r="E967" s="8">
        <v>8.4116700000000009</v>
      </c>
      <c r="F967" s="8">
        <v>83.311890000000005</v>
      </c>
      <c r="G967" s="22">
        <v>200</v>
      </c>
      <c r="H967" s="8">
        <v>12</v>
      </c>
      <c r="I967" s="10">
        <f t="shared" si="282"/>
        <v>8.2932948805945319</v>
      </c>
      <c r="J967" s="10">
        <f t="shared" si="293"/>
        <v>0.14474530150516457</v>
      </c>
      <c r="K967" s="10">
        <f t="shared" si="298"/>
        <v>21.221924545521965</v>
      </c>
      <c r="L967" s="8">
        <v>12</v>
      </c>
      <c r="M967" s="8" t="s">
        <v>40</v>
      </c>
      <c r="N967" s="8" t="s">
        <v>43</v>
      </c>
      <c r="O967" s="10" t="s">
        <v>44</v>
      </c>
      <c r="P967" s="10" t="s">
        <v>45</v>
      </c>
      <c r="Q967" s="8">
        <v>0.52</v>
      </c>
      <c r="R967" s="8" t="s">
        <v>68</v>
      </c>
      <c r="S967" s="12">
        <v>38.799999999999997</v>
      </c>
      <c r="T967" s="79">
        <f t="shared" si="281"/>
        <v>0.11823725759999999</v>
      </c>
      <c r="U967" s="8">
        <v>20</v>
      </c>
      <c r="V967" s="8">
        <v>82</v>
      </c>
      <c r="W967" s="10">
        <f t="shared" si="294"/>
        <v>1.4311699866353502</v>
      </c>
      <c r="X967" s="8">
        <v>5</v>
      </c>
      <c r="Y967" s="8">
        <v>12</v>
      </c>
      <c r="Z967" s="10">
        <f t="shared" si="295"/>
        <v>0.20943951023931956</v>
      </c>
      <c r="AA967" s="10">
        <f t="shared" si="296"/>
        <v>20.844919828920204</v>
      </c>
      <c r="AB967" s="10">
        <f t="shared" si="297"/>
        <v>707.5688801344586</v>
      </c>
      <c r="AC967" s="10">
        <f t="shared" si="289"/>
        <v>88.446110016807324</v>
      </c>
      <c r="AD967" s="10">
        <f t="shared" ref="AD967:AD1030" si="299">AB967/2</f>
        <v>353.7844400672293</v>
      </c>
      <c r="AE967" s="65"/>
      <c r="AF967" s="10">
        <f t="shared" ref="AF967:AF1030" si="300">Q967*EXP(-1.239+1.98*LN(S967)+0.207*(LN(S967))^2-0.0281*(LN(S967))^3)</f>
        <v>850.08888922258029</v>
      </c>
      <c r="AG967" s="8">
        <f t="shared" si="290"/>
        <v>165.76733339840317</v>
      </c>
      <c r="AH967" s="10">
        <f t="shared" si="291"/>
        <v>425.04444461129015</v>
      </c>
      <c r="AI967" s="63"/>
      <c r="AJ967" s="10">
        <f t="shared" ref="AJ967:AJ1030" si="301">21.297-6.953*S967+0.74*(S967^2)</f>
        <v>865.5462</v>
      </c>
      <c r="AK967" s="8"/>
      <c r="AL967" s="8">
        <f t="shared" si="292"/>
        <v>432.7731</v>
      </c>
    </row>
    <row r="968" spans="1:38">
      <c r="A968" s="18">
        <v>41459</v>
      </c>
      <c r="B968" s="19" t="s">
        <v>34</v>
      </c>
      <c r="C968" s="12">
        <v>200.2</v>
      </c>
      <c r="D968" s="9" t="s">
        <v>80</v>
      </c>
      <c r="E968" s="8">
        <v>8.4116700000000009</v>
      </c>
      <c r="F968" s="8">
        <v>83.311890000000005</v>
      </c>
      <c r="G968" s="22">
        <v>200</v>
      </c>
      <c r="H968" s="8">
        <v>12</v>
      </c>
      <c r="I968" s="10">
        <f t="shared" si="282"/>
        <v>8.2932948805945319</v>
      </c>
      <c r="J968" s="10">
        <f t="shared" si="293"/>
        <v>0.14474530150516457</v>
      </c>
      <c r="K968" s="10">
        <f t="shared" si="298"/>
        <v>21.221924545521965</v>
      </c>
      <c r="L968" s="8">
        <v>13</v>
      </c>
      <c r="M968" s="8" t="s">
        <v>36</v>
      </c>
      <c r="N968" s="8" t="s">
        <v>46</v>
      </c>
      <c r="O968" s="10" t="s">
        <v>37</v>
      </c>
      <c r="P968" s="10" t="s">
        <v>38</v>
      </c>
      <c r="Q968" s="11">
        <v>0.48</v>
      </c>
      <c r="R968" s="8" t="s">
        <v>60</v>
      </c>
      <c r="S968" s="12">
        <v>45.3</v>
      </c>
      <c r="T968" s="79">
        <f t="shared" ref="T968:T1031" si="302">0.00007854*S968^2</f>
        <v>0.16117114859999998</v>
      </c>
      <c r="U968" s="8">
        <v>20</v>
      </c>
      <c r="V968" s="8">
        <v>72</v>
      </c>
      <c r="W968" s="10">
        <f t="shared" si="294"/>
        <v>1.2566370614359172</v>
      </c>
      <c r="X968" s="8">
        <v>5</v>
      </c>
      <c r="Y968" s="8">
        <v>17</v>
      </c>
      <c r="Z968" s="10">
        <f t="shared" si="295"/>
        <v>0.29670597283903605</v>
      </c>
      <c r="AA968" s="10">
        <f t="shared" si="296"/>
        <v>20.482988849516754</v>
      </c>
      <c r="AB968" s="10">
        <f t="shared" si="297"/>
        <v>863.77938121812861</v>
      </c>
      <c r="AC968" s="10">
        <f t="shared" si="289"/>
        <v>107.97242265226608</v>
      </c>
      <c r="AD968" s="10">
        <f t="shared" si="299"/>
        <v>431.8896906090643</v>
      </c>
      <c r="AE968" s="65"/>
      <c r="AF968" s="10">
        <f t="shared" si="300"/>
        <v>1129.2076741298777</v>
      </c>
      <c r="AG968" s="8">
        <f t="shared" si="290"/>
        <v>220.19549645532615</v>
      </c>
      <c r="AH968" s="10">
        <f t="shared" si="291"/>
        <v>564.60383706493883</v>
      </c>
      <c r="AI968" s="63"/>
      <c r="AJ968" s="10">
        <f t="shared" si="301"/>
        <v>1224.8726999999997</v>
      </c>
      <c r="AK968" s="8"/>
      <c r="AL968" s="8">
        <f t="shared" si="292"/>
        <v>612.43634999999983</v>
      </c>
    </row>
    <row r="969" spans="1:38">
      <c r="A969" s="18">
        <v>41459</v>
      </c>
      <c r="B969" s="19" t="s">
        <v>34</v>
      </c>
      <c r="C969" s="12">
        <v>200.2</v>
      </c>
      <c r="D969" s="9" t="s">
        <v>80</v>
      </c>
      <c r="E969" s="8">
        <v>8.4116700000000009</v>
      </c>
      <c r="F969" s="8">
        <v>83.311890000000005</v>
      </c>
      <c r="G969" s="22">
        <v>200</v>
      </c>
      <c r="H969" s="8">
        <v>12</v>
      </c>
      <c r="I969" s="10">
        <f t="shared" si="282"/>
        <v>8.2932948805945319</v>
      </c>
      <c r="J969" s="10">
        <f t="shared" si="293"/>
        <v>0.14474530150516457</v>
      </c>
      <c r="K969" s="10">
        <f t="shared" si="298"/>
        <v>21.221924545521965</v>
      </c>
      <c r="L969" s="8">
        <v>14</v>
      </c>
      <c r="M969" s="8" t="s">
        <v>36</v>
      </c>
      <c r="N969" s="8" t="s">
        <v>46</v>
      </c>
      <c r="O969" s="10" t="s">
        <v>37</v>
      </c>
      <c r="P969" s="10" t="s">
        <v>38</v>
      </c>
      <c r="Q969" s="11">
        <v>0.48</v>
      </c>
      <c r="R969" s="8" t="s">
        <v>60</v>
      </c>
      <c r="S969" s="29">
        <v>18</v>
      </c>
      <c r="T969" s="79">
        <f t="shared" si="302"/>
        <v>2.5446960000000001E-2</v>
      </c>
      <c r="U969" s="8">
        <v>8</v>
      </c>
      <c r="V969" s="8">
        <v>40</v>
      </c>
      <c r="W969" s="10">
        <f t="shared" si="294"/>
        <v>0.69813170079773179</v>
      </c>
      <c r="X969" s="8">
        <v>5</v>
      </c>
      <c r="Y969" s="8">
        <v>15</v>
      </c>
      <c r="Z969" s="10">
        <f t="shared" si="295"/>
        <v>0.26179938779914941</v>
      </c>
      <c r="AA969" s="10">
        <f t="shared" si="296"/>
        <v>6.4363961030049177</v>
      </c>
      <c r="AB969" s="10">
        <f t="shared" si="297"/>
        <v>51.317440968464346</v>
      </c>
      <c r="AC969" s="10">
        <f t="shared" si="289"/>
        <v>6.4146801210580433</v>
      </c>
      <c r="AD969" s="10">
        <f t="shared" si="299"/>
        <v>25.658720484232173</v>
      </c>
      <c r="AE969" s="65"/>
      <c r="AF969" s="10">
        <f t="shared" si="300"/>
        <v>121.6038897369755</v>
      </c>
      <c r="AG969" s="8">
        <f t="shared" si="290"/>
        <v>23.712758498710222</v>
      </c>
      <c r="AH969" s="10">
        <f t="shared" si="291"/>
        <v>60.801944868487752</v>
      </c>
      <c r="AI969" s="63"/>
      <c r="AJ969" s="10">
        <f t="shared" si="301"/>
        <v>135.90299999999996</v>
      </c>
      <c r="AK969" s="8"/>
      <c r="AL969" s="8">
        <f t="shared" si="292"/>
        <v>67.951499999999982</v>
      </c>
    </row>
    <row r="970" spans="1:38">
      <c r="A970" s="18">
        <v>41459</v>
      </c>
      <c r="B970" s="19" t="s">
        <v>34</v>
      </c>
      <c r="C970" s="12">
        <v>200.2</v>
      </c>
      <c r="D970" s="9" t="s">
        <v>80</v>
      </c>
      <c r="E970" s="8">
        <v>8.4116700000000009</v>
      </c>
      <c r="F970" s="8">
        <v>83.311890000000005</v>
      </c>
      <c r="G970" s="22">
        <v>200</v>
      </c>
      <c r="H970" s="8">
        <v>12</v>
      </c>
      <c r="I970" s="10">
        <f t="shared" si="282"/>
        <v>8.2932948805945319</v>
      </c>
      <c r="J970" s="10">
        <f t="shared" si="293"/>
        <v>0.14474530150516457</v>
      </c>
      <c r="K970" s="10">
        <f t="shared" si="298"/>
        <v>21.221924545521965</v>
      </c>
      <c r="L970" s="8">
        <v>15</v>
      </c>
      <c r="M970" s="8" t="s">
        <v>36</v>
      </c>
      <c r="N970" s="8" t="s">
        <v>46</v>
      </c>
      <c r="O970" s="10" t="s">
        <v>37</v>
      </c>
      <c r="P970" s="10" t="s">
        <v>38</v>
      </c>
      <c r="Q970" s="11">
        <v>0.48</v>
      </c>
      <c r="R970" s="8" t="s">
        <v>60</v>
      </c>
      <c r="S970" s="12">
        <v>15.3</v>
      </c>
      <c r="T970" s="79">
        <f t="shared" si="302"/>
        <v>1.8385428600000003E-2</v>
      </c>
      <c r="U970" s="8">
        <v>5</v>
      </c>
      <c r="V970" s="8">
        <v>30</v>
      </c>
      <c r="W970" s="10">
        <f t="shared" si="294"/>
        <v>0.52359877559829882</v>
      </c>
      <c r="X970" s="8">
        <v>5</v>
      </c>
      <c r="Y970" s="8">
        <v>35</v>
      </c>
      <c r="Z970" s="10">
        <f t="shared" si="295"/>
        <v>0.6108652381980153</v>
      </c>
      <c r="AA970" s="10">
        <f t="shared" si="296"/>
        <v>5.3678821817552294</v>
      </c>
      <c r="AB970" s="10">
        <f t="shared" si="297"/>
        <v>31.875952491602945</v>
      </c>
      <c r="AC970" s="10">
        <f t="shared" si="289"/>
        <v>3.9844940614503681</v>
      </c>
      <c r="AD970" s="10">
        <f t="shared" si="299"/>
        <v>15.937976245801472</v>
      </c>
      <c r="AE970" s="65"/>
      <c r="AF970" s="10">
        <f t="shared" si="300"/>
        <v>81.297685587999297</v>
      </c>
      <c r="AG970" s="8">
        <f t="shared" si="290"/>
        <v>15.853048689659863</v>
      </c>
      <c r="AH970" s="10">
        <f t="shared" si="291"/>
        <v>40.648842793999648</v>
      </c>
      <c r="AI970" s="63"/>
      <c r="AJ970" s="10">
        <f t="shared" si="301"/>
        <v>88.142700000000005</v>
      </c>
      <c r="AK970" s="8"/>
      <c r="AL970" s="8">
        <f t="shared" si="292"/>
        <v>44.071350000000002</v>
      </c>
    </row>
    <row r="971" spans="1:38">
      <c r="A971" s="18">
        <v>41459</v>
      </c>
      <c r="B971" s="19" t="s">
        <v>34</v>
      </c>
      <c r="C971" s="12">
        <v>200.2</v>
      </c>
      <c r="D971" s="9" t="s">
        <v>80</v>
      </c>
      <c r="E971" s="8">
        <v>8.4116700000000009</v>
      </c>
      <c r="F971" s="8">
        <v>83.311890000000005</v>
      </c>
      <c r="G971" s="22">
        <v>200</v>
      </c>
      <c r="H971" s="8">
        <v>12</v>
      </c>
      <c r="I971" s="10">
        <f t="shared" ref="I971:I1033" si="303">1/TAN(H971/100)</f>
        <v>8.2932948805945319</v>
      </c>
      <c r="J971" s="10">
        <f t="shared" si="293"/>
        <v>0.14474530150516457</v>
      </c>
      <c r="K971" s="10">
        <f t="shared" si="298"/>
        <v>21.221924545521965</v>
      </c>
      <c r="L971" s="8">
        <v>16</v>
      </c>
      <c r="M971" s="8" t="s">
        <v>39</v>
      </c>
      <c r="N971" s="8" t="s">
        <v>69</v>
      </c>
      <c r="O971" s="10" t="s">
        <v>65</v>
      </c>
      <c r="P971" s="10" t="s">
        <v>70</v>
      </c>
      <c r="Q971" s="8">
        <v>0.37</v>
      </c>
      <c r="R971" s="8" t="s">
        <v>71</v>
      </c>
      <c r="S971" s="12">
        <v>47.8</v>
      </c>
      <c r="T971" s="79">
        <f t="shared" si="302"/>
        <v>0.17945133359999998</v>
      </c>
      <c r="U971" s="8">
        <v>18</v>
      </c>
      <c r="V971" s="8">
        <v>71</v>
      </c>
      <c r="W971" s="10">
        <f t="shared" si="294"/>
        <v>1.2391837689159739</v>
      </c>
      <c r="X971" s="8">
        <v>5</v>
      </c>
      <c r="Y971" s="8">
        <v>20</v>
      </c>
      <c r="Z971" s="10">
        <f t="shared" si="295"/>
        <v>0.3490658503988659</v>
      </c>
      <c r="AA971" s="10">
        <f t="shared" si="296"/>
        <v>18.729435077416046</v>
      </c>
      <c r="AB971" s="10">
        <f t="shared" si="297"/>
        <v>687.81079088793092</v>
      </c>
      <c r="AC971" s="10">
        <f t="shared" si="289"/>
        <v>85.976348860991365</v>
      </c>
      <c r="AD971" s="10">
        <f t="shared" si="299"/>
        <v>343.90539544396546</v>
      </c>
      <c r="AE971" s="65"/>
      <c r="AF971" s="10">
        <f t="shared" si="300"/>
        <v>986.31188727564529</v>
      </c>
      <c r="AG971" s="8">
        <f t="shared" si="290"/>
        <v>192.33081801875085</v>
      </c>
      <c r="AH971" s="10">
        <f t="shared" si="291"/>
        <v>493.15594363782265</v>
      </c>
      <c r="AI971" s="63"/>
      <c r="AJ971" s="10">
        <f t="shared" si="301"/>
        <v>1379.7251999999999</v>
      </c>
      <c r="AK971" s="8"/>
      <c r="AL971" s="8">
        <f t="shared" si="292"/>
        <v>689.86259999999993</v>
      </c>
    </row>
    <row r="972" spans="1:38">
      <c r="A972" s="18">
        <v>41459</v>
      </c>
      <c r="B972" s="19" t="s">
        <v>34</v>
      </c>
      <c r="C972" s="12">
        <v>200.2</v>
      </c>
      <c r="D972" s="9" t="s">
        <v>80</v>
      </c>
      <c r="E972" s="8">
        <v>8.4116700000000009</v>
      </c>
      <c r="F972" s="8">
        <v>83.311890000000005</v>
      </c>
      <c r="G972" s="22">
        <v>200</v>
      </c>
      <c r="H972" s="8">
        <v>12</v>
      </c>
      <c r="I972" s="10">
        <f t="shared" si="303"/>
        <v>8.2932948805945319</v>
      </c>
      <c r="J972" s="10">
        <f t="shared" si="293"/>
        <v>0.14474530150516457</v>
      </c>
      <c r="K972" s="10">
        <f t="shared" si="298"/>
        <v>21.221924545521965</v>
      </c>
      <c r="L972" s="8">
        <v>1</v>
      </c>
      <c r="M972" s="8" t="s">
        <v>36</v>
      </c>
      <c r="N972" s="8" t="s">
        <v>46</v>
      </c>
      <c r="O972" s="10" t="s">
        <v>37</v>
      </c>
      <c r="P972" s="10" t="s">
        <v>38</v>
      </c>
      <c r="Q972" s="11">
        <v>0.48</v>
      </c>
      <c r="R972" s="8" t="s">
        <v>60</v>
      </c>
      <c r="S972" s="29">
        <v>6</v>
      </c>
      <c r="T972" s="79">
        <f t="shared" si="302"/>
        <v>2.8274400000000001E-3</v>
      </c>
      <c r="U972" s="8">
        <v>7</v>
      </c>
      <c r="V972" s="8">
        <v>26</v>
      </c>
      <c r="W972" s="10">
        <f t="shared" si="294"/>
        <v>0.4537856055185257</v>
      </c>
      <c r="X972" s="8">
        <v>6</v>
      </c>
      <c r="Y972" s="8">
        <v>20</v>
      </c>
      <c r="Z972" s="10">
        <f t="shared" si="295"/>
        <v>0.3490658503988659</v>
      </c>
      <c r="AA972" s="10">
        <f t="shared" si="296"/>
        <v>5.1207188874775547</v>
      </c>
      <c r="AB972" s="10">
        <f t="shared" si="297"/>
        <v>5.2471552493107811</v>
      </c>
      <c r="AC972" s="10">
        <f t="shared" si="289"/>
        <v>0.65589440616384764</v>
      </c>
      <c r="AD972" s="10">
        <f t="shared" si="299"/>
        <v>2.6235776246553906</v>
      </c>
      <c r="AE972" s="65"/>
      <c r="AF972" s="10">
        <f t="shared" si="300"/>
        <v>7.9855132098306401</v>
      </c>
      <c r="AG972" s="8">
        <f t="shared" si="290"/>
        <v>1.5571750759169749</v>
      </c>
      <c r="AH972" s="10">
        <f t="shared" si="291"/>
        <v>3.99275660491532</v>
      </c>
      <c r="AI972" s="63"/>
      <c r="AJ972" s="10">
        <f t="shared" si="301"/>
        <v>6.2189999999999976</v>
      </c>
      <c r="AK972" s="8"/>
      <c r="AL972" s="8">
        <f t="shared" si="292"/>
        <v>3.1094999999999988</v>
      </c>
    </row>
    <row r="973" spans="1:38">
      <c r="A973" s="18">
        <v>41459</v>
      </c>
      <c r="B973" s="19" t="s">
        <v>34</v>
      </c>
      <c r="C973" s="12">
        <v>200.2</v>
      </c>
      <c r="D973" s="9" t="s">
        <v>80</v>
      </c>
      <c r="E973" s="8">
        <v>8.4116700000000009</v>
      </c>
      <c r="F973" s="8">
        <v>83.311890000000005</v>
      </c>
      <c r="G973" s="22">
        <v>200</v>
      </c>
      <c r="H973" s="8">
        <v>12</v>
      </c>
      <c r="I973" s="10">
        <f t="shared" si="303"/>
        <v>8.2932948805945319</v>
      </c>
      <c r="J973" s="10">
        <f t="shared" si="293"/>
        <v>0.14474530150516457</v>
      </c>
      <c r="K973" s="10">
        <f t="shared" si="298"/>
        <v>21.221924545521965</v>
      </c>
      <c r="L973" s="8">
        <v>2</v>
      </c>
      <c r="M973" s="8" t="s">
        <v>47</v>
      </c>
      <c r="N973" s="8" t="s">
        <v>48</v>
      </c>
      <c r="O973" s="10" t="s">
        <v>49</v>
      </c>
      <c r="P973" s="10" t="s">
        <v>50</v>
      </c>
      <c r="Q973" s="20">
        <v>0.75</v>
      </c>
      <c r="R973" s="8" t="s">
        <v>67</v>
      </c>
      <c r="S973" s="29">
        <v>7.4</v>
      </c>
      <c r="T973" s="79">
        <f t="shared" si="302"/>
        <v>4.3008504000000003E-3</v>
      </c>
      <c r="U973" s="8">
        <v>7</v>
      </c>
      <c r="V973" s="8">
        <v>40</v>
      </c>
      <c r="W973" s="10">
        <f t="shared" si="294"/>
        <v>0.69813170079773179</v>
      </c>
      <c r="X973" s="8">
        <v>6</v>
      </c>
      <c r="Y973" s="8">
        <v>21</v>
      </c>
      <c r="Z973" s="10">
        <f t="shared" si="295"/>
        <v>0.36651914291880922</v>
      </c>
      <c r="AA973" s="10">
        <f t="shared" si="296"/>
        <v>6.6497209650775755</v>
      </c>
      <c r="AB973" s="10">
        <f t="shared" si="297"/>
        <v>15.135966522499398</v>
      </c>
      <c r="AC973" s="10">
        <f t="shared" si="289"/>
        <v>1.8919958153124248</v>
      </c>
      <c r="AD973" s="10">
        <f t="shared" si="299"/>
        <v>7.5679832612496991</v>
      </c>
      <c r="AE973" s="65"/>
      <c r="AF973" s="10">
        <f t="shared" si="300"/>
        <v>20.908897709206919</v>
      </c>
      <c r="AG973" s="8">
        <f t="shared" si="290"/>
        <v>4.0772350532953494</v>
      </c>
      <c r="AH973" s="10">
        <f t="shared" si="291"/>
        <v>10.454448854603459</v>
      </c>
      <c r="AI973" s="63"/>
      <c r="AJ973" s="10">
        <f t="shared" si="301"/>
        <v>10.3672</v>
      </c>
      <c r="AK973" s="8"/>
      <c r="AL973" s="8">
        <f t="shared" si="292"/>
        <v>5.1836000000000002</v>
      </c>
    </row>
    <row r="974" spans="1:38">
      <c r="A974" s="18">
        <v>41459</v>
      </c>
      <c r="B974" s="19" t="s">
        <v>34</v>
      </c>
      <c r="C974" s="12">
        <v>200.2</v>
      </c>
      <c r="D974" s="9" t="s">
        <v>80</v>
      </c>
      <c r="E974" s="8">
        <v>8.4116700000000009</v>
      </c>
      <c r="F974" s="8">
        <v>83.311890000000005</v>
      </c>
      <c r="G974" s="22">
        <v>200</v>
      </c>
      <c r="H974" s="8">
        <v>12</v>
      </c>
      <c r="I974" s="10">
        <f t="shared" si="303"/>
        <v>8.2932948805945319</v>
      </c>
      <c r="J974" s="10">
        <f t="shared" si="293"/>
        <v>0.14474530150516457</v>
      </c>
      <c r="K974" s="10">
        <f t="shared" si="298"/>
        <v>21.221924545521965</v>
      </c>
      <c r="L974" s="8">
        <v>3</v>
      </c>
      <c r="M974" s="8" t="s">
        <v>39</v>
      </c>
      <c r="N974" s="8" t="s">
        <v>69</v>
      </c>
      <c r="O974" s="10" t="s">
        <v>65</v>
      </c>
      <c r="P974" s="10" t="s">
        <v>70</v>
      </c>
      <c r="Q974" s="8">
        <v>0.37</v>
      </c>
      <c r="R974" s="8" t="s">
        <v>71</v>
      </c>
      <c r="S974" s="29">
        <v>9.1999999999999993</v>
      </c>
      <c r="T974" s="79">
        <f t="shared" si="302"/>
        <v>6.6476255999999992E-3</v>
      </c>
      <c r="U974" s="8">
        <v>8</v>
      </c>
      <c r="V974" s="8">
        <v>78</v>
      </c>
      <c r="W974" s="10">
        <f t="shared" si="294"/>
        <v>1.3613568165555769</v>
      </c>
      <c r="X974" s="8">
        <v>5</v>
      </c>
      <c r="Y974" s="8">
        <v>12</v>
      </c>
      <c r="Z974" s="10">
        <f t="shared" si="295"/>
        <v>0.20943951023931956</v>
      </c>
      <c r="AA974" s="10">
        <f t="shared" si="296"/>
        <v>8.8647392599592418</v>
      </c>
      <c r="AB974" s="10">
        <f t="shared" si="297"/>
        <v>15.370870564893396</v>
      </c>
      <c r="AC974" s="10">
        <f t="shared" si="289"/>
        <v>1.9213588206116745</v>
      </c>
      <c r="AD974" s="10">
        <f t="shared" si="299"/>
        <v>7.685435282446698</v>
      </c>
      <c r="AE974" s="65"/>
      <c r="AF974" s="10">
        <f t="shared" si="300"/>
        <v>17.691863609548438</v>
      </c>
      <c r="AG974" s="8">
        <f t="shared" si="290"/>
        <v>3.4499134038619457</v>
      </c>
      <c r="AH974" s="10">
        <f t="shared" si="291"/>
        <v>8.845931804774219</v>
      </c>
      <c r="AI974" s="63"/>
      <c r="AJ974" s="10">
        <f t="shared" si="301"/>
        <v>19.962999999999994</v>
      </c>
      <c r="AK974" s="8"/>
      <c r="AL974" s="8">
        <f t="shared" si="292"/>
        <v>9.9814999999999969</v>
      </c>
    </row>
    <row r="975" spans="1:38">
      <c r="A975" s="18">
        <v>41459</v>
      </c>
      <c r="B975" s="19" t="s">
        <v>34</v>
      </c>
      <c r="C975" s="12">
        <v>200.2</v>
      </c>
      <c r="D975" s="9" t="s">
        <v>80</v>
      </c>
      <c r="E975" s="8">
        <v>8.4116700000000009</v>
      </c>
      <c r="F975" s="8">
        <v>83.311890000000005</v>
      </c>
      <c r="G975" s="22">
        <v>200</v>
      </c>
      <c r="H975" s="8">
        <v>12</v>
      </c>
      <c r="I975" s="10">
        <f t="shared" si="303"/>
        <v>8.2932948805945319</v>
      </c>
      <c r="J975" s="10">
        <f t="shared" si="293"/>
        <v>0.14474530150516457</v>
      </c>
      <c r="K975" s="10">
        <f t="shared" si="298"/>
        <v>21.221924545521965</v>
      </c>
      <c r="L975" s="8">
        <v>4</v>
      </c>
      <c r="M975" s="31" t="s">
        <v>231</v>
      </c>
      <c r="N975" s="8" t="s">
        <v>171</v>
      </c>
      <c r="O975" s="33" t="s">
        <v>99</v>
      </c>
      <c r="P975" s="33" t="s">
        <v>99</v>
      </c>
      <c r="Q975" s="22">
        <v>0.57999999999999996</v>
      </c>
      <c r="R975" s="22" t="s">
        <v>103</v>
      </c>
      <c r="S975" s="12">
        <v>14.3</v>
      </c>
      <c r="T975" s="79">
        <f t="shared" si="302"/>
        <v>1.60606446E-2</v>
      </c>
      <c r="U975" s="8">
        <v>10</v>
      </c>
      <c r="V975" s="8">
        <v>73</v>
      </c>
      <c r="W975" s="10">
        <f t="shared" si="294"/>
        <v>1.2740903539558606</v>
      </c>
      <c r="X975" s="8">
        <v>5</v>
      </c>
      <c r="Y975" s="8">
        <v>10</v>
      </c>
      <c r="Z975" s="10">
        <f t="shared" si="295"/>
        <v>0.17453292519943295</v>
      </c>
      <c r="AA975" s="10">
        <f t="shared" si="296"/>
        <v>10.431288447965006</v>
      </c>
      <c r="AB975" s="10">
        <f t="shared" si="297"/>
        <v>62.625825437783632</v>
      </c>
      <c r="AC975" s="10">
        <f t="shared" si="289"/>
        <v>7.828228179722954</v>
      </c>
      <c r="AD975" s="10">
        <f t="shared" si="299"/>
        <v>31.312912718891816</v>
      </c>
      <c r="AE975" s="65"/>
      <c r="AF975" s="10">
        <f t="shared" si="300"/>
        <v>83.054258859221292</v>
      </c>
      <c r="AG975" s="8">
        <f t="shared" si="290"/>
        <v>16.195580477548152</v>
      </c>
      <c r="AH975" s="10">
        <f t="shared" si="291"/>
        <v>41.527129429610646</v>
      </c>
      <c r="AI975" s="63"/>
      <c r="AJ975" s="10">
        <f t="shared" si="301"/>
        <v>73.191699999999983</v>
      </c>
      <c r="AK975" s="8"/>
      <c r="AL975" s="8">
        <f t="shared" si="292"/>
        <v>36.595849999999992</v>
      </c>
    </row>
    <row r="976" spans="1:38">
      <c r="A976" s="18">
        <v>41459</v>
      </c>
      <c r="B976" s="19" t="s">
        <v>34</v>
      </c>
      <c r="C976" s="12">
        <v>200.2</v>
      </c>
      <c r="D976" s="9" t="s">
        <v>80</v>
      </c>
      <c r="E976" s="8">
        <v>8.4116700000000009</v>
      </c>
      <c r="F976" s="8">
        <v>83.311890000000005</v>
      </c>
      <c r="G976" s="22">
        <v>200</v>
      </c>
      <c r="H976" s="8">
        <v>12</v>
      </c>
      <c r="I976" s="10">
        <f t="shared" si="303"/>
        <v>8.2932948805945319</v>
      </c>
      <c r="J976" s="10">
        <f t="shared" si="293"/>
        <v>0.14474530150516457</v>
      </c>
      <c r="K976" s="10">
        <f t="shared" si="298"/>
        <v>21.221924545521965</v>
      </c>
      <c r="L976" s="8">
        <v>5</v>
      </c>
      <c r="M976" s="31" t="s">
        <v>231</v>
      </c>
      <c r="N976" s="8" t="s">
        <v>171</v>
      </c>
      <c r="O976" s="33" t="s">
        <v>99</v>
      </c>
      <c r="P976" s="33" t="s">
        <v>99</v>
      </c>
      <c r="Q976" s="22">
        <v>0.57999999999999996</v>
      </c>
      <c r="R976" s="22" t="s">
        <v>103</v>
      </c>
      <c r="S976" s="29">
        <v>12</v>
      </c>
      <c r="T976" s="79">
        <f t="shared" si="302"/>
        <v>1.130976E-2</v>
      </c>
      <c r="U976" s="8">
        <v>16</v>
      </c>
      <c r="V976" s="8">
        <v>70</v>
      </c>
      <c r="W976" s="10">
        <f t="shared" si="294"/>
        <v>1.2217304763960306</v>
      </c>
      <c r="X976" s="8">
        <v>5</v>
      </c>
      <c r="Y976" s="8">
        <v>16</v>
      </c>
      <c r="Z976" s="10">
        <f t="shared" si="295"/>
        <v>0.27925268031909273</v>
      </c>
      <c r="AA976" s="10">
        <f t="shared" si="296"/>
        <v>16.41326871165953</v>
      </c>
      <c r="AB976" s="10">
        <f t="shared" si="297"/>
        <v>68.964906644312293</v>
      </c>
      <c r="AC976" s="10">
        <f t="shared" si="289"/>
        <v>8.6206133305390367</v>
      </c>
      <c r="AD976" s="10">
        <f t="shared" si="299"/>
        <v>34.482453322156147</v>
      </c>
      <c r="AE976" s="65"/>
      <c r="AF976" s="10">
        <f t="shared" si="300"/>
        <v>53.699593137147289</v>
      </c>
      <c r="AG976" s="8">
        <f t="shared" si="290"/>
        <v>10.471420661743721</v>
      </c>
      <c r="AH976" s="10">
        <f t="shared" si="291"/>
        <v>26.849796568573645</v>
      </c>
      <c r="AI976" s="63"/>
      <c r="AJ976" s="10">
        <f t="shared" si="301"/>
        <v>44.420999999999992</v>
      </c>
      <c r="AK976" s="8"/>
      <c r="AL976" s="8">
        <f t="shared" si="292"/>
        <v>22.210499999999996</v>
      </c>
    </row>
    <row r="977" spans="1:38">
      <c r="A977" s="18">
        <v>41459</v>
      </c>
      <c r="B977" s="19" t="s">
        <v>34</v>
      </c>
      <c r="C977" s="12">
        <v>200.2</v>
      </c>
      <c r="D977" s="9" t="s">
        <v>80</v>
      </c>
      <c r="E977" s="8">
        <v>8.4116700000000009</v>
      </c>
      <c r="F977" s="8">
        <v>83.311890000000005</v>
      </c>
      <c r="G977" s="22">
        <v>200</v>
      </c>
      <c r="H977" s="8">
        <v>12</v>
      </c>
      <c r="I977" s="10">
        <f t="shared" si="303"/>
        <v>8.2932948805945319</v>
      </c>
      <c r="J977" s="10">
        <f t="shared" si="293"/>
        <v>0.14474530150516457</v>
      </c>
      <c r="K977" s="10">
        <f t="shared" si="298"/>
        <v>21.221924545521965</v>
      </c>
      <c r="L977" s="8">
        <v>6</v>
      </c>
      <c r="M977" s="8" t="s">
        <v>39</v>
      </c>
      <c r="N977" s="8" t="s">
        <v>69</v>
      </c>
      <c r="O977" s="10" t="s">
        <v>65</v>
      </c>
      <c r="P977" s="10" t="s">
        <v>70</v>
      </c>
      <c r="Q977" s="8">
        <v>0.37</v>
      </c>
      <c r="R977" s="8" t="s">
        <v>71</v>
      </c>
      <c r="S977" s="29">
        <v>12</v>
      </c>
      <c r="T977" s="79">
        <f t="shared" si="302"/>
        <v>1.130976E-2</v>
      </c>
      <c r="U977" s="8">
        <v>14</v>
      </c>
      <c r="V977" s="8">
        <v>75</v>
      </c>
      <c r="W977" s="10">
        <f t="shared" si="294"/>
        <v>1.3089969389957472</v>
      </c>
      <c r="X977" s="8">
        <v>5</v>
      </c>
      <c r="Y977" s="8">
        <v>16</v>
      </c>
      <c r="Z977" s="10">
        <f t="shared" si="295"/>
        <v>0.27925268031909273</v>
      </c>
      <c r="AA977" s="10">
        <f t="shared" si="296"/>
        <v>14.901148347131951</v>
      </c>
      <c r="AB977" s="10">
        <f t="shared" si="297"/>
        <v>41.272296844410214</v>
      </c>
      <c r="AC977" s="10">
        <f t="shared" si="289"/>
        <v>5.1590371055512767</v>
      </c>
      <c r="AD977" s="10">
        <f t="shared" si="299"/>
        <v>20.636148422205107</v>
      </c>
      <c r="AE977" s="65"/>
      <c r="AF977" s="10">
        <f t="shared" si="300"/>
        <v>34.256637001283615</v>
      </c>
      <c r="AG977" s="8">
        <f t="shared" si="290"/>
        <v>6.6800442152503052</v>
      </c>
      <c r="AH977" s="10">
        <f t="shared" si="291"/>
        <v>17.128318500641807</v>
      </c>
      <c r="AI977" s="63"/>
      <c r="AJ977" s="10">
        <f t="shared" si="301"/>
        <v>44.420999999999992</v>
      </c>
      <c r="AK977" s="8"/>
      <c r="AL977" s="8">
        <f t="shared" si="292"/>
        <v>22.210499999999996</v>
      </c>
    </row>
    <row r="978" spans="1:38">
      <c r="A978" s="18">
        <v>41487</v>
      </c>
      <c r="B978" s="19" t="s">
        <v>34</v>
      </c>
      <c r="C978" s="12">
        <v>200.2</v>
      </c>
      <c r="D978" s="19" t="s">
        <v>80</v>
      </c>
      <c r="E978" s="8">
        <v>8.4116700000000009</v>
      </c>
      <c r="F978" s="8">
        <v>83.311890000000005</v>
      </c>
      <c r="G978" s="22">
        <v>200</v>
      </c>
      <c r="H978" s="22">
        <v>12</v>
      </c>
      <c r="I978" s="10">
        <f t="shared" si="303"/>
        <v>8.2932948805945319</v>
      </c>
      <c r="J978" s="10">
        <f t="shared" si="293"/>
        <v>0.14474530150516457</v>
      </c>
      <c r="K978" s="10">
        <f t="shared" si="298"/>
        <v>21.221924545521965</v>
      </c>
      <c r="L978" s="22">
        <v>1063</v>
      </c>
      <c r="M978" s="22" t="s">
        <v>40</v>
      </c>
      <c r="N978" s="8" t="s">
        <v>43</v>
      </c>
      <c r="O978" s="10" t="s">
        <v>44</v>
      </c>
      <c r="P978" s="10" t="s">
        <v>45</v>
      </c>
      <c r="Q978" s="8">
        <v>0.52</v>
      </c>
      <c r="R978" s="8" t="s">
        <v>68</v>
      </c>
      <c r="S978" s="29">
        <v>8.1999999999999993</v>
      </c>
      <c r="T978" s="79">
        <f t="shared" si="302"/>
        <v>5.2810295999999998E-3</v>
      </c>
      <c r="U978" s="22">
        <v>8</v>
      </c>
      <c r="V978" s="22">
        <v>42</v>
      </c>
      <c r="W978" s="10">
        <f t="shared" si="294"/>
        <v>0.73303828583761843</v>
      </c>
      <c r="X978" s="22">
        <v>5</v>
      </c>
      <c r="Y978" s="22">
        <v>21</v>
      </c>
      <c r="Z978" s="10">
        <f t="shared" si="295"/>
        <v>0.36651914291880922</v>
      </c>
      <c r="AA978" s="10">
        <f t="shared" si="296"/>
        <v>7.1448845985973675</v>
      </c>
      <c r="AB978" s="10">
        <f t="shared" si="297"/>
        <v>13.919717207951265</v>
      </c>
      <c r="AC978" s="10">
        <f t="shared" si="289"/>
        <v>1.7399646509939082</v>
      </c>
      <c r="AD978" s="10">
        <f t="shared" si="299"/>
        <v>6.9598586039756327</v>
      </c>
      <c r="AE978" s="65"/>
      <c r="AF978" s="10">
        <f t="shared" si="300"/>
        <v>18.689331936921228</v>
      </c>
      <c r="AG978" s="8">
        <f t="shared" si="290"/>
        <v>3.6444197276996397</v>
      </c>
      <c r="AH978" s="10">
        <f t="shared" si="291"/>
        <v>9.3446659684606139</v>
      </c>
      <c r="AI978" s="63"/>
      <c r="AJ978" s="10">
        <f t="shared" si="301"/>
        <v>14.040000000000006</v>
      </c>
      <c r="AK978" s="8"/>
      <c r="AL978" s="8">
        <f t="shared" si="292"/>
        <v>7.0200000000000031</v>
      </c>
    </row>
    <row r="979" spans="1:38">
      <c r="A979" s="18">
        <v>41487</v>
      </c>
      <c r="B979" s="19" t="s">
        <v>34</v>
      </c>
      <c r="C979" s="12">
        <v>200.2</v>
      </c>
      <c r="D979" s="19" t="s">
        <v>80</v>
      </c>
      <c r="E979" s="8">
        <v>8.4116700000000009</v>
      </c>
      <c r="F979" s="8">
        <v>83.311890000000005</v>
      </c>
      <c r="G979" s="22">
        <v>200</v>
      </c>
      <c r="H979" s="22">
        <v>12</v>
      </c>
      <c r="I979" s="10">
        <f t="shared" si="303"/>
        <v>8.2932948805945319</v>
      </c>
      <c r="J979" s="10">
        <f t="shared" si="293"/>
        <v>0.14474530150516457</v>
      </c>
      <c r="K979" s="10">
        <f t="shared" si="298"/>
        <v>21.221924545521965</v>
      </c>
      <c r="L979" s="22">
        <v>1066</v>
      </c>
      <c r="M979" s="22" t="s">
        <v>40</v>
      </c>
      <c r="N979" s="8" t="s">
        <v>43</v>
      </c>
      <c r="O979" s="10" t="s">
        <v>44</v>
      </c>
      <c r="P979" s="10" t="s">
        <v>45</v>
      </c>
      <c r="Q979" s="8">
        <v>0.52</v>
      </c>
      <c r="R979" s="8" t="s">
        <v>68</v>
      </c>
      <c r="S979" s="29">
        <v>6.8</v>
      </c>
      <c r="T979" s="79">
        <f t="shared" si="302"/>
        <v>3.6316895999999998E-3</v>
      </c>
      <c r="U979" s="22">
        <v>8</v>
      </c>
      <c r="V979" s="22">
        <v>42</v>
      </c>
      <c r="W979" s="10">
        <f t="shared" si="294"/>
        <v>0.73303828583761843</v>
      </c>
      <c r="X979" s="22">
        <v>5</v>
      </c>
      <c r="Y979" s="22">
        <v>21</v>
      </c>
      <c r="Z979" s="10">
        <f t="shared" si="295"/>
        <v>0.36651914291880922</v>
      </c>
      <c r="AA979" s="10">
        <f t="shared" si="296"/>
        <v>7.1448845985973675</v>
      </c>
      <c r="AB979" s="10">
        <f t="shared" si="297"/>
        <v>9.7898745273770853</v>
      </c>
      <c r="AC979" s="10">
        <f t="shared" si="289"/>
        <v>1.2237343159221357</v>
      </c>
      <c r="AD979" s="10">
        <f t="shared" si="299"/>
        <v>4.8949372636885427</v>
      </c>
      <c r="AE979" s="65"/>
      <c r="AF979" s="10">
        <f t="shared" si="300"/>
        <v>11.766859533698378</v>
      </c>
      <c r="AG979" s="8">
        <f t="shared" si="290"/>
        <v>2.2945376090711838</v>
      </c>
      <c r="AH979" s="10">
        <f t="shared" si="291"/>
        <v>5.8834297668491891</v>
      </c>
      <c r="AI979" s="63"/>
      <c r="AJ979" s="10">
        <f t="shared" si="301"/>
        <v>8.2341999999999977</v>
      </c>
      <c r="AK979" s="8"/>
      <c r="AL979" s="8">
        <f t="shared" si="292"/>
        <v>4.1170999999999989</v>
      </c>
    </row>
    <row r="980" spans="1:38">
      <c r="A980" s="18">
        <v>41487</v>
      </c>
      <c r="B980" s="19" t="s">
        <v>34</v>
      </c>
      <c r="C980" s="12">
        <v>200.2</v>
      </c>
      <c r="D980" s="19" t="s">
        <v>80</v>
      </c>
      <c r="E980" s="8">
        <v>8.4116700000000009</v>
      </c>
      <c r="F980" s="8">
        <v>83.311890000000005</v>
      </c>
      <c r="G980" s="22">
        <v>200</v>
      </c>
      <c r="H980" s="22">
        <v>12</v>
      </c>
      <c r="I980" s="10">
        <f t="shared" si="303"/>
        <v>8.2932948805945319</v>
      </c>
      <c r="J980" s="10">
        <f t="shared" si="293"/>
        <v>0.14474530150516457</v>
      </c>
      <c r="K980" s="10">
        <f t="shared" si="298"/>
        <v>21.221924545521965</v>
      </c>
      <c r="L980" s="22">
        <v>1068</v>
      </c>
      <c r="M980" s="22" t="s">
        <v>96</v>
      </c>
      <c r="N980" s="8" t="s">
        <v>69</v>
      </c>
      <c r="O980" s="58" t="s">
        <v>65</v>
      </c>
      <c r="P980" s="10" t="s">
        <v>102</v>
      </c>
      <c r="Q980" s="22">
        <v>0.48</v>
      </c>
      <c r="R980" s="22" t="s">
        <v>190</v>
      </c>
      <c r="S980" s="29">
        <v>9</v>
      </c>
      <c r="T980" s="79">
        <f t="shared" si="302"/>
        <v>6.3617400000000003E-3</v>
      </c>
      <c r="U980" s="22">
        <v>8</v>
      </c>
      <c r="V980" s="22">
        <v>42</v>
      </c>
      <c r="W980" s="10">
        <f t="shared" si="294"/>
        <v>0.73303828583761843</v>
      </c>
      <c r="X980" s="22">
        <v>5</v>
      </c>
      <c r="Y980" s="22">
        <v>21</v>
      </c>
      <c r="Z980" s="10">
        <f t="shared" si="295"/>
        <v>0.36651914291880922</v>
      </c>
      <c r="AA980" s="10">
        <f t="shared" si="296"/>
        <v>7.1448845985973675</v>
      </c>
      <c r="AB980" s="10">
        <f t="shared" si="297"/>
        <v>15.380126504906015</v>
      </c>
      <c r="AC980" s="10">
        <f t="shared" si="289"/>
        <v>1.9225158131132518</v>
      </c>
      <c r="AD980" s="10">
        <f t="shared" si="299"/>
        <v>7.6900632524530073</v>
      </c>
      <c r="AE980" s="65"/>
      <c r="AF980" s="10">
        <f t="shared" si="300"/>
        <v>21.732555839272521</v>
      </c>
      <c r="AG980" s="8">
        <f t="shared" si="290"/>
        <v>4.2378483886581417</v>
      </c>
      <c r="AH980" s="10">
        <f t="shared" si="291"/>
        <v>10.866277919636261</v>
      </c>
      <c r="AI980" s="63"/>
      <c r="AJ980" s="10">
        <f t="shared" si="301"/>
        <v>18.659999999999997</v>
      </c>
      <c r="AK980" s="8"/>
      <c r="AL980" s="8">
        <f t="shared" si="292"/>
        <v>9.3299999999999983</v>
      </c>
    </row>
    <row r="981" spans="1:38">
      <c r="A981" s="18">
        <v>41487</v>
      </c>
      <c r="B981" s="19" t="s">
        <v>34</v>
      </c>
      <c r="C981" s="12">
        <v>200.2</v>
      </c>
      <c r="D981" s="19" t="s">
        <v>80</v>
      </c>
      <c r="E981" s="8">
        <v>8.4116700000000009</v>
      </c>
      <c r="F981" s="8">
        <v>83.311890000000005</v>
      </c>
      <c r="G981" s="22">
        <v>200</v>
      </c>
      <c r="H981" s="22">
        <v>12</v>
      </c>
      <c r="I981" s="10">
        <f t="shared" si="303"/>
        <v>8.2932948805945319</v>
      </c>
      <c r="J981" s="10">
        <f t="shared" si="293"/>
        <v>0.14474530150516457</v>
      </c>
      <c r="K981" s="10">
        <f t="shared" si="298"/>
        <v>21.221924545521965</v>
      </c>
      <c r="L981" s="22">
        <v>1071</v>
      </c>
      <c r="M981" s="22" t="s">
        <v>39</v>
      </c>
      <c r="N981" s="8" t="s">
        <v>69</v>
      </c>
      <c r="O981" s="10" t="s">
        <v>65</v>
      </c>
      <c r="P981" s="10" t="s">
        <v>70</v>
      </c>
      <c r="Q981" s="8">
        <v>0.37</v>
      </c>
      <c r="R981" s="8" t="s">
        <v>71</v>
      </c>
      <c r="S981" s="29">
        <v>5.7</v>
      </c>
      <c r="T981" s="79">
        <f t="shared" si="302"/>
        <v>2.5517646000000004E-3</v>
      </c>
      <c r="U981" s="22">
        <v>8</v>
      </c>
      <c r="V981" s="22">
        <v>42</v>
      </c>
      <c r="W981" s="10">
        <f t="shared" si="294"/>
        <v>0.73303828583761843</v>
      </c>
      <c r="X981" s="22">
        <v>5</v>
      </c>
      <c r="Y981" s="22">
        <v>21</v>
      </c>
      <c r="Z981" s="10">
        <f t="shared" si="295"/>
        <v>0.36651914291880922</v>
      </c>
      <c r="AA981" s="10">
        <f t="shared" si="296"/>
        <v>7.1448845985973675</v>
      </c>
      <c r="AB981" s="10">
        <f t="shared" si="297"/>
        <v>5.1023656252301546</v>
      </c>
      <c r="AC981" s="10">
        <f t="shared" si="289"/>
        <v>0.63779570315376932</v>
      </c>
      <c r="AD981" s="10">
        <f t="shared" si="299"/>
        <v>2.5511828126150773</v>
      </c>
      <c r="AE981" s="65"/>
      <c r="AF981" s="10">
        <f t="shared" si="300"/>
        <v>5.4290780156905631</v>
      </c>
      <c r="AG981" s="8">
        <f t="shared" si="290"/>
        <v>1.0586702130596599</v>
      </c>
      <c r="AH981" s="10">
        <f t="shared" si="291"/>
        <v>2.7145390078452816</v>
      </c>
      <c r="AI981" s="63"/>
      <c r="AJ981" s="10">
        <f t="shared" si="301"/>
        <v>5.7074999999999996</v>
      </c>
      <c r="AK981" s="8"/>
      <c r="AL981" s="8">
        <f t="shared" si="292"/>
        <v>2.8537499999999998</v>
      </c>
    </row>
    <row r="982" spans="1:38">
      <c r="A982" s="18">
        <v>41487</v>
      </c>
      <c r="B982" s="19" t="s">
        <v>34</v>
      </c>
      <c r="C982" s="12">
        <v>200.2</v>
      </c>
      <c r="D982" s="19" t="s">
        <v>80</v>
      </c>
      <c r="E982" s="8">
        <v>8.4116700000000009</v>
      </c>
      <c r="F982" s="8">
        <v>83.311890000000005</v>
      </c>
      <c r="G982" s="22">
        <v>200</v>
      </c>
      <c r="H982" s="22">
        <v>12</v>
      </c>
      <c r="I982" s="10">
        <f t="shared" si="303"/>
        <v>8.2932948805945319</v>
      </c>
      <c r="J982" s="10">
        <f t="shared" si="293"/>
        <v>0.14474530150516457</v>
      </c>
      <c r="K982" s="10">
        <f t="shared" si="298"/>
        <v>21.221924545521965</v>
      </c>
      <c r="L982" s="22">
        <v>1062</v>
      </c>
      <c r="M982" s="22" t="s">
        <v>47</v>
      </c>
      <c r="N982" s="8" t="s">
        <v>48</v>
      </c>
      <c r="O982" s="10" t="s">
        <v>49</v>
      </c>
      <c r="P982" s="10" t="s">
        <v>50</v>
      </c>
      <c r="Q982" s="20">
        <v>0.75</v>
      </c>
      <c r="R982" s="8" t="s">
        <v>67</v>
      </c>
      <c r="S982" s="29">
        <v>5.5</v>
      </c>
      <c r="T982" s="79">
        <f t="shared" si="302"/>
        <v>2.3758350000000002E-3</v>
      </c>
      <c r="U982" s="22">
        <v>8</v>
      </c>
      <c r="V982" s="22">
        <v>42</v>
      </c>
      <c r="W982" s="10">
        <f t="shared" si="294"/>
        <v>0.73303828583761843</v>
      </c>
      <c r="X982" s="22">
        <v>5</v>
      </c>
      <c r="Y982" s="22">
        <v>21</v>
      </c>
      <c r="Z982" s="10">
        <f t="shared" si="295"/>
        <v>0.36651914291880922</v>
      </c>
      <c r="AA982" s="10">
        <f t="shared" si="296"/>
        <v>7.1448845985973675</v>
      </c>
      <c r="AB982" s="10">
        <f t="shared" si="297"/>
        <v>9.2695077226692888</v>
      </c>
      <c r="AC982" s="10">
        <f t="shared" si="289"/>
        <v>1.1586884653336611</v>
      </c>
      <c r="AD982" s="10">
        <f t="shared" si="299"/>
        <v>4.6347538613346444</v>
      </c>
      <c r="AE982" s="65"/>
      <c r="AF982" s="10">
        <f t="shared" si="300"/>
        <v>10.085313199252102</v>
      </c>
      <c r="AG982" s="8">
        <f t="shared" si="290"/>
        <v>1.9666360738541599</v>
      </c>
      <c r="AH982" s="10">
        <f t="shared" si="291"/>
        <v>5.0426565996260511</v>
      </c>
      <c r="AI982" s="63"/>
      <c r="AJ982" s="10">
        <f t="shared" si="301"/>
        <v>5.4404999999999966</v>
      </c>
      <c r="AK982" s="8"/>
      <c r="AL982" s="8">
        <f t="shared" si="292"/>
        <v>2.7202499999999983</v>
      </c>
    </row>
    <row r="983" spans="1:38">
      <c r="A983" s="18">
        <v>41487</v>
      </c>
      <c r="B983" s="19" t="s">
        <v>34</v>
      </c>
      <c r="C983" s="12">
        <v>200.2</v>
      </c>
      <c r="D983" s="19" t="s">
        <v>80</v>
      </c>
      <c r="E983" s="8">
        <v>8.4116700000000009</v>
      </c>
      <c r="F983" s="8">
        <v>83.311890000000005</v>
      </c>
      <c r="G983" s="22">
        <v>200</v>
      </c>
      <c r="H983" s="22">
        <v>12</v>
      </c>
      <c r="I983" s="10">
        <f t="shared" si="303"/>
        <v>8.2932948805945319</v>
      </c>
      <c r="J983" s="10">
        <f t="shared" si="293"/>
        <v>0.14474530150516457</v>
      </c>
      <c r="K983" s="10">
        <f t="shared" si="298"/>
        <v>21.221924545521965</v>
      </c>
      <c r="L983" s="22">
        <v>1065</v>
      </c>
      <c r="M983" s="22" t="s">
        <v>39</v>
      </c>
      <c r="N983" s="8" t="s">
        <v>69</v>
      </c>
      <c r="O983" s="10" t="s">
        <v>65</v>
      </c>
      <c r="P983" s="10" t="s">
        <v>70</v>
      </c>
      <c r="Q983" s="8">
        <v>0.37</v>
      </c>
      <c r="R983" s="8" t="s">
        <v>71</v>
      </c>
      <c r="S983" s="29">
        <v>8.3000000000000007</v>
      </c>
      <c r="T983" s="79">
        <f t="shared" si="302"/>
        <v>5.4106206000000016E-3</v>
      </c>
      <c r="U983" s="22">
        <v>8</v>
      </c>
      <c r="V983" s="22">
        <v>42</v>
      </c>
      <c r="W983" s="10">
        <f t="shared" si="294"/>
        <v>0.73303828583761843</v>
      </c>
      <c r="X983" s="22">
        <v>6</v>
      </c>
      <c r="Y983" s="22">
        <v>23</v>
      </c>
      <c r="Z983" s="10">
        <f t="shared" si="295"/>
        <v>0.4014257279586958</v>
      </c>
      <c r="AA983" s="10">
        <f t="shared" si="296"/>
        <v>7.6974316218065084</v>
      </c>
      <c r="AB983" s="10">
        <f t="shared" si="297"/>
        <v>11.091831024545995</v>
      </c>
      <c r="AC983" s="10">
        <f t="shared" si="289"/>
        <v>1.3864788780682493</v>
      </c>
      <c r="AD983" s="10">
        <f t="shared" si="299"/>
        <v>5.5459155122729973</v>
      </c>
      <c r="AE983" s="65"/>
      <c r="AF983" s="10">
        <f t="shared" si="300"/>
        <v>13.703711248640156</v>
      </c>
      <c r="AG983" s="8">
        <f t="shared" si="290"/>
        <v>2.6722236934848307</v>
      </c>
      <c r="AH983" s="10">
        <f t="shared" si="291"/>
        <v>6.8518556243200779</v>
      </c>
      <c r="AI983" s="63"/>
      <c r="AJ983" s="10">
        <f t="shared" si="301"/>
        <v>14.5657</v>
      </c>
      <c r="AK983" s="8"/>
      <c r="AL983" s="8">
        <f t="shared" si="292"/>
        <v>7.2828499999999998</v>
      </c>
    </row>
    <row r="984" spans="1:38">
      <c r="A984" s="18">
        <v>41487</v>
      </c>
      <c r="B984" s="19" t="s">
        <v>34</v>
      </c>
      <c r="C984" s="12">
        <v>200.2</v>
      </c>
      <c r="D984" s="19" t="s">
        <v>80</v>
      </c>
      <c r="E984" s="8">
        <v>8.4116700000000009</v>
      </c>
      <c r="F984" s="8">
        <v>83.311890000000005</v>
      </c>
      <c r="G984" s="22">
        <v>200</v>
      </c>
      <c r="H984" s="22">
        <v>12</v>
      </c>
      <c r="I984" s="10">
        <f t="shared" si="303"/>
        <v>8.2932948805945319</v>
      </c>
      <c r="J984" s="10">
        <f t="shared" si="293"/>
        <v>0.14474530150516457</v>
      </c>
      <c r="K984" s="10">
        <f t="shared" si="298"/>
        <v>21.221924545521965</v>
      </c>
      <c r="L984" s="22">
        <v>1047</v>
      </c>
      <c r="M984" s="22" t="s">
        <v>96</v>
      </c>
      <c r="N984" s="8" t="s">
        <v>69</v>
      </c>
      <c r="O984" s="58" t="s">
        <v>65</v>
      </c>
      <c r="P984" s="10" t="s">
        <v>102</v>
      </c>
      <c r="Q984" s="22">
        <v>0.48</v>
      </c>
      <c r="R984" s="22" t="s">
        <v>190</v>
      </c>
      <c r="S984" s="29">
        <v>5.6</v>
      </c>
      <c r="T984" s="79">
        <f t="shared" si="302"/>
        <v>2.4630143999999996E-3</v>
      </c>
      <c r="U984" s="22">
        <v>6</v>
      </c>
      <c r="V984" s="22">
        <v>20</v>
      </c>
      <c r="W984" s="10">
        <f t="shared" si="294"/>
        <v>0.3490658503988659</v>
      </c>
      <c r="X984" s="22">
        <v>5</v>
      </c>
      <c r="Y984" s="22">
        <v>25</v>
      </c>
      <c r="Z984" s="10">
        <f t="shared" si="295"/>
        <v>0.43633231299858238</v>
      </c>
      <c r="AA984" s="10">
        <f t="shared" si="296"/>
        <v>4.1652121686575097</v>
      </c>
      <c r="AB984" s="10">
        <f t="shared" si="297"/>
        <v>3.7956038279876338</v>
      </c>
      <c r="AC984" s="10">
        <f t="shared" si="289"/>
        <v>0.47445047849845423</v>
      </c>
      <c r="AD984" s="10">
        <f t="shared" si="299"/>
        <v>1.8978019139938169</v>
      </c>
      <c r="AE984" s="65"/>
      <c r="AF984" s="10">
        <f t="shared" si="300"/>
        <v>6.7449403235527319</v>
      </c>
      <c r="AG984" s="8">
        <f t="shared" si="290"/>
        <v>1.3152633630927828</v>
      </c>
      <c r="AH984" s="10">
        <f t="shared" si="291"/>
        <v>3.3724701617763659</v>
      </c>
      <c r="AI984" s="63"/>
      <c r="AJ984" s="10">
        <f t="shared" si="301"/>
        <v>5.5665999999999976</v>
      </c>
      <c r="AK984" s="8"/>
      <c r="AL984" s="8">
        <f t="shared" si="292"/>
        <v>2.7832999999999988</v>
      </c>
    </row>
    <row r="985" spans="1:38">
      <c r="A985" s="18">
        <v>41487</v>
      </c>
      <c r="B985" s="19" t="s">
        <v>34</v>
      </c>
      <c r="C985" s="12">
        <v>200.2</v>
      </c>
      <c r="D985" s="19" t="s">
        <v>80</v>
      </c>
      <c r="E985" s="8">
        <v>8.4116700000000009</v>
      </c>
      <c r="F985" s="8">
        <v>83.311890000000005</v>
      </c>
      <c r="G985" s="22">
        <v>200</v>
      </c>
      <c r="H985" s="22">
        <v>12</v>
      </c>
      <c r="I985" s="10">
        <f t="shared" si="303"/>
        <v>8.2932948805945319</v>
      </c>
      <c r="J985" s="10">
        <f t="shared" si="293"/>
        <v>0.14474530150516457</v>
      </c>
      <c r="K985" s="10">
        <f t="shared" si="298"/>
        <v>21.221924545521965</v>
      </c>
      <c r="L985" s="22">
        <v>1087</v>
      </c>
      <c r="M985" s="22" t="s">
        <v>39</v>
      </c>
      <c r="N985" s="8" t="s">
        <v>69</v>
      </c>
      <c r="O985" s="10" t="s">
        <v>65</v>
      </c>
      <c r="P985" s="10" t="s">
        <v>70</v>
      </c>
      <c r="Q985" s="8">
        <v>0.37</v>
      </c>
      <c r="R985" s="8" t="s">
        <v>71</v>
      </c>
      <c r="S985" s="29">
        <v>10.6</v>
      </c>
      <c r="T985" s="79">
        <f t="shared" si="302"/>
        <v>8.8247544000000008E-3</v>
      </c>
      <c r="U985" s="22">
        <v>8</v>
      </c>
      <c r="V985" s="22">
        <v>42</v>
      </c>
      <c r="W985" s="10">
        <f t="shared" si="294"/>
        <v>0.73303828583761843</v>
      </c>
      <c r="X985" s="22">
        <v>5</v>
      </c>
      <c r="Y985" s="22">
        <v>21</v>
      </c>
      <c r="Z985" s="10">
        <f t="shared" si="295"/>
        <v>0.36651914291880922</v>
      </c>
      <c r="AA985" s="10">
        <f t="shared" si="296"/>
        <v>7.1448845985973675</v>
      </c>
      <c r="AB985" s="10">
        <f t="shared" si="297"/>
        <v>16.379546530025703</v>
      </c>
      <c r="AC985" s="10">
        <f t="shared" si="289"/>
        <v>2.0474433162532129</v>
      </c>
      <c r="AD985" s="10">
        <f t="shared" si="299"/>
        <v>8.1897732650128514</v>
      </c>
      <c r="AE985" s="65"/>
      <c r="AF985" s="10">
        <f t="shared" si="300"/>
        <v>25.159251608383943</v>
      </c>
      <c r="AG985" s="8">
        <f t="shared" si="290"/>
        <v>4.9060540636348691</v>
      </c>
      <c r="AH985" s="10">
        <f t="shared" si="291"/>
        <v>12.579625804191972</v>
      </c>
      <c r="AI985" s="63"/>
      <c r="AJ985" s="10">
        <f t="shared" si="301"/>
        <v>30.741599999999991</v>
      </c>
      <c r="AK985" s="8"/>
      <c r="AL985" s="8">
        <f t="shared" si="292"/>
        <v>15.370799999999996</v>
      </c>
    </row>
    <row r="986" spans="1:38">
      <c r="A986" s="18">
        <v>41487</v>
      </c>
      <c r="B986" s="19" t="s">
        <v>34</v>
      </c>
      <c r="C986" s="12">
        <v>200.2</v>
      </c>
      <c r="D986" s="19" t="s">
        <v>80</v>
      </c>
      <c r="E986" s="8">
        <v>8.4116700000000009</v>
      </c>
      <c r="F986" s="8">
        <v>83.311890000000005</v>
      </c>
      <c r="G986" s="22">
        <v>200</v>
      </c>
      <c r="H986" s="22">
        <v>12</v>
      </c>
      <c r="I986" s="10">
        <f t="shared" si="303"/>
        <v>8.2932948805945319</v>
      </c>
      <c r="J986" s="10">
        <f t="shared" si="293"/>
        <v>0.14474530150516457</v>
      </c>
      <c r="K986" s="10">
        <f t="shared" si="298"/>
        <v>21.221924545521965</v>
      </c>
      <c r="L986" s="22">
        <v>1033</v>
      </c>
      <c r="M986" s="22" t="s">
        <v>39</v>
      </c>
      <c r="N986" s="8" t="s">
        <v>69</v>
      </c>
      <c r="O986" s="10" t="s">
        <v>65</v>
      </c>
      <c r="P986" s="10" t="s">
        <v>70</v>
      </c>
      <c r="Q986" s="8">
        <v>0.37</v>
      </c>
      <c r="R986" s="8" t="s">
        <v>71</v>
      </c>
      <c r="S986" s="29">
        <v>6.4</v>
      </c>
      <c r="T986" s="79">
        <f t="shared" si="302"/>
        <v>3.2169984000000006E-3</v>
      </c>
      <c r="U986" s="22">
        <v>6</v>
      </c>
      <c r="V986" s="22">
        <v>20</v>
      </c>
      <c r="W986" s="10">
        <f t="shared" si="294"/>
        <v>0.3490658503988659</v>
      </c>
      <c r="X986" s="22">
        <v>6</v>
      </c>
      <c r="Y986" s="22">
        <v>25</v>
      </c>
      <c r="Z986" s="10">
        <f t="shared" si="295"/>
        <v>0.43633231299858238</v>
      </c>
      <c r="AA986" s="10">
        <f t="shared" si="296"/>
        <v>4.5878304303982089</v>
      </c>
      <c r="AB986" s="10">
        <f t="shared" si="297"/>
        <v>4.1831227542362583</v>
      </c>
      <c r="AC986" s="10">
        <f t="shared" si="289"/>
        <v>0.52289034427953229</v>
      </c>
      <c r="AD986" s="10">
        <f t="shared" si="299"/>
        <v>2.0915613771181292</v>
      </c>
      <c r="AE986" s="65"/>
      <c r="AF986" s="10">
        <f t="shared" si="300"/>
        <v>7.2121359656006385</v>
      </c>
      <c r="AG986" s="8">
        <f t="shared" si="290"/>
        <v>1.4063665132921246</v>
      </c>
      <c r="AH986" s="10">
        <f t="shared" si="291"/>
        <v>3.6060679828003193</v>
      </c>
      <c r="AI986" s="63"/>
      <c r="AJ986" s="10">
        <f t="shared" si="301"/>
        <v>7.1082000000000036</v>
      </c>
      <c r="AK986" s="8"/>
      <c r="AL986" s="8">
        <f t="shared" si="292"/>
        <v>3.5541000000000018</v>
      </c>
    </row>
    <row r="987" spans="1:38">
      <c r="A987" s="18">
        <v>41487</v>
      </c>
      <c r="B987" s="19" t="s">
        <v>34</v>
      </c>
      <c r="C987" s="12">
        <v>200.2</v>
      </c>
      <c r="D987" s="19" t="s">
        <v>80</v>
      </c>
      <c r="E987" s="8">
        <v>8.4116700000000009</v>
      </c>
      <c r="F987" s="8">
        <v>83.311890000000005</v>
      </c>
      <c r="G987" s="22">
        <v>200</v>
      </c>
      <c r="H987" s="22">
        <v>12</v>
      </c>
      <c r="I987" s="10">
        <f t="shared" si="303"/>
        <v>8.2932948805945319</v>
      </c>
      <c r="J987" s="10">
        <f t="shared" si="293"/>
        <v>0.14474530150516457</v>
      </c>
      <c r="K987" s="10">
        <f t="shared" si="298"/>
        <v>21.221924545521965</v>
      </c>
      <c r="L987" s="22">
        <v>1034</v>
      </c>
      <c r="M987" s="22" t="s">
        <v>47</v>
      </c>
      <c r="N987" s="8" t="s">
        <v>48</v>
      </c>
      <c r="O987" s="10" t="s">
        <v>49</v>
      </c>
      <c r="P987" s="10" t="s">
        <v>50</v>
      </c>
      <c r="Q987" s="20">
        <v>0.75</v>
      </c>
      <c r="R987" s="8" t="s">
        <v>67</v>
      </c>
      <c r="S987" s="29">
        <v>6.3</v>
      </c>
      <c r="T987" s="79">
        <f t="shared" si="302"/>
        <v>3.1172525999999998E-3</v>
      </c>
      <c r="U987" s="22">
        <v>7</v>
      </c>
      <c r="V987" s="22">
        <v>30</v>
      </c>
      <c r="W987" s="10">
        <f t="shared" si="294"/>
        <v>0.52359877559829882</v>
      </c>
      <c r="X987" s="22">
        <v>6</v>
      </c>
      <c r="Y987" s="22">
        <v>24</v>
      </c>
      <c r="Z987" s="10">
        <f t="shared" si="295"/>
        <v>0.41887902047863912</v>
      </c>
      <c r="AA987" s="10">
        <f t="shared" si="296"/>
        <v>5.9404198584548009</v>
      </c>
      <c r="AB987" s="10">
        <f t="shared" si="297"/>
        <v>10.059297549706308</v>
      </c>
      <c r="AC987" s="10">
        <f t="shared" si="289"/>
        <v>1.2574121937132885</v>
      </c>
      <c r="AD987" s="10">
        <f t="shared" si="299"/>
        <v>5.029648774853154</v>
      </c>
      <c r="AE987" s="65"/>
      <c r="AF987" s="10">
        <f t="shared" si="300"/>
        <v>14.064278948513813</v>
      </c>
      <c r="AG987" s="8">
        <f t="shared" si="290"/>
        <v>2.7425343949601935</v>
      </c>
      <c r="AH987" s="10">
        <f t="shared" si="291"/>
        <v>7.0321394742569066</v>
      </c>
      <c r="AI987" s="63"/>
      <c r="AJ987" s="10">
        <f t="shared" si="301"/>
        <v>6.8637000000000015</v>
      </c>
      <c r="AK987" s="8"/>
      <c r="AL987" s="8">
        <f t="shared" si="292"/>
        <v>3.4318500000000007</v>
      </c>
    </row>
    <row r="988" spans="1:38">
      <c r="A988" s="18">
        <v>41487</v>
      </c>
      <c r="B988" s="19" t="s">
        <v>34</v>
      </c>
      <c r="C988" s="12">
        <v>200.2</v>
      </c>
      <c r="D988" s="19" t="s">
        <v>80</v>
      </c>
      <c r="E988" s="8">
        <v>8.4116700000000009</v>
      </c>
      <c r="F988" s="8">
        <v>83.311890000000005</v>
      </c>
      <c r="G988" s="22">
        <v>200</v>
      </c>
      <c r="H988" s="22">
        <v>12</v>
      </c>
      <c r="I988" s="10">
        <f t="shared" si="303"/>
        <v>8.2932948805945319</v>
      </c>
      <c r="J988" s="10">
        <f t="shared" si="293"/>
        <v>0.14474530150516457</v>
      </c>
      <c r="K988" s="10">
        <f t="shared" si="298"/>
        <v>21.221924545521965</v>
      </c>
      <c r="L988" s="22">
        <v>1035</v>
      </c>
      <c r="M988" s="22" t="s">
        <v>47</v>
      </c>
      <c r="N988" s="8" t="s">
        <v>48</v>
      </c>
      <c r="O988" s="10" t="s">
        <v>49</v>
      </c>
      <c r="P988" s="10" t="s">
        <v>50</v>
      </c>
      <c r="Q988" s="20">
        <v>0.75</v>
      </c>
      <c r="R988" s="8" t="s">
        <v>67</v>
      </c>
      <c r="S988" s="29">
        <v>6.7</v>
      </c>
      <c r="T988" s="79">
        <f t="shared" si="302"/>
        <v>3.5256606000000001E-3</v>
      </c>
      <c r="U988" s="22">
        <v>8</v>
      </c>
      <c r="V988" s="22">
        <v>44</v>
      </c>
      <c r="W988" s="10">
        <f t="shared" si="294"/>
        <v>0.76794487087750496</v>
      </c>
      <c r="X988" s="22">
        <v>6</v>
      </c>
      <c r="Y988" s="22">
        <v>24</v>
      </c>
      <c r="Z988" s="10">
        <f t="shared" si="295"/>
        <v>0.41887902047863912</v>
      </c>
      <c r="AA988" s="10">
        <f t="shared" si="296"/>
        <v>7.9976868221267789</v>
      </c>
      <c r="AB988" s="10">
        <f t="shared" si="297"/>
        <v>14.935730481798526</v>
      </c>
      <c r="AC988" s="10">
        <f t="shared" si="289"/>
        <v>1.8669663102248157</v>
      </c>
      <c r="AD988" s="10">
        <f t="shared" si="299"/>
        <v>7.467865240899263</v>
      </c>
      <c r="AE988" s="65"/>
      <c r="AF988" s="10">
        <f t="shared" si="300"/>
        <v>16.363275892581179</v>
      </c>
      <c r="AG988" s="8">
        <f t="shared" si="290"/>
        <v>3.19083879905333</v>
      </c>
      <c r="AH988" s="10">
        <f t="shared" si="291"/>
        <v>8.1816379462905893</v>
      </c>
      <c r="AI988" s="63"/>
      <c r="AJ988" s="10">
        <f t="shared" si="301"/>
        <v>7.9304999999999986</v>
      </c>
      <c r="AK988" s="8"/>
      <c r="AL988" s="8">
        <f t="shared" si="292"/>
        <v>3.9652499999999993</v>
      </c>
    </row>
    <row r="989" spans="1:38">
      <c r="A989" s="18">
        <v>41487</v>
      </c>
      <c r="B989" s="19" t="s">
        <v>34</v>
      </c>
      <c r="C989" s="12">
        <v>200.2</v>
      </c>
      <c r="D989" s="19" t="s">
        <v>80</v>
      </c>
      <c r="E989" s="8">
        <v>8.4116700000000009</v>
      </c>
      <c r="F989" s="8">
        <v>83.311890000000005</v>
      </c>
      <c r="G989" s="22">
        <v>200</v>
      </c>
      <c r="H989" s="22">
        <v>12</v>
      </c>
      <c r="I989" s="10">
        <f t="shared" si="303"/>
        <v>8.2932948805945319</v>
      </c>
      <c r="J989" s="10">
        <f t="shared" si="293"/>
        <v>0.14474530150516457</v>
      </c>
      <c r="K989" s="10">
        <f t="shared" si="298"/>
        <v>21.221924545521965</v>
      </c>
      <c r="L989" s="22">
        <v>1054</v>
      </c>
      <c r="M989" s="22" t="s">
        <v>36</v>
      </c>
      <c r="N989" s="8" t="s">
        <v>46</v>
      </c>
      <c r="O989" s="10" t="s">
        <v>37</v>
      </c>
      <c r="P989" s="10" t="s">
        <v>38</v>
      </c>
      <c r="Q989" s="11">
        <v>0.48</v>
      </c>
      <c r="R989" s="8" t="s">
        <v>60</v>
      </c>
      <c r="S989" s="29">
        <v>12.6</v>
      </c>
      <c r="T989" s="79">
        <f t="shared" si="302"/>
        <v>1.2469010399999999E-2</v>
      </c>
      <c r="U989" s="22">
        <v>8</v>
      </c>
      <c r="V989" s="22">
        <v>44</v>
      </c>
      <c r="W989" s="10">
        <f t="shared" si="294"/>
        <v>0.76794487087750496</v>
      </c>
      <c r="X989" s="22">
        <v>6</v>
      </c>
      <c r="Y989" s="22">
        <v>24</v>
      </c>
      <c r="Z989" s="10">
        <f t="shared" si="295"/>
        <v>0.41887902047863912</v>
      </c>
      <c r="AA989" s="10">
        <f t="shared" si="296"/>
        <v>7.9976868221267789</v>
      </c>
      <c r="AB989" s="10">
        <f t="shared" si="297"/>
        <v>32.189307923643455</v>
      </c>
      <c r="AC989" s="10">
        <f t="shared" si="289"/>
        <v>4.0236634904554318</v>
      </c>
      <c r="AD989" s="10">
        <f t="shared" si="299"/>
        <v>16.094653961821727</v>
      </c>
      <c r="AE989" s="65"/>
      <c r="AF989" s="10">
        <f t="shared" si="300"/>
        <v>50.176905796771216</v>
      </c>
      <c r="AG989" s="8">
        <f t="shared" si="290"/>
        <v>9.7844966303703877</v>
      </c>
      <c r="AH989" s="10">
        <f t="shared" si="291"/>
        <v>25.088452898385608</v>
      </c>
      <c r="AI989" s="63"/>
      <c r="AJ989" s="10">
        <f t="shared" si="301"/>
        <v>51.171599999999998</v>
      </c>
      <c r="AK989" s="8"/>
      <c r="AL989" s="8">
        <f t="shared" si="292"/>
        <v>25.585799999999999</v>
      </c>
    </row>
    <row r="990" spans="1:38">
      <c r="A990" s="18">
        <v>41487</v>
      </c>
      <c r="B990" s="19" t="s">
        <v>34</v>
      </c>
      <c r="C990" s="12">
        <v>200.2</v>
      </c>
      <c r="D990" s="19" t="s">
        <v>80</v>
      </c>
      <c r="E990" s="8">
        <v>8.4116700000000009</v>
      </c>
      <c r="F990" s="8">
        <v>83.311890000000005</v>
      </c>
      <c r="G990" s="22">
        <v>200</v>
      </c>
      <c r="H990" s="22">
        <v>12</v>
      </c>
      <c r="I990" s="10">
        <f t="shared" si="303"/>
        <v>8.2932948805945319</v>
      </c>
      <c r="J990" s="10">
        <f t="shared" si="293"/>
        <v>0.14474530150516457</v>
      </c>
      <c r="K990" s="10">
        <f t="shared" si="298"/>
        <v>21.221924545521965</v>
      </c>
      <c r="L990" s="22">
        <v>1043</v>
      </c>
      <c r="M990" s="22" t="s">
        <v>36</v>
      </c>
      <c r="N990" s="8" t="s">
        <v>46</v>
      </c>
      <c r="O990" s="10" t="s">
        <v>37</v>
      </c>
      <c r="P990" s="10" t="s">
        <v>38</v>
      </c>
      <c r="Q990" s="11">
        <v>0.48</v>
      </c>
      <c r="R990" s="8" t="s">
        <v>60</v>
      </c>
      <c r="S990" s="29">
        <v>13.6</v>
      </c>
      <c r="T990" s="79">
        <f t="shared" si="302"/>
        <v>1.4526758399999999E-2</v>
      </c>
      <c r="U990" s="22">
        <v>7</v>
      </c>
      <c r="V990" s="22">
        <v>30</v>
      </c>
      <c r="W990" s="10">
        <f t="shared" si="294"/>
        <v>0.52359877559829882</v>
      </c>
      <c r="X990" s="22">
        <v>6</v>
      </c>
      <c r="Y990" s="22">
        <v>24</v>
      </c>
      <c r="Z990" s="10">
        <f t="shared" si="295"/>
        <v>0.41887902047863912</v>
      </c>
      <c r="AA990" s="10">
        <f t="shared" si="296"/>
        <v>5.9404198584548009</v>
      </c>
      <c r="AB990" s="10">
        <f t="shared" si="297"/>
        <v>28.097633599642553</v>
      </c>
      <c r="AC990" s="10">
        <f t="shared" si="289"/>
        <v>3.5122041999553191</v>
      </c>
      <c r="AD990" s="10">
        <f t="shared" si="299"/>
        <v>14.048816799821276</v>
      </c>
      <c r="AE990" s="65"/>
      <c r="AF990" s="10">
        <f t="shared" si="300"/>
        <v>60.673244785021694</v>
      </c>
      <c r="AG990" s="8">
        <f t="shared" si="290"/>
        <v>11.831282733079231</v>
      </c>
      <c r="AH990" s="10">
        <f t="shared" si="291"/>
        <v>30.336622392510847</v>
      </c>
      <c r="AI990" s="63"/>
      <c r="AJ990" s="10">
        <f t="shared" si="301"/>
        <v>63.606599999999986</v>
      </c>
      <c r="AK990" s="8"/>
      <c r="AL990" s="8">
        <f t="shared" si="292"/>
        <v>31.803299999999993</v>
      </c>
    </row>
    <row r="991" spans="1:38">
      <c r="A991" s="18">
        <v>41487</v>
      </c>
      <c r="B991" s="19" t="s">
        <v>34</v>
      </c>
      <c r="C991" s="12">
        <v>200.2</v>
      </c>
      <c r="D991" s="19" t="s">
        <v>80</v>
      </c>
      <c r="E991" s="8">
        <v>8.4116700000000009</v>
      </c>
      <c r="F991" s="8">
        <v>83.311890000000005</v>
      </c>
      <c r="G991" s="22">
        <v>200</v>
      </c>
      <c r="H991" s="22">
        <v>12</v>
      </c>
      <c r="I991" s="10">
        <f t="shared" si="303"/>
        <v>8.2932948805945319</v>
      </c>
      <c r="J991" s="10">
        <f t="shared" si="293"/>
        <v>0.14474530150516457</v>
      </c>
      <c r="K991" s="10">
        <f t="shared" si="298"/>
        <v>21.221924545521965</v>
      </c>
      <c r="L991" s="22">
        <v>1086</v>
      </c>
      <c r="M991" s="31" t="s">
        <v>231</v>
      </c>
      <c r="N991" s="8" t="s">
        <v>171</v>
      </c>
      <c r="O991" s="33" t="s">
        <v>99</v>
      </c>
      <c r="P991" s="33" t="s">
        <v>99</v>
      </c>
      <c r="Q991" s="22">
        <v>0.57999999999999996</v>
      </c>
      <c r="R991" s="22" t="s">
        <v>103</v>
      </c>
      <c r="S991" s="29">
        <v>13.5</v>
      </c>
      <c r="T991" s="79">
        <f t="shared" si="302"/>
        <v>1.4313915E-2</v>
      </c>
      <c r="U991" s="22">
        <v>8</v>
      </c>
      <c r="V991" s="22">
        <v>44</v>
      </c>
      <c r="W991" s="10">
        <f t="shared" si="294"/>
        <v>0.76794487087750496</v>
      </c>
      <c r="X991" s="22">
        <v>6</v>
      </c>
      <c r="Y991" s="22">
        <v>24</v>
      </c>
      <c r="Z991" s="10">
        <f t="shared" si="295"/>
        <v>0.41887902047863912</v>
      </c>
      <c r="AA991" s="10">
        <f t="shared" si="296"/>
        <v>7.9976868221267789</v>
      </c>
      <c r="AB991" s="10">
        <f t="shared" si="297"/>
        <v>43.782247342390427</v>
      </c>
      <c r="AC991" s="10">
        <f t="shared" si="289"/>
        <v>5.4727809177988034</v>
      </c>
      <c r="AD991" s="10">
        <f t="shared" si="299"/>
        <v>21.891123671195214</v>
      </c>
      <c r="AE991" s="65"/>
      <c r="AF991" s="10">
        <f t="shared" si="300"/>
        <v>71.980491061685584</v>
      </c>
      <c r="AG991" s="8">
        <f t="shared" si="290"/>
        <v>14.03619575702869</v>
      </c>
      <c r="AH991" s="10">
        <f t="shared" si="291"/>
        <v>35.990245530842792</v>
      </c>
      <c r="AI991" s="63"/>
      <c r="AJ991" s="10">
        <f t="shared" si="301"/>
        <v>62.296500000000009</v>
      </c>
      <c r="AK991" s="8"/>
      <c r="AL991" s="8">
        <f t="shared" si="292"/>
        <v>31.148250000000004</v>
      </c>
    </row>
    <row r="992" spans="1:38">
      <c r="A992" s="18">
        <v>41487</v>
      </c>
      <c r="B992" s="19" t="s">
        <v>34</v>
      </c>
      <c r="C992" s="12">
        <v>200.2</v>
      </c>
      <c r="D992" s="19" t="s">
        <v>80</v>
      </c>
      <c r="E992" s="8">
        <v>8.4116700000000009</v>
      </c>
      <c r="F992" s="8">
        <v>83.311890000000005</v>
      </c>
      <c r="G992" s="22">
        <v>200</v>
      </c>
      <c r="H992" s="22">
        <v>12</v>
      </c>
      <c r="I992" s="10">
        <f t="shared" si="303"/>
        <v>8.2932948805945319</v>
      </c>
      <c r="J992" s="10">
        <f t="shared" si="293"/>
        <v>0.14474530150516457</v>
      </c>
      <c r="K992" s="10">
        <f t="shared" si="298"/>
        <v>21.221924545521965</v>
      </c>
      <c r="L992" s="22">
        <v>1049</v>
      </c>
      <c r="M992" s="22" t="s">
        <v>130</v>
      </c>
      <c r="N992" s="7" t="s">
        <v>99</v>
      </c>
      <c r="O992" s="33" t="s">
        <v>99</v>
      </c>
      <c r="P992" s="33" t="s">
        <v>99</v>
      </c>
      <c r="Q992" s="22">
        <v>0.57999999999999996</v>
      </c>
      <c r="R992" s="22" t="s">
        <v>103</v>
      </c>
      <c r="S992" s="29">
        <v>8</v>
      </c>
      <c r="T992" s="79">
        <f t="shared" si="302"/>
        <v>5.0265600000000002E-3</v>
      </c>
      <c r="U992" s="22">
        <v>8</v>
      </c>
      <c r="V992" s="22">
        <v>44</v>
      </c>
      <c r="W992" s="10">
        <f t="shared" si="294"/>
        <v>0.76794487087750496</v>
      </c>
      <c r="X992" s="22">
        <v>6</v>
      </c>
      <c r="Y992" s="22">
        <v>24</v>
      </c>
      <c r="Z992" s="10">
        <f t="shared" si="295"/>
        <v>0.41887902047863912</v>
      </c>
      <c r="AA992" s="10">
        <f t="shared" si="296"/>
        <v>7.9976868221267789</v>
      </c>
      <c r="AB992" s="10">
        <f t="shared" si="297"/>
        <v>16.371170852809676</v>
      </c>
      <c r="AC992" s="10">
        <f t="shared" si="289"/>
        <v>2.0463963566012096</v>
      </c>
      <c r="AD992" s="10">
        <f t="shared" si="299"/>
        <v>8.1855854264048382</v>
      </c>
      <c r="AE992" s="65"/>
      <c r="AF992" s="10">
        <f t="shared" si="300"/>
        <v>19.608933212499608</v>
      </c>
      <c r="AG992" s="8">
        <f t="shared" si="290"/>
        <v>3.8237419764374234</v>
      </c>
      <c r="AH992" s="10">
        <f t="shared" si="291"/>
        <v>9.8044666062498038</v>
      </c>
      <c r="AI992" s="63"/>
      <c r="AJ992" s="10">
        <f t="shared" si="301"/>
        <v>13.033000000000001</v>
      </c>
      <c r="AK992" s="8"/>
      <c r="AL992" s="8">
        <f t="shared" si="292"/>
        <v>6.5165000000000006</v>
      </c>
    </row>
    <row r="993" spans="1:38">
      <c r="A993" s="18">
        <v>41487</v>
      </c>
      <c r="B993" s="19" t="s">
        <v>34</v>
      </c>
      <c r="C993" s="12">
        <v>200.2</v>
      </c>
      <c r="D993" s="19" t="s">
        <v>80</v>
      </c>
      <c r="E993" s="8">
        <v>8.4116700000000009</v>
      </c>
      <c r="F993" s="8">
        <v>83.311890000000005</v>
      </c>
      <c r="G993" s="22">
        <v>200</v>
      </c>
      <c r="H993" s="22">
        <v>12</v>
      </c>
      <c r="I993" s="10">
        <f t="shared" si="303"/>
        <v>8.2932948805945319</v>
      </c>
      <c r="J993" s="10">
        <f t="shared" si="293"/>
        <v>0.14474530150516457</v>
      </c>
      <c r="K993" s="10">
        <f t="shared" si="298"/>
        <v>21.221924545521965</v>
      </c>
      <c r="L993" s="22">
        <v>1053</v>
      </c>
      <c r="M993" s="31" t="s">
        <v>231</v>
      </c>
      <c r="N993" s="8" t="s">
        <v>171</v>
      </c>
      <c r="O993" s="33" t="s">
        <v>99</v>
      </c>
      <c r="P993" s="33" t="s">
        <v>99</v>
      </c>
      <c r="Q993" s="22">
        <v>0.57999999999999996</v>
      </c>
      <c r="R993" s="22" t="s">
        <v>103</v>
      </c>
      <c r="S993" s="29">
        <v>13.4</v>
      </c>
      <c r="T993" s="79">
        <f t="shared" si="302"/>
        <v>1.41026424E-2</v>
      </c>
      <c r="U993" s="22">
        <v>6</v>
      </c>
      <c r="V993" s="22">
        <v>20</v>
      </c>
      <c r="W993" s="10">
        <f t="shared" si="294"/>
        <v>0.3490658503988659</v>
      </c>
      <c r="X993" s="22">
        <v>6</v>
      </c>
      <c r="Y993" s="22">
        <v>25</v>
      </c>
      <c r="Z993" s="10">
        <f t="shared" si="295"/>
        <v>0.43633231299858238</v>
      </c>
      <c r="AA993" s="10">
        <f t="shared" si="296"/>
        <v>4.5878304303982089</v>
      </c>
      <c r="AB993" s="10">
        <f t="shared" si="297"/>
        <v>25.606603238516676</v>
      </c>
      <c r="AC993" s="10">
        <f t="shared" si="289"/>
        <v>3.2008254048145846</v>
      </c>
      <c r="AD993" s="10">
        <f t="shared" si="299"/>
        <v>12.803301619258338</v>
      </c>
      <c r="AE993" s="65"/>
      <c r="AF993" s="10">
        <f t="shared" si="300"/>
        <v>70.661977685328296</v>
      </c>
      <c r="AG993" s="8">
        <f t="shared" si="290"/>
        <v>13.779085648639018</v>
      </c>
      <c r="AH993" s="10">
        <f t="shared" si="291"/>
        <v>35.330988842664148</v>
      </c>
      <c r="AI993" s="63"/>
      <c r="AJ993" s="10">
        <f t="shared" si="301"/>
        <v>61.001199999999997</v>
      </c>
      <c r="AK993" s="8"/>
      <c r="AL993" s="8">
        <f t="shared" si="292"/>
        <v>30.500599999999999</v>
      </c>
    </row>
    <row r="994" spans="1:38">
      <c r="A994" s="18">
        <v>41487</v>
      </c>
      <c r="B994" s="19" t="s">
        <v>34</v>
      </c>
      <c r="C994" s="12">
        <v>200.2</v>
      </c>
      <c r="D994" s="19" t="s">
        <v>80</v>
      </c>
      <c r="E994" s="8">
        <v>8.4116700000000009</v>
      </c>
      <c r="F994" s="8">
        <v>83.311890000000005</v>
      </c>
      <c r="G994" s="22">
        <v>200</v>
      </c>
      <c r="H994" s="22">
        <v>12</v>
      </c>
      <c r="I994" s="10">
        <f t="shared" si="303"/>
        <v>8.2932948805945319</v>
      </c>
      <c r="J994" s="10">
        <f t="shared" si="293"/>
        <v>0.14474530150516457</v>
      </c>
      <c r="K994" s="10">
        <f t="shared" si="298"/>
        <v>21.221924545521965</v>
      </c>
      <c r="L994" s="22">
        <v>1039</v>
      </c>
      <c r="M994" s="22" t="s">
        <v>135</v>
      </c>
      <c r="N994" s="22" t="s">
        <v>180</v>
      </c>
      <c r="O994" s="10" t="s">
        <v>217</v>
      </c>
      <c r="P994" s="10" t="s">
        <v>221</v>
      </c>
      <c r="Q994" s="24">
        <v>0.38</v>
      </c>
      <c r="R994" s="31" t="s">
        <v>190</v>
      </c>
      <c r="S994" s="29">
        <v>5.2</v>
      </c>
      <c r="T994" s="79">
        <f t="shared" si="302"/>
        <v>2.1237216000000005E-3</v>
      </c>
      <c r="U994" s="22">
        <v>6</v>
      </c>
      <c r="V994" s="22">
        <v>20</v>
      </c>
      <c r="W994" s="10">
        <f t="shared" si="294"/>
        <v>0.3490658503988659</v>
      </c>
      <c r="X994" s="22">
        <v>6</v>
      </c>
      <c r="Y994" s="22">
        <v>25</v>
      </c>
      <c r="Z994" s="10">
        <f t="shared" si="295"/>
        <v>0.43633231299858238</v>
      </c>
      <c r="AA994" s="10">
        <f t="shared" si="296"/>
        <v>4.5878304303982089</v>
      </c>
      <c r="AB994" s="10">
        <f t="shared" si="297"/>
        <v>2.9030566074307962</v>
      </c>
      <c r="AC994" s="10">
        <f t="shared" si="289"/>
        <v>0.36288207592884952</v>
      </c>
      <c r="AD994" s="10">
        <f t="shared" si="299"/>
        <v>1.4515283037153981</v>
      </c>
      <c r="AE994" s="65"/>
      <c r="AF994" s="10">
        <f t="shared" si="300"/>
        <v>4.4570206350926362</v>
      </c>
      <c r="AG994" s="8">
        <f t="shared" si="290"/>
        <v>0.86911902384306405</v>
      </c>
      <c r="AH994" s="10">
        <f t="shared" si="291"/>
        <v>2.2285103175463181</v>
      </c>
      <c r="AI994" s="63"/>
      <c r="AJ994" s="10">
        <f t="shared" si="301"/>
        <v>5.1510000000000034</v>
      </c>
      <c r="AK994" s="8"/>
      <c r="AL994" s="8">
        <f t="shared" si="292"/>
        <v>2.5755000000000017</v>
      </c>
    </row>
    <row r="995" spans="1:38">
      <c r="A995" s="18">
        <v>41487</v>
      </c>
      <c r="B995" s="19" t="s">
        <v>34</v>
      </c>
      <c r="C995" s="12">
        <v>200.2</v>
      </c>
      <c r="D995" s="19" t="s">
        <v>80</v>
      </c>
      <c r="E995" s="8">
        <v>8.4116700000000009</v>
      </c>
      <c r="F995" s="8">
        <v>83.311890000000005</v>
      </c>
      <c r="G995" s="22">
        <v>200</v>
      </c>
      <c r="H995" s="22">
        <v>12</v>
      </c>
      <c r="I995" s="10">
        <f t="shared" si="303"/>
        <v>8.2932948805945319</v>
      </c>
      <c r="J995" s="10">
        <f t="shared" si="293"/>
        <v>0.14474530150516457</v>
      </c>
      <c r="K995" s="10">
        <f t="shared" si="298"/>
        <v>21.221924545521965</v>
      </c>
      <c r="L995" s="22">
        <v>1027</v>
      </c>
      <c r="M995" s="31" t="s">
        <v>231</v>
      </c>
      <c r="N995" s="8" t="s">
        <v>171</v>
      </c>
      <c r="O995" s="33" t="s">
        <v>99</v>
      </c>
      <c r="P995" s="33" t="s">
        <v>99</v>
      </c>
      <c r="Q995" s="22">
        <v>0.57999999999999996</v>
      </c>
      <c r="R995" s="22" t="s">
        <v>103</v>
      </c>
      <c r="S995" s="29">
        <v>5.2</v>
      </c>
      <c r="T995" s="79">
        <f t="shared" si="302"/>
        <v>2.1237216000000005E-3</v>
      </c>
      <c r="U995" s="22">
        <v>7</v>
      </c>
      <c r="V995" s="22">
        <v>30</v>
      </c>
      <c r="W995" s="10">
        <f t="shared" si="294"/>
        <v>0.52359877559829882</v>
      </c>
      <c r="X995" s="22">
        <v>6</v>
      </c>
      <c r="Y995" s="22">
        <v>24</v>
      </c>
      <c r="Z995" s="10">
        <f t="shared" si="295"/>
        <v>0.41887902047863912</v>
      </c>
      <c r="AA995" s="10">
        <f t="shared" si="296"/>
        <v>5.9404198584548009</v>
      </c>
      <c r="AB995" s="10">
        <f t="shared" si="297"/>
        <v>5.5075498154132632</v>
      </c>
      <c r="AC995" s="10">
        <f t="shared" si="289"/>
        <v>0.6884437269266579</v>
      </c>
      <c r="AD995" s="10">
        <f t="shared" si="299"/>
        <v>2.7537749077066316</v>
      </c>
      <c r="AE995" s="65"/>
      <c r="AF995" s="10">
        <f t="shared" si="300"/>
        <v>6.8028209693519175</v>
      </c>
      <c r="AG995" s="8">
        <f t="shared" si="290"/>
        <v>1.3265500890236239</v>
      </c>
      <c r="AH995" s="10">
        <f t="shared" si="291"/>
        <v>3.4014104846759587</v>
      </c>
      <c r="AI995" s="63"/>
      <c r="AJ995" s="10">
        <f t="shared" si="301"/>
        <v>5.1510000000000034</v>
      </c>
      <c r="AK995" s="8"/>
      <c r="AL995" s="8">
        <f t="shared" si="292"/>
        <v>2.5755000000000017</v>
      </c>
    </row>
    <row r="996" spans="1:38">
      <c r="A996" s="18">
        <v>41487</v>
      </c>
      <c r="B996" s="19" t="s">
        <v>34</v>
      </c>
      <c r="C996" s="12">
        <v>200.2</v>
      </c>
      <c r="D996" s="19" t="s">
        <v>80</v>
      </c>
      <c r="E996" s="8">
        <v>8.4116700000000009</v>
      </c>
      <c r="F996" s="8">
        <v>83.311890000000005</v>
      </c>
      <c r="G996" s="22">
        <v>200</v>
      </c>
      <c r="H996" s="22">
        <v>12</v>
      </c>
      <c r="I996" s="10">
        <f t="shared" si="303"/>
        <v>8.2932948805945319</v>
      </c>
      <c r="J996" s="10">
        <f t="shared" si="293"/>
        <v>0.14474530150516457</v>
      </c>
      <c r="K996" s="10">
        <f t="shared" si="298"/>
        <v>21.221924545521965</v>
      </c>
      <c r="L996" s="22">
        <v>1029</v>
      </c>
      <c r="M996" s="31" t="s">
        <v>231</v>
      </c>
      <c r="N996" s="8" t="s">
        <v>171</v>
      </c>
      <c r="O996" s="33" t="s">
        <v>99</v>
      </c>
      <c r="P996" s="33" t="s">
        <v>99</v>
      </c>
      <c r="Q996" s="22">
        <v>0.57999999999999996</v>
      </c>
      <c r="R996" s="22" t="s">
        <v>103</v>
      </c>
      <c r="S996" s="29">
        <v>9.5</v>
      </c>
      <c r="T996" s="79">
        <f t="shared" si="302"/>
        <v>7.088235E-3</v>
      </c>
      <c r="U996" s="22">
        <v>6</v>
      </c>
      <c r="V996" s="22">
        <v>20</v>
      </c>
      <c r="W996" s="10">
        <f t="shared" si="294"/>
        <v>0.3490658503988659</v>
      </c>
      <c r="X996" s="22">
        <v>5</v>
      </c>
      <c r="Y996" s="22">
        <v>25</v>
      </c>
      <c r="Z996" s="10">
        <f t="shared" si="295"/>
        <v>0.43633231299858238</v>
      </c>
      <c r="AA996" s="10">
        <f t="shared" si="296"/>
        <v>4.1652121686575097</v>
      </c>
      <c r="AB996" s="10">
        <f t="shared" si="297"/>
        <v>12.247947438821082</v>
      </c>
      <c r="AC996" s="10">
        <f t="shared" si="289"/>
        <v>1.5309934298526353</v>
      </c>
      <c r="AD996" s="10">
        <f t="shared" si="299"/>
        <v>6.1239737194105412</v>
      </c>
      <c r="AE996" s="65"/>
      <c r="AF996" s="10">
        <f t="shared" si="300"/>
        <v>30.034405161900793</v>
      </c>
      <c r="AG996" s="8">
        <f t="shared" si="290"/>
        <v>5.8567090065706546</v>
      </c>
      <c r="AH996" s="10">
        <f t="shared" si="291"/>
        <v>15.017202580950396</v>
      </c>
      <c r="AI996" s="63"/>
      <c r="AJ996" s="10">
        <f t="shared" si="301"/>
        <v>22.028499999999994</v>
      </c>
      <c r="AK996" s="8"/>
      <c r="AL996" s="8">
        <f t="shared" si="292"/>
        <v>11.014249999999997</v>
      </c>
    </row>
    <row r="997" spans="1:38">
      <c r="A997" s="18">
        <v>41487</v>
      </c>
      <c r="B997" s="19" t="s">
        <v>34</v>
      </c>
      <c r="C997" s="12">
        <v>200.2</v>
      </c>
      <c r="D997" s="19" t="s">
        <v>80</v>
      </c>
      <c r="E997" s="8">
        <v>8.4116700000000009</v>
      </c>
      <c r="F997" s="8">
        <v>83.311890000000005</v>
      </c>
      <c r="G997" s="22">
        <v>200</v>
      </c>
      <c r="H997" s="22">
        <v>12</v>
      </c>
      <c r="I997" s="10">
        <f t="shared" si="303"/>
        <v>8.2932948805945319</v>
      </c>
      <c r="J997" s="10">
        <f t="shared" si="293"/>
        <v>0.14474530150516457</v>
      </c>
      <c r="K997" s="10">
        <f t="shared" ref="K997:K1004" si="304">21/COS(J997)</f>
        <v>21.221924545521965</v>
      </c>
      <c r="L997" s="22">
        <v>1031</v>
      </c>
      <c r="M997" s="22" t="s">
        <v>78</v>
      </c>
      <c r="N997" s="22" t="s">
        <v>87</v>
      </c>
      <c r="O997" s="10" t="s">
        <v>88</v>
      </c>
      <c r="P997" s="10" t="s">
        <v>89</v>
      </c>
      <c r="Q997" s="23">
        <v>0.64</v>
      </c>
      <c r="R997" s="22" t="s">
        <v>90</v>
      </c>
      <c r="S997" s="29">
        <v>5.2</v>
      </c>
      <c r="T997" s="79">
        <f t="shared" si="302"/>
        <v>2.1237216000000005E-3</v>
      </c>
      <c r="U997" s="22">
        <v>7</v>
      </c>
      <c r="V997" s="22">
        <v>43</v>
      </c>
      <c r="W997" s="10">
        <f t="shared" si="294"/>
        <v>0.75049157835756175</v>
      </c>
      <c r="X997" s="22">
        <v>5</v>
      </c>
      <c r="Y997" s="22">
        <v>15</v>
      </c>
      <c r="Z997" s="10">
        <f t="shared" si="295"/>
        <v>0.26179938779914941</v>
      </c>
      <c r="AA997" s="10">
        <f t="shared" si="296"/>
        <v>6.0680837459500934</v>
      </c>
      <c r="AB997" s="10">
        <f t="shared" si="297"/>
        <v>6.1634752271456454</v>
      </c>
      <c r="AC997" s="10">
        <f t="shared" si="289"/>
        <v>0.77043440339320568</v>
      </c>
      <c r="AD997" s="10">
        <f t="shared" si="299"/>
        <v>3.0817376135728227</v>
      </c>
      <c r="AE997" s="65"/>
      <c r="AF997" s="10">
        <f t="shared" si="300"/>
        <v>7.5065610696297034</v>
      </c>
      <c r="AG997" s="8">
        <f t="shared" si="290"/>
        <v>1.4637794085777922</v>
      </c>
      <c r="AH997" s="10">
        <f t="shared" si="291"/>
        <v>3.7532805348148517</v>
      </c>
      <c r="AI997" s="63"/>
      <c r="AJ997" s="10">
        <f t="shared" si="301"/>
        <v>5.1510000000000034</v>
      </c>
      <c r="AK997" s="8"/>
      <c r="AL997" s="8">
        <f t="shared" si="292"/>
        <v>2.5755000000000017</v>
      </c>
    </row>
    <row r="998" spans="1:38">
      <c r="A998" s="18">
        <v>41487</v>
      </c>
      <c r="B998" s="19" t="s">
        <v>34</v>
      </c>
      <c r="C998" s="12">
        <v>200.2</v>
      </c>
      <c r="D998" s="19" t="s">
        <v>80</v>
      </c>
      <c r="E998" s="8">
        <v>8.4116700000000009</v>
      </c>
      <c r="F998" s="8">
        <v>83.311890000000005</v>
      </c>
      <c r="G998" s="22">
        <v>200</v>
      </c>
      <c r="H998" s="22">
        <v>12</v>
      </c>
      <c r="I998" s="10">
        <f t="shared" si="303"/>
        <v>8.2932948805945319</v>
      </c>
      <c r="J998" s="10">
        <f t="shared" si="293"/>
        <v>0.14474530150516457</v>
      </c>
      <c r="K998" s="10">
        <f t="shared" si="304"/>
        <v>21.221924545521965</v>
      </c>
      <c r="L998" s="22">
        <v>1028</v>
      </c>
      <c r="M998" s="22" t="s">
        <v>36</v>
      </c>
      <c r="N998" s="8" t="s">
        <v>46</v>
      </c>
      <c r="O998" s="10" t="s">
        <v>37</v>
      </c>
      <c r="P998" s="10" t="s">
        <v>38</v>
      </c>
      <c r="Q998" s="11">
        <v>0.48</v>
      </c>
      <c r="R998" s="8" t="s">
        <v>60</v>
      </c>
      <c r="S998" s="29">
        <v>13</v>
      </c>
      <c r="T998" s="79">
        <f t="shared" si="302"/>
        <v>1.327326E-2</v>
      </c>
      <c r="U998" s="22">
        <v>6</v>
      </c>
      <c r="V998" s="22">
        <v>20</v>
      </c>
      <c r="W998" s="10">
        <f t="shared" si="294"/>
        <v>0.3490658503988659</v>
      </c>
      <c r="X998" s="22">
        <v>6</v>
      </c>
      <c r="Y998" s="22">
        <v>25</v>
      </c>
      <c r="Z998" s="10">
        <f t="shared" si="295"/>
        <v>0.43633231299858238</v>
      </c>
      <c r="AA998" s="10">
        <f t="shared" si="296"/>
        <v>4.5878304303982089</v>
      </c>
      <c r="AB998" s="10">
        <f t="shared" si="297"/>
        <v>20.246637300286885</v>
      </c>
      <c r="AC998" s="10">
        <f t="shared" si="289"/>
        <v>2.5308296625358606</v>
      </c>
      <c r="AD998" s="10">
        <f t="shared" si="299"/>
        <v>10.123318650143442</v>
      </c>
      <c r="AE998" s="65"/>
      <c r="AF998" s="10">
        <f t="shared" si="300"/>
        <v>54.233398488550698</v>
      </c>
      <c r="AG998" s="8">
        <f t="shared" si="290"/>
        <v>10.575512705267386</v>
      </c>
      <c r="AH998" s="10">
        <f t="shared" si="291"/>
        <v>27.116699244275349</v>
      </c>
      <c r="AI998" s="63"/>
      <c r="AJ998" s="10">
        <f t="shared" si="301"/>
        <v>55.967999999999989</v>
      </c>
      <c r="AK998" s="8"/>
      <c r="AL998" s="8">
        <f t="shared" si="292"/>
        <v>27.983999999999995</v>
      </c>
    </row>
    <row r="999" spans="1:38">
      <c r="A999" s="18">
        <v>41487</v>
      </c>
      <c r="B999" s="19" t="s">
        <v>34</v>
      </c>
      <c r="C999" s="12">
        <v>200.2</v>
      </c>
      <c r="D999" s="19" t="s">
        <v>80</v>
      </c>
      <c r="E999" s="8">
        <v>8.4116700000000009</v>
      </c>
      <c r="F999" s="8">
        <v>83.311890000000005</v>
      </c>
      <c r="G999" s="22">
        <v>200</v>
      </c>
      <c r="H999" s="22">
        <v>12</v>
      </c>
      <c r="I999" s="10">
        <f t="shared" si="303"/>
        <v>8.2932948805945319</v>
      </c>
      <c r="J999" s="10">
        <f t="shared" si="293"/>
        <v>0.14474530150516457</v>
      </c>
      <c r="K999" s="10">
        <f t="shared" si="304"/>
        <v>21.221924545521965</v>
      </c>
      <c r="L999" s="22">
        <v>1051</v>
      </c>
      <c r="M999" s="31" t="s">
        <v>231</v>
      </c>
      <c r="N999" s="8" t="s">
        <v>171</v>
      </c>
      <c r="O999" s="33" t="s">
        <v>99</v>
      </c>
      <c r="P999" s="33" t="s">
        <v>99</v>
      </c>
      <c r="Q999" s="22">
        <v>0.57999999999999996</v>
      </c>
      <c r="R999" s="22" t="s">
        <v>103</v>
      </c>
      <c r="S999" s="29">
        <v>9.5</v>
      </c>
      <c r="T999" s="79">
        <f t="shared" si="302"/>
        <v>7.088235E-3</v>
      </c>
      <c r="U999" s="22">
        <v>8</v>
      </c>
      <c r="V999" s="22">
        <v>44</v>
      </c>
      <c r="W999" s="10">
        <f t="shared" si="294"/>
        <v>0.76794487087750496</v>
      </c>
      <c r="X999" s="22">
        <v>6</v>
      </c>
      <c r="Y999" s="22">
        <v>24</v>
      </c>
      <c r="Z999" s="10">
        <f t="shared" si="295"/>
        <v>0.41887902047863912</v>
      </c>
      <c r="AA999" s="10">
        <f t="shared" si="296"/>
        <v>7.9976868221267789</v>
      </c>
      <c r="AB999" s="10">
        <f t="shared" si="297"/>
        <v>22.61470585355514</v>
      </c>
      <c r="AC999" s="10">
        <f t="shared" si="289"/>
        <v>2.8268382316943925</v>
      </c>
      <c r="AD999" s="10">
        <f t="shared" si="299"/>
        <v>11.30735292677757</v>
      </c>
      <c r="AE999" s="65"/>
      <c r="AF999" s="10">
        <f t="shared" si="300"/>
        <v>30.034405161900793</v>
      </c>
      <c r="AG999" s="8">
        <f t="shared" si="290"/>
        <v>5.8567090065706546</v>
      </c>
      <c r="AH999" s="10">
        <f t="shared" si="291"/>
        <v>15.017202580950396</v>
      </c>
      <c r="AI999" s="63"/>
      <c r="AJ999" s="10">
        <f t="shared" si="301"/>
        <v>22.028499999999994</v>
      </c>
      <c r="AK999" s="8"/>
      <c r="AL999" s="8">
        <f t="shared" si="292"/>
        <v>11.014249999999997</v>
      </c>
    </row>
    <row r="1000" spans="1:38">
      <c r="A1000" s="18">
        <v>41487</v>
      </c>
      <c r="B1000" s="19" t="s">
        <v>34</v>
      </c>
      <c r="C1000" s="12">
        <v>200.2</v>
      </c>
      <c r="D1000" s="19" t="s">
        <v>80</v>
      </c>
      <c r="E1000" s="8">
        <v>8.4116700000000009</v>
      </c>
      <c r="F1000" s="8">
        <v>83.311890000000005</v>
      </c>
      <c r="G1000" s="22">
        <v>200</v>
      </c>
      <c r="H1000" s="22">
        <v>12</v>
      </c>
      <c r="I1000" s="10">
        <f t="shared" si="303"/>
        <v>8.2932948805945319</v>
      </c>
      <c r="J1000" s="10">
        <f t="shared" si="293"/>
        <v>0.14474530150516457</v>
      </c>
      <c r="K1000" s="10">
        <f t="shared" si="304"/>
        <v>21.221924545521965</v>
      </c>
      <c r="L1000" s="22">
        <v>1038</v>
      </c>
      <c r="M1000" s="22" t="s">
        <v>36</v>
      </c>
      <c r="N1000" s="8" t="s">
        <v>46</v>
      </c>
      <c r="O1000" s="10" t="s">
        <v>37</v>
      </c>
      <c r="P1000" s="10" t="s">
        <v>38</v>
      </c>
      <c r="Q1000" s="11">
        <v>0.48</v>
      </c>
      <c r="R1000" s="8" t="s">
        <v>60</v>
      </c>
      <c r="S1000" s="29">
        <v>14.2</v>
      </c>
      <c r="T1000" s="79">
        <f t="shared" si="302"/>
        <v>1.58368056E-2</v>
      </c>
      <c r="U1000" s="22">
        <v>6</v>
      </c>
      <c r="V1000" s="22">
        <v>20</v>
      </c>
      <c r="W1000" s="10">
        <f t="shared" si="294"/>
        <v>0.3490658503988659</v>
      </c>
      <c r="X1000" s="22">
        <v>6</v>
      </c>
      <c r="Y1000" s="22">
        <v>25</v>
      </c>
      <c r="Z1000" s="10">
        <f t="shared" si="295"/>
        <v>0.43633231299858238</v>
      </c>
      <c r="AA1000" s="10">
        <f t="shared" si="296"/>
        <v>4.5878304303982089</v>
      </c>
      <c r="AB1000" s="10">
        <f t="shared" si="297"/>
        <v>23.902398796419863</v>
      </c>
      <c r="AC1000" s="10">
        <f t="shared" si="289"/>
        <v>2.9877998495524829</v>
      </c>
      <c r="AD1000" s="10">
        <f t="shared" si="299"/>
        <v>11.951199398209932</v>
      </c>
      <c r="AE1000" s="65"/>
      <c r="AF1000" s="10">
        <f t="shared" si="300"/>
        <v>67.546368712347231</v>
      </c>
      <c r="AG1000" s="8">
        <f t="shared" si="290"/>
        <v>13.17154189890771</v>
      </c>
      <c r="AH1000" s="10">
        <f t="shared" si="291"/>
        <v>33.773184356173616</v>
      </c>
      <c r="AI1000" s="63"/>
      <c r="AJ1000" s="10">
        <f t="shared" si="301"/>
        <v>71.777999999999977</v>
      </c>
      <c r="AK1000" s="8"/>
      <c r="AL1000" s="8">
        <f t="shared" si="292"/>
        <v>35.888999999999989</v>
      </c>
    </row>
    <row r="1001" spans="1:38">
      <c r="A1001" s="18">
        <v>41487</v>
      </c>
      <c r="B1001" s="19" t="s">
        <v>34</v>
      </c>
      <c r="C1001" s="12">
        <v>200.2</v>
      </c>
      <c r="D1001" s="19" t="s">
        <v>80</v>
      </c>
      <c r="E1001" s="8">
        <v>8.4116700000000009</v>
      </c>
      <c r="F1001" s="8">
        <v>83.311890000000005</v>
      </c>
      <c r="G1001" s="22">
        <v>200</v>
      </c>
      <c r="H1001" s="22">
        <v>12</v>
      </c>
      <c r="I1001" s="10">
        <f t="shared" si="303"/>
        <v>8.2932948805945319</v>
      </c>
      <c r="J1001" s="10">
        <f t="shared" si="293"/>
        <v>0.14474530150516457</v>
      </c>
      <c r="K1001" s="10">
        <f t="shared" si="304"/>
        <v>21.221924545521965</v>
      </c>
      <c r="L1001" s="22">
        <v>1045</v>
      </c>
      <c r="M1001" s="22" t="s">
        <v>78</v>
      </c>
      <c r="N1001" s="22" t="s">
        <v>87</v>
      </c>
      <c r="O1001" s="10" t="s">
        <v>88</v>
      </c>
      <c r="P1001" s="10" t="s">
        <v>89</v>
      </c>
      <c r="Q1001" s="23">
        <v>0.64</v>
      </c>
      <c r="R1001" s="22" t="s">
        <v>90</v>
      </c>
      <c r="S1001" s="29">
        <v>9</v>
      </c>
      <c r="T1001" s="79">
        <f t="shared" si="302"/>
        <v>6.3617400000000003E-3</v>
      </c>
      <c r="U1001" s="22">
        <v>8</v>
      </c>
      <c r="V1001" s="22">
        <v>44</v>
      </c>
      <c r="W1001" s="10">
        <f t="shared" si="294"/>
        <v>0.76794487087750496</v>
      </c>
      <c r="X1001" s="22">
        <v>6</v>
      </c>
      <c r="Y1001" s="22">
        <v>24</v>
      </c>
      <c r="Z1001" s="10">
        <f t="shared" si="295"/>
        <v>0.41887902047863912</v>
      </c>
      <c r="AA1001" s="10">
        <f t="shared" si="296"/>
        <v>7.9976868221267789</v>
      </c>
      <c r="AB1001" s="10">
        <f t="shared" si="297"/>
        <v>22.409560786054332</v>
      </c>
      <c r="AC1001" s="10">
        <f t="shared" si="289"/>
        <v>2.8011950982567915</v>
      </c>
      <c r="AD1001" s="10">
        <f t="shared" si="299"/>
        <v>11.204780393027166</v>
      </c>
      <c r="AE1001" s="65"/>
      <c r="AF1001" s="10">
        <f t="shared" si="300"/>
        <v>28.976741119030031</v>
      </c>
      <c r="AG1001" s="8">
        <f t="shared" si="290"/>
        <v>5.6504645182108559</v>
      </c>
      <c r="AH1001" s="10">
        <f t="shared" si="291"/>
        <v>14.488370559515015</v>
      </c>
      <c r="AI1001" s="63"/>
      <c r="AJ1001" s="10">
        <f t="shared" si="301"/>
        <v>18.659999999999997</v>
      </c>
      <c r="AK1001" s="8"/>
      <c r="AL1001" s="8">
        <f t="shared" si="292"/>
        <v>9.3299999999999983</v>
      </c>
    </row>
    <row r="1002" spans="1:38">
      <c r="A1002" s="18">
        <v>41487</v>
      </c>
      <c r="B1002" s="19" t="s">
        <v>34</v>
      </c>
      <c r="C1002" s="12">
        <v>200.2</v>
      </c>
      <c r="D1002" s="19" t="s">
        <v>80</v>
      </c>
      <c r="E1002" s="8">
        <v>8.4116700000000009</v>
      </c>
      <c r="F1002" s="8">
        <v>83.311890000000005</v>
      </c>
      <c r="G1002" s="22">
        <v>200</v>
      </c>
      <c r="H1002" s="22">
        <v>12</v>
      </c>
      <c r="I1002" s="10">
        <f t="shared" si="303"/>
        <v>8.2932948805945319</v>
      </c>
      <c r="J1002" s="10">
        <f t="shared" si="293"/>
        <v>0.14474530150516457</v>
      </c>
      <c r="K1002" s="10">
        <f t="shared" si="304"/>
        <v>21.221924545521965</v>
      </c>
      <c r="L1002" s="22">
        <v>1044</v>
      </c>
      <c r="M1002" s="22" t="s">
        <v>36</v>
      </c>
      <c r="N1002" s="8" t="s">
        <v>46</v>
      </c>
      <c r="O1002" s="10" t="s">
        <v>37</v>
      </c>
      <c r="P1002" s="10" t="s">
        <v>38</v>
      </c>
      <c r="Q1002" s="11">
        <v>0.48</v>
      </c>
      <c r="R1002" s="8" t="s">
        <v>60</v>
      </c>
      <c r="S1002" s="29">
        <v>13.2</v>
      </c>
      <c r="T1002" s="79">
        <f t="shared" si="302"/>
        <v>1.3684809599999999E-2</v>
      </c>
      <c r="U1002" s="22">
        <v>6</v>
      </c>
      <c r="V1002" s="22">
        <v>20</v>
      </c>
      <c r="W1002" s="10">
        <f t="shared" si="294"/>
        <v>0.3490658503988659</v>
      </c>
      <c r="X1002" s="22">
        <v>6</v>
      </c>
      <c r="Y1002" s="22">
        <v>25</v>
      </c>
      <c r="Z1002" s="10">
        <f t="shared" si="295"/>
        <v>0.43633231299858238</v>
      </c>
      <c r="AA1002" s="10">
        <f t="shared" si="296"/>
        <v>4.5878304303982089</v>
      </c>
      <c r="AB1002" s="10">
        <f t="shared" si="297"/>
        <v>20.83619394741276</v>
      </c>
      <c r="AC1002" s="10">
        <f t="shared" si="289"/>
        <v>2.6045242434265949</v>
      </c>
      <c r="AD1002" s="10">
        <f t="shared" si="299"/>
        <v>10.41809697370638</v>
      </c>
      <c r="AE1002" s="65"/>
      <c r="AF1002" s="10">
        <f t="shared" si="300"/>
        <v>56.332362325101172</v>
      </c>
      <c r="AG1002" s="8">
        <f t="shared" si="290"/>
        <v>10.98481065339473</v>
      </c>
      <c r="AH1002" s="10">
        <f t="shared" si="291"/>
        <v>28.166181162550586</v>
      </c>
      <c r="AI1002" s="63"/>
      <c r="AJ1002" s="10">
        <f t="shared" si="301"/>
        <v>58.45499999999997</v>
      </c>
      <c r="AK1002" s="8"/>
      <c r="AL1002" s="8">
        <f t="shared" si="292"/>
        <v>29.227499999999985</v>
      </c>
    </row>
    <row r="1003" spans="1:38">
      <c r="A1003" s="18">
        <v>41487</v>
      </c>
      <c r="B1003" s="19" t="s">
        <v>34</v>
      </c>
      <c r="C1003" s="12">
        <v>200.2</v>
      </c>
      <c r="D1003" s="19" t="s">
        <v>80</v>
      </c>
      <c r="E1003" s="8">
        <v>8.4116700000000009</v>
      </c>
      <c r="F1003" s="8">
        <v>83.311890000000005</v>
      </c>
      <c r="G1003" s="22">
        <v>200</v>
      </c>
      <c r="H1003" s="22">
        <v>12</v>
      </c>
      <c r="I1003" s="10">
        <f t="shared" si="303"/>
        <v>8.2932948805945319</v>
      </c>
      <c r="J1003" s="10">
        <f t="shared" si="293"/>
        <v>0.14474530150516457</v>
      </c>
      <c r="K1003" s="10">
        <f t="shared" si="304"/>
        <v>21.221924545521965</v>
      </c>
      <c r="L1003" s="22">
        <v>1073</v>
      </c>
      <c r="M1003" s="22" t="s">
        <v>78</v>
      </c>
      <c r="N1003" s="22" t="s">
        <v>87</v>
      </c>
      <c r="O1003" s="10" t="s">
        <v>88</v>
      </c>
      <c r="P1003" s="10" t="s">
        <v>89</v>
      </c>
      <c r="Q1003" s="23">
        <v>0.64</v>
      </c>
      <c r="R1003" s="22" t="s">
        <v>90</v>
      </c>
      <c r="S1003" s="29">
        <v>6.4</v>
      </c>
      <c r="T1003" s="79">
        <f t="shared" si="302"/>
        <v>3.2169984000000006E-3</v>
      </c>
      <c r="U1003" s="22">
        <v>7</v>
      </c>
      <c r="V1003" s="22">
        <v>30</v>
      </c>
      <c r="W1003" s="10">
        <f t="shared" si="294"/>
        <v>0.52359877559829882</v>
      </c>
      <c r="X1003" s="22">
        <v>6</v>
      </c>
      <c r="Y1003" s="22">
        <v>24</v>
      </c>
      <c r="Z1003" s="10">
        <f t="shared" si="295"/>
        <v>0.41887902047863912</v>
      </c>
      <c r="AA1003" s="10">
        <f t="shared" si="296"/>
        <v>5.9404198584548009</v>
      </c>
      <c r="AB1003" s="10">
        <f t="shared" si="297"/>
        <v>8.9264208948134129</v>
      </c>
      <c r="AC1003" s="10">
        <f t="shared" si="289"/>
        <v>1.1158026118516766</v>
      </c>
      <c r="AD1003" s="10">
        <f t="shared" si="299"/>
        <v>4.4632104474067065</v>
      </c>
      <c r="AE1003" s="65"/>
      <c r="AF1003" s="10">
        <f t="shared" si="300"/>
        <v>12.475045994552456</v>
      </c>
      <c r="AG1003" s="8">
        <f t="shared" si="290"/>
        <v>2.4326339689377292</v>
      </c>
      <c r="AH1003" s="10">
        <f t="shared" si="291"/>
        <v>6.2375229972762281</v>
      </c>
      <c r="AI1003" s="63"/>
      <c r="AJ1003" s="10">
        <f t="shared" si="301"/>
        <v>7.1082000000000036</v>
      </c>
      <c r="AK1003" s="8"/>
      <c r="AL1003" s="8">
        <f t="shared" si="292"/>
        <v>3.5541000000000018</v>
      </c>
    </row>
    <row r="1004" spans="1:38">
      <c r="A1004" s="18">
        <v>41487</v>
      </c>
      <c r="B1004" s="19" t="s">
        <v>34</v>
      </c>
      <c r="C1004" s="12">
        <v>200.2</v>
      </c>
      <c r="D1004" s="19" t="s">
        <v>80</v>
      </c>
      <c r="E1004" s="8">
        <v>8.4116700000000009</v>
      </c>
      <c r="F1004" s="8">
        <v>83.311890000000005</v>
      </c>
      <c r="G1004" s="22">
        <v>200</v>
      </c>
      <c r="H1004" s="22">
        <v>12</v>
      </c>
      <c r="I1004" s="10">
        <f t="shared" si="303"/>
        <v>8.2932948805945319</v>
      </c>
      <c r="J1004" s="10">
        <f t="shared" si="293"/>
        <v>0.14474530150516457</v>
      </c>
      <c r="K1004" s="10">
        <f t="shared" si="304"/>
        <v>21.221924545521965</v>
      </c>
      <c r="L1004" s="22">
        <v>1041</v>
      </c>
      <c r="M1004" s="31" t="s">
        <v>231</v>
      </c>
      <c r="N1004" s="8" t="s">
        <v>171</v>
      </c>
      <c r="O1004" s="33" t="s">
        <v>99</v>
      </c>
      <c r="P1004" s="33" t="s">
        <v>99</v>
      </c>
      <c r="Q1004" s="22">
        <v>0.57999999999999996</v>
      </c>
      <c r="R1004" s="22" t="s">
        <v>103</v>
      </c>
      <c r="S1004" s="29">
        <v>5.0999999999999996</v>
      </c>
      <c r="T1004" s="79">
        <f t="shared" si="302"/>
        <v>2.0428254E-3</v>
      </c>
      <c r="U1004" s="22">
        <v>7</v>
      </c>
      <c r="V1004" s="22">
        <v>30</v>
      </c>
      <c r="W1004" s="10">
        <f t="shared" si="294"/>
        <v>0.52359877559829882</v>
      </c>
      <c r="X1004" s="22">
        <v>6</v>
      </c>
      <c r="Y1004" s="22">
        <v>24</v>
      </c>
      <c r="Z1004" s="10">
        <f t="shared" si="295"/>
        <v>0.41887902047863912</v>
      </c>
      <c r="AA1004" s="10">
        <f t="shared" si="296"/>
        <v>5.9404198584548009</v>
      </c>
      <c r="AB1004" s="10">
        <f t="shared" si="297"/>
        <v>5.3101168637766527</v>
      </c>
      <c r="AC1004" s="10">
        <f t="shared" si="289"/>
        <v>0.66376460797208159</v>
      </c>
      <c r="AD1004" s="10">
        <f t="shared" si="299"/>
        <v>2.6550584318883264</v>
      </c>
      <c r="AE1004" s="65"/>
      <c r="AF1004" s="10">
        <f t="shared" si="300"/>
        <v>6.489016932673362</v>
      </c>
      <c r="AG1004" s="8">
        <f t="shared" si="290"/>
        <v>1.2653583018713057</v>
      </c>
      <c r="AH1004" s="10">
        <f t="shared" si="291"/>
        <v>3.244508466336681</v>
      </c>
      <c r="AI1004" s="63"/>
      <c r="AJ1004" s="10">
        <f t="shared" si="301"/>
        <v>5.084100000000003</v>
      </c>
      <c r="AK1004" s="8"/>
      <c r="AL1004" s="8">
        <f t="shared" si="292"/>
        <v>2.5420500000000015</v>
      </c>
    </row>
    <row r="1005" spans="1:38">
      <c r="A1005" s="18">
        <v>41468</v>
      </c>
      <c r="B1005" s="19" t="s">
        <v>132</v>
      </c>
      <c r="C1005" s="12">
        <v>200.3</v>
      </c>
      <c r="D1005" s="9" t="s">
        <v>32</v>
      </c>
      <c r="E1005" s="8">
        <v>8.4102300000000003</v>
      </c>
      <c r="F1005" s="8">
        <v>83.311319999999995</v>
      </c>
      <c r="G1005" s="22">
        <v>200</v>
      </c>
      <c r="H1005" s="22">
        <v>10</v>
      </c>
      <c r="I1005" s="10">
        <f t="shared" si="303"/>
        <v>9.9666444232592379</v>
      </c>
      <c r="J1005" s="10">
        <f t="shared" si="293"/>
        <v>0.17395076056140502</v>
      </c>
      <c r="K1005" s="10">
        <v>21</v>
      </c>
      <c r="L1005" s="22">
        <v>423</v>
      </c>
      <c r="M1005" s="31" t="s">
        <v>231</v>
      </c>
      <c r="N1005" s="8" t="s">
        <v>171</v>
      </c>
      <c r="O1005" s="33" t="s">
        <v>99</v>
      </c>
      <c r="P1005" s="33" t="s">
        <v>99</v>
      </c>
      <c r="Q1005" s="7">
        <v>0.57999999999999996</v>
      </c>
      <c r="R1005" s="7" t="s">
        <v>103</v>
      </c>
      <c r="S1005" s="30">
        <v>10.5</v>
      </c>
      <c r="T1005" s="79">
        <f t="shared" si="302"/>
        <v>8.6590350000000007E-3</v>
      </c>
      <c r="U1005" s="22">
        <v>6</v>
      </c>
      <c r="V1005" s="22">
        <v>41</v>
      </c>
      <c r="W1005" s="10">
        <f t="shared" ref="W1005:W1046" si="305">RADIANS(V1005)</f>
        <v>0.71558499331767511</v>
      </c>
      <c r="X1005" s="22">
        <v>5</v>
      </c>
      <c r="Y1005" s="22">
        <v>11</v>
      </c>
      <c r="Z1005" s="10">
        <f t="shared" ref="Z1005:Z1046" si="306">RADIANS(Y1005)</f>
        <v>0.19198621771937624</v>
      </c>
      <c r="AA1005" s="10">
        <f t="shared" ref="AA1005:AA1046" si="307">(SIN(W1005)*U1005)+(SIN(Z1005)*X1005)</f>
        <v>4.8903991508257674</v>
      </c>
      <c r="AB1005" s="10">
        <f t="shared" ref="AB1005:AB1046" si="308">0.0776*(Q1005*S1005^2*AA1005)^0.94</f>
        <v>17.191096033073755</v>
      </c>
      <c r="AC1005" s="10">
        <f t="shared" si="289"/>
        <v>2.1488870041342194</v>
      </c>
      <c r="AD1005" s="10">
        <f t="shared" si="299"/>
        <v>8.5955480165368776</v>
      </c>
      <c r="AE1005" s="65"/>
      <c r="AF1005" s="10">
        <f t="shared" si="300"/>
        <v>38.519815769059839</v>
      </c>
      <c r="AG1005" s="8">
        <f t="shared" si="290"/>
        <v>7.5113640749666688</v>
      </c>
      <c r="AH1005" s="10">
        <f t="shared" si="291"/>
        <v>19.25990788452992</v>
      </c>
      <c r="AI1005" s="63"/>
      <c r="AJ1005" s="10">
        <f t="shared" si="301"/>
        <v>29.875499999999988</v>
      </c>
      <c r="AK1005" s="8"/>
      <c r="AL1005" s="8">
        <f t="shared" si="292"/>
        <v>14.937749999999994</v>
      </c>
    </row>
    <row r="1006" spans="1:38">
      <c r="A1006" s="18">
        <v>41468</v>
      </c>
      <c r="B1006" s="19" t="s">
        <v>132</v>
      </c>
      <c r="C1006" s="12">
        <v>200.3</v>
      </c>
      <c r="D1006" s="19" t="s">
        <v>32</v>
      </c>
      <c r="E1006" s="8">
        <v>8.4102300000000003</v>
      </c>
      <c r="F1006" s="8">
        <v>83.311319999999995</v>
      </c>
      <c r="G1006" s="22">
        <v>200</v>
      </c>
      <c r="H1006" s="22">
        <v>10</v>
      </c>
      <c r="I1006" s="10">
        <f t="shared" si="303"/>
        <v>9.9666444232592379</v>
      </c>
      <c r="J1006" s="10">
        <f t="shared" si="293"/>
        <v>0.17395076056140502</v>
      </c>
      <c r="K1006" s="10">
        <v>21</v>
      </c>
      <c r="L1006" s="22">
        <v>462</v>
      </c>
      <c r="M1006" s="8" t="s">
        <v>39</v>
      </c>
      <c r="N1006" s="7" t="s">
        <v>69</v>
      </c>
      <c r="O1006" s="33" t="s">
        <v>65</v>
      </c>
      <c r="P1006" s="33" t="s">
        <v>70</v>
      </c>
      <c r="Q1006" s="7">
        <v>0.37</v>
      </c>
      <c r="R1006" s="7" t="s">
        <v>71</v>
      </c>
      <c r="S1006" s="30">
        <v>10</v>
      </c>
      <c r="T1006" s="79">
        <f t="shared" si="302"/>
        <v>7.8539999999999999E-3</v>
      </c>
      <c r="U1006" s="22">
        <v>6</v>
      </c>
      <c r="V1006" s="22">
        <v>46</v>
      </c>
      <c r="W1006" s="10">
        <f t="shared" si="305"/>
        <v>0.8028514559173916</v>
      </c>
      <c r="X1006" s="22">
        <v>5</v>
      </c>
      <c r="Y1006" s="22">
        <v>11</v>
      </c>
      <c r="Z1006" s="10">
        <f t="shared" si="306"/>
        <v>0.19198621771937624</v>
      </c>
      <c r="AA1006" s="10">
        <f t="shared" si="307"/>
        <v>5.2700837789146302</v>
      </c>
      <c r="AB1006" s="10">
        <f t="shared" si="308"/>
        <v>11.027569663855015</v>
      </c>
      <c r="AC1006" s="10">
        <f t="shared" si="289"/>
        <v>1.3784462079818769</v>
      </c>
      <c r="AD1006" s="10">
        <f t="shared" si="299"/>
        <v>5.5137848319275076</v>
      </c>
      <c r="AE1006" s="65"/>
      <c r="AF1006" s="10">
        <f t="shared" si="300"/>
        <v>21.765198802166154</v>
      </c>
      <c r="AG1006" s="8">
        <f t="shared" si="290"/>
        <v>4.2442137664224004</v>
      </c>
      <c r="AH1006" s="10">
        <f t="shared" si="291"/>
        <v>10.882599401083077</v>
      </c>
      <c r="AI1006" s="63"/>
      <c r="AJ1006" s="10">
        <f t="shared" si="301"/>
        <v>25.766999999999996</v>
      </c>
      <c r="AK1006" s="8"/>
      <c r="AL1006" s="8">
        <f t="shared" si="292"/>
        <v>12.883499999999998</v>
      </c>
    </row>
    <row r="1007" spans="1:38">
      <c r="A1007" s="18">
        <v>41468</v>
      </c>
      <c r="B1007" s="19" t="s">
        <v>132</v>
      </c>
      <c r="C1007" s="12">
        <v>200.3</v>
      </c>
      <c r="D1007" s="19" t="s">
        <v>32</v>
      </c>
      <c r="E1007" s="8">
        <v>8.4102300000000003</v>
      </c>
      <c r="F1007" s="8">
        <v>83.311319999999995</v>
      </c>
      <c r="G1007" s="22">
        <v>200</v>
      </c>
      <c r="H1007" s="22">
        <v>10</v>
      </c>
      <c r="I1007" s="10">
        <f t="shared" si="303"/>
        <v>9.9666444232592379</v>
      </c>
      <c r="J1007" s="10">
        <f t="shared" si="293"/>
        <v>0.17395076056140502</v>
      </c>
      <c r="K1007" s="10">
        <v>21</v>
      </c>
      <c r="L1007" s="22">
        <v>427</v>
      </c>
      <c r="M1007" s="22" t="s">
        <v>36</v>
      </c>
      <c r="N1007" s="8" t="s">
        <v>46</v>
      </c>
      <c r="O1007" s="10" t="s">
        <v>37</v>
      </c>
      <c r="P1007" s="10" t="s">
        <v>38</v>
      </c>
      <c r="Q1007" s="11">
        <v>0.48</v>
      </c>
      <c r="R1007" s="8" t="s">
        <v>60</v>
      </c>
      <c r="S1007" s="30">
        <v>21.3</v>
      </c>
      <c r="T1007" s="79">
        <f t="shared" si="302"/>
        <v>3.5632812600000008E-2</v>
      </c>
      <c r="U1007" s="22">
        <v>8</v>
      </c>
      <c r="V1007" s="22">
        <v>45</v>
      </c>
      <c r="W1007" s="10">
        <f t="shared" si="305"/>
        <v>0.78539816339744828</v>
      </c>
      <c r="X1007" s="22">
        <v>8</v>
      </c>
      <c r="Y1007" s="22">
        <v>9</v>
      </c>
      <c r="Z1007" s="10">
        <f t="shared" si="306"/>
        <v>0.15707963267948966</v>
      </c>
      <c r="AA1007" s="10">
        <f t="shared" si="307"/>
        <v>6.9083299698142264</v>
      </c>
      <c r="AB1007" s="10">
        <f t="shared" si="308"/>
        <v>75.26495867728552</v>
      </c>
      <c r="AC1007" s="10">
        <f t="shared" ref="AC1007:AC1069" si="309">AB1007*0.125</f>
        <v>9.40811983466069</v>
      </c>
      <c r="AD1007" s="10">
        <f t="shared" si="299"/>
        <v>37.63247933864276</v>
      </c>
      <c r="AE1007" s="65"/>
      <c r="AF1007" s="10">
        <f t="shared" si="300"/>
        <v>184.15542023039833</v>
      </c>
      <c r="AG1007" s="8">
        <f t="shared" ref="AG1007:AG1069" si="310">AF1007*0.195</f>
        <v>35.910306944927676</v>
      </c>
      <c r="AH1007" s="10">
        <f t="shared" ref="AH1007:AH1069" si="311">AF1007/2</f>
        <v>92.077710115199167</v>
      </c>
      <c r="AI1007" s="63"/>
      <c r="AJ1007" s="10">
        <f t="shared" si="301"/>
        <v>208.92870000000002</v>
      </c>
      <c r="AK1007" s="8"/>
      <c r="AL1007" s="8">
        <f t="shared" ref="AL1007:AL1069" si="312">AJ1007/2</f>
        <v>104.46435000000001</v>
      </c>
    </row>
    <row r="1008" spans="1:38">
      <c r="A1008" s="18">
        <v>41468</v>
      </c>
      <c r="B1008" s="19" t="s">
        <v>132</v>
      </c>
      <c r="C1008" s="12">
        <v>200.3</v>
      </c>
      <c r="D1008" s="19" t="s">
        <v>32</v>
      </c>
      <c r="E1008" s="8">
        <v>8.4102300000000003</v>
      </c>
      <c r="F1008" s="8">
        <v>83.311319999999995</v>
      </c>
      <c r="G1008" s="22">
        <v>200</v>
      </c>
      <c r="H1008" s="22">
        <v>10</v>
      </c>
      <c r="I1008" s="10">
        <f t="shared" si="303"/>
        <v>9.9666444232592379</v>
      </c>
      <c r="J1008" s="10">
        <f t="shared" si="293"/>
        <v>0.17395076056140502</v>
      </c>
      <c r="K1008" s="10">
        <v>21</v>
      </c>
      <c r="L1008" s="22">
        <v>426</v>
      </c>
      <c r="M1008" s="22" t="s">
        <v>36</v>
      </c>
      <c r="N1008" s="8" t="s">
        <v>46</v>
      </c>
      <c r="O1008" s="10" t="s">
        <v>37</v>
      </c>
      <c r="P1008" s="10" t="s">
        <v>38</v>
      </c>
      <c r="Q1008" s="11">
        <v>0.48</v>
      </c>
      <c r="R1008" s="8" t="s">
        <v>60</v>
      </c>
      <c r="S1008" s="30">
        <v>20.6</v>
      </c>
      <c r="T1008" s="79">
        <f t="shared" si="302"/>
        <v>3.3329234400000005E-2</v>
      </c>
      <c r="U1008" s="22">
        <v>8</v>
      </c>
      <c r="V1008" s="22">
        <v>44</v>
      </c>
      <c r="W1008" s="10">
        <f t="shared" si="305"/>
        <v>0.76794487087750496</v>
      </c>
      <c r="X1008" s="22">
        <v>5</v>
      </c>
      <c r="Y1008" s="22">
        <v>8</v>
      </c>
      <c r="Z1008" s="10">
        <f t="shared" si="306"/>
        <v>0.13962634015954636</v>
      </c>
      <c r="AA1008" s="10">
        <f t="shared" si="307"/>
        <v>6.2531324684723053</v>
      </c>
      <c r="AB1008" s="10">
        <f t="shared" si="308"/>
        <v>64.362162864558186</v>
      </c>
      <c r="AC1008" s="10">
        <f t="shared" si="309"/>
        <v>8.0452703580697733</v>
      </c>
      <c r="AD1008" s="10">
        <f t="shared" si="299"/>
        <v>32.181081432279093</v>
      </c>
      <c r="AE1008" s="65"/>
      <c r="AF1008" s="10">
        <f t="shared" si="300"/>
        <v>169.6267640729186</v>
      </c>
      <c r="AG1008" s="8">
        <f t="shared" si="310"/>
        <v>33.07721899421913</v>
      </c>
      <c r="AH1008" s="10">
        <f t="shared" si="311"/>
        <v>84.813382036459302</v>
      </c>
      <c r="AI1008" s="63"/>
      <c r="AJ1008" s="10">
        <f t="shared" si="301"/>
        <v>192.0916</v>
      </c>
      <c r="AK1008" s="8"/>
      <c r="AL1008" s="8">
        <f t="shared" si="312"/>
        <v>96.0458</v>
      </c>
    </row>
    <row r="1009" spans="1:38">
      <c r="A1009" s="18">
        <v>41468</v>
      </c>
      <c r="B1009" s="19" t="s">
        <v>132</v>
      </c>
      <c r="C1009" s="12">
        <v>200.3</v>
      </c>
      <c r="D1009" s="19" t="s">
        <v>32</v>
      </c>
      <c r="E1009" s="8">
        <v>8.4102300000000003</v>
      </c>
      <c r="F1009" s="8">
        <v>83.311319999999995</v>
      </c>
      <c r="G1009" s="22">
        <v>200</v>
      </c>
      <c r="H1009" s="22">
        <v>10</v>
      </c>
      <c r="I1009" s="10">
        <f t="shared" si="303"/>
        <v>9.9666444232592379</v>
      </c>
      <c r="J1009" s="10">
        <f t="shared" si="293"/>
        <v>0.17395076056140502</v>
      </c>
      <c r="K1009" s="10">
        <v>21</v>
      </c>
      <c r="L1009" s="22">
        <v>465</v>
      </c>
      <c r="M1009" s="31" t="s">
        <v>121</v>
      </c>
      <c r="N1009" s="8" t="s">
        <v>182</v>
      </c>
      <c r="O1009" s="58" t="s">
        <v>183</v>
      </c>
      <c r="P1009" s="10" t="s">
        <v>70</v>
      </c>
      <c r="Q1009" s="22">
        <v>0.49</v>
      </c>
      <c r="R1009" s="22" t="s">
        <v>190</v>
      </c>
      <c r="S1009" s="30">
        <v>7.3</v>
      </c>
      <c r="T1009" s="79">
        <f t="shared" si="302"/>
        <v>4.1853966000000003E-3</v>
      </c>
      <c r="U1009" s="22">
        <v>5</v>
      </c>
      <c r="V1009" s="22">
        <v>31</v>
      </c>
      <c r="W1009" s="10">
        <f t="shared" si="305"/>
        <v>0.54105206811824214</v>
      </c>
      <c r="X1009" s="22">
        <v>5</v>
      </c>
      <c r="Y1009" s="22">
        <v>13</v>
      </c>
      <c r="Z1009" s="10">
        <f t="shared" si="306"/>
        <v>0.22689280275926285</v>
      </c>
      <c r="AA1009" s="10">
        <f t="shared" si="307"/>
        <v>3.6999456462695957</v>
      </c>
      <c r="AB1009" s="10">
        <f t="shared" si="308"/>
        <v>5.6989734932358882</v>
      </c>
      <c r="AC1009" s="10">
        <f t="shared" si="309"/>
        <v>0.71237168665448602</v>
      </c>
      <c r="AD1009" s="10">
        <f t="shared" si="299"/>
        <v>2.8494867466179441</v>
      </c>
      <c r="AE1009" s="65"/>
      <c r="AF1009" s="10">
        <f t="shared" si="300"/>
        <v>13.208964761152364</v>
      </c>
      <c r="AG1009" s="8">
        <f t="shared" si="310"/>
        <v>2.5757481284247112</v>
      </c>
      <c r="AH1009" s="10">
        <f t="shared" si="311"/>
        <v>6.6044823805761821</v>
      </c>
      <c r="AI1009" s="63"/>
      <c r="AJ1009" s="10">
        <f t="shared" si="301"/>
        <v>9.974699999999995</v>
      </c>
      <c r="AK1009" s="8"/>
      <c r="AL1009" s="8">
        <f t="shared" si="312"/>
        <v>4.9873499999999975</v>
      </c>
    </row>
    <row r="1010" spans="1:38">
      <c r="A1010" s="18">
        <v>41468</v>
      </c>
      <c r="B1010" s="19" t="s">
        <v>132</v>
      </c>
      <c r="C1010" s="12">
        <v>200.3</v>
      </c>
      <c r="D1010" s="19" t="s">
        <v>32</v>
      </c>
      <c r="E1010" s="8">
        <v>8.4102300000000003</v>
      </c>
      <c r="F1010" s="8">
        <v>83.311319999999995</v>
      </c>
      <c r="G1010" s="22">
        <v>200</v>
      </c>
      <c r="H1010" s="22">
        <v>10</v>
      </c>
      <c r="I1010" s="10">
        <f t="shared" si="303"/>
        <v>9.9666444232592379</v>
      </c>
      <c r="J1010" s="10">
        <f t="shared" si="293"/>
        <v>0.17395076056140502</v>
      </c>
      <c r="K1010" s="10">
        <v>21</v>
      </c>
      <c r="L1010" s="22">
        <v>395</v>
      </c>
      <c r="M1010" s="22" t="s">
        <v>39</v>
      </c>
      <c r="N1010" s="7" t="s">
        <v>69</v>
      </c>
      <c r="O1010" s="33" t="s">
        <v>65</v>
      </c>
      <c r="P1010" s="33" t="s">
        <v>70</v>
      </c>
      <c r="Q1010" s="7">
        <v>0.37</v>
      </c>
      <c r="R1010" s="7" t="s">
        <v>71</v>
      </c>
      <c r="S1010" s="30">
        <v>7.8</v>
      </c>
      <c r="T1010" s="79">
        <f t="shared" si="302"/>
        <v>4.7783736E-3</v>
      </c>
      <c r="U1010" s="22">
        <v>9</v>
      </c>
      <c r="V1010" s="22">
        <v>37</v>
      </c>
      <c r="W1010" s="10">
        <f t="shared" si="305"/>
        <v>0.64577182323790194</v>
      </c>
      <c r="X1010" s="22">
        <v>7</v>
      </c>
      <c r="Y1010" s="22">
        <v>15</v>
      </c>
      <c r="Z1010" s="10">
        <f t="shared" si="306"/>
        <v>0.26179938779914941</v>
      </c>
      <c r="AA1010" s="10">
        <f t="shared" si="307"/>
        <v>7.2280685240860798</v>
      </c>
      <c r="AB1010" s="10">
        <f t="shared" si="308"/>
        <v>9.3022952657709972</v>
      </c>
      <c r="AC1010" s="10">
        <f t="shared" si="309"/>
        <v>1.1627869082213746</v>
      </c>
      <c r="AD1010" s="10">
        <f t="shared" si="299"/>
        <v>4.6511476328854986</v>
      </c>
      <c r="AE1010" s="65"/>
      <c r="AF1010" s="10">
        <f t="shared" si="300"/>
        <v>11.749194449882149</v>
      </c>
      <c r="AG1010" s="8">
        <f t="shared" si="310"/>
        <v>2.2910929177270192</v>
      </c>
      <c r="AH1010" s="10">
        <f t="shared" si="311"/>
        <v>5.8745972249410743</v>
      </c>
      <c r="AI1010" s="63"/>
      <c r="AJ1010" s="10">
        <f t="shared" si="301"/>
        <v>12.085199999999993</v>
      </c>
      <c r="AK1010" s="8"/>
      <c r="AL1010" s="8">
        <f t="shared" si="312"/>
        <v>6.0425999999999966</v>
      </c>
    </row>
    <row r="1011" spans="1:38">
      <c r="A1011" s="18">
        <v>41468</v>
      </c>
      <c r="B1011" s="19" t="s">
        <v>132</v>
      </c>
      <c r="C1011" s="12">
        <v>200.3</v>
      </c>
      <c r="D1011" s="19" t="s">
        <v>32</v>
      </c>
      <c r="E1011" s="8">
        <v>8.4102300000000003</v>
      </c>
      <c r="F1011" s="8">
        <v>83.311319999999995</v>
      </c>
      <c r="G1011" s="22">
        <v>200</v>
      </c>
      <c r="H1011" s="22">
        <v>10</v>
      </c>
      <c r="I1011" s="10">
        <f t="shared" si="303"/>
        <v>9.9666444232592379</v>
      </c>
      <c r="J1011" s="10">
        <f t="shared" si="293"/>
        <v>0.17395076056140502</v>
      </c>
      <c r="K1011" s="10">
        <v>21</v>
      </c>
      <c r="L1011" s="22">
        <v>452</v>
      </c>
      <c r="M1011" s="22" t="s">
        <v>36</v>
      </c>
      <c r="N1011" s="8" t="s">
        <v>46</v>
      </c>
      <c r="O1011" s="10" t="s">
        <v>37</v>
      </c>
      <c r="P1011" s="10" t="s">
        <v>38</v>
      </c>
      <c r="Q1011" s="11">
        <v>0.48</v>
      </c>
      <c r="R1011" s="8" t="s">
        <v>60</v>
      </c>
      <c r="S1011" s="30">
        <v>17.600000000000001</v>
      </c>
      <c r="T1011" s="79">
        <f t="shared" si="302"/>
        <v>2.4328550400000006E-2</v>
      </c>
      <c r="U1011" s="22">
        <v>6</v>
      </c>
      <c r="V1011" s="22">
        <v>33</v>
      </c>
      <c r="W1011" s="10">
        <f t="shared" si="305"/>
        <v>0.57595865315812877</v>
      </c>
      <c r="X1011" s="22">
        <v>7</v>
      </c>
      <c r="Y1011" s="22">
        <v>15</v>
      </c>
      <c r="Z1011" s="10">
        <f t="shared" si="306"/>
        <v>0.26179938779914941</v>
      </c>
      <c r="AA1011" s="10">
        <f t="shared" si="307"/>
        <v>5.0795675258078079</v>
      </c>
      <c r="AB1011" s="10">
        <f t="shared" si="308"/>
        <v>39.37943072683079</v>
      </c>
      <c r="AC1011" s="10">
        <f t="shared" si="309"/>
        <v>4.9224288408538488</v>
      </c>
      <c r="AD1011" s="10">
        <f t="shared" si="299"/>
        <v>19.689715363415395</v>
      </c>
      <c r="AE1011" s="65"/>
      <c r="AF1011" s="10">
        <f t="shared" si="300"/>
        <v>115.02965686544772</v>
      </c>
      <c r="AG1011" s="8">
        <f t="shared" si="310"/>
        <v>22.430783088762308</v>
      </c>
      <c r="AH1011" s="10">
        <f t="shared" si="311"/>
        <v>57.51482843272386</v>
      </c>
      <c r="AI1011" s="63"/>
      <c r="AJ1011" s="10">
        <f t="shared" si="301"/>
        <v>128.14660000000001</v>
      </c>
      <c r="AK1011" s="8"/>
      <c r="AL1011" s="8">
        <f t="shared" si="312"/>
        <v>64.073300000000003</v>
      </c>
    </row>
    <row r="1012" spans="1:38">
      <c r="A1012" s="18">
        <v>41468</v>
      </c>
      <c r="B1012" s="19" t="s">
        <v>132</v>
      </c>
      <c r="C1012" s="12">
        <v>200.3</v>
      </c>
      <c r="D1012" s="19" t="s">
        <v>32</v>
      </c>
      <c r="E1012" s="8">
        <v>8.4102300000000003</v>
      </c>
      <c r="F1012" s="8">
        <v>83.311319999999995</v>
      </c>
      <c r="G1012" s="22">
        <v>200</v>
      </c>
      <c r="H1012" s="22">
        <v>10</v>
      </c>
      <c r="I1012" s="10">
        <f t="shared" si="303"/>
        <v>9.9666444232592379</v>
      </c>
      <c r="J1012" s="10">
        <f t="shared" si="293"/>
        <v>0.17395076056140502</v>
      </c>
      <c r="K1012" s="10">
        <v>21</v>
      </c>
      <c r="L1012" s="22">
        <v>482</v>
      </c>
      <c r="M1012" s="22" t="s">
        <v>39</v>
      </c>
      <c r="N1012" s="7" t="s">
        <v>69</v>
      </c>
      <c r="O1012" s="33" t="s">
        <v>65</v>
      </c>
      <c r="P1012" s="33" t="s">
        <v>70</v>
      </c>
      <c r="Q1012" s="7">
        <v>0.37</v>
      </c>
      <c r="R1012" s="7" t="s">
        <v>71</v>
      </c>
      <c r="S1012" s="30">
        <v>8</v>
      </c>
      <c r="T1012" s="79">
        <f t="shared" si="302"/>
        <v>5.0265600000000002E-3</v>
      </c>
      <c r="U1012" s="22">
        <v>5</v>
      </c>
      <c r="V1012" s="22">
        <v>33</v>
      </c>
      <c r="W1012" s="10">
        <f t="shared" si="305"/>
        <v>0.57595865315812877</v>
      </c>
      <c r="X1012" s="22">
        <v>6</v>
      </c>
      <c r="Y1012" s="22">
        <v>17</v>
      </c>
      <c r="Z1012" s="10">
        <f t="shared" si="306"/>
        <v>0.29670597283903605</v>
      </c>
      <c r="AA1012" s="10">
        <f t="shared" si="307"/>
        <v>4.4774254034115559</v>
      </c>
      <c r="AB1012" s="10">
        <f t="shared" si="308"/>
        <v>6.2193811762014652</v>
      </c>
      <c r="AC1012" s="10">
        <f t="shared" si="309"/>
        <v>0.77742264702518316</v>
      </c>
      <c r="AD1012" s="10">
        <f t="shared" si="299"/>
        <v>3.1096905881007326</v>
      </c>
      <c r="AE1012" s="65"/>
      <c r="AF1012" s="10">
        <f t="shared" si="300"/>
        <v>12.509147049353199</v>
      </c>
      <c r="AG1012" s="8">
        <f t="shared" si="310"/>
        <v>2.4392836746238737</v>
      </c>
      <c r="AH1012" s="10">
        <f t="shared" si="311"/>
        <v>6.2545735246765997</v>
      </c>
      <c r="AI1012" s="63"/>
      <c r="AJ1012" s="10">
        <f t="shared" si="301"/>
        <v>13.033000000000001</v>
      </c>
      <c r="AK1012" s="8"/>
      <c r="AL1012" s="8">
        <f t="shared" si="312"/>
        <v>6.5165000000000006</v>
      </c>
    </row>
    <row r="1013" spans="1:38">
      <c r="A1013" s="18">
        <v>41468</v>
      </c>
      <c r="B1013" s="19" t="s">
        <v>132</v>
      </c>
      <c r="C1013" s="12">
        <v>200.3</v>
      </c>
      <c r="D1013" s="19" t="s">
        <v>32</v>
      </c>
      <c r="E1013" s="8">
        <v>8.4102300000000003</v>
      </c>
      <c r="F1013" s="8">
        <v>83.311319999999995</v>
      </c>
      <c r="G1013" s="22">
        <v>200</v>
      </c>
      <c r="H1013" s="22">
        <v>10</v>
      </c>
      <c r="I1013" s="10">
        <f t="shared" si="303"/>
        <v>9.9666444232592379</v>
      </c>
      <c r="J1013" s="10">
        <f t="shared" si="293"/>
        <v>0.17395076056140502</v>
      </c>
      <c r="K1013" s="10">
        <v>21</v>
      </c>
      <c r="L1013" s="22">
        <v>458</v>
      </c>
      <c r="M1013" s="22" t="s">
        <v>36</v>
      </c>
      <c r="N1013" s="8" t="s">
        <v>46</v>
      </c>
      <c r="O1013" s="10" t="s">
        <v>37</v>
      </c>
      <c r="P1013" s="10" t="s">
        <v>38</v>
      </c>
      <c r="Q1013" s="11">
        <v>0.48</v>
      </c>
      <c r="R1013" s="8" t="s">
        <v>60</v>
      </c>
      <c r="S1013" s="30">
        <v>16.899999999999999</v>
      </c>
      <c r="T1013" s="79">
        <f t="shared" si="302"/>
        <v>2.2431809399999999E-2</v>
      </c>
      <c r="U1013" s="22">
        <v>10</v>
      </c>
      <c r="V1013" s="22">
        <v>29</v>
      </c>
      <c r="W1013" s="10">
        <f t="shared" si="305"/>
        <v>0.50614548307835561</v>
      </c>
      <c r="X1013" s="22">
        <v>8</v>
      </c>
      <c r="Y1013" s="22">
        <v>13</v>
      </c>
      <c r="Z1013" s="10">
        <f t="shared" si="306"/>
        <v>0.22689280275926285</v>
      </c>
      <c r="AA1013" s="10">
        <f t="shared" si="307"/>
        <v>6.6477046372142903</v>
      </c>
      <c r="AB1013" s="10">
        <f t="shared" si="308"/>
        <v>46.985829814390442</v>
      </c>
      <c r="AC1013" s="10">
        <f t="shared" si="309"/>
        <v>5.8732287267988053</v>
      </c>
      <c r="AD1013" s="10">
        <f t="shared" si="299"/>
        <v>23.492914907195221</v>
      </c>
      <c r="AE1013" s="65"/>
      <c r="AF1013" s="10">
        <f t="shared" si="300"/>
        <v>104.03510694597675</v>
      </c>
      <c r="AG1013" s="8">
        <f t="shared" si="310"/>
        <v>20.286845854465469</v>
      </c>
      <c r="AH1013" s="10">
        <f t="shared" si="311"/>
        <v>52.017553472988375</v>
      </c>
      <c r="AI1013" s="63"/>
      <c r="AJ1013" s="10">
        <f t="shared" si="301"/>
        <v>115.14269999999996</v>
      </c>
      <c r="AK1013" s="8"/>
      <c r="AL1013" s="8">
        <f t="shared" si="312"/>
        <v>57.571349999999981</v>
      </c>
    </row>
    <row r="1014" spans="1:38">
      <c r="A1014" s="18">
        <v>41468</v>
      </c>
      <c r="B1014" s="19" t="s">
        <v>132</v>
      </c>
      <c r="C1014" s="12">
        <v>200.3</v>
      </c>
      <c r="D1014" s="19" t="s">
        <v>32</v>
      </c>
      <c r="E1014" s="8">
        <v>8.4102300000000003</v>
      </c>
      <c r="F1014" s="8">
        <v>83.311319999999995</v>
      </c>
      <c r="G1014" s="22">
        <v>200</v>
      </c>
      <c r="H1014" s="22">
        <v>10</v>
      </c>
      <c r="I1014" s="10">
        <f t="shared" si="303"/>
        <v>9.9666444232592379</v>
      </c>
      <c r="J1014" s="10">
        <f t="shared" ref="J1014:J1076" si="313">RADIANS(I1014)</f>
        <v>0.17395076056140502</v>
      </c>
      <c r="K1014" s="10">
        <v>21</v>
      </c>
      <c r="L1014" s="22">
        <v>448</v>
      </c>
      <c r="M1014" s="22" t="s">
        <v>39</v>
      </c>
      <c r="N1014" s="7" t="s">
        <v>69</v>
      </c>
      <c r="O1014" s="33" t="s">
        <v>65</v>
      </c>
      <c r="P1014" s="33" t="s">
        <v>70</v>
      </c>
      <c r="Q1014" s="7">
        <v>0.37</v>
      </c>
      <c r="R1014" s="7" t="s">
        <v>71</v>
      </c>
      <c r="S1014" s="30">
        <v>10.5</v>
      </c>
      <c r="T1014" s="79">
        <f t="shared" si="302"/>
        <v>8.6590350000000007E-3</v>
      </c>
      <c r="U1014" s="22">
        <v>9</v>
      </c>
      <c r="V1014" s="22">
        <v>36</v>
      </c>
      <c r="W1014" s="10">
        <f t="shared" si="305"/>
        <v>0.62831853071795862</v>
      </c>
      <c r="X1014" s="22">
        <v>7</v>
      </c>
      <c r="Y1014" s="22">
        <v>12</v>
      </c>
      <c r="Z1014" s="10">
        <f t="shared" si="306"/>
        <v>0.20943951023931956</v>
      </c>
      <c r="AA1014" s="10">
        <f t="shared" si="307"/>
        <v>6.745449106356574</v>
      </c>
      <c r="AB1014" s="10">
        <f t="shared" si="308"/>
        <v>15.243245417757644</v>
      </c>
      <c r="AC1014" s="10">
        <f t="shared" si="309"/>
        <v>1.9054056772197054</v>
      </c>
      <c r="AD1014" s="10">
        <f t="shared" si="299"/>
        <v>7.6216227088788218</v>
      </c>
      <c r="AE1014" s="65"/>
      <c r="AF1014" s="10">
        <f t="shared" si="300"/>
        <v>24.572985921641621</v>
      </c>
      <c r="AG1014" s="8">
        <f t="shared" si="310"/>
        <v>4.7917322547201167</v>
      </c>
      <c r="AH1014" s="10">
        <f t="shared" si="311"/>
        <v>12.28649296082081</v>
      </c>
      <c r="AI1014" s="63"/>
      <c r="AJ1014" s="10">
        <f t="shared" si="301"/>
        <v>29.875499999999988</v>
      </c>
      <c r="AK1014" s="8"/>
      <c r="AL1014" s="8">
        <f t="shared" si="312"/>
        <v>14.937749999999994</v>
      </c>
    </row>
    <row r="1015" spans="1:38">
      <c r="A1015" s="18">
        <v>41468</v>
      </c>
      <c r="B1015" s="19" t="s">
        <v>132</v>
      </c>
      <c r="C1015" s="12">
        <v>200.3</v>
      </c>
      <c r="D1015" s="19" t="s">
        <v>32</v>
      </c>
      <c r="E1015" s="8">
        <v>8.4102300000000003</v>
      </c>
      <c r="F1015" s="8">
        <v>83.311319999999995</v>
      </c>
      <c r="G1015" s="22">
        <v>200</v>
      </c>
      <c r="H1015" s="22">
        <v>10</v>
      </c>
      <c r="I1015" s="10">
        <f t="shared" si="303"/>
        <v>9.9666444232592379</v>
      </c>
      <c r="J1015" s="10">
        <f t="shared" si="313"/>
        <v>0.17395076056140502</v>
      </c>
      <c r="K1015" s="10">
        <v>21</v>
      </c>
      <c r="L1015" s="22">
        <v>457</v>
      </c>
      <c r="M1015" s="22" t="s">
        <v>135</v>
      </c>
      <c r="N1015" s="22" t="s">
        <v>180</v>
      </c>
      <c r="O1015" s="10" t="s">
        <v>217</v>
      </c>
      <c r="P1015" s="10" t="s">
        <v>221</v>
      </c>
      <c r="Q1015" s="24">
        <v>0.38</v>
      </c>
      <c r="R1015" s="31" t="s">
        <v>190</v>
      </c>
      <c r="S1015" s="12">
        <f>AVERAGE(36.2,34)</f>
        <v>35.1</v>
      </c>
      <c r="T1015" s="79">
        <f t="shared" si="302"/>
        <v>9.67620654E-2</v>
      </c>
      <c r="U1015" s="22">
        <v>14</v>
      </c>
      <c r="V1015" s="22">
        <v>55</v>
      </c>
      <c r="W1015" s="10">
        <f t="shared" si="305"/>
        <v>0.95993108859688125</v>
      </c>
      <c r="X1015" s="22">
        <v>7</v>
      </c>
      <c r="Y1015" s="22">
        <v>15</v>
      </c>
      <c r="Z1015" s="10">
        <f t="shared" si="306"/>
        <v>0.26179938779914941</v>
      </c>
      <c r="AA1015" s="10">
        <f t="shared" si="307"/>
        <v>13.279861935763531</v>
      </c>
      <c r="AB1015" s="10">
        <f t="shared" si="308"/>
        <v>285.65223561220324</v>
      </c>
      <c r="AC1015" s="10">
        <f t="shared" si="309"/>
        <v>35.706529451525405</v>
      </c>
      <c r="AD1015" s="10">
        <f t="shared" si="299"/>
        <v>142.82611780610162</v>
      </c>
      <c r="AE1015" s="65"/>
      <c r="AF1015" s="10">
        <f t="shared" si="300"/>
        <v>489.57785519116578</v>
      </c>
      <c r="AG1015" s="8">
        <f t="shared" si="310"/>
        <v>95.467681762277337</v>
      </c>
      <c r="AH1015" s="10">
        <f t="shared" si="311"/>
        <v>244.78892759558289</v>
      </c>
      <c r="AI1015" s="63"/>
      <c r="AJ1015" s="10">
        <f t="shared" si="301"/>
        <v>688.93409999999994</v>
      </c>
      <c r="AK1015" s="8"/>
      <c r="AL1015" s="8">
        <f t="shared" si="312"/>
        <v>344.46704999999997</v>
      </c>
    </row>
    <row r="1016" spans="1:38">
      <c r="A1016" s="18">
        <v>41468</v>
      </c>
      <c r="B1016" s="19" t="s">
        <v>132</v>
      </c>
      <c r="C1016" s="12">
        <v>200.3</v>
      </c>
      <c r="D1016" s="19" t="s">
        <v>32</v>
      </c>
      <c r="E1016" s="8">
        <v>8.4102300000000003</v>
      </c>
      <c r="F1016" s="8">
        <v>83.311319999999995</v>
      </c>
      <c r="G1016" s="22">
        <v>200</v>
      </c>
      <c r="H1016" s="22">
        <v>10</v>
      </c>
      <c r="I1016" s="10">
        <f t="shared" si="303"/>
        <v>9.9666444232592379</v>
      </c>
      <c r="J1016" s="10">
        <f t="shared" si="313"/>
        <v>0.17395076056140502</v>
      </c>
      <c r="K1016" s="10">
        <v>21</v>
      </c>
      <c r="L1016" s="22">
        <v>412</v>
      </c>
      <c r="M1016" s="22" t="s">
        <v>135</v>
      </c>
      <c r="N1016" s="22" t="s">
        <v>180</v>
      </c>
      <c r="O1016" s="10" t="s">
        <v>217</v>
      </c>
      <c r="P1016" s="10" t="s">
        <v>221</v>
      </c>
      <c r="Q1016" s="24">
        <v>0.38</v>
      </c>
      <c r="R1016" s="31" t="s">
        <v>190</v>
      </c>
      <c r="S1016" s="12">
        <f>AVERAGE(32,37)</f>
        <v>34.5</v>
      </c>
      <c r="T1016" s="79">
        <f t="shared" si="302"/>
        <v>9.3482235000000011E-2</v>
      </c>
      <c r="U1016" s="22">
        <v>11</v>
      </c>
      <c r="V1016" s="22">
        <v>55</v>
      </c>
      <c r="W1016" s="10">
        <f t="shared" si="305"/>
        <v>0.95993108859688125</v>
      </c>
      <c r="X1016" s="22">
        <v>7</v>
      </c>
      <c r="Y1016" s="22">
        <v>15</v>
      </c>
      <c r="Z1016" s="10">
        <f t="shared" si="306"/>
        <v>0.26179938779914941</v>
      </c>
      <c r="AA1016" s="10">
        <f t="shared" si="307"/>
        <v>10.822405802896554</v>
      </c>
      <c r="AB1016" s="10">
        <f t="shared" si="308"/>
        <v>228.15111018615087</v>
      </c>
      <c r="AC1016" s="10">
        <f t="shared" si="309"/>
        <v>28.518888773268859</v>
      </c>
      <c r="AD1016" s="10">
        <f t="shared" si="299"/>
        <v>114.07555509307544</v>
      </c>
      <c r="AE1016" s="65"/>
      <c r="AF1016" s="10">
        <f t="shared" si="300"/>
        <v>469.83458055131155</v>
      </c>
      <c r="AG1016" s="8">
        <f t="shared" si="310"/>
        <v>91.617743207505754</v>
      </c>
      <c r="AH1016" s="10">
        <f t="shared" si="311"/>
        <v>234.91729027565577</v>
      </c>
      <c r="AI1016" s="63"/>
      <c r="AJ1016" s="10">
        <f t="shared" si="301"/>
        <v>662.20349999999996</v>
      </c>
      <c r="AK1016" s="8"/>
      <c r="AL1016" s="8">
        <f t="shared" si="312"/>
        <v>331.10174999999998</v>
      </c>
    </row>
    <row r="1017" spans="1:38">
      <c r="A1017" s="18">
        <v>41468</v>
      </c>
      <c r="B1017" s="19" t="s">
        <v>132</v>
      </c>
      <c r="C1017" s="12">
        <v>200.3</v>
      </c>
      <c r="D1017" s="19" t="s">
        <v>32</v>
      </c>
      <c r="E1017" s="8">
        <v>8.4102300000000003</v>
      </c>
      <c r="F1017" s="8">
        <v>83.311319999999995</v>
      </c>
      <c r="G1017" s="22">
        <v>200</v>
      </c>
      <c r="H1017" s="22">
        <v>10</v>
      </c>
      <c r="I1017" s="10">
        <f t="shared" si="303"/>
        <v>9.9666444232592379</v>
      </c>
      <c r="J1017" s="10">
        <f t="shared" si="313"/>
        <v>0.17395076056140502</v>
      </c>
      <c r="K1017" s="10">
        <v>21</v>
      </c>
      <c r="L1017" s="22">
        <v>477</v>
      </c>
      <c r="M1017" s="22" t="s">
        <v>131</v>
      </c>
      <c r="N1017" s="8" t="s">
        <v>81</v>
      </c>
      <c r="O1017" s="10" t="s">
        <v>164</v>
      </c>
      <c r="P1017" s="50" t="s">
        <v>165</v>
      </c>
      <c r="Q1017" s="23">
        <v>0.56000000000000005</v>
      </c>
      <c r="R1017" s="22" t="s">
        <v>166</v>
      </c>
      <c r="S1017" s="30">
        <v>9</v>
      </c>
      <c r="T1017" s="79">
        <f t="shared" si="302"/>
        <v>6.3617400000000003E-3</v>
      </c>
      <c r="U1017" s="22">
        <v>10</v>
      </c>
      <c r="V1017" s="22">
        <v>48</v>
      </c>
      <c r="W1017" s="10">
        <f t="shared" si="305"/>
        <v>0.83775804095727824</v>
      </c>
      <c r="X1017" s="22">
        <v>5</v>
      </c>
      <c r="Y1017" s="22">
        <v>18</v>
      </c>
      <c r="Z1017" s="10">
        <f t="shared" si="306"/>
        <v>0.31415926535897931</v>
      </c>
      <c r="AA1017" s="10">
        <f t="shared" si="307"/>
        <v>8.9765332266486784</v>
      </c>
      <c r="AB1017" s="10">
        <f t="shared" si="308"/>
        <v>22.032131173226961</v>
      </c>
      <c r="AC1017" s="10">
        <f t="shared" si="309"/>
        <v>2.7540163966533702</v>
      </c>
      <c r="AD1017" s="10">
        <f t="shared" si="299"/>
        <v>11.016065586613481</v>
      </c>
      <c r="AE1017" s="65"/>
      <c r="AF1017" s="10">
        <f t="shared" si="300"/>
        <v>25.35464847915128</v>
      </c>
      <c r="AG1017" s="8">
        <f t="shared" si="310"/>
        <v>4.9441564534344993</v>
      </c>
      <c r="AH1017" s="10">
        <f t="shared" si="311"/>
        <v>12.67732423957564</v>
      </c>
      <c r="AI1017" s="63"/>
      <c r="AJ1017" s="10">
        <f t="shared" si="301"/>
        <v>18.659999999999997</v>
      </c>
      <c r="AK1017" s="8"/>
      <c r="AL1017" s="8">
        <f t="shared" si="312"/>
        <v>9.3299999999999983</v>
      </c>
    </row>
    <row r="1018" spans="1:38">
      <c r="A1018" s="18">
        <v>41468</v>
      </c>
      <c r="B1018" s="19" t="s">
        <v>132</v>
      </c>
      <c r="C1018" s="12">
        <v>200.3</v>
      </c>
      <c r="D1018" s="19" t="s">
        <v>32</v>
      </c>
      <c r="E1018" s="8">
        <v>8.4102300000000003</v>
      </c>
      <c r="F1018" s="8">
        <v>83.311319999999995</v>
      </c>
      <c r="G1018" s="22">
        <v>200</v>
      </c>
      <c r="H1018" s="22">
        <v>10</v>
      </c>
      <c r="I1018" s="10">
        <f t="shared" si="303"/>
        <v>9.9666444232592379</v>
      </c>
      <c r="J1018" s="10">
        <f t="shared" si="313"/>
        <v>0.17395076056140502</v>
      </c>
      <c r="K1018" s="10">
        <v>21</v>
      </c>
      <c r="L1018" s="22">
        <v>436</v>
      </c>
      <c r="M1018" s="22" t="s">
        <v>39</v>
      </c>
      <c r="N1018" s="7" t="s">
        <v>69</v>
      </c>
      <c r="O1018" s="33" t="s">
        <v>65</v>
      </c>
      <c r="P1018" s="33" t="s">
        <v>70</v>
      </c>
      <c r="Q1018" s="7">
        <v>0.37</v>
      </c>
      <c r="R1018" s="7" t="s">
        <v>71</v>
      </c>
      <c r="S1018" s="30">
        <v>19.600000000000001</v>
      </c>
      <c r="T1018" s="79">
        <f t="shared" si="302"/>
        <v>3.0171926400000007E-2</v>
      </c>
      <c r="U1018" s="22">
        <v>10</v>
      </c>
      <c r="V1018" s="22">
        <v>53</v>
      </c>
      <c r="W1018" s="10">
        <f t="shared" si="305"/>
        <v>0.92502450355699462</v>
      </c>
      <c r="X1018" s="22">
        <v>5</v>
      </c>
      <c r="Y1018" s="22">
        <v>17</v>
      </c>
      <c r="Z1018" s="10">
        <f t="shared" si="306"/>
        <v>0.29670597283903605</v>
      </c>
      <c r="AA1018" s="10">
        <f t="shared" si="307"/>
        <v>9.4482136240866126</v>
      </c>
      <c r="AB1018" s="10">
        <f t="shared" si="308"/>
        <v>67.645899788139644</v>
      </c>
      <c r="AC1018" s="10">
        <f t="shared" si="309"/>
        <v>8.4557374735174555</v>
      </c>
      <c r="AD1018" s="10">
        <f t="shared" si="299"/>
        <v>33.822949894069822</v>
      </c>
      <c r="AE1018" s="65"/>
      <c r="AF1018" s="10">
        <f t="shared" si="300"/>
        <v>115.67015321534072</v>
      </c>
      <c r="AG1018" s="8">
        <f t="shared" si="310"/>
        <v>22.555679876991441</v>
      </c>
      <c r="AH1018" s="10">
        <f t="shared" si="311"/>
        <v>57.835076607670359</v>
      </c>
      <c r="AI1018" s="63"/>
      <c r="AJ1018" s="10">
        <f t="shared" si="301"/>
        <v>169.29660000000001</v>
      </c>
      <c r="AK1018" s="8"/>
      <c r="AL1018" s="8">
        <f t="shared" si="312"/>
        <v>84.648300000000006</v>
      </c>
    </row>
    <row r="1019" spans="1:38">
      <c r="A1019" s="18">
        <v>41468</v>
      </c>
      <c r="B1019" s="19" t="s">
        <v>132</v>
      </c>
      <c r="C1019" s="12">
        <v>200.3</v>
      </c>
      <c r="D1019" s="19" t="s">
        <v>32</v>
      </c>
      <c r="E1019" s="8">
        <v>8.4102300000000003</v>
      </c>
      <c r="F1019" s="8">
        <v>83.311319999999995</v>
      </c>
      <c r="G1019" s="22">
        <v>200</v>
      </c>
      <c r="H1019" s="22">
        <v>10</v>
      </c>
      <c r="I1019" s="10">
        <f t="shared" si="303"/>
        <v>9.9666444232592379</v>
      </c>
      <c r="J1019" s="10">
        <f t="shared" si="313"/>
        <v>0.17395076056140502</v>
      </c>
      <c r="K1019" s="10">
        <v>21</v>
      </c>
      <c r="L1019" s="22">
        <v>441</v>
      </c>
      <c r="M1019" s="22" t="s">
        <v>131</v>
      </c>
      <c r="N1019" s="8" t="s">
        <v>81</v>
      </c>
      <c r="O1019" s="10" t="s">
        <v>164</v>
      </c>
      <c r="P1019" s="50" t="s">
        <v>165</v>
      </c>
      <c r="Q1019" s="23">
        <v>0.56000000000000005</v>
      </c>
      <c r="R1019" s="22" t="s">
        <v>166</v>
      </c>
      <c r="S1019" s="30">
        <v>13.2</v>
      </c>
      <c r="T1019" s="79">
        <f t="shared" si="302"/>
        <v>1.3684809599999999E-2</v>
      </c>
      <c r="U1019" s="22">
        <v>12</v>
      </c>
      <c r="V1019" s="22">
        <v>48</v>
      </c>
      <c r="W1019" s="10">
        <f t="shared" si="305"/>
        <v>0.83775804095727824</v>
      </c>
      <c r="X1019" s="22">
        <v>7</v>
      </c>
      <c r="Y1019" s="22">
        <v>12</v>
      </c>
      <c r="Z1019" s="10">
        <f t="shared" si="306"/>
        <v>0.20943951023931956</v>
      </c>
      <c r="AA1019" s="10">
        <f t="shared" si="307"/>
        <v>10.373119741453047</v>
      </c>
      <c r="AB1019" s="10">
        <f t="shared" si="308"/>
        <v>51.85519658356715</v>
      </c>
      <c r="AC1019" s="10">
        <f t="shared" si="309"/>
        <v>6.4818995729458937</v>
      </c>
      <c r="AD1019" s="10">
        <f t="shared" si="299"/>
        <v>25.927598291783575</v>
      </c>
      <c r="AE1019" s="65"/>
      <c r="AF1019" s="10">
        <f t="shared" si="300"/>
        <v>65.721089379284706</v>
      </c>
      <c r="AG1019" s="8">
        <f t="shared" si="310"/>
        <v>12.815612428960518</v>
      </c>
      <c r="AH1019" s="10">
        <f t="shared" si="311"/>
        <v>32.860544689642353</v>
      </c>
      <c r="AI1019" s="63"/>
      <c r="AJ1019" s="10">
        <f t="shared" si="301"/>
        <v>58.45499999999997</v>
      </c>
      <c r="AK1019" s="8"/>
      <c r="AL1019" s="8">
        <f t="shared" si="312"/>
        <v>29.227499999999985</v>
      </c>
    </row>
    <row r="1020" spans="1:38">
      <c r="A1020" s="18">
        <v>41468</v>
      </c>
      <c r="B1020" s="19" t="s">
        <v>132</v>
      </c>
      <c r="C1020" s="12">
        <v>200.3</v>
      </c>
      <c r="D1020" s="19" t="s">
        <v>32</v>
      </c>
      <c r="E1020" s="8">
        <v>8.4102300000000003</v>
      </c>
      <c r="F1020" s="8">
        <v>83.311319999999995</v>
      </c>
      <c r="G1020" s="22">
        <v>200</v>
      </c>
      <c r="H1020" s="22">
        <v>10</v>
      </c>
      <c r="I1020" s="10">
        <f t="shared" si="303"/>
        <v>9.9666444232592379</v>
      </c>
      <c r="J1020" s="10">
        <f t="shared" si="313"/>
        <v>0.17395076056140502</v>
      </c>
      <c r="K1020" s="10">
        <v>21</v>
      </c>
      <c r="L1020" s="22">
        <v>398</v>
      </c>
      <c r="M1020" s="22" t="s">
        <v>96</v>
      </c>
      <c r="N1020" s="8" t="s">
        <v>69</v>
      </c>
      <c r="O1020" s="58" t="s">
        <v>65</v>
      </c>
      <c r="P1020" s="10" t="s">
        <v>102</v>
      </c>
      <c r="Q1020" s="22">
        <v>0.48</v>
      </c>
      <c r="R1020" s="22" t="s">
        <v>190</v>
      </c>
      <c r="S1020" s="30">
        <v>31.2</v>
      </c>
      <c r="T1020" s="79">
        <f t="shared" si="302"/>
        <v>7.64539776E-2</v>
      </c>
      <c r="U1020" s="22">
        <v>15</v>
      </c>
      <c r="V1020" s="22">
        <v>70</v>
      </c>
      <c r="W1020" s="10">
        <f t="shared" si="305"/>
        <v>1.2217304763960306</v>
      </c>
      <c r="X1020" s="22">
        <v>5</v>
      </c>
      <c r="Y1020" s="22">
        <v>11</v>
      </c>
      <c r="Z1020" s="10">
        <f t="shared" si="306"/>
        <v>0.19198621771937624</v>
      </c>
      <c r="AA1020" s="10">
        <f t="shared" si="307"/>
        <v>15.049434288671348</v>
      </c>
      <c r="AB1020" s="10">
        <f t="shared" si="308"/>
        <v>320.7067388692239</v>
      </c>
      <c r="AC1020" s="10">
        <f t="shared" si="309"/>
        <v>40.088342358652987</v>
      </c>
      <c r="AD1020" s="10">
        <f t="shared" si="299"/>
        <v>160.35336943461195</v>
      </c>
      <c r="AE1020" s="65"/>
      <c r="AF1020" s="10">
        <f t="shared" si="300"/>
        <v>466.33724858095979</v>
      </c>
      <c r="AG1020" s="8">
        <f t="shared" si="310"/>
        <v>90.935763473287167</v>
      </c>
      <c r="AH1020" s="10">
        <f t="shared" si="311"/>
        <v>233.1686242904799</v>
      </c>
      <c r="AI1020" s="63"/>
      <c r="AJ1020" s="10">
        <f t="shared" si="301"/>
        <v>524.70899999999995</v>
      </c>
      <c r="AK1020" s="8"/>
      <c r="AL1020" s="8">
        <f t="shared" si="312"/>
        <v>262.35449999999997</v>
      </c>
    </row>
    <row r="1021" spans="1:38">
      <c r="A1021" s="18">
        <v>41468</v>
      </c>
      <c r="B1021" s="19" t="s">
        <v>132</v>
      </c>
      <c r="C1021" s="12">
        <v>200.3</v>
      </c>
      <c r="D1021" s="19" t="s">
        <v>32</v>
      </c>
      <c r="E1021" s="8">
        <v>8.4102300000000003</v>
      </c>
      <c r="F1021" s="8">
        <v>83.311319999999995</v>
      </c>
      <c r="G1021" s="22">
        <v>200</v>
      </c>
      <c r="H1021" s="22">
        <v>10</v>
      </c>
      <c r="I1021" s="10">
        <f t="shared" si="303"/>
        <v>9.9666444232592379</v>
      </c>
      <c r="J1021" s="10">
        <f t="shared" si="313"/>
        <v>0.17395076056140502</v>
      </c>
      <c r="K1021" s="10">
        <v>21</v>
      </c>
      <c r="L1021" s="22">
        <v>463</v>
      </c>
      <c r="M1021" s="22" t="s">
        <v>131</v>
      </c>
      <c r="N1021" s="8" t="s">
        <v>81</v>
      </c>
      <c r="O1021" s="10" t="s">
        <v>164</v>
      </c>
      <c r="P1021" s="50" t="s">
        <v>165</v>
      </c>
      <c r="Q1021" s="23">
        <v>0.56000000000000005</v>
      </c>
      <c r="R1021" s="22" t="s">
        <v>166</v>
      </c>
      <c r="S1021" s="30">
        <v>11.8</v>
      </c>
      <c r="T1021" s="79">
        <f t="shared" si="302"/>
        <v>1.0935909600000002E-2</v>
      </c>
      <c r="U1021" s="22">
        <v>10</v>
      </c>
      <c r="V1021" s="22">
        <v>56</v>
      </c>
      <c r="W1021" s="10">
        <f t="shared" si="305"/>
        <v>0.97738438111682457</v>
      </c>
      <c r="X1021" s="22">
        <v>5</v>
      </c>
      <c r="Y1021" s="22">
        <v>8</v>
      </c>
      <c r="Z1021" s="10">
        <f t="shared" si="306"/>
        <v>0.13962634015954636</v>
      </c>
      <c r="AA1021" s="10">
        <f t="shared" si="307"/>
        <v>8.9862412303507444</v>
      </c>
      <c r="AB1021" s="10">
        <f t="shared" si="308"/>
        <v>36.699489978846827</v>
      </c>
      <c r="AC1021" s="10">
        <f t="shared" si="309"/>
        <v>4.5874362473558534</v>
      </c>
      <c r="AD1021" s="10">
        <f t="shared" si="299"/>
        <v>18.349744989423414</v>
      </c>
      <c r="AE1021" s="65"/>
      <c r="AF1021" s="10">
        <f t="shared" si="300"/>
        <v>49.724300016946017</v>
      </c>
      <c r="AG1021" s="8">
        <f t="shared" si="310"/>
        <v>9.6962385033044729</v>
      </c>
      <c r="AH1021" s="10">
        <f t="shared" si="311"/>
        <v>24.862150008473009</v>
      </c>
      <c r="AI1021" s="63"/>
      <c r="AJ1021" s="10">
        <f t="shared" si="301"/>
        <v>42.289199999999994</v>
      </c>
      <c r="AK1021" s="8"/>
      <c r="AL1021" s="8">
        <f t="shared" si="312"/>
        <v>21.144599999999997</v>
      </c>
    </row>
    <row r="1022" spans="1:38">
      <c r="A1022" s="18">
        <v>41468</v>
      </c>
      <c r="B1022" s="19" t="s">
        <v>132</v>
      </c>
      <c r="C1022" s="12">
        <v>200.3</v>
      </c>
      <c r="D1022" s="19" t="s">
        <v>32</v>
      </c>
      <c r="E1022" s="8">
        <v>8.4102300000000003</v>
      </c>
      <c r="F1022" s="8">
        <v>83.311319999999995</v>
      </c>
      <c r="G1022" s="22">
        <v>200</v>
      </c>
      <c r="H1022" s="22">
        <v>10</v>
      </c>
      <c r="I1022" s="10">
        <f t="shared" si="303"/>
        <v>9.9666444232592379</v>
      </c>
      <c r="J1022" s="10">
        <f t="shared" si="313"/>
        <v>0.17395076056140502</v>
      </c>
      <c r="K1022" s="10">
        <v>21</v>
      </c>
      <c r="L1022" s="22">
        <v>407</v>
      </c>
      <c r="M1022" s="22" t="s">
        <v>36</v>
      </c>
      <c r="N1022" s="8" t="s">
        <v>46</v>
      </c>
      <c r="O1022" s="10" t="s">
        <v>37</v>
      </c>
      <c r="P1022" s="10" t="s">
        <v>38</v>
      </c>
      <c r="Q1022" s="11">
        <v>0.48</v>
      </c>
      <c r="R1022" s="8" t="s">
        <v>60</v>
      </c>
      <c r="S1022" s="30">
        <v>13.5</v>
      </c>
      <c r="T1022" s="79">
        <f t="shared" si="302"/>
        <v>1.4313915E-2</v>
      </c>
      <c r="U1022" s="22">
        <v>6</v>
      </c>
      <c r="V1022" s="22">
        <v>30</v>
      </c>
      <c r="W1022" s="10">
        <f t="shared" si="305"/>
        <v>0.52359877559829882</v>
      </c>
      <c r="X1022" s="22">
        <v>6</v>
      </c>
      <c r="Y1022" s="22">
        <v>16</v>
      </c>
      <c r="Z1022" s="10">
        <f t="shared" si="306"/>
        <v>0.27925268031909273</v>
      </c>
      <c r="AA1022" s="10">
        <f t="shared" si="307"/>
        <v>4.6538241349019946</v>
      </c>
      <c r="AB1022" s="10">
        <f t="shared" si="308"/>
        <v>22.029129636133018</v>
      </c>
      <c r="AC1022" s="10">
        <f t="shared" si="309"/>
        <v>2.7536412045166272</v>
      </c>
      <c r="AD1022" s="10">
        <f t="shared" si="299"/>
        <v>11.014564818066509</v>
      </c>
      <c r="AE1022" s="65"/>
      <c r="AF1022" s="10">
        <f t="shared" si="300"/>
        <v>59.570061568291514</v>
      </c>
      <c r="AG1022" s="8">
        <f t="shared" si="310"/>
        <v>11.616162005816845</v>
      </c>
      <c r="AH1022" s="10">
        <f t="shared" si="311"/>
        <v>29.785030784145757</v>
      </c>
      <c r="AI1022" s="63"/>
      <c r="AJ1022" s="10">
        <f t="shared" si="301"/>
        <v>62.296500000000009</v>
      </c>
      <c r="AK1022" s="8"/>
      <c r="AL1022" s="8">
        <f t="shared" si="312"/>
        <v>31.148250000000004</v>
      </c>
    </row>
    <row r="1023" spans="1:38">
      <c r="A1023" s="18">
        <v>41468</v>
      </c>
      <c r="B1023" s="19" t="s">
        <v>132</v>
      </c>
      <c r="C1023" s="12">
        <v>200.3</v>
      </c>
      <c r="D1023" s="19" t="s">
        <v>32</v>
      </c>
      <c r="E1023" s="8">
        <v>8.4102300000000003</v>
      </c>
      <c r="F1023" s="8">
        <v>83.311319999999995</v>
      </c>
      <c r="G1023" s="22">
        <v>200</v>
      </c>
      <c r="H1023" s="22">
        <v>10</v>
      </c>
      <c r="I1023" s="10">
        <f t="shared" si="303"/>
        <v>9.9666444232592379</v>
      </c>
      <c r="J1023" s="10">
        <f t="shared" si="313"/>
        <v>0.17395076056140502</v>
      </c>
      <c r="K1023" s="10">
        <v>21</v>
      </c>
      <c r="L1023" s="22">
        <v>445</v>
      </c>
      <c r="M1023" s="22" t="s">
        <v>36</v>
      </c>
      <c r="N1023" s="8" t="s">
        <v>46</v>
      </c>
      <c r="O1023" s="10" t="s">
        <v>37</v>
      </c>
      <c r="P1023" s="10" t="s">
        <v>38</v>
      </c>
      <c r="Q1023" s="11">
        <v>0.48</v>
      </c>
      <c r="R1023" s="8" t="s">
        <v>60</v>
      </c>
      <c r="S1023" s="30">
        <v>20</v>
      </c>
      <c r="T1023" s="79">
        <f t="shared" si="302"/>
        <v>3.1415999999999999E-2</v>
      </c>
      <c r="U1023" s="22">
        <v>6</v>
      </c>
      <c r="V1023" s="22">
        <v>35</v>
      </c>
      <c r="W1023" s="10">
        <f t="shared" si="305"/>
        <v>0.6108652381980153</v>
      </c>
      <c r="X1023" s="22">
        <v>7</v>
      </c>
      <c r="Y1023" s="22">
        <v>12</v>
      </c>
      <c r="Z1023" s="10">
        <f t="shared" si="306"/>
        <v>0.20943951023931956</v>
      </c>
      <c r="AA1023" s="10">
        <f t="shared" si="307"/>
        <v>4.8968404538305919</v>
      </c>
      <c r="AB1023" s="10">
        <f t="shared" si="308"/>
        <v>48.382229064193105</v>
      </c>
      <c r="AC1023" s="10">
        <f t="shared" si="309"/>
        <v>6.0477786330241381</v>
      </c>
      <c r="AD1023" s="10">
        <f t="shared" si="299"/>
        <v>24.191114532096552</v>
      </c>
      <c r="AE1023" s="65"/>
      <c r="AF1023" s="10">
        <f t="shared" si="300"/>
        <v>157.71936778711219</v>
      </c>
      <c r="AG1023" s="8">
        <f t="shared" si="310"/>
        <v>30.755276718486879</v>
      </c>
      <c r="AH1023" s="10">
        <f t="shared" si="311"/>
        <v>78.859683893556095</v>
      </c>
      <c r="AI1023" s="63"/>
      <c r="AJ1023" s="10">
        <f t="shared" si="301"/>
        <v>178.23699999999999</v>
      </c>
      <c r="AK1023" s="8"/>
      <c r="AL1023" s="8">
        <f t="shared" si="312"/>
        <v>89.118499999999997</v>
      </c>
    </row>
    <row r="1024" spans="1:38">
      <c r="A1024" s="18">
        <v>41468</v>
      </c>
      <c r="B1024" s="19" t="s">
        <v>132</v>
      </c>
      <c r="C1024" s="12">
        <v>200.3</v>
      </c>
      <c r="D1024" s="19" t="s">
        <v>32</v>
      </c>
      <c r="E1024" s="8">
        <v>8.4102300000000003</v>
      </c>
      <c r="F1024" s="8">
        <v>83.311319999999995</v>
      </c>
      <c r="G1024" s="22">
        <v>200</v>
      </c>
      <c r="H1024" s="22">
        <v>10</v>
      </c>
      <c r="I1024" s="10">
        <f t="shared" si="303"/>
        <v>9.9666444232592379</v>
      </c>
      <c r="J1024" s="10">
        <f t="shared" si="313"/>
        <v>0.17395076056140502</v>
      </c>
      <c r="K1024" s="10">
        <v>21</v>
      </c>
      <c r="L1024" s="22">
        <v>422</v>
      </c>
      <c r="M1024" s="22" t="s">
        <v>131</v>
      </c>
      <c r="N1024" s="8" t="s">
        <v>81</v>
      </c>
      <c r="O1024" s="10" t="s">
        <v>164</v>
      </c>
      <c r="P1024" s="50" t="s">
        <v>165</v>
      </c>
      <c r="Q1024" s="23">
        <v>0.56000000000000005</v>
      </c>
      <c r="R1024" s="22" t="s">
        <v>166</v>
      </c>
      <c r="S1024" s="30">
        <v>7.8</v>
      </c>
      <c r="T1024" s="79">
        <f t="shared" si="302"/>
        <v>4.7783736E-3</v>
      </c>
      <c r="U1024" s="22">
        <v>9</v>
      </c>
      <c r="V1024" s="22">
        <v>51</v>
      </c>
      <c r="W1024" s="10">
        <f t="shared" si="305"/>
        <v>0.89011791851710809</v>
      </c>
      <c r="X1024" s="22">
        <v>6</v>
      </c>
      <c r="Y1024" s="22">
        <v>12</v>
      </c>
      <c r="Z1024" s="10">
        <f t="shared" si="306"/>
        <v>0.20943951023931956</v>
      </c>
      <c r="AA1024" s="10">
        <f t="shared" si="307"/>
        <v>8.2417837980192949</v>
      </c>
      <c r="AB1024" s="10">
        <f t="shared" si="308"/>
        <v>15.536610005871836</v>
      </c>
      <c r="AC1024" s="10">
        <f t="shared" si="309"/>
        <v>1.9420762507339795</v>
      </c>
      <c r="AD1024" s="10">
        <f t="shared" si="299"/>
        <v>7.768305002935918</v>
      </c>
      <c r="AE1024" s="65"/>
      <c r="AF1024" s="10">
        <f t="shared" si="300"/>
        <v>17.782564572794605</v>
      </c>
      <c r="AG1024" s="8">
        <f t="shared" si="310"/>
        <v>3.4676000916949481</v>
      </c>
      <c r="AH1024" s="10">
        <f t="shared" si="311"/>
        <v>8.8912822863973027</v>
      </c>
      <c r="AI1024" s="63"/>
      <c r="AJ1024" s="10">
        <f t="shared" si="301"/>
        <v>12.085199999999993</v>
      </c>
      <c r="AK1024" s="8"/>
      <c r="AL1024" s="8">
        <f t="shared" si="312"/>
        <v>6.0425999999999966</v>
      </c>
    </row>
    <row r="1025" spans="1:38">
      <c r="A1025" s="18">
        <v>41468</v>
      </c>
      <c r="B1025" s="19" t="s">
        <v>132</v>
      </c>
      <c r="C1025" s="12">
        <v>200.3</v>
      </c>
      <c r="D1025" s="19" t="s">
        <v>32</v>
      </c>
      <c r="E1025" s="8">
        <v>8.4102300000000003</v>
      </c>
      <c r="F1025" s="8">
        <v>83.311319999999995</v>
      </c>
      <c r="G1025" s="22">
        <v>200</v>
      </c>
      <c r="H1025" s="22">
        <v>10</v>
      </c>
      <c r="I1025" s="10">
        <f t="shared" si="303"/>
        <v>9.9666444232592379</v>
      </c>
      <c r="J1025" s="10">
        <f t="shared" si="313"/>
        <v>0.17395076056140502</v>
      </c>
      <c r="K1025" s="10">
        <v>21</v>
      </c>
      <c r="L1025" s="22">
        <v>406</v>
      </c>
      <c r="M1025" s="22" t="s">
        <v>39</v>
      </c>
      <c r="N1025" s="7" t="s">
        <v>69</v>
      </c>
      <c r="O1025" s="33" t="s">
        <v>65</v>
      </c>
      <c r="P1025" s="33" t="s">
        <v>70</v>
      </c>
      <c r="Q1025" s="7">
        <v>0.37</v>
      </c>
      <c r="R1025" s="7" t="s">
        <v>71</v>
      </c>
      <c r="S1025" s="30">
        <v>22.2</v>
      </c>
      <c r="T1025" s="79">
        <f t="shared" si="302"/>
        <v>3.8707653600000003E-2</v>
      </c>
      <c r="U1025" s="22">
        <v>8</v>
      </c>
      <c r="V1025" s="22">
        <v>62</v>
      </c>
      <c r="W1025" s="10">
        <f t="shared" si="305"/>
        <v>1.0821041362364843</v>
      </c>
      <c r="X1025" s="22">
        <v>5</v>
      </c>
      <c r="Y1025" s="22">
        <v>7</v>
      </c>
      <c r="Z1025" s="10">
        <f t="shared" si="306"/>
        <v>0.12217304763960307</v>
      </c>
      <c r="AA1025" s="10">
        <f t="shared" si="307"/>
        <v>7.6729274598971529</v>
      </c>
      <c r="AB1025" s="10">
        <f t="shared" si="308"/>
        <v>70.303728922940735</v>
      </c>
      <c r="AC1025" s="10">
        <f t="shared" si="309"/>
        <v>8.7879661153675919</v>
      </c>
      <c r="AD1025" s="10">
        <f t="shared" si="299"/>
        <v>35.151864461470367</v>
      </c>
      <c r="AE1025" s="65"/>
      <c r="AF1025" s="10">
        <f t="shared" si="300"/>
        <v>157.13684287352277</v>
      </c>
      <c r="AG1025" s="8">
        <f t="shared" si="310"/>
        <v>30.641684360336942</v>
      </c>
      <c r="AH1025" s="10">
        <f t="shared" si="311"/>
        <v>78.568421436761383</v>
      </c>
      <c r="AI1025" s="63"/>
      <c r="AJ1025" s="10">
        <f t="shared" si="301"/>
        <v>231.64199999999997</v>
      </c>
      <c r="AK1025" s="8"/>
      <c r="AL1025" s="8">
        <f t="shared" si="312"/>
        <v>115.82099999999998</v>
      </c>
    </row>
    <row r="1026" spans="1:38">
      <c r="A1026" s="18">
        <v>41468</v>
      </c>
      <c r="B1026" s="19" t="s">
        <v>132</v>
      </c>
      <c r="C1026" s="12">
        <v>200.3</v>
      </c>
      <c r="D1026" s="19" t="s">
        <v>32</v>
      </c>
      <c r="E1026" s="8">
        <v>8.4102300000000003</v>
      </c>
      <c r="F1026" s="8">
        <v>83.311319999999995</v>
      </c>
      <c r="G1026" s="22">
        <v>200</v>
      </c>
      <c r="H1026" s="22">
        <v>10</v>
      </c>
      <c r="I1026" s="10">
        <f t="shared" si="303"/>
        <v>9.9666444232592379</v>
      </c>
      <c r="J1026" s="10">
        <f t="shared" si="313"/>
        <v>0.17395076056140502</v>
      </c>
      <c r="K1026" s="10">
        <v>21</v>
      </c>
      <c r="L1026" s="22">
        <v>429</v>
      </c>
      <c r="M1026" s="22" t="s">
        <v>36</v>
      </c>
      <c r="N1026" s="8" t="s">
        <v>46</v>
      </c>
      <c r="O1026" s="10" t="s">
        <v>37</v>
      </c>
      <c r="P1026" s="10" t="s">
        <v>38</v>
      </c>
      <c r="Q1026" s="11">
        <v>0.48</v>
      </c>
      <c r="R1026" s="8" t="s">
        <v>60</v>
      </c>
      <c r="S1026" s="30">
        <v>23.2</v>
      </c>
      <c r="T1026" s="79">
        <f t="shared" si="302"/>
        <v>4.2273369599999999E-2</v>
      </c>
      <c r="U1026" s="22">
        <v>10</v>
      </c>
      <c r="V1026" s="22">
        <v>50</v>
      </c>
      <c r="W1026" s="10">
        <f t="shared" si="305"/>
        <v>0.87266462599716477</v>
      </c>
      <c r="X1026" s="22">
        <v>6</v>
      </c>
      <c r="Y1026" s="22">
        <v>6</v>
      </c>
      <c r="Z1026" s="10">
        <f t="shared" si="306"/>
        <v>0.10471975511965978</v>
      </c>
      <c r="AA1026" s="10">
        <f t="shared" si="307"/>
        <v>8.2876152107957015</v>
      </c>
      <c r="AB1026" s="10">
        <f t="shared" si="308"/>
        <v>104.87445092715771</v>
      </c>
      <c r="AC1026" s="10">
        <f t="shared" si="309"/>
        <v>13.109306365894714</v>
      </c>
      <c r="AD1026" s="10">
        <f t="shared" si="299"/>
        <v>52.437225463578855</v>
      </c>
      <c r="AE1026" s="65"/>
      <c r="AF1026" s="10">
        <f t="shared" si="300"/>
        <v>227.09834553100941</v>
      </c>
      <c r="AG1026" s="8">
        <f t="shared" si="310"/>
        <v>44.284177378546836</v>
      </c>
      <c r="AH1026" s="10">
        <f t="shared" si="311"/>
        <v>113.54917276550471</v>
      </c>
      <c r="AI1026" s="63"/>
      <c r="AJ1026" s="10">
        <f t="shared" si="301"/>
        <v>258.28499999999997</v>
      </c>
      <c r="AK1026" s="8"/>
      <c r="AL1026" s="8">
        <f t="shared" si="312"/>
        <v>129.14249999999998</v>
      </c>
    </row>
    <row r="1027" spans="1:38">
      <c r="A1027" s="18">
        <v>41468</v>
      </c>
      <c r="B1027" s="19" t="s">
        <v>132</v>
      </c>
      <c r="C1027" s="12">
        <v>200.3</v>
      </c>
      <c r="D1027" s="19" t="s">
        <v>32</v>
      </c>
      <c r="E1027" s="8">
        <v>8.4102300000000003</v>
      </c>
      <c r="F1027" s="8">
        <v>83.311319999999995</v>
      </c>
      <c r="G1027" s="22">
        <v>200</v>
      </c>
      <c r="H1027" s="22">
        <v>10</v>
      </c>
      <c r="I1027" s="10">
        <f t="shared" si="303"/>
        <v>9.9666444232592379</v>
      </c>
      <c r="J1027" s="10">
        <f t="shared" si="313"/>
        <v>0.17395076056140502</v>
      </c>
      <c r="K1027" s="10">
        <v>21</v>
      </c>
      <c r="L1027" s="22">
        <v>454</v>
      </c>
      <c r="M1027" s="22" t="s">
        <v>39</v>
      </c>
      <c r="N1027" s="7" t="s">
        <v>69</v>
      </c>
      <c r="O1027" s="33" t="s">
        <v>65</v>
      </c>
      <c r="P1027" s="33" t="s">
        <v>70</v>
      </c>
      <c r="Q1027" s="7">
        <v>0.37</v>
      </c>
      <c r="R1027" s="7" t="s">
        <v>71</v>
      </c>
      <c r="S1027" s="30">
        <v>14</v>
      </c>
      <c r="T1027" s="79">
        <f t="shared" si="302"/>
        <v>1.5393840000000001E-2</v>
      </c>
      <c r="U1027" s="22">
        <v>11</v>
      </c>
      <c r="V1027" s="22">
        <v>57</v>
      </c>
      <c r="W1027" s="10">
        <f t="shared" si="305"/>
        <v>0.99483767363676789</v>
      </c>
      <c r="X1027" s="22">
        <v>5</v>
      </c>
      <c r="Y1027" s="22">
        <v>5</v>
      </c>
      <c r="Z1027" s="10">
        <f t="shared" si="306"/>
        <v>8.7266462599716474E-2</v>
      </c>
      <c r="AA1027" s="10">
        <f t="shared" si="307"/>
        <v>9.6611549611379548</v>
      </c>
      <c r="AB1027" s="10">
        <f t="shared" si="308"/>
        <v>36.696052981035372</v>
      </c>
      <c r="AC1027" s="10">
        <f t="shared" si="309"/>
        <v>4.5870066226294215</v>
      </c>
      <c r="AD1027" s="10">
        <f t="shared" si="299"/>
        <v>18.348026490517686</v>
      </c>
      <c r="AE1027" s="65"/>
      <c r="AF1027" s="10">
        <f t="shared" si="300"/>
        <v>50.263500225893274</v>
      </c>
      <c r="AG1027" s="8">
        <f t="shared" si="310"/>
        <v>9.8013825440491882</v>
      </c>
      <c r="AH1027" s="10">
        <f t="shared" si="311"/>
        <v>25.131750112946637</v>
      </c>
      <c r="AI1027" s="63"/>
      <c r="AJ1027" s="10">
        <f t="shared" si="301"/>
        <v>68.99499999999999</v>
      </c>
      <c r="AK1027" s="8"/>
      <c r="AL1027" s="8">
        <f t="shared" si="312"/>
        <v>34.497499999999995</v>
      </c>
    </row>
    <row r="1028" spans="1:38">
      <c r="A1028" s="18">
        <v>41468</v>
      </c>
      <c r="B1028" s="19" t="s">
        <v>132</v>
      </c>
      <c r="C1028" s="12">
        <v>200.3</v>
      </c>
      <c r="D1028" s="19" t="s">
        <v>32</v>
      </c>
      <c r="E1028" s="8">
        <v>8.4102300000000003</v>
      </c>
      <c r="F1028" s="8">
        <v>83.311319999999995</v>
      </c>
      <c r="G1028" s="22">
        <v>200</v>
      </c>
      <c r="H1028" s="22">
        <v>10</v>
      </c>
      <c r="I1028" s="10">
        <f t="shared" si="303"/>
        <v>9.9666444232592379</v>
      </c>
      <c r="J1028" s="10">
        <f t="shared" si="313"/>
        <v>0.17395076056140502</v>
      </c>
      <c r="K1028" s="10">
        <v>21</v>
      </c>
      <c r="L1028" s="22">
        <v>432</v>
      </c>
      <c r="M1028" s="22" t="s">
        <v>39</v>
      </c>
      <c r="N1028" s="7" t="s">
        <v>69</v>
      </c>
      <c r="O1028" s="33" t="s">
        <v>65</v>
      </c>
      <c r="P1028" s="33" t="s">
        <v>70</v>
      </c>
      <c r="Q1028" s="7">
        <v>0.37</v>
      </c>
      <c r="R1028" s="7" t="s">
        <v>71</v>
      </c>
      <c r="S1028" s="30">
        <v>8.6999999999999993</v>
      </c>
      <c r="T1028" s="79">
        <f t="shared" si="302"/>
        <v>5.944692599999999E-3</v>
      </c>
      <c r="U1028" s="22">
        <v>11</v>
      </c>
      <c r="V1028" s="22">
        <v>51</v>
      </c>
      <c r="W1028" s="10">
        <f t="shared" si="305"/>
        <v>0.89011791851710809</v>
      </c>
      <c r="X1028" s="22">
        <v>7</v>
      </c>
      <c r="Y1028" s="22">
        <v>6</v>
      </c>
      <c r="Z1028" s="10">
        <f t="shared" si="306"/>
        <v>0.10471975511965978</v>
      </c>
      <c r="AA1028" s="10">
        <f t="shared" si="307"/>
        <v>9.2803048189002553</v>
      </c>
      <c r="AB1028" s="10">
        <f t="shared" si="308"/>
        <v>14.446945802093136</v>
      </c>
      <c r="AC1028" s="10">
        <f t="shared" si="309"/>
        <v>1.805868225261642</v>
      </c>
      <c r="AD1028" s="10">
        <f t="shared" si="299"/>
        <v>7.2234729010465681</v>
      </c>
      <c r="AE1028" s="65"/>
      <c r="AF1028" s="10">
        <f t="shared" si="300"/>
        <v>15.400317666504337</v>
      </c>
      <c r="AG1028" s="8">
        <f t="shared" si="310"/>
        <v>3.003061944968346</v>
      </c>
      <c r="AH1028" s="10">
        <f t="shared" si="311"/>
        <v>7.7001588332521687</v>
      </c>
      <c r="AI1028" s="63"/>
      <c r="AJ1028" s="10">
        <f t="shared" si="301"/>
        <v>16.816499999999998</v>
      </c>
      <c r="AK1028" s="8"/>
      <c r="AL1028" s="8">
        <f t="shared" si="312"/>
        <v>8.4082499999999989</v>
      </c>
    </row>
    <row r="1029" spans="1:38">
      <c r="A1029" s="18">
        <v>41468</v>
      </c>
      <c r="B1029" s="19" t="s">
        <v>132</v>
      </c>
      <c r="C1029" s="12">
        <v>200.3</v>
      </c>
      <c r="D1029" s="19" t="s">
        <v>32</v>
      </c>
      <c r="E1029" s="8">
        <v>8.4102300000000003</v>
      </c>
      <c r="F1029" s="8">
        <v>83.311319999999995</v>
      </c>
      <c r="G1029" s="22">
        <v>200</v>
      </c>
      <c r="H1029" s="22">
        <v>10</v>
      </c>
      <c r="I1029" s="10">
        <f t="shared" si="303"/>
        <v>9.9666444232592379</v>
      </c>
      <c r="J1029" s="10">
        <f t="shared" si="313"/>
        <v>0.17395076056140502</v>
      </c>
      <c r="K1029" s="10">
        <v>21</v>
      </c>
      <c r="L1029" s="22">
        <v>453</v>
      </c>
      <c r="M1029" s="22" t="s">
        <v>136</v>
      </c>
      <c r="N1029" s="22" t="s">
        <v>203</v>
      </c>
      <c r="O1029" s="33" t="s">
        <v>237</v>
      </c>
      <c r="P1029" s="33" t="s">
        <v>238</v>
      </c>
      <c r="Q1029" s="7">
        <v>0.57999999999999996</v>
      </c>
      <c r="R1029" s="7" t="s">
        <v>190</v>
      </c>
      <c r="S1029" s="30">
        <v>9.5</v>
      </c>
      <c r="T1029" s="79">
        <f t="shared" si="302"/>
        <v>7.088235E-3</v>
      </c>
      <c r="U1029" s="22">
        <v>7</v>
      </c>
      <c r="V1029" s="22">
        <v>35</v>
      </c>
      <c r="W1029" s="10">
        <f t="shared" si="305"/>
        <v>0.6108652381980153</v>
      </c>
      <c r="X1029" s="22">
        <v>6</v>
      </c>
      <c r="Y1029" s="22">
        <v>11</v>
      </c>
      <c r="Z1029" s="10">
        <f t="shared" si="306"/>
        <v>0.19198621771937624</v>
      </c>
      <c r="AA1029" s="10">
        <f t="shared" si="307"/>
        <v>5.1598890267165913</v>
      </c>
      <c r="AB1029" s="10">
        <f t="shared" si="308"/>
        <v>14.979121823634516</v>
      </c>
      <c r="AC1029" s="10">
        <f t="shared" si="309"/>
        <v>1.8723902279543145</v>
      </c>
      <c r="AD1029" s="10">
        <f t="shared" si="299"/>
        <v>7.4895609118172581</v>
      </c>
      <c r="AE1029" s="65"/>
      <c r="AF1029" s="10">
        <f t="shared" si="300"/>
        <v>30.034405161900793</v>
      </c>
      <c r="AG1029" s="8">
        <f t="shared" si="310"/>
        <v>5.8567090065706546</v>
      </c>
      <c r="AH1029" s="10">
        <f t="shared" si="311"/>
        <v>15.017202580950396</v>
      </c>
      <c r="AI1029" s="63"/>
      <c r="AJ1029" s="10">
        <f t="shared" si="301"/>
        <v>22.028499999999994</v>
      </c>
      <c r="AK1029" s="8"/>
      <c r="AL1029" s="8">
        <f t="shared" si="312"/>
        <v>11.014249999999997</v>
      </c>
    </row>
    <row r="1030" spans="1:38">
      <c r="A1030" s="18">
        <v>41468</v>
      </c>
      <c r="B1030" s="19" t="s">
        <v>132</v>
      </c>
      <c r="C1030" s="12">
        <v>200.3</v>
      </c>
      <c r="D1030" s="19" t="s">
        <v>32</v>
      </c>
      <c r="E1030" s="8">
        <v>8.4102300000000003</v>
      </c>
      <c r="F1030" s="8">
        <v>83.311319999999995</v>
      </c>
      <c r="G1030" s="22">
        <v>200</v>
      </c>
      <c r="H1030" s="22">
        <v>10</v>
      </c>
      <c r="I1030" s="10">
        <f t="shared" si="303"/>
        <v>9.9666444232592379</v>
      </c>
      <c r="J1030" s="10">
        <f t="shared" si="313"/>
        <v>0.17395076056140502</v>
      </c>
      <c r="K1030" s="10">
        <v>21</v>
      </c>
      <c r="L1030" s="22">
        <v>480</v>
      </c>
      <c r="M1030" s="22" t="s">
        <v>54</v>
      </c>
      <c r="N1030" s="8" t="s">
        <v>55</v>
      </c>
      <c r="O1030" s="10" t="s">
        <v>56</v>
      </c>
      <c r="P1030" s="10" t="s">
        <v>57</v>
      </c>
      <c r="Q1030" s="11">
        <v>0.315</v>
      </c>
      <c r="R1030" s="12" t="s">
        <v>66</v>
      </c>
      <c r="S1030" s="30">
        <v>17.5</v>
      </c>
      <c r="T1030" s="79">
        <f t="shared" si="302"/>
        <v>2.4052875000000001E-2</v>
      </c>
      <c r="U1030" s="22">
        <v>10</v>
      </c>
      <c r="V1030" s="22">
        <v>64</v>
      </c>
      <c r="W1030" s="10">
        <f t="shared" si="305"/>
        <v>1.1170107212763709</v>
      </c>
      <c r="X1030" s="22">
        <v>6</v>
      </c>
      <c r="Y1030" s="22">
        <v>8</v>
      </c>
      <c r="Z1030" s="10">
        <f t="shared" si="306"/>
        <v>0.13962634015954636</v>
      </c>
      <c r="AA1030" s="10">
        <f t="shared" si="307"/>
        <v>9.8229790687520619</v>
      </c>
      <c r="AB1030" s="10">
        <f t="shared" si="308"/>
        <v>48.74092858524606</v>
      </c>
      <c r="AC1030" s="10">
        <f t="shared" si="309"/>
        <v>6.0926160731557575</v>
      </c>
      <c r="AD1030" s="10">
        <f t="shared" si="299"/>
        <v>24.37046429262303</v>
      </c>
      <c r="AE1030" s="65"/>
      <c r="AF1030" s="10">
        <f t="shared" si="300"/>
        <v>74.431462835493761</v>
      </c>
      <c r="AG1030" s="8">
        <f t="shared" si="310"/>
        <v>14.514135252921283</v>
      </c>
      <c r="AH1030" s="10">
        <f t="shared" si="311"/>
        <v>37.215731417746881</v>
      </c>
      <c r="AI1030" s="63"/>
      <c r="AJ1030" s="10">
        <f t="shared" si="301"/>
        <v>126.24449999999999</v>
      </c>
      <c r="AK1030" s="8"/>
      <c r="AL1030" s="8">
        <f t="shared" si="312"/>
        <v>63.122249999999994</v>
      </c>
    </row>
    <row r="1031" spans="1:38">
      <c r="A1031" s="18">
        <v>41468</v>
      </c>
      <c r="B1031" s="19" t="s">
        <v>132</v>
      </c>
      <c r="C1031" s="12">
        <v>200.3</v>
      </c>
      <c r="D1031" s="19" t="s">
        <v>32</v>
      </c>
      <c r="E1031" s="8">
        <v>8.4102300000000003</v>
      </c>
      <c r="F1031" s="8">
        <v>83.311319999999995</v>
      </c>
      <c r="G1031" s="22">
        <v>200</v>
      </c>
      <c r="H1031" s="22">
        <v>10</v>
      </c>
      <c r="I1031" s="10">
        <f t="shared" si="303"/>
        <v>9.9666444232592379</v>
      </c>
      <c r="J1031" s="10">
        <f t="shared" si="313"/>
        <v>0.17395076056140502</v>
      </c>
      <c r="K1031" s="10">
        <v>21</v>
      </c>
      <c r="L1031" s="22">
        <v>438</v>
      </c>
      <c r="M1031" s="22" t="s">
        <v>131</v>
      </c>
      <c r="N1031" s="8" t="s">
        <v>81</v>
      </c>
      <c r="O1031" s="10" t="s">
        <v>164</v>
      </c>
      <c r="P1031" s="50" t="s">
        <v>165</v>
      </c>
      <c r="Q1031" s="23">
        <v>0.56000000000000005</v>
      </c>
      <c r="R1031" s="22" t="s">
        <v>166</v>
      </c>
      <c r="S1031" s="30">
        <v>13</v>
      </c>
      <c r="T1031" s="79">
        <f t="shared" si="302"/>
        <v>1.327326E-2</v>
      </c>
      <c r="U1031" s="22">
        <v>11</v>
      </c>
      <c r="V1031" s="22">
        <v>54</v>
      </c>
      <c r="W1031" s="10">
        <f t="shared" si="305"/>
        <v>0.94247779607693793</v>
      </c>
      <c r="X1031" s="22">
        <v>6</v>
      </c>
      <c r="Y1031" s="22">
        <v>9</v>
      </c>
      <c r="Z1031" s="10">
        <f t="shared" si="306"/>
        <v>0.15707963267948966</v>
      </c>
      <c r="AA1031" s="10">
        <f t="shared" si="307"/>
        <v>9.8377937283658081</v>
      </c>
      <c r="AB1031" s="10">
        <f t="shared" si="308"/>
        <v>47.939755925541235</v>
      </c>
      <c r="AC1031" s="10">
        <f t="shared" si="309"/>
        <v>5.9924694906926543</v>
      </c>
      <c r="AD1031" s="10">
        <f t="shared" ref="AD1031:AD1094" si="314">AB1031/2</f>
        <v>23.969877962770617</v>
      </c>
      <c r="AE1031" s="65"/>
      <c r="AF1031" s="10">
        <f t="shared" ref="AF1031:AF1094" si="315">Q1031*EXP(-1.239+1.98*LN(S1031)+0.207*(LN(S1031))^2-0.0281*(LN(S1031))^3)</f>
        <v>63.272298236642484</v>
      </c>
      <c r="AG1031" s="8">
        <f t="shared" si="310"/>
        <v>12.338098156145286</v>
      </c>
      <c r="AH1031" s="10">
        <f t="shared" si="311"/>
        <v>31.636149118321242</v>
      </c>
      <c r="AI1031" s="63"/>
      <c r="AJ1031" s="10">
        <f t="shared" ref="AJ1031:AJ1094" si="316">21.297-6.953*S1031+0.74*(S1031^2)</f>
        <v>55.967999999999989</v>
      </c>
      <c r="AK1031" s="8"/>
      <c r="AL1031" s="8">
        <f t="shared" si="312"/>
        <v>27.983999999999995</v>
      </c>
    </row>
    <row r="1032" spans="1:38">
      <c r="A1032" s="18">
        <v>41468</v>
      </c>
      <c r="B1032" s="19" t="s">
        <v>132</v>
      </c>
      <c r="C1032" s="12">
        <v>200.3</v>
      </c>
      <c r="D1032" s="19" t="s">
        <v>32</v>
      </c>
      <c r="E1032" s="8">
        <v>8.4102300000000003</v>
      </c>
      <c r="F1032" s="8">
        <v>83.311319999999995</v>
      </c>
      <c r="G1032" s="22">
        <v>200</v>
      </c>
      <c r="H1032" s="22">
        <v>10</v>
      </c>
      <c r="I1032" s="10">
        <f t="shared" si="303"/>
        <v>9.9666444232592379</v>
      </c>
      <c r="J1032" s="10">
        <f t="shared" si="313"/>
        <v>0.17395076056140502</v>
      </c>
      <c r="K1032" s="10">
        <v>21</v>
      </c>
      <c r="L1032" s="22">
        <v>391</v>
      </c>
      <c r="M1032" s="31" t="s">
        <v>231</v>
      </c>
      <c r="N1032" s="8" t="s">
        <v>171</v>
      </c>
      <c r="O1032" s="33" t="s">
        <v>99</v>
      </c>
      <c r="P1032" s="33" t="s">
        <v>99</v>
      </c>
      <c r="Q1032" s="7">
        <v>0.57999999999999996</v>
      </c>
      <c r="R1032" s="7" t="s">
        <v>103</v>
      </c>
      <c r="S1032" s="30">
        <v>12.5</v>
      </c>
      <c r="T1032" s="79">
        <f t="shared" ref="T1032:T1095" si="317">0.00007854*S1032^2</f>
        <v>1.2271875E-2</v>
      </c>
      <c r="U1032" s="22">
        <v>13</v>
      </c>
      <c r="V1032" s="22">
        <v>60</v>
      </c>
      <c r="W1032" s="10">
        <f t="shared" si="305"/>
        <v>1.0471975511965976</v>
      </c>
      <c r="X1032" s="22">
        <v>7</v>
      </c>
      <c r="Y1032" s="22">
        <v>16</v>
      </c>
      <c r="Z1032" s="10">
        <f t="shared" si="306"/>
        <v>0.27925268031909273</v>
      </c>
      <c r="AA1032" s="10">
        <f t="shared" si="307"/>
        <v>13.187791739916696</v>
      </c>
      <c r="AB1032" s="10">
        <f t="shared" si="308"/>
        <v>60.622887060145636</v>
      </c>
      <c r="AC1032" s="10">
        <f t="shared" si="309"/>
        <v>7.5778608825182046</v>
      </c>
      <c r="AD1032" s="10">
        <f t="shared" si="314"/>
        <v>30.311443530072818</v>
      </c>
      <c r="AE1032" s="65"/>
      <c r="AF1032" s="10">
        <f t="shared" si="315"/>
        <v>59.440359394573093</v>
      </c>
      <c r="AG1032" s="8">
        <f t="shared" si="310"/>
        <v>11.590870081941754</v>
      </c>
      <c r="AH1032" s="10">
        <f t="shared" si="311"/>
        <v>29.720179697286547</v>
      </c>
      <c r="AI1032" s="63"/>
      <c r="AJ1032" s="10">
        <f t="shared" si="316"/>
        <v>50.009499999999989</v>
      </c>
      <c r="AK1032" s="8"/>
      <c r="AL1032" s="8">
        <f t="shared" si="312"/>
        <v>25.004749999999994</v>
      </c>
    </row>
    <row r="1033" spans="1:38">
      <c r="A1033" s="18">
        <v>41468</v>
      </c>
      <c r="B1033" s="19" t="s">
        <v>132</v>
      </c>
      <c r="C1033" s="12">
        <v>200.3</v>
      </c>
      <c r="D1033" s="19" t="s">
        <v>32</v>
      </c>
      <c r="E1033" s="8">
        <v>8.4102300000000003</v>
      </c>
      <c r="F1033" s="8">
        <v>83.311319999999995</v>
      </c>
      <c r="G1033" s="22">
        <v>200</v>
      </c>
      <c r="H1033" s="22">
        <v>10</v>
      </c>
      <c r="I1033" s="10">
        <f t="shared" si="303"/>
        <v>9.9666444232592379</v>
      </c>
      <c r="J1033" s="10">
        <f t="shared" si="313"/>
        <v>0.17395076056140502</v>
      </c>
      <c r="K1033" s="10">
        <v>21</v>
      </c>
      <c r="L1033" s="22">
        <v>397</v>
      </c>
      <c r="M1033" s="22" t="s">
        <v>36</v>
      </c>
      <c r="N1033" s="8" t="s">
        <v>46</v>
      </c>
      <c r="O1033" s="10" t="s">
        <v>37</v>
      </c>
      <c r="P1033" s="10" t="s">
        <v>38</v>
      </c>
      <c r="Q1033" s="11">
        <v>0.48</v>
      </c>
      <c r="R1033" s="8" t="s">
        <v>60</v>
      </c>
      <c r="S1033" s="30">
        <v>11.8</v>
      </c>
      <c r="T1033" s="79">
        <f t="shared" si="317"/>
        <v>1.0935909600000002E-2</v>
      </c>
      <c r="U1033" s="22">
        <v>7</v>
      </c>
      <c r="V1033" s="22">
        <v>46</v>
      </c>
      <c r="W1033" s="10">
        <f t="shared" si="305"/>
        <v>0.8028514559173916</v>
      </c>
      <c r="X1033" s="22">
        <v>6</v>
      </c>
      <c r="Y1033" s="22">
        <v>15</v>
      </c>
      <c r="Z1033" s="10">
        <f t="shared" si="306"/>
        <v>0.26179938779914941</v>
      </c>
      <c r="AA1033" s="10">
        <f t="shared" si="307"/>
        <v>6.588292872985682</v>
      </c>
      <c r="AB1033" s="10">
        <f t="shared" si="308"/>
        <v>23.714456797736126</v>
      </c>
      <c r="AC1033" s="10">
        <f t="shared" si="309"/>
        <v>2.9643070997170158</v>
      </c>
      <c r="AD1033" s="10">
        <f t="shared" si="314"/>
        <v>11.857228398868063</v>
      </c>
      <c r="AE1033" s="65"/>
      <c r="AF1033" s="10">
        <f t="shared" si="315"/>
        <v>42.620828585953724</v>
      </c>
      <c r="AG1033" s="8">
        <f t="shared" si="310"/>
        <v>8.311061574260977</v>
      </c>
      <c r="AH1033" s="10">
        <f t="shared" si="311"/>
        <v>21.310414292976862</v>
      </c>
      <c r="AI1033" s="63"/>
      <c r="AJ1033" s="10">
        <f t="shared" si="316"/>
        <v>42.289199999999994</v>
      </c>
      <c r="AK1033" s="8"/>
      <c r="AL1033" s="8">
        <f t="shared" si="312"/>
        <v>21.144599999999997</v>
      </c>
    </row>
    <row r="1034" spans="1:38">
      <c r="A1034" s="18">
        <v>41468</v>
      </c>
      <c r="B1034" s="19" t="s">
        <v>132</v>
      </c>
      <c r="C1034" s="12">
        <v>200.3</v>
      </c>
      <c r="D1034" s="19" t="s">
        <v>32</v>
      </c>
      <c r="E1034" s="8">
        <v>8.4102300000000003</v>
      </c>
      <c r="F1034" s="8">
        <v>83.311319999999995</v>
      </c>
      <c r="G1034" s="22">
        <v>200</v>
      </c>
      <c r="H1034" s="22">
        <v>10</v>
      </c>
      <c r="I1034" s="10">
        <f t="shared" ref="I1034:I1093" si="318">1/TAN(H1034/100)</f>
        <v>9.9666444232592379</v>
      </c>
      <c r="J1034" s="10">
        <f t="shared" si="313"/>
        <v>0.17395076056140502</v>
      </c>
      <c r="K1034" s="10">
        <v>21</v>
      </c>
      <c r="L1034" s="22">
        <v>387</v>
      </c>
      <c r="M1034" s="22" t="s">
        <v>96</v>
      </c>
      <c r="N1034" s="8" t="s">
        <v>69</v>
      </c>
      <c r="O1034" s="58" t="s">
        <v>65</v>
      </c>
      <c r="P1034" s="10" t="s">
        <v>102</v>
      </c>
      <c r="Q1034" s="22">
        <v>0.48</v>
      </c>
      <c r="R1034" s="22" t="s">
        <v>190</v>
      </c>
      <c r="S1034" s="30">
        <v>27</v>
      </c>
      <c r="T1034" s="79">
        <f t="shared" si="317"/>
        <v>5.725566E-2</v>
      </c>
      <c r="U1034" s="22">
        <v>18</v>
      </c>
      <c r="V1034" s="22">
        <v>65</v>
      </c>
      <c r="W1034" s="10">
        <f t="shared" si="305"/>
        <v>1.1344640137963142</v>
      </c>
      <c r="X1034" s="22">
        <v>7</v>
      </c>
      <c r="Y1034" s="22">
        <v>8</v>
      </c>
      <c r="Z1034" s="10">
        <f t="shared" si="306"/>
        <v>0.13962634015954636</v>
      </c>
      <c r="AA1034" s="10">
        <f t="shared" si="307"/>
        <v>17.287751873380156</v>
      </c>
      <c r="AB1034" s="10">
        <f t="shared" si="308"/>
        <v>278.39829448016337</v>
      </c>
      <c r="AC1034" s="10">
        <f t="shared" si="309"/>
        <v>34.799786810020422</v>
      </c>
      <c r="AD1034" s="10">
        <f t="shared" si="314"/>
        <v>139.19914724008169</v>
      </c>
      <c r="AE1034" s="65"/>
      <c r="AF1034" s="10">
        <f t="shared" si="315"/>
        <v>328.75772573190403</v>
      </c>
      <c r="AG1034" s="8">
        <f t="shared" si="310"/>
        <v>64.107756517721285</v>
      </c>
      <c r="AH1034" s="10">
        <f t="shared" si="311"/>
        <v>164.37886286595202</v>
      </c>
      <c r="AI1034" s="63"/>
      <c r="AJ1034" s="10">
        <f t="shared" si="316"/>
        <v>373.02600000000007</v>
      </c>
      <c r="AK1034" s="8"/>
      <c r="AL1034" s="8">
        <f t="shared" si="312"/>
        <v>186.51300000000003</v>
      </c>
    </row>
    <row r="1035" spans="1:38">
      <c r="A1035" s="18">
        <v>41468</v>
      </c>
      <c r="B1035" s="19" t="s">
        <v>132</v>
      </c>
      <c r="C1035" s="12">
        <v>200.3</v>
      </c>
      <c r="D1035" s="19" t="s">
        <v>32</v>
      </c>
      <c r="E1035" s="8">
        <v>8.4102300000000003</v>
      </c>
      <c r="F1035" s="8">
        <v>83.311319999999995</v>
      </c>
      <c r="G1035" s="22">
        <v>200</v>
      </c>
      <c r="H1035" s="22">
        <v>10</v>
      </c>
      <c r="I1035" s="10">
        <f t="shared" si="318"/>
        <v>9.9666444232592379</v>
      </c>
      <c r="J1035" s="10">
        <f t="shared" si="313"/>
        <v>0.17395076056140502</v>
      </c>
      <c r="K1035" s="10">
        <v>21</v>
      </c>
      <c r="L1035" s="22">
        <v>409</v>
      </c>
      <c r="M1035" s="22" t="s">
        <v>96</v>
      </c>
      <c r="N1035" s="8" t="s">
        <v>69</v>
      </c>
      <c r="O1035" s="58" t="s">
        <v>65</v>
      </c>
      <c r="P1035" s="10" t="s">
        <v>102</v>
      </c>
      <c r="Q1035" s="22">
        <v>0.48</v>
      </c>
      <c r="R1035" s="22" t="s">
        <v>190</v>
      </c>
      <c r="S1035" s="30">
        <v>39.299999999999997</v>
      </c>
      <c r="T1035" s="79">
        <f t="shared" si="317"/>
        <v>0.12130424459999999</v>
      </c>
      <c r="U1035" s="22">
        <v>12</v>
      </c>
      <c r="V1035" s="22">
        <v>60</v>
      </c>
      <c r="W1035" s="10">
        <f t="shared" si="305"/>
        <v>1.0471975511965976</v>
      </c>
      <c r="X1035" s="22">
        <v>9</v>
      </c>
      <c r="Y1035" s="22">
        <v>14</v>
      </c>
      <c r="Z1035" s="10">
        <f t="shared" si="306"/>
        <v>0.24434609527920614</v>
      </c>
      <c r="AA1035" s="10">
        <f t="shared" si="307"/>
        <v>12.569601905810273</v>
      </c>
      <c r="AB1035" s="10">
        <f t="shared" si="308"/>
        <v>417.87723362313255</v>
      </c>
      <c r="AC1035" s="10">
        <f t="shared" si="309"/>
        <v>52.234654202891569</v>
      </c>
      <c r="AD1035" s="10">
        <f t="shared" si="314"/>
        <v>208.93861681156628</v>
      </c>
      <c r="AE1035" s="65"/>
      <c r="AF1035" s="10">
        <f t="shared" si="315"/>
        <v>808.82325888327523</v>
      </c>
      <c r="AG1035" s="8">
        <f t="shared" si="310"/>
        <v>157.72053548223869</v>
      </c>
      <c r="AH1035" s="10">
        <f t="shared" si="311"/>
        <v>404.41162944163761</v>
      </c>
      <c r="AI1035" s="63"/>
      <c r="AJ1035" s="10">
        <f t="shared" si="316"/>
        <v>890.96669999999983</v>
      </c>
      <c r="AK1035" s="8"/>
      <c r="AL1035" s="8">
        <f t="shared" si="312"/>
        <v>445.48334999999992</v>
      </c>
    </row>
    <row r="1036" spans="1:38">
      <c r="A1036" s="18">
        <v>41468</v>
      </c>
      <c r="B1036" s="19" t="s">
        <v>132</v>
      </c>
      <c r="C1036" s="12">
        <v>200.3</v>
      </c>
      <c r="D1036" s="19" t="s">
        <v>32</v>
      </c>
      <c r="E1036" s="8">
        <v>8.4102300000000003</v>
      </c>
      <c r="F1036" s="8">
        <v>83.311319999999995</v>
      </c>
      <c r="G1036" s="22">
        <v>200</v>
      </c>
      <c r="H1036" s="22">
        <v>10</v>
      </c>
      <c r="I1036" s="10">
        <f t="shared" si="318"/>
        <v>9.9666444232592379</v>
      </c>
      <c r="J1036" s="10">
        <f t="shared" si="313"/>
        <v>0.17395076056140502</v>
      </c>
      <c r="K1036" s="10">
        <v>21</v>
      </c>
      <c r="L1036" s="22">
        <v>485</v>
      </c>
      <c r="M1036" s="22" t="s">
        <v>54</v>
      </c>
      <c r="N1036" s="8" t="s">
        <v>55</v>
      </c>
      <c r="O1036" s="10" t="s">
        <v>56</v>
      </c>
      <c r="P1036" s="10" t="s">
        <v>57</v>
      </c>
      <c r="Q1036" s="11">
        <v>0.315</v>
      </c>
      <c r="R1036" s="12" t="s">
        <v>66</v>
      </c>
      <c r="S1036" s="30">
        <v>23</v>
      </c>
      <c r="T1036" s="79">
        <f t="shared" si="317"/>
        <v>4.154766E-2</v>
      </c>
      <c r="U1036" s="22">
        <v>18</v>
      </c>
      <c r="V1036" s="22">
        <v>77</v>
      </c>
      <c r="W1036" s="10">
        <f t="shared" si="305"/>
        <v>1.3439035240356338</v>
      </c>
      <c r="X1036" s="22">
        <v>6</v>
      </c>
      <c r="Y1036" s="22">
        <v>9</v>
      </c>
      <c r="Z1036" s="10">
        <f t="shared" si="306"/>
        <v>0.15707963267948966</v>
      </c>
      <c r="AA1036" s="10">
        <f t="shared" si="307"/>
        <v>18.47726795637562</v>
      </c>
      <c r="AB1036" s="10">
        <f t="shared" si="308"/>
        <v>147.55755997667168</v>
      </c>
      <c r="AC1036" s="10">
        <f t="shared" si="309"/>
        <v>18.44469499708396</v>
      </c>
      <c r="AD1036" s="10">
        <f t="shared" si="314"/>
        <v>73.778779988335842</v>
      </c>
      <c r="AE1036" s="65"/>
      <c r="AF1036" s="10">
        <f t="shared" si="315"/>
        <v>145.90674719443388</v>
      </c>
      <c r="AG1036" s="8">
        <f t="shared" si="310"/>
        <v>28.451815702914608</v>
      </c>
      <c r="AH1036" s="10">
        <f t="shared" si="311"/>
        <v>72.953373597216938</v>
      </c>
      <c r="AI1036" s="63"/>
      <c r="AJ1036" s="10">
        <f t="shared" si="316"/>
        <v>252.83799999999997</v>
      </c>
      <c r="AK1036" s="8"/>
      <c r="AL1036" s="8">
        <f t="shared" si="312"/>
        <v>126.41899999999998</v>
      </c>
    </row>
    <row r="1037" spans="1:38">
      <c r="A1037" s="18">
        <v>41471</v>
      </c>
      <c r="B1037" s="19" t="s">
        <v>119</v>
      </c>
      <c r="C1037" s="12">
        <v>200.3</v>
      </c>
      <c r="D1037" s="19" t="s">
        <v>32</v>
      </c>
      <c r="E1037" s="8">
        <v>8.4102300000000003</v>
      </c>
      <c r="F1037" s="8">
        <v>83.311319999999995</v>
      </c>
      <c r="G1037" s="22">
        <v>200</v>
      </c>
      <c r="H1037" s="22">
        <v>10</v>
      </c>
      <c r="I1037" s="10">
        <f t="shared" si="318"/>
        <v>9.9666444232592379</v>
      </c>
      <c r="J1037" s="10">
        <f t="shared" si="313"/>
        <v>0.17395076056140502</v>
      </c>
      <c r="K1037" s="10">
        <v>21</v>
      </c>
      <c r="L1037" s="22">
        <v>544</v>
      </c>
      <c r="M1037" s="22" t="s">
        <v>96</v>
      </c>
      <c r="N1037" s="8" t="s">
        <v>69</v>
      </c>
      <c r="O1037" s="58" t="s">
        <v>65</v>
      </c>
      <c r="P1037" s="10" t="s">
        <v>102</v>
      </c>
      <c r="Q1037" s="22">
        <v>0.48</v>
      </c>
      <c r="R1037" s="22" t="s">
        <v>190</v>
      </c>
      <c r="S1037" s="30">
        <v>32.799999999999997</v>
      </c>
      <c r="T1037" s="79">
        <f t="shared" si="317"/>
        <v>8.4496473599999997E-2</v>
      </c>
      <c r="U1037" s="22">
        <v>20</v>
      </c>
      <c r="V1037" s="22">
        <v>80</v>
      </c>
      <c r="W1037" s="10">
        <f t="shared" si="305"/>
        <v>1.3962634015954636</v>
      </c>
      <c r="X1037" s="22">
        <v>5</v>
      </c>
      <c r="Y1037" s="22">
        <v>20</v>
      </c>
      <c r="Z1037" s="10">
        <f t="shared" si="306"/>
        <v>0.3490658503988659</v>
      </c>
      <c r="AA1037" s="10">
        <f t="shared" si="307"/>
        <v>21.406255776872502</v>
      </c>
      <c r="AB1037" s="10">
        <f t="shared" si="308"/>
        <v>490.65878414810942</v>
      </c>
      <c r="AC1037" s="10">
        <f t="shared" si="309"/>
        <v>61.332348018513677</v>
      </c>
      <c r="AD1037" s="10">
        <f t="shared" si="314"/>
        <v>245.32939207405471</v>
      </c>
      <c r="AE1037" s="65"/>
      <c r="AF1037" s="10">
        <f t="shared" si="315"/>
        <v>525.86729769089891</v>
      </c>
      <c r="AG1037" s="8">
        <f t="shared" si="310"/>
        <v>102.54412304972529</v>
      </c>
      <c r="AH1037" s="10">
        <f t="shared" si="311"/>
        <v>262.93364884544945</v>
      </c>
      <c r="AI1037" s="63"/>
      <c r="AJ1037" s="10">
        <f t="shared" si="316"/>
        <v>589.36019999999996</v>
      </c>
      <c r="AK1037" s="8"/>
      <c r="AL1037" s="8">
        <f t="shared" si="312"/>
        <v>294.68009999999998</v>
      </c>
    </row>
    <row r="1038" spans="1:38">
      <c r="A1038" s="18">
        <v>41471</v>
      </c>
      <c r="B1038" s="19" t="s">
        <v>119</v>
      </c>
      <c r="C1038" s="12">
        <v>200.3</v>
      </c>
      <c r="D1038" s="19" t="s">
        <v>32</v>
      </c>
      <c r="E1038" s="8">
        <v>8.4102300000000003</v>
      </c>
      <c r="F1038" s="8">
        <v>83.311319999999995</v>
      </c>
      <c r="G1038" s="22">
        <v>200</v>
      </c>
      <c r="H1038" s="22">
        <v>10</v>
      </c>
      <c r="I1038" s="10">
        <f t="shared" si="318"/>
        <v>9.9666444232592379</v>
      </c>
      <c r="J1038" s="10">
        <f t="shared" si="313"/>
        <v>0.17395076056140502</v>
      </c>
      <c r="K1038" s="10">
        <v>21</v>
      </c>
      <c r="L1038" s="22">
        <v>394</v>
      </c>
      <c r="M1038" s="22" t="s">
        <v>96</v>
      </c>
      <c r="N1038" s="8" t="s">
        <v>69</v>
      </c>
      <c r="O1038" s="58" t="s">
        <v>65</v>
      </c>
      <c r="P1038" s="10" t="s">
        <v>102</v>
      </c>
      <c r="Q1038" s="22">
        <v>0.48</v>
      </c>
      <c r="R1038" s="22" t="s">
        <v>190</v>
      </c>
      <c r="S1038" s="30">
        <v>22</v>
      </c>
      <c r="T1038" s="79">
        <f t="shared" si="317"/>
        <v>3.8013360000000003E-2</v>
      </c>
      <c r="U1038" s="22">
        <v>18</v>
      </c>
      <c r="V1038" s="22">
        <v>72</v>
      </c>
      <c r="W1038" s="10">
        <f t="shared" si="305"/>
        <v>1.2566370614359172</v>
      </c>
      <c r="X1038" s="22">
        <v>5</v>
      </c>
      <c r="Y1038" s="22">
        <v>15</v>
      </c>
      <c r="Z1038" s="10">
        <f t="shared" si="306"/>
        <v>0.26179938779914941</v>
      </c>
      <c r="AA1038" s="10">
        <f t="shared" si="307"/>
        <v>18.413112518825365</v>
      </c>
      <c r="AB1038" s="10">
        <f t="shared" si="308"/>
        <v>201.0030738615462</v>
      </c>
      <c r="AC1038" s="10">
        <f t="shared" si="309"/>
        <v>25.125384232693275</v>
      </c>
      <c r="AD1038" s="10">
        <f t="shared" si="314"/>
        <v>100.5015369307731</v>
      </c>
      <c r="AE1038" s="65"/>
      <c r="AF1038" s="10">
        <f t="shared" si="315"/>
        <v>199.37630972130992</v>
      </c>
      <c r="AG1038" s="8">
        <f t="shared" si="310"/>
        <v>38.878380395655434</v>
      </c>
      <c r="AH1038" s="10">
        <f t="shared" si="311"/>
        <v>99.688154860654961</v>
      </c>
      <c r="AI1038" s="63"/>
      <c r="AJ1038" s="10">
        <f t="shared" si="316"/>
        <v>226.49099999999996</v>
      </c>
      <c r="AK1038" s="8"/>
      <c r="AL1038" s="8">
        <f t="shared" si="312"/>
        <v>113.24549999999998</v>
      </c>
    </row>
    <row r="1039" spans="1:38">
      <c r="A1039" s="18">
        <v>41471</v>
      </c>
      <c r="B1039" s="19" t="s">
        <v>119</v>
      </c>
      <c r="C1039" s="12">
        <v>200.3</v>
      </c>
      <c r="D1039" s="19" t="s">
        <v>32</v>
      </c>
      <c r="E1039" s="8">
        <v>8.4102300000000003</v>
      </c>
      <c r="F1039" s="8">
        <v>83.311319999999995</v>
      </c>
      <c r="G1039" s="22">
        <v>200</v>
      </c>
      <c r="H1039" s="22">
        <v>10</v>
      </c>
      <c r="I1039" s="10">
        <f t="shared" si="318"/>
        <v>9.9666444232592379</v>
      </c>
      <c r="J1039" s="10">
        <f t="shared" si="313"/>
        <v>0.17395076056140502</v>
      </c>
      <c r="K1039" s="10">
        <v>21</v>
      </c>
      <c r="L1039" s="22">
        <v>396</v>
      </c>
      <c r="M1039" s="22" t="s">
        <v>96</v>
      </c>
      <c r="N1039" s="8" t="s">
        <v>69</v>
      </c>
      <c r="O1039" s="58" t="s">
        <v>65</v>
      </c>
      <c r="P1039" s="10" t="s">
        <v>102</v>
      </c>
      <c r="Q1039" s="22">
        <v>0.48</v>
      </c>
      <c r="R1039" s="22" t="s">
        <v>190</v>
      </c>
      <c r="S1039" s="30">
        <v>26.7</v>
      </c>
      <c r="T1039" s="79">
        <f t="shared" si="317"/>
        <v>5.59903806E-2</v>
      </c>
      <c r="U1039" s="22">
        <v>17</v>
      </c>
      <c r="V1039" s="22">
        <v>69</v>
      </c>
      <c r="W1039" s="10">
        <f t="shared" si="305"/>
        <v>1.2042771838760873</v>
      </c>
      <c r="X1039" s="22">
        <v>6</v>
      </c>
      <c r="Y1039" s="22">
        <v>21</v>
      </c>
      <c r="Z1039" s="10">
        <f t="shared" si="306"/>
        <v>0.36651914291880922</v>
      </c>
      <c r="AA1039" s="10">
        <f t="shared" si="307"/>
        <v>18.02107494772423</v>
      </c>
      <c r="AB1039" s="10">
        <f t="shared" si="308"/>
        <v>283.46765241444137</v>
      </c>
      <c r="AC1039" s="10">
        <f t="shared" si="309"/>
        <v>35.433456551805172</v>
      </c>
      <c r="AD1039" s="10">
        <f t="shared" si="314"/>
        <v>141.73382620722069</v>
      </c>
      <c r="AE1039" s="65"/>
      <c r="AF1039" s="10">
        <f t="shared" si="315"/>
        <v>319.95327373529267</v>
      </c>
      <c r="AG1039" s="8">
        <f t="shared" si="310"/>
        <v>62.390888378382073</v>
      </c>
      <c r="AH1039" s="10">
        <f t="shared" si="311"/>
        <v>159.97663686764633</v>
      </c>
      <c r="AI1039" s="63"/>
      <c r="AJ1039" s="10">
        <f t="shared" si="316"/>
        <v>363.19049999999993</v>
      </c>
      <c r="AK1039" s="8"/>
      <c r="AL1039" s="8">
        <f t="shared" si="312"/>
        <v>181.59524999999996</v>
      </c>
    </row>
    <row r="1040" spans="1:38">
      <c r="A1040" s="18">
        <v>41471</v>
      </c>
      <c r="B1040" s="19" t="s">
        <v>119</v>
      </c>
      <c r="C1040" s="12">
        <v>200.3</v>
      </c>
      <c r="D1040" s="19" t="s">
        <v>32</v>
      </c>
      <c r="E1040" s="8">
        <v>8.4102300000000003</v>
      </c>
      <c r="F1040" s="8">
        <v>83.311319999999995</v>
      </c>
      <c r="G1040" s="22">
        <v>200</v>
      </c>
      <c r="H1040" s="22">
        <v>10</v>
      </c>
      <c r="I1040" s="10">
        <f t="shared" si="318"/>
        <v>9.9666444232592379</v>
      </c>
      <c r="J1040" s="10">
        <f t="shared" si="313"/>
        <v>0.17395076056140502</v>
      </c>
      <c r="K1040" s="10">
        <v>21</v>
      </c>
      <c r="L1040" s="22">
        <v>443</v>
      </c>
      <c r="M1040" s="22" t="s">
        <v>39</v>
      </c>
      <c r="N1040" s="7" t="s">
        <v>69</v>
      </c>
      <c r="O1040" s="33" t="s">
        <v>65</v>
      </c>
      <c r="P1040" s="33" t="s">
        <v>70</v>
      </c>
      <c r="Q1040" s="7">
        <v>0.37</v>
      </c>
      <c r="R1040" s="7" t="s">
        <v>71</v>
      </c>
      <c r="S1040" s="30">
        <v>6.7</v>
      </c>
      <c r="T1040" s="79">
        <f t="shared" si="317"/>
        <v>3.5256606000000001E-3</v>
      </c>
      <c r="U1040" s="22">
        <v>7</v>
      </c>
      <c r="V1040" s="22">
        <v>53</v>
      </c>
      <c r="W1040" s="10">
        <f t="shared" si="305"/>
        <v>0.92502450355699462</v>
      </c>
      <c r="X1040" s="22">
        <v>5</v>
      </c>
      <c r="Y1040" s="22">
        <v>6</v>
      </c>
      <c r="Z1040" s="10">
        <f t="shared" si="306"/>
        <v>0.10471975511965978</v>
      </c>
      <c r="AA1040" s="10">
        <f t="shared" si="307"/>
        <v>6.1130908866693172</v>
      </c>
      <c r="AB1040" s="10">
        <f t="shared" si="308"/>
        <v>5.971413869771478</v>
      </c>
      <c r="AC1040" s="10">
        <f t="shared" si="309"/>
        <v>0.74642673372143475</v>
      </c>
      <c r="AD1040" s="10">
        <f t="shared" si="314"/>
        <v>2.985706934885739</v>
      </c>
      <c r="AE1040" s="65"/>
      <c r="AF1040" s="10">
        <f t="shared" si="315"/>
        <v>8.0725494403400475</v>
      </c>
      <c r="AG1040" s="8">
        <f t="shared" si="310"/>
        <v>1.5741471408663092</v>
      </c>
      <c r="AH1040" s="10">
        <f t="shared" si="311"/>
        <v>4.0362747201700238</v>
      </c>
      <c r="AI1040" s="63"/>
      <c r="AJ1040" s="10">
        <f t="shared" si="316"/>
        <v>7.9304999999999986</v>
      </c>
      <c r="AK1040" s="8"/>
      <c r="AL1040" s="8">
        <f t="shared" si="312"/>
        <v>3.9652499999999993</v>
      </c>
    </row>
    <row r="1041" spans="1:38">
      <c r="A1041" s="18">
        <v>41471</v>
      </c>
      <c r="B1041" s="19" t="s">
        <v>119</v>
      </c>
      <c r="C1041" s="12">
        <v>200.3</v>
      </c>
      <c r="D1041" s="19" t="s">
        <v>32</v>
      </c>
      <c r="E1041" s="8">
        <v>8.4102300000000003</v>
      </c>
      <c r="F1041" s="8">
        <v>83.311319999999995</v>
      </c>
      <c r="G1041" s="22">
        <v>200</v>
      </c>
      <c r="H1041" s="22">
        <v>10</v>
      </c>
      <c r="I1041" s="10">
        <f t="shared" si="318"/>
        <v>9.9666444232592379</v>
      </c>
      <c r="J1041" s="10">
        <f t="shared" si="313"/>
        <v>0.17395076056140502</v>
      </c>
      <c r="K1041" s="10">
        <v>21</v>
      </c>
      <c r="L1041" s="22">
        <v>467</v>
      </c>
      <c r="M1041" s="22" t="s">
        <v>47</v>
      </c>
      <c r="N1041" s="8" t="s">
        <v>48</v>
      </c>
      <c r="O1041" s="10" t="s">
        <v>49</v>
      </c>
      <c r="P1041" s="10" t="s">
        <v>50</v>
      </c>
      <c r="Q1041" s="20">
        <v>0.75</v>
      </c>
      <c r="R1041" s="8" t="s">
        <v>67</v>
      </c>
      <c r="S1041" s="30">
        <v>7.4</v>
      </c>
      <c r="T1041" s="79">
        <f t="shared" si="317"/>
        <v>4.3008504000000003E-3</v>
      </c>
      <c r="U1041" s="22">
        <v>10</v>
      </c>
      <c r="V1041" s="22">
        <v>65</v>
      </c>
      <c r="W1041" s="10">
        <f t="shared" si="305"/>
        <v>1.1344640137963142</v>
      </c>
      <c r="X1041" s="22">
        <v>8</v>
      </c>
      <c r="Y1041" s="22">
        <v>10</v>
      </c>
      <c r="Z1041" s="10">
        <f t="shared" si="306"/>
        <v>0.17453292519943295</v>
      </c>
      <c r="AA1041" s="10">
        <f t="shared" si="307"/>
        <v>10.452263291701941</v>
      </c>
      <c r="AB1041" s="10">
        <f t="shared" si="308"/>
        <v>23.154353664724841</v>
      </c>
      <c r="AC1041" s="10">
        <f t="shared" si="309"/>
        <v>2.8942942080906051</v>
      </c>
      <c r="AD1041" s="10">
        <f t="shared" si="314"/>
        <v>11.57717683236242</v>
      </c>
      <c r="AE1041" s="65"/>
      <c r="AF1041" s="10">
        <f t="shared" si="315"/>
        <v>20.908897709206919</v>
      </c>
      <c r="AG1041" s="8">
        <f t="shared" si="310"/>
        <v>4.0772350532953494</v>
      </c>
      <c r="AH1041" s="10">
        <f t="shared" si="311"/>
        <v>10.454448854603459</v>
      </c>
      <c r="AI1041" s="63"/>
      <c r="AJ1041" s="10">
        <f t="shared" si="316"/>
        <v>10.3672</v>
      </c>
      <c r="AK1041" s="8"/>
      <c r="AL1041" s="8">
        <f t="shared" si="312"/>
        <v>5.1836000000000002</v>
      </c>
    </row>
    <row r="1042" spans="1:38">
      <c r="A1042" s="18">
        <v>41471</v>
      </c>
      <c r="B1042" s="19" t="s">
        <v>119</v>
      </c>
      <c r="C1042" s="12">
        <v>200.3</v>
      </c>
      <c r="D1042" s="19" t="s">
        <v>32</v>
      </c>
      <c r="E1042" s="8">
        <v>8.4102300000000003</v>
      </c>
      <c r="F1042" s="8">
        <v>83.311319999999995</v>
      </c>
      <c r="G1042" s="22">
        <v>200</v>
      </c>
      <c r="H1042" s="22">
        <v>10</v>
      </c>
      <c r="I1042" s="10">
        <f t="shared" si="318"/>
        <v>9.9666444232592379</v>
      </c>
      <c r="J1042" s="10">
        <f t="shared" si="313"/>
        <v>0.17395076056140502</v>
      </c>
      <c r="K1042" s="10">
        <v>21</v>
      </c>
      <c r="L1042" s="22">
        <v>444</v>
      </c>
      <c r="M1042" s="22" t="s">
        <v>96</v>
      </c>
      <c r="N1042" s="8" t="s">
        <v>69</v>
      </c>
      <c r="O1042" s="58" t="s">
        <v>65</v>
      </c>
      <c r="P1042" s="10" t="s">
        <v>102</v>
      </c>
      <c r="Q1042" s="22">
        <v>0.48</v>
      </c>
      <c r="R1042" s="22" t="s">
        <v>190</v>
      </c>
      <c r="S1042" s="30">
        <v>24.4</v>
      </c>
      <c r="T1042" s="79">
        <f t="shared" si="317"/>
        <v>4.6759574399999997E-2</v>
      </c>
      <c r="U1042" s="22">
        <v>21</v>
      </c>
      <c r="V1042" s="22">
        <v>78</v>
      </c>
      <c r="W1042" s="10">
        <f t="shared" si="305"/>
        <v>1.3613568165555769</v>
      </c>
      <c r="X1042" s="22">
        <v>5</v>
      </c>
      <c r="Y1042" s="22">
        <v>14</v>
      </c>
      <c r="Z1042" s="10">
        <f t="shared" si="306"/>
        <v>0.24434609527920614</v>
      </c>
      <c r="AA1042" s="10">
        <f t="shared" si="307"/>
        <v>21.750709093408254</v>
      </c>
      <c r="AB1042" s="10">
        <f t="shared" si="308"/>
        <v>285.59222017567629</v>
      </c>
      <c r="AC1042" s="10">
        <f t="shared" si="309"/>
        <v>35.699027521959536</v>
      </c>
      <c r="AD1042" s="10">
        <f t="shared" si="314"/>
        <v>142.79611008783814</v>
      </c>
      <c r="AE1042" s="65"/>
      <c r="AF1042" s="10">
        <f t="shared" si="315"/>
        <v>256.90401612318624</v>
      </c>
      <c r="AG1042" s="8">
        <f t="shared" si="310"/>
        <v>50.096283144021321</v>
      </c>
      <c r="AH1042" s="10">
        <f t="shared" si="311"/>
        <v>128.45200806159312</v>
      </c>
      <c r="AI1042" s="63"/>
      <c r="AJ1042" s="10">
        <f t="shared" si="316"/>
        <v>292.21019999999993</v>
      </c>
      <c r="AK1042" s="8"/>
      <c r="AL1042" s="8">
        <f t="shared" si="312"/>
        <v>146.10509999999996</v>
      </c>
    </row>
    <row r="1043" spans="1:38">
      <c r="A1043" s="18">
        <v>41471</v>
      </c>
      <c r="B1043" s="19" t="s">
        <v>119</v>
      </c>
      <c r="C1043" s="12">
        <v>200.3</v>
      </c>
      <c r="D1043" s="19" t="s">
        <v>32</v>
      </c>
      <c r="E1043" s="8">
        <v>8.4102300000000003</v>
      </c>
      <c r="F1043" s="8">
        <v>83.311319999999995</v>
      </c>
      <c r="G1043" s="22">
        <v>200</v>
      </c>
      <c r="H1043" s="22">
        <v>10</v>
      </c>
      <c r="I1043" s="10">
        <f t="shared" si="318"/>
        <v>9.9666444232592379</v>
      </c>
      <c r="J1043" s="10">
        <f t="shared" si="313"/>
        <v>0.17395076056140502</v>
      </c>
      <c r="K1043" s="10">
        <v>21</v>
      </c>
      <c r="L1043" s="22">
        <v>456</v>
      </c>
      <c r="M1043" s="22" t="s">
        <v>96</v>
      </c>
      <c r="N1043" s="8" t="s">
        <v>69</v>
      </c>
      <c r="O1043" s="58" t="s">
        <v>65</v>
      </c>
      <c r="P1043" s="10" t="s">
        <v>102</v>
      </c>
      <c r="Q1043" s="22">
        <v>0.48</v>
      </c>
      <c r="R1043" s="22" t="s">
        <v>190</v>
      </c>
      <c r="S1043" s="30">
        <v>25.2</v>
      </c>
      <c r="T1043" s="79">
        <f t="shared" si="317"/>
        <v>4.9876041599999997E-2</v>
      </c>
      <c r="U1043" s="22">
        <v>18</v>
      </c>
      <c r="V1043" s="22">
        <v>63</v>
      </c>
      <c r="W1043" s="10">
        <f t="shared" si="305"/>
        <v>1.0995574287564276</v>
      </c>
      <c r="X1043" s="22">
        <v>8</v>
      </c>
      <c r="Y1043" s="22">
        <v>15</v>
      </c>
      <c r="Z1043" s="10">
        <f t="shared" si="306"/>
        <v>0.26179938779914941</v>
      </c>
      <c r="AA1043" s="10">
        <f t="shared" si="307"/>
        <v>18.108669796210787</v>
      </c>
      <c r="AB1043" s="10">
        <f t="shared" si="308"/>
        <v>255.43173759548344</v>
      </c>
      <c r="AC1043" s="10">
        <f t="shared" si="309"/>
        <v>31.92896719943543</v>
      </c>
      <c r="AD1043" s="10">
        <f t="shared" si="314"/>
        <v>127.71586879774172</v>
      </c>
      <c r="AE1043" s="65"/>
      <c r="AF1043" s="10">
        <f t="shared" si="315"/>
        <v>277.94567877473531</v>
      </c>
      <c r="AG1043" s="8">
        <f t="shared" si="310"/>
        <v>54.199407361073391</v>
      </c>
      <c r="AH1043" s="10">
        <f t="shared" si="311"/>
        <v>138.97283938736766</v>
      </c>
      <c r="AI1043" s="63"/>
      <c r="AJ1043" s="10">
        <f t="shared" si="316"/>
        <v>316.01099999999997</v>
      </c>
      <c r="AK1043" s="8"/>
      <c r="AL1043" s="8">
        <f t="shared" si="312"/>
        <v>158.00549999999998</v>
      </c>
    </row>
    <row r="1044" spans="1:38">
      <c r="A1044" s="18">
        <v>41471</v>
      </c>
      <c r="B1044" s="19" t="s">
        <v>119</v>
      </c>
      <c r="C1044" s="12">
        <v>200.3</v>
      </c>
      <c r="D1044" s="19" t="s">
        <v>32</v>
      </c>
      <c r="E1044" s="8">
        <v>8.4102300000000003</v>
      </c>
      <c r="F1044" s="8">
        <v>83.311319999999995</v>
      </c>
      <c r="G1044" s="22">
        <v>200</v>
      </c>
      <c r="H1044" s="22">
        <v>10</v>
      </c>
      <c r="I1044" s="10">
        <f t="shared" si="318"/>
        <v>9.9666444232592379</v>
      </c>
      <c r="J1044" s="10">
        <f t="shared" si="313"/>
        <v>0.17395076056140502</v>
      </c>
      <c r="K1044" s="10">
        <v>21</v>
      </c>
      <c r="L1044" s="22">
        <v>400</v>
      </c>
      <c r="M1044" s="22" t="s">
        <v>137</v>
      </c>
      <c r="N1044" s="49" t="s">
        <v>99</v>
      </c>
      <c r="O1044" s="10" t="s">
        <v>247</v>
      </c>
      <c r="P1044" s="10" t="s">
        <v>248</v>
      </c>
      <c r="Q1044" s="22">
        <v>0.71</v>
      </c>
      <c r="R1044" s="22" t="s">
        <v>190</v>
      </c>
      <c r="S1044" s="30">
        <v>9</v>
      </c>
      <c r="T1044" s="79">
        <f t="shared" si="317"/>
        <v>6.3617400000000003E-3</v>
      </c>
      <c r="U1044" s="22">
        <v>8</v>
      </c>
      <c r="V1044" s="22">
        <v>30</v>
      </c>
      <c r="W1044" s="10">
        <f t="shared" si="305"/>
        <v>0.52359877559829882</v>
      </c>
      <c r="X1044" s="22">
        <v>7</v>
      </c>
      <c r="Y1044" s="22">
        <v>18</v>
      </c>
      <c r="Z1044" s="10">
        <f t="shared" si="306"/>
        <v>0.31415926535897931</v>
      </c>
      <c r="AA1044" s="10">
        <f t="shared" si="307"/>
        <v>6.1631189606246313</v>
      </c>
      <c r="AB1044" s="10">
        <f t="shared" si="308"/>
        <v>19.338955066679226</v>
      </c>
      <c r="AC1044" s="10">
        <f t="shared" si="309"/>
        <v>2.4173693833349033</v>
      </c>
      <c r="AD1044" s="10">
        <f t="shared" si="314"/>
        <v>9.669477533339613</v>
      </c>
      <c r="AE1044" s="65"/>
      <c r="AF1044" s="10">
        <f t="shared" si="315"/>
        <v>32.146072178923937</v>
      </c>
      <c r="AG1044" s="8">
        <f t="shared" si="310"/>
        <v>6.2684840748901678</v>
      </c>
      <c r="AH1044" s="10">
        <f t="shared" si="311"/>
        <v>16.073036089461969</v>
      </c>
      <c r="AI1044" s="63"/>
      <c r="AJ1044" s="10">
        <f t="shared" si="316"/>
        <v>18.659999999999997</v>
      </c>
      <c r="AK1044" s="8"/>
      <c r="AL1044" s="8">
        <f t="shared" si="312"/>
        <v>9.3299999999999983</v>
      </c>
    </row>
    <row r="1045" spans="1:38">
      <c r="A1045" s="18">
        <v>41471</v>
      </c>
      <c r="B1045" s="19" t="s">
        <v>119</v>
      </c>
      <c r="C1045" s="12">
        <v>200.3</v>
      </c>
      <c r="D1045" s="19" t="s">
        <v>32</v>
      </c>
      <c r="E1045" s="8">
        <v>8.4102300000000003</v>
      </c>
      <c r="F1045" s="8">
        <v>83.311319999999995</v>
      </c>
      <c r="G1045" s="22">
        <v>200</v>
      </c>
      <c r="H1045" s="22">
        <v>10</v>
      </c>
      <c r="I1045" s="10">
        <f t="shared" si="318"/>
        <v>9.9666444232592379</v>
      </c>
      <c r="J1045" s="10">
        <f t="shared" si="313"/>
        <v>0.17395076056140502</v>
      </c>
      <c r="K1045" s="10">
        <v>21</v>
      </c>
      <c r="L1045" s="22">
        <v>430</v>
      </c>
      <c r="M1045" s="22" t="s">
        <v>96</v>
      </c>
      <c r="N1045" s="8" t="s">
        <v>69</v>
      </c>
      <c r="O1045" s="58" t="s">
        <v>65</v>
      </c>
      <c r="P1045" s="10" t="s">
        <v>102</v>
      </c>
      <c r="Q1045" s="22">
        <v>0.48</v>
      </c>
      <c r="R1045" s="22" t="s">
        <v>190</v>
      </c>
      <c r="S1045" s="30">
        <v>20.100000000000001</v>
      </c>
      <c r="T1045" s="79">
        <f t="shared" si="317"/>
        <v>3.1730945400000002E-2</v>
      </c>
      <c r="U1045" s="22">
        <v>21</v>
      </c>
      <c r="V1045" s="22">
        <v>63</v>
      </c>
      <c r="W1045" s="10">
        <f t="shared" si="305"/>
        <v>1.0995574287564276</v>
      </c>
      <c r="X1045" s="22">
        <v>6</v>
      </c>
      <c r="Y1045" s="22">
        <v>15</v>
      </c>
      <c r="Z1045" s="10">
        <f t="shared" si="306"/>
        <v>0.26179938779914941</v>
      </c>
      <c r="AA1045" s="10">
        <f t="shared" si="307"/>
        <v>20.264051278570847</v>
      </c>
      <c r="AB1045" s="10">
        <f t="shared" si="308"/>
        <v>185.59222208091748</v>
      </c>
      <c r="AC1045" s="10">
        <f t="shared" si="309"/>
        <v>23.199027760114685</v>
      </c>
      <c r="AD1045" s="10">
        <f t="shared" si="314"/>
        <v>92.79611104045874</v>
      </c>
      <c r="AE1045" s="65"/>
      <c r="AF1045" s="10">
        <f t="shared" si="315"/>
        <v>159.66915953526726</v>
      </c>
      <c r="AG1045" s="8">
        <f t="shared" si="310"/>
        <v>31.135486109377116</v>
      </c>
      <c r="AH1045" s="10">
        <f t="shared" si="311"/>
        <v>79.834579767633628</v>
      </c>
      <c r="AI1045" s="63"/>
      <c r="AJ1045" s="10">
        <f t="shared" si="316"/>
        <v>180.50910000000005</v>
      </c>
      <c r="AK1045" s="8"/>
      <c r="AL1045" s="8">
        <f t="shared" si="312"/>
        <v>90.254550000000023</v>
      </c>
    </row>
    <row r="1046" spans="1:38">
      <c r="A1046" s="18">
        <v>41471</v>
      </c>
      <c r="B1046" s="19" t="s">
        <v>119</v>
      </c>
      <c r="C1046" s="12">
        <v>200.3</v>
      </c>
      <c r="D1046" s="19" t="s">
        <v>32</v>
      </c>
      <c r="E1046" s="8">
        <v>8.4102300000000003</v>
      </c>
      <c r="F1046" s="8">
        <v>83.311319999999995</v>
      </c>
      <c r="G1046" s="22">
        <v>200</v>
      </c>
      <c r="H1046" s="22">
        <v>10</v>
      </c>
      <c r="I1046" s="10">
        <f t="shared" si="318"/>
        <v>9.9666444232592379</v>
      </c>
      <c r="J1046" s="10">
        <f t="shared" si="313"/>
        <v>0.17395076056140502</v>
      </c>
      <c r="K1046" s="10">
        <v>21</v>
      </c>
      <c r="L1046" s="22">
        <v>402</v>
      </c>
      <c r="M1046" s="22" t="s">
        <v>96</v>
      </c>
      <c r="N1046" s="8" t="s">
        <v>69</v>
      </c>
      <c r="O1046" s="58" t="s">
        <v>65</v>
      </c>
      <c r="P1046" s="10" t="s">
        <v>102</v>
      </c>
      <c r="Q1046" s="22">
        <v>0.48</v>
      </c>
      <c r="R1046" s="22" t="s">
        <v>190</v>
      </c>
      <c r="S1046" s="30">
        <v>23.4</v>
      </c>
      <c r="T1046" s="79">
        <f t="shared" si="317"/>
        <v>4.3005362399999997E-2</v>
      </c>
      <c r="U1046" s="22">
        <v>12</v>
      </c>
      <c r="V1046" s="22">
        <v>69</v>
      </c>
      <c r="W1046" s="10">
        <f t="shared" si="305"/>
        <v>1.2042771838760873</v>
      </c>
      <c r="X1046" s="22">
        <v>5</v>
      </c>
      <c r="Y1046" s="22">
        <v>21</v>
      </c>
      <c r="Z1046" s="10">
        <f t="shared" si="306"/>
        <v>0.36651914291880922</v>
      </c>
      <c r="AA1046" s="10">
        <f t="shared" si="307"/>
        <v>12.994804865692922</v>
      </c>
      <c r="AB1046" s="10">
        <f t="shared" si="308"/>
        <v>162.66640660383652</v>
      </c>
      <c r="AC1046" s="10">
        <f t="shared" si="309"/>
        <v>20.333300825479565</v>
      </c>
      <c r="AD1046" s="10">
        <f t="shared" si="314"/>
        <v>81.33320330191826</v>
      </c>
      <c r="AE1046" s="65"/>
      <c r="AF1046" s="10">
        <f t="shared" si="315"/>
        <v>231.92048547485544</v>
      </c>
      <c r="AG1046" s="8">
        <f t="shared" si="310"/>
        <v>45.224494667596815</v>
      </c>
      <c r="AH1046" s="10">
        <f t="shared" si="311"/>
        <v>115.96024273742772</v>
      </c>
      <c r="AI1046" s="63"/>
      <c r="AJ1046" s="10">
        <f t="shared" si="316"/>
        <v>263.7912</v>
      </c>
      <c r="AK1046" s="8"/>
      <c r="AL1046" s="8">
        <f t="shared" si="312"/>
        <v>131.8956</v>
      </c>
    </row>
    <row r="1047" spans="1:38">
      <c r="A1047" s="18">
        <v>41471</v>
      </c>
      <c r="B1047" s="19" t="s">
        <v>119</v>
      </c>
      <c r="C1047" s="12">
        <v>200.4</v>
      </c>
      <c r="D1047" s="9" t="s">
        <v>80</v>
      </c>
      <c r="E1047" s="8">
        <v>8.4099199999999996</v>
      </c>
      <c r="F1047" s="8">
        <v>83.311719999999994</v>
      </c>
      <c r="G1047" s="22">
        <v>200</v>
      </c>
      <c r="H1047" s="22">
        <v>5</v>
      </c>
      <c r="I1047" s="10">
        <f t="shared" si="318"/>
        <v>19.983330554894014</v>
      </c>
      <c r="J1047" s="10">
        <f t="shared" si="313"/>
        <v>0.34877491369728597</v>
      </c>
      <c r="K1047" s="10">
        <v>21</v>
      </c>
      <c r="L1047" s="22">
        <v>471</v>
      </c>
      <c r="M1047" s="22" t="s">
        <v>36</v>
      </c>
      <c r="N1047" s="8" t="s">
        <v>46</v>
      </c>
      <c r="O1047" s="10" t="s">
        <v>37</v>
      </c>
      <c r="P1047" s="10" t="s">
        <v>38</v>
      </c>
      <c r="Q1047" s="11">
        <v>0.48</v>
      </c>
      <c r="R1047" s="8" t="s">
        <v>60</v>
      </c>
      <c r="S1047" s="30">
        <v>25.2</v>
      </c>
      <c r="T1047" s="79">
        <f t="shared" si="317"/>
        <v>4.9876041599999997E-2</v>
      </c>
      <c r="U1047" s="22">
        <v>11</v>
      </c>
      <c r="V1047" s="22">
        <v>63</v>
      </c>
      <c r="W1047" s="10">
        <f t="shared" ref="W1047:W1093" si="319">RADIANS(V1047)</f>
        <v>1.0995574287564276</v>
      </c>
      <c r="X1047" s="22">
        <v>5</v>
      </c>
      <c r="Y1047" s="22">
        <v>23</v>
      </c>
      <c r="Z1047" s="10">
        <f t="shared" ref="Z1047:Z1062" si="320">RADIANS(Y1047)</f>
        <v>0.4014257279586958</v>
      </c>
      <c r="AA1047" s="10">
        <f t="shared" ref="AA1047:AA1093" si="321">(SIN(W1047)*U1047)+(SIN(Z1047)*X1047)</f>
        <v>11.754727408518415</v>
      </c>
      <c r="AB1047" s="10">
        <f t="shared" ref="AB1047:AB1093" si="322">0.0776*(Q1047*S1047^2*AA1047)^0.94</f>
        <v>170.16150170424726</v>
      </c>
      <c r="AC1047" s="10">
        <f t="shared" si="309"/>
        <v>21.270187713030907</v>
      </c>
      <c r="AD1047" s="10">
        <f t="shared" si="314"/>
        <v>85.080750852123629</v>
      </c>
      <c r="AE1047" s="65"/>
      <c r="AF1047" s="10">
        <f t="shared" si="315"/>
        <v>277.94567877473531</v>
      </c>
      <c r="AG1047" s="8">
        <f t="shared" si="310"/>
        <v>54.199407361073391</v>
      </c>
      <c r="AH1047" s="10">
        <f t="shared" si="311"/>
        <v>138.97283938736766</v>
      </c>
      <c r="AI1047" s="63"/>
      <c r="AJ1047" s="10">
        <f t="shared" si="316"/>
        <v>316.01099999999997</v>
      </c>
      <c r="AK1047" s="8"/>
      <c r="AL1047" s="8">
        <f t="shared" si="312"/>
        <v>158.00549999999998</v>
      </c>
    </row>
    <row r="1048" spans="1:38">
      <c r="A1048" s="18">
        <v>41471</v>
      </c>
      <c r="B1048" s="19" t="s">
        <v>119</v>
      </c>
      <c r="C1048" s="12">
        <v>200.4</v>
      </c>
      <c r="D1048" s="19" t="s">
        <v>80</v>
      </c>
      <c r="E1048" s="8">
        <v>8.4099199999999996</v>
      </c>
      <c r="F1048" s="8">
        <v>83.311719999999994</v>
      </c>
      <c r="G1048" s="22">
        <v>200</v>
      </c>
      <c r="H1048" s="22">
        <v>5</v>
      </c>
      <c r="I1048" s="10">
        <f t="shared" si="318"/>
        <v>19.983330554894014</v>
      </c>
      <c r="J1048" s="10">
        <f t="shared" si="313"/>
        <v>0.34877491369728597</v>
      </c>
      <c r="K1048" s="10">
        <v>21</v>
      </c>
      <c r="L1048" s="22">
        <v>484</v>
      </c>
      <c r="M1048" s="22" t="s">
        <v>138</v>
      </c>
      <c r="N1048" s="56" t="s">
        <v>99</v>
      </c>
      <c r="O1048" s="57" t="s">
        <v>249</v>
      </c>
      <c r="P1048" s="33" t="s">
        <v>250</v>
      </c>
      <c r="Q1048" s="7">
        <v>0.59</v>
      </c>
      <c r="R1048" s="7" t="s">
        <v>190</v>
      </c>
      <c r="S1048" s="30">
        <v>7.7</v>
      </c>
      <c r="T1048" s="79">
        <f t="shared" si="317"/>
        <v>4.6566366000000007E-3</v>
      </c>
      <c r="U1048" s="22">
        <v>7</v>
      </c>
      <c r="V1048" s="22">
        <v>33</v>
      </c>
      <c r="W1048" s="10">
        <f t="shared" si="319"/>
        <v>0.57595865315812877</v>
      </c>
      <c r="X1048" s="22">
        <v>6</v>
      </c>
      <c r="Y1048" s="22">
        <v>21</v>
      </c>
      <c r="Z1048" s="10">
        <f t="shared" si="320"/>
        <v>0.36651914291880922</v>
      </c>
      <c r="AA1048" s="10">
        <f t="shared" si="321"/>
        <v>5.9626809423769913</v>
      </c>
      <c r="AB1048" s="10">
        <f t="shared" si="322"/>
        <v>11.74844133253224</v>
      </c>
      <c r="AC1048" s="10">
        <f t="shared" si="309"/>
        <v>1.46855516656653</v>
      </c>
      <c r="AD1048" s="10">
        <f t="shared" si="314"/>
        <v>5.8742206662661198</v>
      </c>
      <c r="AE1048" s="65"/>
      <c r="AF1048" s="10">
        <f t="shared" si="315"/>
        <v>18.14650035892473</v>
      </c>
      <c r="AG1048" s="8">
        <f t="shared" si="310"/>
        <v>3.5385675699903225</v>
      </c>
      <c r="AH1048" s="10">
        <f t="shared" si="311"/>
        <v>9.0732501794623648</v>
      </c>
      <c r="AI1048" s="63"/>
      <c r="AJ1048" s="10">
        <f t="shared" si="316"/>
        <v>11.633499999999998</v>
      </c>
      <c r="AK1048" s="8"/>
      <c r="AL1048" s="8">
        <f t="shared" si="312"/>
        <v>5.816749999999999</v>
      </c>
    </row>
    <row r="1049" spans="1:38">
      <c r="A1049" s="18">
        <v>41471</v>
      </c>
      <c r="B1049" s="19" t="s">
        <v>119</v>
      </c>
      <c r="C1049" s="12">
        <v>200.4</v>
      </c>
      <c r="D1049" s="19" t="s">
        <v>80</v>
      </c>
      <c r="E1049" s="8">
        <v>8.4099199999999996</v>
      </c>
      <c r="F1049" s="8">
        <v>83.311719999999994</v>
      </c>
      <c r="G1049" s="22">
        <v>200</v>
      </c>
      <c r="H1049" s="22">
        <v>5</v>
      </c>
      <c r="I1049" s="10">
        <f t="shared" si="318"/>
        <v>19.983330554894014</v>
      </c>
      <c r="J1049" s="10">
        <f t="shared" si="313"/>
        <v>0.34877491369728597</v>
      </c>
      <c r="K1049" s="10">
        <v>21</v>
      </c>
      <c r="L1049" s="22">
        <v>411</v>
      </c>
      <c r="M1049" s="22" t="s">
        <v>126</v>
      </c>
      <c r="N1049" s="22" t="s">
        <v>180</v>
      </c>
      <c r="O1049" s="50" t="s">
        <v>216</v>
      </c>
      <c r="P1049" s="51" t="s">
        <v>92</v>
      </c>
      <c r="Q1049" s="8">
        <v>0.68</v>
      </c>
      <c r="R1049" s="22" t="s">
        <v>190</v>
      </c>
      <c r="S1049" s="30">
        <v>6.2</v>
      </c>
      <c r="T1049" s="79">
        <f t="shared" si="317"/>
        <v>3.0190776000000004E-3</v>
      </c>
      <c r="U1049" s="22">
        <v>10</v>
      </c>
      <c r="V1049" s="22">
        <v>31</v>
      </c>
      <c r="W1049" s="10">
        <f t="shared" si="319"/>
        <v>0.54105206811824214</v>
      </c>
      <c r="X1049" s="22">
        <v>9</v>
      </c>
      <c r="Y1049" s="22">
        <v>22</v>
      </c>
      <c r="Z1049" s="10">
        <f t="shared" si="320"/>
        <v>0.38397243543875248</v>
      </c>
      <c r="AA1049" s="10">
        <f t="shared" si="321"/>
        <v>8.5218400898437494</v>
      </c>
      <c r="AB1049" s="10">
        <f t="shared" si="322"/>
        <v>12.497347707297658</v>
      </c>
      <c r="AC1049" s="10">
        <f t="shared" si="309"/>
        <v>1.5621684634122073</v>
      </c>
      <c r="AD1049" s="10">
        <f t="shared" si="314"/>
        <v>6.2486738536488291</v>
      </c>
      <c r="AE1049" s="65"/>
      <c r="AF1049" s="10">
        <f t="shared" si="315"/>
        <v>12.260316432463631</v>
      </c>
      <c r="AG1049" s="8">
        <f t="shared" si="310"/>
        <v>2.3907617043304081</v>
      </c>
      <c r="AH1049" s="10">
        <f t="shared" si="311"/>
        <v>6.1301582162318153</v>
      </c>
      <c r="AI1049" s="63"/>
      <c r="AJ1049" s="10">
        <f t="shared" si="316"/>
        <v>6.6340000000000003</v>
      </c>
      <c r="AK1049" s="8"/>
      <c r="AL1049" s="8">
        <f t="shared" si="312"/>
        <v>3.3170000000000002</v>
      </c>
    </row>
    <row r="1050" spans="1:38">
      <c r="A1050" s="18">
        <v>41471</v>
      </c>
      <c r="B1050" s="19" t="s">
        <v>119</v>
      </c>
      <c r="C1050" s="12">
        <v>200.4</v>
      </c>
      <c r="D1050" s="19" t="s">
        <v>80</v>
      </c>
      <c r="E1050" s="8">
        <v>8.4099199999999996</v>
      </c>
      <c r="F1050" s="8">
        <v>83.311719999999994</v>
      </c>
      <c r="G1050" s="22">
        <v>200</v>
      </c>
      <c r="H1050" s="22">
        <v>5</v>
      </c>
      <c r="I1050" s="10">
        <f t="shared" si="318"/>
        <v>19.983330554894014</v>
      </c>
      <c r="J1050" s="10">
        <f t="shared" si="313"/>
        <v>0.34877491369728597</v>
      </c>
      <c r="K1050" s="10">
        <v>21</v>
      </c>
      <c r="L1050" s="22">
        <v>446</v>
      </c>
      <c r="M1050" s="22" t="s">
        <v>72</v>
      </c>
      <c r="N1050" s="22" t="s">
        <v>93</v>
      </c>
      <c r="O1050" s="10" t="s">
        <v>91</v>
      </c>
      <c r="P1050" s="15" t="s">
        <v>92</v>
      </c>
      <c r="Q1050" s="8">
        <v>0.48</v>
      </c>
      <c r="R1050" s="22" t="s">
        <v>190</v>
      </c>
      <c r="S1050" s="30">
        <v>7.1</v>
      </c>
      <c r="T1050" s="79">
        <f t="shared" si="317"/>
        <v>3.9592014E-3</v>
      </c>
      <c r="U1050" s="22">
        <v>9</v>
      </c>
      <c r="V1050" s="22">
        <v>36</v>
      </c>
      <c r="W1050" s="10">
        <f t="shared" si="319"/>
        <v>0.62831853071795862</v>
      </c>
      <c r="X1050" s="22">
        <v>6</v>
      </c>
      <c r="Y1050" s="22">
        <v>20</v>
      </c>
      <c r="Z1050" s="10">
        <f t="shared" si="320"/>
        <v>0.3490658503988659</v>
      </c>
      <c r="AA1050" s="10">
        <f t="shared" si="321"/>
        <v>7.3421881305862708</v>
      </c>
      <c r="AB1050" s="10">
        <f t="shared" si="322"/>
        <v>10.10346073065605</v>
      </c>
      <c r="AC1050" s="10">
        <f t="shared" si="309"/>
        <v>1.2629325913320062</v>
      </c>
      <c r="AD1050" s="10">
        <f t="shared" si="314"/>
        <v>5.0517303653280248</v>
      </c>
      <c r="AE1050" s="65"/>
      <c r="AF1050" s="10">
        <f t="shared" si="315"/>
        <v>12.081748823164355</v>
      </c>
      <c r="AG1050" s="8">
        <f t="shared" si="310"/>
        <v>2.3559410205170495</v>
      </c>
      <c r="AH1050" s="10">
        <f t="shared" si="311"/>
        <v>6.0408744115821777</v>
      </c>
      <c r="AI1050" s="63"/>
      <c r="AJ1050" s="10">
        <f t="shared" si="316"/>
        <v>9.2340999999999944</v>
      </c>
      <c r="AK1050" s="8"/>
      <c r="AL1050" s="8">
        <f t="shared" si="312"/>
        <v>4.6170499999999972</v>
      </c>
    </row>
    <row r="1051" spans="1:38">
      <c r="A1051" s="18">
        <v>41471</v>
      </c>
      <c r="B1051" s="19" t="s">
        <v>119</v>
      </c>
      <c r="C1051" s="12">
        <v>200.4</v>
      </c>
      <c r="D1051" s="19" t="s">
        <v>80</v>
      </c>
      <c r="E1051" s="8">
        <v>8.4099199999999996</v>
      </c>
      <c r="F1051" s="8">
        <v>83.311719999999994</v>
      </c>
      <c r="G1051" s="22">
        <v>200</v>
      </c>
      <c r="H1051" s="22">
        <v>5</v>
      </c>
      <c r="I1051" s="10">
        <f t="shared" si="318"/>
        <v>19.983330554894014</v>
      </c>
      <c r="J1051" s="10">
        <f t="shared" si="313"/>
        <v>0.34877491369728597</v>
      </c>
      <c r="K1051" s="10">
        <v>21</v>
      </c>
      <c r="L1051" s="22">
        <v>388</v>
      </c>
      <c r="M1051" s="22" t="s">
        <v>36</v>
      </c>
      <c r="N1051" s="8" t="s">
        <v>46</v>
      </c>
      <c r="O1051" s="10" t="s">
        <v>37</v>
      </c>
      <c r="P1051" s="10" t="s">
        <v>38</v>
      </c>
      <c r="Q1051" s="11">
        <v>0.48</v>
      </c>
      <c r="R1051" s="8" t="s">
        <v>60</v>
      </c>
      <c r="S1051" s="30">
        <v>32</v>
      </c>
      <c r="T1051" s="79">
        <f t="shared" si="317"/>
        <v>8.0424960000000004E-2</v>
      </c>
      <c r="U1051" s="22">
        <v>11</v>
      </c>
      <c r="V1051" s="22">
        <v>65</v>
      </c>
      <c r="W1051" s="10">
        <f t="shared" si="319"/>
        <v>1.1344640137963142</v>
      </c>
      <c r="X1051" s="22">
        <v>7</v>
      </c>
      <c r="Y1051" s="22">
        <v>15</v>
      </c>
      <c r="Z1051" s="10">
        <f t="shared" si="320"/>
        <v>0.26179938779914941</v>
      </c>
      <c r="AA1051" s="10">
        <f t="shared" si="321"/>
        <v>11.781118973120794</v>
      </c>
      <c r="AB1051" s="10">
        <f t="shared" si="322"/>
        <v>267.19344096116254</v>
      </c>
      <c r="AC1051" s="10">
        <f t="shared" si="309"/>
        <v>33.399180120145317</v>
      </c>
      <c r="AD1051" s="10">
        <f t="shared" si="314"/>
        <v>133.59672048058127</v>
      </c>
      <c r="AE1051" s="65"/>
      <c r="AF1051" s="10">
        <f t="shared" si="315"/>
        <v>495.60694817428441</v>
      </c>
      <c r="AG1051" s="8">
        <f t="shared" si="310"/>
        <v>96.64335489398546</v>
      </c>
      <c r="AH1051" s="10">
        <f t="shared" si="311"/>
        <v>247.80347408714221</v>
      </c>
      <c r="AI1051" s="63"/>
      <c r="AJ1051" s="10">
        <f t="shared" si="316"/>
        <v>556.56099999999992</v>
      </c>
      <c r="AK1051" s="8"/>
      <c r="AL1051" s="8">
        <f t="shared" si="312"/>
        <v>278.28049999999996</v>
      </c>
    </row>
    <row r="1052" spans="1:38">
      <c r="A1052" s="18">
        <v>41471</v>
      </c>
      <c r="B1052" s="19" t="s">
        <v>119</v>
      </c>
      <c r="C1052" s="12">
        <v>200.4</v>
      </c>
      <c r="D1052" s="19" t="s">
        <v>80</v>
      </c>
      <c r="E1052" s="8">
        <v>8.4099199999999996</v>
      </c>
      <c r="F1052" s="8">
        <v>83.311719999999994</v>
      </c>
      <c r="G1052" s="22">
        <v>200</v>
      </c>
      <c r="H1052" s="22">
        <v>5</v>
      </c>
      <c r="I1052" s="10">
        <f t="shared" si="318"/>
        <v>19.983330554894014</v>
      </c>
      <c r="J1052" s="10">
        <f t="shared" si="313"/>
        <v>0.34877491369728597</v>
      </c>
      <c r="K1052" s="10">
        <v>21</v>
      </c>
      <c r="L1052" s="22">
        <v>404</v>
      </c>
      <c r="M1052" s="22" t="s">
        <v>202</v>
      </c>
      <c r="N1052" s="28" t="s">
        <v>111</v>
      </c>
      <c r="O1052" s="10" t="s">
        <v>112</v>
      </c>
      <c r="P1052" s="10" t="s">
        <v>113</v>
      </c>
      <c r="Q1052" s="22">
        <v>0.51</v>
      </c>
      <c r="R1052" s="59" t="s">
        <v>190</v>
      </c>
      <c r="S1052" s="30">
        <v>13.7</v>
      </c>
      <c r="T1052" s="79">
        <f t="shared" si="317"/>
        <v>1.4741172599999998E-2</v>
      </c>
      <c r="U1052" s="22">
        <v>7</v>
      </c>
      <c r="V1052" s="22">
        <v>45</v>
      </c>
      <c r="W1052" s="10">
        <f t="shared" si="319"/>
        <v>0.78539816339744828</v>
      </c>
      <c r="X1052" s="22">
        <v>5</v>
      </c>
      <c r="Y1052" s="22">
        <v>18</v>
      </c>
      <c r="Z1052" s="10">
        <f t="shared" si="320"/>
        <v>0.31415926535897931</v>
      </c>
      <c r="AA1052" s="10">
        <f t="shared" si="321"/>
        <v>6.494832440180569</v>
      </c>
      <c r="AB1052" s="10">
        <f t="shared" si="322"/>
        <v>32.796403968980911</v>
      </c>
      <c r="AC1052" s="10">
        <f t="shared" si="309"/>
        <v>4.0995504961226139</v>
      </c>
      <c r="AD1052" s="10">
        <f t="shared" si="314"/>
        <v>16.398201984490456</v>
      </c>
      <c r="AE1052" s="65"/>
      <c r="AF1052" s="10">
        <f t="shared" si="315"/>
        <v>65.650243379455674</v>
      </c>
      <c r="AG1052" s="8">
        <f t="shared" si="310"/>
        <v>12.801797458993857</v>
      </c>
      <c r="AH1052" s="10">
        <f t="shared" si="311"/>
        <v>32.825121689727837</v>
      </c>
      <c r="AI1052" s="63"/>
      <c r="AJ1052" s="10">
        <f t="shared" si="316"/>
        <v>64.931499999999971</v>
      </c>
      <c r="AK1052" s="8"/>
      <c r="AL1052" s="8">
        <f t="shared" si="312"/>
        <v>32.465749999999986</v>
      </c>
    </row>
    <row r="1053" spans="1:38">
      <c r="A1053" s="18">
        <v>41471</v>
      </c>
      <c r="B1053" s="19" t="s">
        <v>119</v>
      </c>
      <c r="C1053" s="12">
        <v>200.4</v>
      </c>
      <c r="D1053" s="19" t="s">
        <v>80</v>
      </c>
      <c r="E1053" s="8">
        <v>8.4099199999999996</v>
      </c>
      <c r="F1053" s="8">
        <v>83.311719999999994</v>
      </c>
      <c r="G1053" s="22">
        <v>200</v>
      </c>
      <c r="H1053" s="22">
        <v>5</v>
      </c>
      <c r="I1053" s="10">
        <f t="shared" si="318"/>
        <v>19.983330554894014</v>
      </c>
      <c r="J1053" s="10">
        <f t="shared" si="313"/>
        <v>0.34877491369728597</v>
      </c>
      <c r="K1053" s="10">
        <v>21</v>
      </c>
      <c r="L1053" s="22">
        <v>547</v>
      </c>
      <c r="M1053" s="22" t="s">
        <v>202</v>
      </c>
      <c r="N1053" s="28" t="s">
        <v>111</v>
      </c>
      <c r="O1053" s="10" t="s">
        <v>112</v>
      </c>
      <c r="P1053" s="10" t="s">
        <v>113</v>
      </c>
      <c r="Q1053" s="22">
        <v>0.51</v>
      </c>
      <c r="R1053" s="59" t="s">
        <v>190</v>
      </c>
      <c r="S1053" s="30">
        <v>12.5</v>
      </c>
      <c r="T1053" s="79">
        <f t="shared" si="317"/>
        <v>1.2271875E-2</v>
      </c>
      <c r="U1053" s="22">
        <v>6</v>
      </c>
      <c r="V1053" s="22">
        <v>55</v>
      </c>
      <c r="W1053" s="10">
        <f t="shared" si="319"/>
        <v>0.95993108859688125</v>
      </c>
      <c r="X1053" s="22">
        <v>5</v>
      </c>
      <c r="Y1053" s="22">
        <v>18</v>
      </c>
      <c r="Z1053" s="10">
        <f t="shared" si="320"/>
        <v>0.31415926535897931</v>
      </c>
      <c r="AA1053" s="10">
        <f t="shared" si="321"/>
        <v>6.4599972376086878</v>
      </c>
      <c r="AB1053" s="10">
        <f t="shared" si="322"/>
        <v>27.46546167440599</v>
      </c>
      <c r="AC1053" s="10">
        <f t="shared" si="309"/>
        <v>3.4331827093007488</v>
      </c>
      <c r="AD1053" s="10">
        <f t="shared" si="314"/>
        <v>13.732730837202995</v>
      </c>
      <c r="AE1053" s="65"/>
      <c r="AF1053" s="10">
        <f t="shared" si="315"/>
        <v>52.266522915917726</v>
      </c>
      <c r="AG1053" s="8">
        <f t="shared" si="310"/>
        <v>10.191971968603957</v>
      </c>
      <c r="AH1053" s="10">
        <f t="shared" si="311"/>
        <v>26.133261457958863</v>
      </c>
      <c r="AI1053" s="63"/>
      <c r="AJ1053" s="10">
        <f t="shared" si="316"/>
        <v>50.009499999999989</v>
      </c>
      <c r="AK1053" s="8"/>
      <c r="AL1053" s="8">
        <f t="shared" si="312"/>
        <v>25.004749999999994</v>
      </c>
    </row>
    <row r="1054" spans="1:38">
      <c r="A1054" s="18">
        <v>41471</v>
      </c>
      <c r="B1054" s="19" t="s">
        <v>119</v>
      </c>
      <c r="C1054" s="12">
        <v>200.4</v>
      </c>
      <c r="D1054" s="19" t="s">
        <v>80</v>
      </c>
      <c r="E1054" s="8">
        <v>8.4099199999999996</v>
      </c>
      <c r="F1054" s="8">
        <v>83.311719999999994</v>
      </c>
      <c r="G1054" s="22">
        <v>200</v>
      </c>
      <c r="H1054" s="22">
        <v>5</v>
      </c>
      <c r="I1054" s="10">
        <f t="shared" si="318"/>
        <v>19.983330554894014</v>
      </c>
      <c r="J1054" s="10">
        <f t="shared" si="313"/>
        <v>0.34877491369728597</v>
      </c>
      <c r="K1054" s="10">
        <v>21</v>
      </c>
      <c r="L1054" s="22">
        <v>516</v>
      </c>
      <c r="M1054" s="22" t="s">
        <v>202</v>
      </c>
      <c r="N1054" s="28" t="s">
        <v>111</v>
      </c>
      <c r="O1054" s="10" t="s">
        <v>112</v>
      </c>
      <c r="P1054" s="10" t="s">
        <v>113</v>
      </c>
      <c r="Q1054" s="22">
        <v>0.51</v>
      </c>
      <c r="R1054" s="59" t="s">
        <v>190</v>
      </c>
      <c r="S1054" s="30">
        <v>13.4</v>
      </c>
      <c r="T1054" s="79">
        <f t="shared" si="317"/>
        <v>1.41026424E-2</v>
      </c>
      <c r="U1054" s="22">
        <v>7</v>
      </c>
      <c r="V1054" s="22">
        <v>60</v>
      </c>
      <c r="W1054" s="10">
        <f t="shared" si="319"/>
        <v>1.0471975511965976</v>
      </c>
      <c r="X1054" s="22">
        <v>5</v>
      </c>
      <c r="Y1054" s="22">
        <v>18</v>
      </c>
      <c r="Z1054" s="10">
        <f t="shared" si="320"/>
        <v>0.31415926535897931</v>
      </c>
      <c r="AA1054" s="10">
        <f t="shared" si="321"/>
        <v>7.6072627983658077</v>
      </c>
      <c r="AB1054" s="10">
        <f t="shared" si="322"/>
        <v>36.499710688310707</v>
      </c>
      <c r="AC1054" s="10">
        <f t="shared" si="309"/>
        <v>4.5624638360388383</v>
      </c>
      <c r="AD1054" s="10">
        <f t="shared" si="314"/>
        <v>18.249855344155353</v>
      </c>
      <c r="AE1054" s="65"/>
      <c r="AF1054" s="10">
        <f t="shared" si="315"/>
        <v>62.133807964685225</v>
      </c>
      <c r="AG1054" s="8">
        <f t="shared" si="310"/>
        <v>12.116092553113619</v>
      </c>
      <c r="AH1054" s="10">
        <f t="shared" si="311"/>
        <v>31.066903982342613</v>
      </c>
      <c r="AI1054" s="63"/>
      <c r="AJ1054" s="10">
        <f t="shared" si="316"/>
        <v>61.001199999999997</v>
      </c>
      <c r="AK1054" s="8"/>
      <c r="AL1054" s="8">
        <f t="shared" si="312"/>
        <v>30.500599999999999</v>
      </c>
    </row>
    <row r="1055" spans="1:38">
      <c r="A1055" s="18">
        <v>41471</v>
      </c>
      <c r="B1055" s="19" t="s">
        <v>119</v>
      </c>
      <c r="C1055" s="12">
        <v>200.4</v>
      </c>
      <c r="D1055" s="19" t="s">
        <v>80</v>
      </c>
      <c r="E1055" s="8">
        <v>8.4099199999999996</v>
      </c>
      <c r="F1055" s="8">
        <v>83.311719999999994</v>
      </c>
      <c r="G1055" s="22">
        <v>200</v>
      </c>
      <c r="H1055" s="22">
        <v>5</v>
      </c>
      <c r="I1055" s="10">
        <f t="shared" si="318"/>
        <v>19.983330554894014</v>
      </c>
      <c r="J1055" s="10">
        <f t="shared" si="313"/>
        <v>0.34877491369728597</v>
      </c>
      <c r="K1055" s="10">
        <v>21</v>
      </c>
      <c r="L1055" s="22">
        <v>515</v>
      </c>
      <c r="M1055" s="31" t="s">
        <v>231</v>
      </c>
      <c r="N1055" s="8" t="s">
        <v>171</v>
      </c>
      <c r="O1055" s="33" t="s">
        <v>99</v>
      </c>
      <c r="P1055" s="33" t="s">
        <v>99</v>
      </c>
      <c r="Q1055" s="7">
        <v>0.57999999999999996</v>
      </c>
      <c r="R1055" s="7" t="s">
        <v>103</v>
      </c>
      <c r="S1055" s="30">
        <v>20.5</v>
      </c>
      <c r="T1055" s="79">
        <f t="shared" si="317"/>
        <v>3.3006435000000001E-2</v>
      </c>
      <c r="U1055" s="22">
        <v>7</v>
      </c>
      <c r="V1055" s="22">
        <v>60</v>
      </c>
      <c r="W1055" s="10">
        <f t="shared" si="319"/>
        <v>1.0471975511965976</v>
      </c>
      <c r="X1055" s="22">
        <v>5</v>
      </c>
      <c r="Y1055" s="22">
        <v>8</v>
      </c>
      <c r="Z1055" s="10">
        <f t="shared" si="320"/>
        <v>0.13962634015954636</v>
      </c>
      <c r="AA1055" s="10">
        <f t="shared" si="321"/>
        <v>6.7580433312913977</v>
      </c>
      <c r="AB1055" s="10">
        <f t="shared" si="322"/>
        <v>81.962086891111227</v>
      </c>
      <c r="AC1055" s="10">
        <f t="shared" si="309"/>
        <v>10.245260861388903</v>
      </c>
      <c r="AD1055" s="10">
        <f t="shared" si="314"/>
        <v>40.981043445555613</v>
      </c>
      <c r="AE1055" s="65"/>
      <c r="AF1055" s="10">
        <f t="shared" si="315"/>
        <v>202.52555149056087</v>
      </c>
      <c r="AG1055" s="8">
        <f t="shared" si="310"/>
        <v>39.492482540659374</v>
      </c>
      <c r="AH1055" s="10">
        <f t="shared" si="311"/>
        <v>101.26277574528044</v>
      </c>
      <c r="AI1055" s="63"/>
      <c r="AJ1055" s="10">
        <f t="shared" si="316"/>
        <v>189.74549999999999</v>
      </c>
      <c r="AK1055" s="8"/>
      <c r="AL1055" s="8">
        <f t="shared" si="312"/>
        <v>94.872749999999996</v>
      </c>
    </row>
    <row r="1056" spans="1:38">
      <c r="A1056" s="18">
        <v>41471</v>
      </c>
      <c r="B1056" s="19" t="s">
        <v>119</v>
      </c>
      <c r="C1056" s="12">
        <v>200.4</v>
      </c>
      <c r="D1056" s="19" t="s">
        <v>80</v>
      </c>
      <c r="E1056" s="8">
        <v>8.4099199999999996</v>
      </c>
      <c r="F1056" s="8">
        <v>83.311719999999994</v>
      </c>
      <c r="G1056" s="22">
        <v>200</v>
      </c>
      <c r="H1056" s="22">
        <v>5</v>
      </c>
      <c r="I1056" s="10">
        <f t="shared" si="318"/>
        <v>19.983330554894014</v>
      </c>
      <c r="J1056" s="10">
        <f t="shared" si="313"/>
        <v>0.34877491369728597</v>
      </c>
      <c r="K1056" s="10">
        <v>21</v>
      </c>
      <c r="L1056" s="22">
        <v>521</v>
      </c>
      <c r="M1056" s="31" t="s">
        <v>231</v>
      </c>
      <c r="N1056" s="8" t="s">
        <v>171</v>
      </c>
      <c r="O1056" s="33" t="s">
        <v>99</v>
      </c>
      <c r="P1056" s="33" t="s">
        <v>99</v>
      </c>
      <c r="Q1056" s="7">
        <v>0.57999999999999996</v>
      </c>
      <c r="R1056" s="7" t="s">
        <v>103</v>
      </c>
      <c r="S1056" s="30">
        <v>9.1</v>
      </c>
      <c r="T1056" s="79">
        <f t="shared" si="317"/>
        <v>6.5038973999999991E-3</v>
      </c>
      <c r="U1056" s="22">
        <v>9</v>
      </c>
      <c r="V1056" s="22">
        <v>25</v>
      </c>
      <c r="W1056" s="10">
        <f t="shared" si="319"/>
        <v>0.43633231299858238</v>
      </c>
      <c r="X1056" s="22">
        <v>5</v>
      </c>
      <c r="Y1056" s="22">
        <v>8</v>
      </c>
      <c r="Z1056" s="10">
        <f t="shared" si="320"/>
        <v>0.13962634015954636</v>
      </c>
      <c r="AA1056" s="10">
        <f t="shared" si="321"/>
        <v>4.4994298604666216</v>
      </c>
      <c r="AB1056" s="10">
        <f t="shared" si="322"/>
        <v>12.146464628005049</v>
      </c>
      <c r="AC1056" s="10">
        <f t="shared" si="309"/>
        <v>1.5183080785006311</v>
      </c>
      <c r="AD1056" s="10">
        <f t="shared" si="314"/>
        <v>6.0732323140025244</v>
      </c>
      <c r="AE1056" s="65"/>
      <c r="AF1056" s="10">
        <f t="shared" si="315"/>
        <v>26.990611896327032</v>
      </c>
      <c r="AG1056" s="8">
        <f t="shared" si="310"/>
        <v>5.2631693197837714</v>
      </c>
      <c r="AH1056" s="10">
        <f t="shared" si="311"/>
        <v>13.495305948163516</v>
      </c>
      <c r="AI1056" s="63"/>
      <c r="AJ1056" s="10">
        <f t="shared" si="316"/>
        <v>19.304099999999984</v>
      </c>
      <c r="AK1056" s="8"/>
      <c r="AL1056" s="8">
        <f t="shared" si="312"/>
        <v>9.652049999999992</v>
      </c>
    </row>
    <row r="1057" spans="1:38">
      <c r="A1057" s="18">
        <v>41471</v>
      </c>
      <c r="B1057" s="19" t="s">
        <v>119</v>
      </c>
      <c r="C1057" s="12">
        <v>200.4</v>
      </c>
      <c r="D1057" s="19" t="s">
        <v>80</v>
      </c>
      <c r="E1057" s="8">
        <v>8.4099199999999996</v>
      </c>
      <c r="F1057" s="8">
        <v>83.311719999999994</v>
      </c>
      <c r="G1057" s="22">
        <v>200</v>
      </c>
      <c r="H1057" s="22">
        <v>5</v>
      </c>
      <c r="I1057" s="10">
        <f t="shared" si="318"/>
        <v>19.983330554894014</v>
      </c>
      <c r="J1057" s="10">
        <f t="shared" si="313"/>
        <v>0.34877491369728597</v>
      </c>
      <c r="K1057" s="10">
        <v>21</v>
      </c>
      <c r="L1057" s="22">
        <v>542</v>
      </c>
      <c r="M1057" s="22" t="s">
        <v>72</v>
      </c>
      <c r="N1057" s="22" t="s">
        <v>93</v>
      </c>
      <c r="O1057" s="10" t="s">
        <v>91</v>
      </c>
      <c r="P1057" s="15" t="s">
        <v>92</v>
      </c>
      <c r="Q1057" s="8">
        <v>0.48</v>
      </c>
      <c r="R1057" s="22" t="s">
        <v>190</v>
      </c>
      <c r="S1057" s="30">
        <v>8.8000000000000007</v>
      </c>
      <c r="T1057" s="79">
        <f t="shared" si="317"/>
        <v>6.0821376000000016E-3</v>
      </c>
      <c r="U1057" s="22">
        <v>9</v>
      </c>
      <c r="V1057" s="22">
        <v>45</v>
      </c>
      <c r="W1057" s="10">
        <f t="shared" si="319"/>
        <v>0.78539816339744828</v>
      </c>
      <c r="X1057" s="22">
        <v>6</v>
      </c>
      <c r="Y1057" s="22">
        <v>29</v>
      </c>
      <c r="Z1057" s="10">
        <f t="shared" si="320"/>
        <v>0.50614548307835561</v>
      </c>
      <c r="AA1057" s="10">
        <f t="shared" si="321"/>
        <v>9.2728187521569509</v>
      </c>
      <c r="AB1057" s="10">
        <f t="shared" si="322"/>
        <v>18.838007820318836</v>
      </c>
      <c r="AC1057" s="10">
        <f t="shared" si="309"/>
        <v>2.3547509775398545</v>
      </c>
      <c r="AD1057" s="10">
        <f t="shared" si="314"/>
        <v>9.4190039101594181</v>
      </c>
      <c r="AE1057" s="65"/>
      <c r="AF1057" s="10">
        <f t="shared" si="315"/>
        <v>20.553476214599119</v>
      </c>
      <c r="AG1057" s="8">
        <f t="shared" si="310"/>
        <v>4.0079278618468281</v>
      </c>
      <c r="AH1057" s="10">
        <f t="shared" si="311"/>
        <v>10.276738107299559</v>
      </c>
      <c r="AI1057" s="63"/>
      <c r="AJ1057" s="10">
        <f t="shared" si="316"/>
        <v>17.416199999999996</v>
      </c>
      <c r="AK1057" s="8"/>
      <c r="AL1057" s="8">
        <f t="shared" si="312"/>
        <v>8.7080999999999982</v>
      </c>
    </row>
    <row r="1058" spans="1:38">
      <c r="A1058" s="18">
        <v>41471</v>
      </c>
      <c r="B1058" s="19" t="s">
        <v>119</v>
      </c>
      <c r="C1058" s="12">
        <v>200.4</v>
      </c>
      <c r="D1058" s="19" t="s">
        <v>80</v>
      </c>
      <c r="E1058" s="8">
        <v>8.4099199999999996</v>
      </c>
      <c r="F1058" s="8">
        <v>83.311719999999994</v>
      </c>
      <c r="G1058" s="22">
        <v>200</v>
      </c>
      <c r="H1058" s="22">
        <v>5</v>
      </c>
      <c r="I1058" s="10">
        <f t="shared" si="318"/>
        <v>19.983330554894014</v>
      </c>
      <c r="J1058" s="10">
        <f t="shared" si="313"/>
        <v>0.34877491369728597</v>
      </c>
      <c r="K1058" s="10">
        <v>21</v>
      </c>
      <c r="L1058" s="22">
        <v>512</v>
      </c>
      <c r="M1058" s="22" t="s">
        <v>36</v>
      </c>
      <c r="N1058" s="8" t="s">
        <v>46</v>
      </c>
      <c r="O1058" s="10" t="s">
        <v>37</v>
      </c>
      <c r="P1058" s="10" t="s">
        <v>38</v>
      </c>
      <c r="Q1058" s="11">
        <v>0.48</v>
      </c>
      <c r="R1058" s="8" t="s">
        <v>60</v>
      </c>
      <c r="S1058" s="30">
        <v>23.7</v>
      </c>
      <c r="T1058" s="79">
        <f t="shared" si="317"/>
        <v>4.4115132599999995E-2</v>
      </c>
      <c r="U1058" s="22">
        <v>10</v>
      </c>
      <c r="V1058" s="22">
        <v>55</v>
      </c>
      <c r="W1058" s="10">
        <f t="shared" si="319"/>
        <v>0.95993108859688125</v>
      </c>
      <c r="X1058" s="22">
        <v>6</v>
      </c>
      <c r="Y1058" s="22">
        <v>12</v>
      </c>
      <c r="Z1058" s="10">
        <f t="shared" si="320"/>
        <v>0.20943951023931956</v>
      </c>
      <c r="AA1058" s="10">
        <f t="shared" si="321"/>
        <v>9.4389905877964733</v>
      </c>
      <c r="AB1058" s="10">
        <f t="shared" si="322"/>
        <v>123.36313422170288</v>
      </c>
      <c r="AC1058" s="10">
        <f t="shared" si="309"/>
        <v>15.42039177771286</v>
      </c>
      <c r="AD1058" s="10">
        <f t="shared" si="314"/>
        <v>61.681567110851439</v>
      </c>
      <c r="AE1058" s="65"/>
      <c r="AF1058" s="10">
        <f t="shared" si="315"/>
        <v>239.26251911683499</v>
      </c>
      <c r="AG1058" s="8">
        <f t="shared" si="310"/>
        <v>46.656191227782827</v>
      </c>
      <c r="AH1058" s="10">
        <f t="shared" si="311"/>
        <v>119.6312595584175</v>
      </c>
      <c r="AI1058" s="63"/>
      <c r="AJ1058" s="10">
        <f t="shared" si="316"/>
        <v>272.16149999999993</v>
      </c>
      <c r="AK1058" s="8"/>
      <c r="AL1058" s="8">
        <f t="shared" si="312"/>
        <v>136.08074999999997</v>
      </c>
    </row>
    <row r="1059" spans="1:38">
      <c r="A1059" s="18">
        <v>41471</v>
      </c>
      <c r="B1059" s="19" t="s">
        <v>119</v>
      </c>
      <c r="C1059" s="12">
        <v>200.4</v>
      </c>
      <c r="D1059" s="19" t="s">
        <v>80</v>
      </c>
      <c r="E1059" s="8">
        <v>8.4099199999999996</v>
      </c>
      <c r="F1059" s="8">
        <v>83.311719999999994</v>
      </c>
      <c r="G1059" s="22">
        <v>200</v>
      </c>
      <c r="H1059" s="22">
        <v>5</v>
      </c>
      <c r="I1059" s="10">
        <f t="shared" si="318"/>
        <v>19.983330554894014</v>
      </c>
      <c r="J1059" s="10">
        <f t="shared" si="313"/>
        <v>0.34877491369728597</v>
      </c>
      <c r="K1059" s="10">
        <v>21</v>
      </c>
      <c r="L1059" s="22">
        <v>488</v>
      </c>
      <c r="M1059" s="8" t="s">
        <v>36</v>
      </c>
      <c r="N1059" s="8" t="s">
        <v>46</v>
      </c>
      <c r="O1059" s="10" t="s">
        <v>37</v>
      </c>
      <c r="P1059" s="10" t="s">
        <v>38</v>
      </c>
      <c r="Q1059" s="11">
        <v>0.48</v>
      </c>
      <c r="R1059" s="8" t="s">
        <v>60</v>
      </c>
      <c r="S1059" s="30">
        <v>29</v>
      </c>
      <c r="T1059" s="79">
        <f t="shared" si="317"/>
        <v>6.6052140000000009E-2</v>
      </c>
      <c r="U1059" s="22">
        <v>13</v>
      </c>
      <c r="V1059" s="22">
        <v>70</v>
      </c>
      <c r="W1059" s="10">
        <f t="shared" si="319"/>
        <v>1.2217304763960306</v>
      </c>
      <c r="X1059" s="22">
        <v>5</v>
      </c>
      <c r="Y1059" s="22">
        <v>17</v>
      </c>
      <c r="Z1059" s="10">
        <f t="shared" si="320"/>
        <v>0.29670597283903605</v>
      </c>
      <c r="AA1059" s="10">
        <f t="shared" si="321"/>
        <v>13.677862593830492</v>
      </c>
      <c r="AB1059" s="10">
        <f t="shared" si="322"/>
        <v>255.50174042027015</v>
      </c>
      <c r="AC1059" s="10">
        <f t="shared" si="309"/>
        <v>31.937717552533769</v>
      </c>
      <c r="AD1059" s="10">
        <f t="shared" si="314"/>
        <v>127.75087021013508</v>
      </c>
      <c r="AE1059" s="65"/>
      <c r="AF1059" s="10">
        <f t="shared" si="315"/>
        <v>390.92122856664514</v>
      </c>
      <c r="AG1059" s="8">
        <f t="shared" si="310"/>
        <v>76.229639570495806</v>
      </c>
      <c r="AH1059" s="10">
        <f t="shared" si="311"/>
        <v>195.46061428332257</v>
      </c>
      <c r="AI1059" s="63"/>
      <c r="AJ1059" s="10">
        <f t="shared" si="316"/>
        <v>442</v>
      </c>
      <c r="AK1059" s="8"/>
      <c r="AL1059" s="8">
        <f t="shared" si="312"/>
        <v>221</v>
      </c>
    </row>
    <row r="1060" spans="1:38">
      <c r="A1060" s="18">
        <v>41471</v>
      </c>
      <c r="B1060" s="19" t="s">
        <v>119</v>
      </c>
      <c r="C1060" s="12">
        <v>200.4</v>
      </c>
      <c r="D1060" s="19" t="s">
        <v>80</v>
      </c>
      <c r="E1060" s="8">
        <v>8.4099199999999996</v>
      </c>
      <c r="F1060" s="8">
        <v>83.311719999999994</v>
      </c>
      <c r="G1060" s="22">
        <v>200</v>
      </c>
      <c r="H1060" s="22">
        <v>5</v>
      </c>
      <c r="I1060" s="10">
        <f t="shared" si="318"/>
        <v>19.983330554894014</v>
      </c>
      <c r="J1060" s="10">
        <f t="shared" si="313"/>
        <v>0.34877491369728597</v>
      </c>
      <c r="K1060" s="10">
        <v>21</v>
      </c>
      <c r="L1060" s="22">
        <v>539</v>
      </c>
      <c r="M1060" s="22" t="s">
        <v>39</v>
      </c>
      <c r="N1060" s="7" t="s">
        <v>69</v>
      </c>
      <c r="O1060" s="33" t="s">
        <v>65</v>
      </c>
      <c r="P1060" s="33" t="s">
        <v>70</v>
      </c>
      <c r="Q1060" s="7">
        <v>0.37</v>
      </c>
      <c r="R1060" s="7" t="s">
        <v>71</v>
      </c>
      <c r="S1060" s="30">
        <v>8.1</v>
      </c>
      <c r="T1060" s="79">
        <f t="shared" si="317"/>
        <v>5.1530094000000002E-3</v>
      </c>
      <c r="U1060" s="22">
        <v>10</v>
      </c>
      <c r="V1060" s="22">
        <v>50</v>
      </c>
      <c r="W1060" s="10">
        <f t="shared" si="319"/>
        <v>0.87266462599716477</v>
      </c>
      <c r="X1060" s="22">
        <v>5</v>
      </c>
      <c r="Y1060" s="22">
        <v>20</v>
      </c>
      <c r="Z1060" s="10">
        <f t="shared" si="320"/>
        <v>0.3490658503988659</v>
      </c>
      <c r="AA1060" s="10">
        <f t="shared" si="321"/>
        <v>9.3705451478181239</v>
      </c>
      <c r="AB1060" s="10">
        <f t="shared" si="322"/>
        <v>12.746241520299218</v>
      </c>
      <c r="AC1060" s="10">
        <f t="shared" si="309"/>
        <v>1.5932801900374023</v>
      </c>
      <c r="AD1060" s="10">
        <f t="shared" si="314"/>
        <v>6.3731207601496092</v>
      </c>
      <c r="AE1060" s="65"/>
      <c r="AF1060" s="10">
        <f t="shared" si="315"/>
        <v>12.900005320287333</v>
      </c>
      <c r="AG1060" s="8">
        <f t="shared" si="310"/>
        <v>2.5155010374560298</v>
      </c>
      <c r="AH1060" s="10">
        <f t="shared" si="311"/>
        <v>6.4500026601436664</v>
      </c>
      <c r="AI1060" s="63"/>
      <c r="AJ1060" s="10">
        <f t="shared" si="316"/>
        <v>13.5291</v>
      </c>
      <c r="AK1060" s="8"/>
      <c r="AL1060" s="8">
        <f t="shared" si="312"/>
        <v>6.7645499999999998</v>
      </c>
    </row>
    <row r="1061" spans="1:38">
      <c r="A1061" s="18">
        <v>41471</v>
      </c>
      <c r="B1061" s="19" t="s">
        <v>119</v>
      </c>
      <c r="C1061" s="12">
        <v>200.4</v>
      </c>
      <c r="D1061" s="19" t="s">
        <v>80</v>
      </c>
      <c r="E1061" s="8">
        <v>8.4099199999999996</v>
      </c>
      <c r="F1061" s="8">
        <v>83.311719999999994</v>
      </c>
      <c r="G1061" s="22">
        <v>200</v>
      </c>
      <c r="H1061" s="22">
        <v>5</v>
      </c>
      <c r="I1061" s="10">
        <f t="shared" si="318"/>
        <v>19.983330554894014</v>
      </c>
      <c r="J1061" s="10">
        <f t="shared" si="313"/>
        <v>0.34877491369728597</v>
      </c>
      <c r="K1061" s="10">
        <v>21</v>
      </c>
      <c r="L1061" s="22">
        <v>541</v>
      </c>
      <c r="M1061" s="22" t="s">
        <v>135</v>
      </c>
      <c r="N1061" s="22" t="s">
        <v>180</v>
      </c>
      <c r="O1061" s="10" t="s">
        <v>217</v>
      </c>
      <c r="P1061" s="10" t="s">
        <v>221</v>
      </c>
      <c r="Q1061" s="24">
        <v>0.38</v>
      </c>
      <c r="R1061" s="31" t="s">
        <v>190</v>
      </c>
      <c r="S1061" s="30">
        <v>17</v>
      </c>
      <c r="T1061" s="79">
        <f t="shared" si="317"/>
        <v>2.2698060000000003E-2</v>
      </c>
      <c r="U1061" s="22">
        <v>9</v>
      </c>
      <c r="V1061" s="22">
        <v>53</v>
      </c>
      <c r="W1061" s="10">
        <f t="shared" si="319"/>
        <v>0.92502450355699462</v>
      </c>
      <c r="X1061" s="22">
        <v>6</v>
      </c>
      <c r="Y1061" s="22">
        <v>24</v>
      </c>
      <c r="Z1061" s="10">
        <f t="shared" si="320"/>
        <v>0.41887902047863912</v>
      </c>
      <c r="AA1061" s="10">
        <f t="shared" si="321"/>
        <v>9.6281394488804359</v>
      </c>
      <c r="AB1061" s="10">
        <f t="shared" si="322"/>
        <v>54.029643715351611</v>
      </c>
      <c r="AC1061" s="10">
        <f t="shared" si="309"/>
        <v>6.7537054644189514</v>
      </c>
      <c r="AD1061" s="10">
        <f t="shared" si="314"/>
        <v>27.014821857675805</v>
      </c>
      <c r="AE1061" s="65"/>
      <c r="AF1061" s="10">
        <f t="shared" si="315"/>
        <v>83.573287492152716</v>
      </c>
      <c r="AG1061" s="8">
        <f t="shared" si="310"/>
        <v>16.296791060969781</v>
      </c>
      <c r="AH1061" s="10">
        <f t="shared" si="311"/>
        <v>41.786643746076358</v>
      </c>
      <c r="AI1061" s="63"/>
      <c r="AJ1061" s="10">
        <f t="shared" si="316"/>
        <v>116.95599999999997</v>
      </c>
      <c r="AK1061" s="8"/>
      <c r="AL1061" s="8">
        <f t="shared" si="312"/>
        <v>58.477999999999987</v>
      </c>
    </row>
    <row r="1062" spans="1:38">
      <c r="A1062" s="18">
        <v>41471</v>
      </c>
      <c r="B1062" s="19" t="s">
        <v>119</v>
      </c>
      <c r="C1062" s="12">
        <v>200.4</v>
      </c>
      <c r="D1062" s="19" t="s">
        <v>80</v>
      </c>
      <c r="E1062" s="8">
        <v>8.4099199999999996</v>
      </c>
      <c r="F1062" s="8">
        <v>83.311719999999994</v>
      </c>
      <c r="G1062" s="22">
        <v>200</v>
      </c>
      <c r="H1062" s="22">
        <v>5</v>
      </c>
      <c r="I1062" s="10">
        <f t="shared" si="318"/>
        <v>19.983330554894014</v>
      </c>
      <c r="J1062" s="10">
        <f t="shared" si="313"/>
        <v>0.34877491369728597</v>
      </c>
      <c r="K1062" s="10">
        <v>21</v>
      </c>
      <c r="L1062" s="22">
        <v>553</v>
      </c>
      <c r="M1062" s="22" t="s">
        <v>135</v>
      </c>
      <c r="N1062" s="22" t="s">
        <v>180</v>
      </c>
      <c r="O1062" s="10" t="s">
        <v>217</v>
      </c>
      <c r="P1062" s="10" t="s">
        <v>221</v>
      </c>
      <c r="Q1062" s="24">
        <v>0.38</v>
      </c>
      <c r="R1062" s="31" t="s">
        <v>190</v>
      </c>
      <c r="S1062" s="30">
        <v>10.8</v>
      </c>
      <c r="T1062" s="79">
        <f t="shared" si="317"/>
        <v>9.1609056000000015E-3</v>
      </c>
      <c r="U1062" s="22">
        <v>10</v>
      </c>
      <c r="V1062" s="22">
        <v>50</v>
      </c>
      <c r="W1062" s="10">
        <f t="shared" si="319"/>
        <v>0.87266462599716477</v>
      </c>
      <c r="X1062" s="22">
        <v>5</v>
      </c>
      <c r="Y1062" s="22">
        <v>21</v>
      </c>
      <c r="Z1062" s="10">
        <f t="shared" si="320"/>
        <v>0.36651914291880922</v>
      </c>
      <c r="AA1062" s="10">
        <f t="shared" si="321"/>
        <v>9.4522841789162815</v>
      </c>
      <c r="AB1062" s="10">
        <f t="shared" si="322"/>
        <v>22.630780181154623</v>
      </c>
      <c r="AC1062" s="10">
        <f t="shared" si="309"/>
        <v>2.8288475226443279</v>
      </c>
      <c r="AD1062" s="10">
        <f t="shared" si="314"/>
        <v>11.315390090577312</v>
      </c>
      <c r="AE1062" s="65"/>
      <c r="AF1062" s="10">
        <f t="shared" si="315"/>
        <v>27.069128243264934</v>
      </c>
      <c r="AG1062" s="8">
        <f t="shared" si="310"/>
        <v>5.278480007436662</v>
      </c>
      <c r="AH1062" s="10">
        <f t="shared" si="311"/>
        <v>13.534564121632467</v>
      </c>
      <c r="AI1062" s="63"/>
      <c r="AJ1062" s="10">
        <f t="shared" si="316"/>
        <v>32.518199999999993</v>
      </c>
      <c r="AK1062" s="8"/>
      <c r="AL1062" s="8">
        <f t="shared" si="312"/>
        <v>16.259099999999997</v>
      </c>
    </row>
    <row r="1063" spans="1:38">
      <c r="A1063" s="18">
        <v>41471</v>
      </c>
      <c r="B1063" s="19" t="s">
        <v>119</v>
      </c>
      <c r="C1063" s="12">
        <v>200.4</v>
      </c>
      <c r="D1063" s="19" t="s">
        <v>80</v>
      </c>
      <c r="E1063" s="8">
        <v>8.4099199999999996</v>
      </c>
      <c r="F1063" s="8">
        <v>83.311719999999994</v>
      </c>
      <c r="G1063" s="22">
        <v>200</v>
      </c>
      <c r="H1063" s="22">
        <v>5</v>
      </c>
      <c r="I1063" s="10">
        <f t="shared" si="318"/>
        <v>19.983330554894014</v>
      </c>
      <c r="J1063" s="10">
        <f t="shared" si="313"/>
        <v>0.34877491369728597</v>
      </c>
      <c r="K1063" s="10">
        <v>21</v>
      </c>
      <c r="L1063" s="22">
        <v>552</v>
      </c>
      <c r="M1063" s="31" t="s">
        <v>253</v>
      </c>
      <c r="N1063" s="7" t="s">
        <v>197</v>
      </c>
      <c r="O1063" s="57" t="s">
        <v>228</v>
      </c>
      <c r="P1063" s="33" t="s">
        <v>229</v>
      </c>
      <c r="Q1063" s="22">
        <v>0.89</v>
      </c>
      <c r="R1063" s="22" t="s">
        <v>190</v>
      </c>
      <c r="S1063" s="30">
        <v>6.2</v>
      </c>
      <c r="T1063" s="79">
        <f t="shared" si="317"/>
        <v>3.0190776000000004E-3</v>
      </c>
      <c r="U1063" s="22">
        <v>6</v>
      </c>
      <c r="V1063" s="22">
        <v>42</v>
      </c>
      <c r="W1063" s="10">
        <f t="shared" si="319"/>
        <v>0.73303828583761843</v>
      </c>
      <c r="X1063" s="22">
        <v>5</v>
      </c>
      <c r="Y1063" s="22">
        <v>21</v>
      </c>
      <c r="Z1063" s="10">
        <f t="shared" ref="Z1063:Z1077" si="323">RADIANS(Y1064)</f>
        <v>0.20943951023931956</v>
      </c>
      <c r="AA1063" s="10">
        <f t="shared" si="321"/>
        <v>5.0543420922419457</v>
      </c>
      <c r="AB1063" s="10">
        <f t="shared" si="322"/>
        <v>9.8498464126292244</v>
      </c>
      <c r="AC1063" s="10">
        <f t="shared" si="309"/>
        <v>1.2312308015786531</v>
      </c>
      <c r="AD1063" s="10">
        <f t="shared" si="314"/>
        <v>4.9249232063146122</v>
      </c>
      <c r="AE1063" s="65"/>
      <c r="AF1063" s="10">
        <f t="shared" si="315"/>
        <v>16.046590624842104</v>
      </c>
      <c r="AG1063" s="8">
        <f t="shared" si="310"/>
        <v>3.1290851718442103</v>
      </c>
      <c r="AH1063" s="10">
        <f t="shared" si="311"/>
        <v>8.0232953124210518</v>
      </c>
      <c r="AI1063" s="63"/>
      <c r="AJ1063" s="10">
        <f t="shared" si="316"/>
        <v>6.6340000000000003</v>
      </c>
      <c r="AK1063" s="8"/>
      <c r="AL1063" s="8">
        <f t="shared" si="312"/>
        <v>3.3170000000000002</v>
      </c>
    </row>
    <row r="1064" spans="1:38">
      <c r="A1064" s="18">
        <v>41471</v>
      </c>
      <c r="B1064" s="19" t="s">
        <v>119</v>
      </c>
      <c r="C1064" s="12">
        <v>200.4</v>
      </c>
      <c r="D1064" s="19" t="s">
        <v>80</v>
      </c>
      <c r="E1064" s="8">
        <v>8.4099199999999996</v>
      </c>
      <c r="F1064" s="8">
        <v>83.311719999999994</v>
      </c>
      <c r="G1064" s="22">
        <v>200</v>
      </c>
      <c r="H1064" s="22">
        <v>5</v>
      </c>
      <c r="I1064" s="10">
        <f t="shared" si="318"/>
        <v>19.983330554894014</v>
      </c>
      <c r="J1064" s="10">
        <f t="shared" si="313"/>
        <v>0.34877491369728597</v>
      </c>
      <c r="K1064" s="10">
        <v>21</v>
      </c>
      <c r="L1064" s="22">
        <v>510</v>
      </c>
      <c r="M1064" s="22" t="s">
        <v>36</v>
      </c>
      <c r="N1064" s="8" t="s">
        <v>46</v>
      </c>
      <c r="O1064" s="10" t="s">
        <v>37</v>
      </c>
      <c r="P1064" s="10" t="s">
        <v>38</v>
      </c>
      <c r="Q1064" s="11">
        <v>0.48</v>
      </c>
      <c r="R1064" s="8" t="s">
        <v>60</v>
      </c>
      <c r="S1064" s="30">
        <v>29.2</v>
      </c>
      <c r="T1064" s="79">
        <f t="shared" si="317"/>
        <v>6.6966345600000005E-2</v>
      </c>
      <c r="U1064" s="22">
        <v>10</v>
      </c>
      <c r="V1064" s="22">
        <v>55</v>
      </c>
      <c r="W1064" s="10">
        <f t="shared" si="319"/>
        <v>0.95993108859688125</v>
      </c>
      <c r="X1064" s="22">
        <v>8</v>
      </c>
      <c r="Y1064" s="22">
        <v>12</v>
      </c>
      <c r="Z1064" s="10">
        <f t="shared" si="323"/>
        <v>0.20943951023931956</v>
      </c>
      <c r="AA1064" s="10">
        <f t="shared" si="321"/>
        <v>9.8548139694319925</v>
      </c>
      <c r="AB1064" s="10">
        <f t="shared" si="322"/>
        <v>190.18566075259108</v>
      </c>
      <c r="AC1064" s="10">
        <f t="shared" si="309"/>
        <v>23.773207594073885</v>
      </c>
      <c r="AD1064" s="10">
        <f t="shared" si="314"/>
        <v>95.092830376295538</v>
      </c>
      <c r="AE1064" s="65"/>
      <c r="AF1064" s="10">
        <f t="shared" si="315"/>
        <v>397.47120903243098</v>
      </c>
      <c r="AG1064" s="8">
        <f t="shared" si="310"/>
        <v>77.506885761324043</v>
      </c>
      <c r="AH1064" s="10">
        <f t="shared" si="311"/>
        <v>198.73560451621549</v>
      </c>
      <c r="AI1064" s="63"/>
      <c r="AJ1064" s="10">
        <f t="shared" si="316"/>
        <v>449.22299999999996</v>
      </c>
      <c r="AK1064" s="8"/>
      <c r="AL1064" s="8">
        <f t="shared" si="312"/>
        <v>224.61149999999998</v>
      </c>
    </row>
    <row r="1065" spans="1:38">
      <c r="A1065" s="18">
        <v>41471</v>
      </c>
      <c r="B1065" s="19" t="s">
        <v>119</v>
      </c>
      <c r="C1065" s="12">
        <v>200.4</v>
      </c>
      <c r="D1065" s="19" t="s">
        <v>80</v>
      </c>
      <c r="E1065" s="8">
        <v>8.4099199999999996</v>
      </c>
      <c r="F1065" s="8">
        <v>83.311719999999994</v>
      </c>
      <c r="G1065" s="22">
        <v>200</v>
      </c>
      <c r="H1065" s="22">
        <v>5</v>
      </c>
      <c r="I1065" s="10">
        <f t="shared" si="318"/>
        <v>19.983330554894014</v>
      </c>
      <c r="J1065" s="10">
        <f t="shared" si="313"/>
        <v>0.34877491369728597</v>
      </c>
      <c r="K1065" s="10">
        <v>21</v>
      </c>
      <c r="L1065" s="22">
        <v>509</v>
      </c>
      <c r="M1065" s="22" t="s">
        <v>72</v>
      </c>
      <c r="N1065" s="22" t="s">
        <v>93</v>
      </c>
      <c r="O1065" s="10" t="s">
        <v>91</v>
      </c>
      <c r="P1065" s="15" t="s">
        <v>92</v>
      </c>
      <c r="Q1065" s="8">
        <v>0.48</v>
      </c>
      <c r="R1065" s="22" t="s">
        <v>190</v>
      </c>
      <c r="S1065" s="30">
        <v>6.9</v>
      </c>
      <c r="T1065" s="79">
        <f t="shared" si="317"/>
        <v>3.7392894000000008E-3</v>
      </c>
      <c r="U1065" s="22">
        <v>7</v>
      </c>
      <c r="V1065" s="22">
        <v>45</v>
      </c>
      <c r="W1065" s="10">
        <f t="shared" si="319"/>
        <v>0.78539816339744828</v>
      </c>
      <c r="X1065" s="22">
        <v>5</v>
      </c>
      <c r="Y1065" s="22">
        <v>12</v>
      </c>
      <c r="Z1065" s="10">
        <f t="shared" si="323"/>
        <v>0.17453292519943295</v>
      </c>
      <c r="AA1065" s="10">
        <f t="shared" si="321"/>
        <v>5.8179883566404831</v>
      </c>
      <c r="AB1065" s="10">
        <f t="shared" si="322"/>
        <v>7.6939835224954862</v>
      </c>
      <c r="AC1065" s="10">
        <f t="shared" si="309"/>
        <v>0.96174794031193578</v>
      </c>
      <c r="AD1065" s="10">
        <f t="shared" si="314"/>
        <v>3.8469917612477431</v>
      </c>
      <c r="AE1065" s="65"/>
      <c r="AF1065" s="10">
        <f t="shared" si="315"/>
        <v>11.259621661162214</v>
      </c>
      <c r="AG1065" s="8">
        <f t="shared" si="310"/>
        <v>2.1956262239266318</v>
      </c>
      <c r="AH1065" s="10">
        <f t="shared" si="311"/>
        <v>5.629810830581107</v>
      </c>
      <c r="AI1065" s="63"/>
      <c r="AJ1065" s="10">
        <f t="shared" si="316"/>
        <v>8.5527000000000051</v>
      </c>
      <c r="AK1065" s="8"/>
      <c r="AL1065" s="8">
        <f t="shared" si="312"/>
        <v>4.2763500000000025</v>
      </c>
    </row>
    <row r="1066" spans="1:38">
      <c r="A1066" s="18">
        <v>41471</v>
      </c>
      <c r="B1066" s="19" t="s">
        <v>119</v>
      </c>
      <c r="C1066" s="12">
        <v>200.4</v>
      </c>
      <c r="D1066" s="19" t="s">
        <v>80</v>
      </c>
      <c r="E1066" s="8">
        <v>8.4099199999999996</v>
      </c>
      <c r="F1066" s="8">
        <v>83.311719999999994</v>
      </c>
      <c r="G1066" s="22">
        <v>200</v>
      </c>
      <c r="H1066" s="22">
        <v>5</v>
      </c>
      <c r="I1066" s="10">
        <f t="shared" si="318"/>
        <v>19.983330554894014</v>
      </c>
      <c r="J1066" s="10">
        <f t="shared" si="313"/>
        <v>0.34877491369728597</v>
      </c>
      <c r="K1066" s="10">
        <v>21</v>
      </c>
      <c r="L1066" s="22">
        <v>504</v>
      </c>
      <c r="M1066" s="22" t="s">
        <v>140</v>
      </c>
      <c r="N1066" s="60" t="s">
        <v>244</v>
      </c>
      <c r="O1066" s="33" t="s">
        <v>242</v>
      </c>
      <c r="P1066" s="33" t="s">
        <v>243</v>
      </c>
      <c r="Q1066" s="42">
        <v>0.7</v>
      </c>
      <c r="R1066" s="7" t="s">
        <v>190</v>
      </c>
      <c r="S1066" s="30">
        <v>8.9</v>
      </c>
      <c r="T1066" s="79">
        <f t="shared" si="317"/>
        <v>6.2211534000000011E-3</v>
      </c>
      <c r="U1066" s="22">
        <v>9</v>
      </c>
      <c r="V1066" s="22">
        <v>50</v>
      </c>
      <c r="W1066" s="10">
        <f t="shared" si="319"/>
        <v>0.87266462599716477</v>
      </c>
      <c r="X1066" s="22">
        <v>7</v>
      </c>
      <c r="Y1066" s="22">
        <v>10</v>
      </c>
      <c r="Z1066" s="10">
        <f t="shared" si="323"/>
        <v>0.17453292519943295</v>
      </c>
      <c r="AA1066" s="10">
        <f t="shared" si="321"/>
        <v>8.1099372317393144</v>
      </c>
      <c r="AB1066" s="10">
        <f t="shared" si="322"/>
        <v>24.187085215931919</v>
      </c>
      <c r="AC1066" s="10">
        <f t="shared" si="309"/>
        <v>3.0233856519914899</v>
      </c>
      <c r="AD1066" s="10">
        <f t="shared" si="314"/>
        <v>12.09354260796596</v>
      </c>
      <c r="AE1066" s="65"/>
      <c r="AF1066" s="10">
        <f t="shared" si="315"/>
        <v>30.826317843581112</v>
      </c>
      <c r="AG1066" s="8">
        <f t="shared" si="310"/>
        <v>6.0111319794983169</v>
      </c>
      <c r="AH1066" s="10">
        <f t="shared" si="311"/>
        <v>15.413158921790556</v>
      </c>
      <c r="AI1066" s="63"/>
      <c r="AJ1066" s="10">
        <f t="shared" si="316"/>
        <v>18.03070000000001</v>
      </c>
      <c r="AK1066" s="8"/>
      <c r="AL1066" s="8">
        <f t="shared" si="312"/>
        <v>9.0153500000000051</v>
      </c>
    </row>
    <row r="1067" spans="1:38">
      <c r="A1067" s="18">
        <v>41471</v>
      </c>
      <c r="B1067" s="19" t="s">
        <v>119</v>
      </c>
      <c r="C1067" s="12">
        <v>200.4</v>
      </c>
      <c r="D1067" s="19" t="s">
        <v>80</v>
      </c>
      <c r="E1067" s="8">
        <v>8.4099199999999996</v>
      </c>
      <c r="F1067" s="8">
        <v>83.311719999999994</v>
      </c>
      <c r="G1067" s="22">
        <v>200</v>
      </c>
      <c r="H1067" s="22">
        <v>5</v>
      </c>
      <c r="I1067" s="10">
        <f t="shared" si="318"/>
        <v>19.983330554894014</v>
      </c>
      <c r="J1067" s="10">
        <f t="shared" si="313"/>
        <v>0.34877491369728597</v>
      </c>
      <c r="K1067" s="10">
        <v>21</v>
      </c>
      <c r="L1067" s="22">
        <v>494</v>
      </c>
      <c r="M1067" s="22" t="s">
        <v>140</v>
      </c>
      <c r="N1067" s="60" t="s">
        <v>244</v>
      </c>
      <c r="O1067" s="33" t="s">
        <v>242</v>
      </c>
      <c r="P1067" s="33" t="s">
        <v>243</v>
      </c>
      <c r="Q1067" s="42">
        <v>0.7</v>
      </c>
      <c r="R1067" s="7" t="s">
        <v>190</v>
      </c>
      <c r="S1067" s="30">
        <v>6.7</v>
      </c>
      <c r="T1067" s="79">
        <f t="shared" si="317"/>
        <v>3.5256606000000001E-3</v>
      </c>
      <c r="U1067" s="22">
        <v>8</v>
      </c>
      <c r="V1067" s="22">
        <v>45</v>
      </c>
      <c r="W1067" s="10">
        <f t="shared" si="319"/>
        <v>0.78539816339744828</v>
      </c>
      <c r="X1067" s="22">
        <v>7</v>
      </c>
      <c r="Y1067" s="22">
        <v>10</v>
      </c>
      <c r="Z1067" s="10">
        <f t="shared" si="323"/>
        <v>0.13962634015954636</v>
      </c>
      <c r="AA1067" s="10">
        <f t="shared" si="321"/>
        <v>6.6310659562128382</v>
      </c>
      <c r="AB1067" s="10">
        <f t="shared" si="322"/>
        <v>11.737155401931917</v>
      </c>
      <c r="AC1067" s="10">
        <f t="shared" si="309"/>
        <v>1.4671444252414896</v>
      </c>
      <c r="AD1067" s="10">
        <f t="shared" si="314"/>
        <v>5.8685777009659583</v>
      </c>
      <c r="AE1067" s="65"/>
      <c r="AF1067" s="10">
        <f t="shared" si="315"/>
        <v>15.272390833075766</v>
      </c>
      <c r="AG1067" s="8">
        <f t="shared" si="310"/>
        <v>2.9781162124497746</v>
      </c>
      <c r="AH1067" s="10">
        <f t="shared" si="311"/>
        <v>7.6361954165378831</v>
      </c>
      <c r="AI1067" s="63"/>
      <c r="AJ1067" s="10">
        <f t="shared" si="316"/>
        <v>7.9304999999999986</v>
      </c>
      <c r="AK1067" s="8"/>
      <c r="AL1067" s="8">
        <f t="shared" si="312"/>
        <v>3.9652499999999993</v>
      </c>
    </row>
    <row r="1068" spans="1:38">
      <c r="A1068" s="18">
        <v>41471</v>
      </c>
      <c r="B1068" s="19" t="s">
        <v>119</v>
      </c>
      <c r="C1068" s="12">
        <v>200.4</v>
      </c>
      <c r="D1068" s="19" t="s">
        <v>80</v>
      </c>
      <c r="E1068" s="8">
        <v>8.4099199999999996</v>
      </c>
      <c r="F1068" s="8">
        <v>83.311719999999994</v>
      </c>
      <c r="G1068" s="22">
        <v>200</v>
      </c>
      <c r="H1068" s="22">
        <v>5</v>
      </c>
      <c r="I1068" s="10">
        <f t="shared" si="318"/>
        <v>19.983330554894014</v>
      </c>
      <c r="J1068" s="10">
        <f t="shared" si="313"/>
        <v>0.34877491369728597</v>
      </c>
      <c r="K1068" s="10">
        <v>21</v>
      </c>
      <c r="L1068" s="22">
        <v>493</v>
      </c>
      <c r="M1068" s="22" t="s">
        <v>54</v>
      </c>
      <c r="N1068" s="8" t="s">
        <v>55</v>
      </c>
      <c r="O1068" s="10" t="s">
        <v>56</v>
      </c>
      <c r="P1068" s="10" t="s">
        <v>57</v>
      </c>
      <c r="Q1068" s="11">
        <v>0.315</v>
      </c>
      <c r="R1068" s="12" t="s">
        <v>66</v>
      </c>
      <c r="S1068" s="30">
        <v>5.7</v>
      </c>
      <c r="T1068" s="79">
        <f t="shared" si="317"/>
        <v>2.5517646000000004E-3</v>
      </c>
      <c r="U1068" s="22">
        <v>12</v>
      </c>
      <c r="V1068" s="22">
        <v>58</v>
      </c>
      <c r="W1068" s="10">
        <f t="shared" si="319"/>
        <v>1.0122909661567112</v>
      </c>
      <c r="X1068" s="22">
        <v>6</v>
      </c>
      <c r="Y1068" s="22">
        <v>8</v>
      </c>
      <c r="Z1068" s="10">
        <f t="shared" si="323"/>
        <v>0.20943951023931956</v>
      </c>
      <c r="AA1068" s="10">
        <f t="shared" si="321"/>
        <v>11.424047298783668</v>
      </c>
      <c r="AB1068" s="10">
        <f t="shared" si="322"/>
        <v>6.8181910060778588</v>
      </c>
      <c r="AC1068" s="10">
        <f t="shared" si="309"/>
        <v>0.85227387575973235</v>
      </c>
      <c r="AD1068" s="10">
        <f t="shared" si="314"/>
        <v>3.4090955030389294</v>
      </c>
      <c r="AE1068" s="65"/>
      <c r="AF1068" s="10">
        <f t="shared" si="315"/>
        <v>4.6220529052500741</v>
      </c>
      <c r="AG1068" s="8">
        <f t="shared" si="310"/>
        <v>0.90130031652376452</v>
      </c>
      <c r="AH1068" s="10">
        <f t="shared" si="311"/>
        <v>2.311026452625037</v>
      </c>
      <c r="AI1068" s="63"/>
      <c r="AJ1068" s="10">
        <f t="shared" si="316"/>
        <v>5.7074999999999996</v>
      </c>
      <c r="AK1068" s="8"/>
      <c r="AL1068" s="8">
        <f t="shared" si="312"/>
        <v>2.8537499999999998</v>
      </c>
    </row>
    <row r="1069" spans="1:38">
      <c r="A1069" s="18">
        <v>41471</v>
      </c>
      <c r="B1069" s="19" t="s">
        <v>119</v>
      </c>
      <c r="C1069" s="12">
        <v>200.4</v>
      </c>
      <c r="D1069" s="19" t="s">
        <v>80</v>
      </c>
      <c r="E1069" s="8">
        <v>8.4099199999999996</v>
      </c>
      <c r="F1069" s="8">
        <v>83.311719999999994</v>
      </c>
      <c r="G1069" s="22">
        <v>200</v>
      </c>
      <c r="H1069" s="22">
        <v>5</v>
      </c>
      <c r="I1069" s="10">
        <f t="shared" si="318"/>
        <v>19.983330554894014</v>
      </c>
      <c r="J1069" s="10">
        <f t="shared" si="313"/>
        <v>0.34877491369728597</v>
      </c>
      <c r="K1069" s="10">
        <v>21</v>
      </c>
      <c r="L1069" s="22">
        <v>500</v>
      </c>
      <c r="M1069" s="22" t="s">
        <v>72</v>
      </c>
      <c r="N1069" s="22" t="s">
        <v>93</v>
      </c>
      <c r="O1069" s="10" t="s">
        <v>91</v>
      </c>
      <c r="P1069" s="15" t="s">
        <v>92</v>
      </c>
      <c r="Q1069" s="8">
        <v>0.48</v>
      </c>
      <c r="R1069" s="22" t="s">
        <v>190</v>
      </c>
      <c r="S1069" s="30">
        <v>8.1</v>
      </c>
      <c r="T1069" s="79">
        <f t="shared" si="317"/>
        <v>5.1530094000000002E-3</v>
      </c>
      <c r="U1069" s="22">
        <v>7</v>
      </c>
      <c r="V1069" s="22">
        <v>60</v>
      </c>
      <c r="W1069" s="10">
        <f t="shared" si="319"/>
        <v>1.0471975511965976</v>
      </c>
      <c r="X1069" s="22">
        <v>5</v>
      </c>
      <c r="Y1069" s="22">
        <v>12</v>
      </c>
      <c r="Z1069" s="10">
        <f t="shared" si="323"/>
        <v>0.17453292519943295</v>
      </c>
      <c r="AA1069" s="10">
        <f t="shared" si="321"/>
        <v>6.9304187148257217</v>
      </c>
      <c r="AB1069" s="10">
        <f t="shared" si="322"/>
        <v>12.260106014469713</v>
      </c>
      <c r="AC1069" s="10">
        <f t="shared" si="309"/>
        <v>1.5325132518087141</v>
      </c>
      <c r="AD1069" s="10">
        <f t="shared" si="314"/>
        <v>6.1300530072348565</v>
      </c>
      <c r="AE1069" s="65"/>
      <c r="AF1069" s="10">
        <f t="shared" si="315"/>
        <v>16.735142037129513</v>
      </c>
      <c r="AG1069" s="8">
        <f t="shared" si="310"/>
        <v>3.2633526972402551</v>
      </c>
      <c r="AH1069" s="10">
        <f t="shared" si="311"/>
        <v>8.3675710185647567</v>
      </c>
      <c r="AI1069" s="63"/>
      <c r="AJ1069" s="10">
        <f t="shared" si="316"/>
        <v>13.5291</v>
      </c>
      <c r="AK1069" s="8"/>
      <c r="AL1069" s="8">
        <f t="shared" si="312"/>
        <v>6.7645499999999998</v>
      </c>
    </row>
    <row r="1070" spans="1:38">
      <c r="A1070" s="18">
        <v>41471</v>
      </c>
      <c r="B1070" s="19" t="s">
        <v>119</v>
      </c>
      <c r="C1070" s="12">
        <v>200.4</v>
      </c>
      <c r="D1070" s="19" t="s">
        <v>80</v>
      </c>
      <c r="E1070" s="8">
        <v>8.4099199999999996</v>
      </c>
      <c r="F1070" s="8">
        <v>83.311719999999994</v>
      </c>
      <c r="G1070" s="22">
        <v>200</v>
      </c>
      <c r="H1070" s="22">
        <v>5</v>
      </c>
      <c r="I1070" s="10">
        <f t="shared" si="318"/>
        <v>19.983330554894014</v>
      </c>
      <c r="J1070" s="10">
        <f t="shared" si="313"/>
        <v>0.34877491369728597</v>
      </c>
      <c r="K1070" s="10">
        <v>21</v>
      </c>
      <c r="L1070" s="22">
        <v>499</v>
      </c>
      <c r="M1070" s="22" t="s">
        <v>36</v>
      </c>
      <c r="N1070" s="8" t="s">
        <v>46</v>
      </c>
      <c r="O1070" s="10" t="s">
        <v>37</v>
      </c>
      <c r="P1070" s="10" t="s">
        <v>38</v>
      </c>
      <c r="Q1070" s="11">
        <v>0.48</v>
      </c>
      <c r="R1070" s="8" t="s">
        <v>60</v>
      </c>
      <c r="S1070" s="30">
        <v>31.2</v>
      </c>
      <c r="T1070" s="79">
        <f t="shared" si="317"/>
        <v>7.64539776E-2</v>
      </c>
      <c r="U1070" s="22">
        <v>17</v>
      </c>
      <c r="V1070" s="22">
        <v>75</v>
      </c>
      <c r="W1070" s="10">
        <f t="shared" si="319"/>
        <v>1.3089969389957472</v>
      </c>
      <c r="X1070" s="22">
        <v>5</v>
      </c>
      <c r="Y1070" s="22">
        <v>10</v>
      </c>
      <c r="Z1070" s="10">
        <f t="shared" si="323"/>
        <v>0.17453292519943295</v>
      </c>
      <c r="AA1070" s="10">
        <f t="shared" si="321"/>
        <v>17.288979935248811</v>
      </c>
      <c r="AB1070" s="10">
        <f t="shared" si="322"/>
        <v>365.3779452963787</v>
      </c>
      <c r="AC1070" s="10">
        <f t="shared" ref="AC1070:AC1131" si="324">AB1070*0.125</f>
        <v>45.672243162047337</v>
      </c>
      <c r="AD1070" s="10">
        <f t="shared" si="314"/>
        <v>182.68897264818935</v>
      </c>
      <c r="AE1070" s="65"/>
      <c r="AF1070" s="10">
        <f t="shared" si="315"/>
        <v>466.33724858095979</v>
      </c>
      <c r="AG1070" s="8">
        <f t="shared" ref="AG1070:AG1131" si="325">AF1070*0.195</f>
        <v>90.935763473287167</v>
      </c>
      <c r="AH1070" s="10">
        <f t="shared" ref="AH1070:AH1131" si="326">AF1070/2</f>
        <v>233.1686242904799</v>
      </c>
      <c r="AI1070" s="63"/>
      <c r="AJ1070" s="10">
        <f t="shared" si="316"/>
        <v>524.70899999999995</v>
      </c>
      <c r="AK1070" s="8"/>
      <c r="AL1070" s="8">
        <f t="shared" ref="AL1070:AL1131" si="327">AJ1070/2</f>
        <v>262.35449999999997</v>
      </c>
    </row>
    <row r="1071" spans="1:38">
      <c r="A1071" s="18">
        <v>41471</v>
      </c>
      <c r="B1071" s="19" t="s">
        <v>119</v>
      </c>
      <c r="C1071" s="12">
        <v>200.4</v>
      </c>
      <c r="D1071" s="19" t="s">
        <v>80</v>
      </c>
      <c r="E1071" s="8">
        <v>8.4099199999999996</v>
      </c>
      <c r="F1071" s="8">
        <v>83.311719999999994</v>
      </c>
      <c r="G1071" s="22">
        <v>200</v>
      </c>
      <c r="H1071" s="22">
        <v>5</v>
      </c>
      <c r="I1071" s="10">
        <f t="shared" si="318"/>
        <v>19.983330554894014</v>
      </c>
      <c r="J1071" s="10">
        <f t="shared" si="313"/>
        <v>0.34877491369728597</v>
      </c>
      <c r="K1071" s="10">
        <v>21</v>
      </c>
      <c r="L1071" s="22">
        <v>506</v>
      </c>
      <c r="M1071" s="22" t="s">
        <v>36</v>
      </c>
      <c r="N1071" s="8" t="s">
        <v>46</v>
      </c>
      <c r="O1071" s="10" t="s">
        <v>37</v>
      </c>
      <c r="P1071" s="10" t="s">
        <v>38</v>
      </c>
      <c r="Q1071" s="11">
        <v>0.48</v>
      </c>
      <c r="R1071" s="8" t="s">
        <v>60</v>
      </c>
      <c r="S1071" s="30">
        <v>23.5</v>
      </c>
      <c r="T1071" s="79">
        <f t="shared" si="317"/>
        <v>4.3373715E-2</v>
      </c>
      <c r="U1071" s="22">
        <v>13</v>
      </c>
      <c r="V1071" s="22">
        <v>54</v>
      </c>
      <c r="W1071" s="10">
        <f t="shared" si="319"/>
        <v>0.94247779607693793</v>
      </c>
      <c r="X1071" s="22">
        <v>6</v>
      </c>
      <c r="Y1071" s="22">
        <v>10</v>
      </c>
      <c r="Z1071" s="10">
        <f t="shared" si="323"/>
        <v>0.20943951023931956</v>
      </c>
      <c r="AA1071" s="10">
        <f t="shared" si="321"/>
        <v>11.764691071780872</v>
      </c>
      <c r="AB1071" s="10">
        <f t="shared" si="322"/>
        <v>149.34193061476182</v>
      </c>
      <c r="AC1071" s="10">
        <f t="shared" si="324"/>
        <v>18.667741326845228</v>
      </c>
      <c r="AD1071" s="10">
        <f t="shared" si="314"/>
        <v>74.670965307380911</v>
      </c>
      <c r="AE1071" s="65"/>
      <c r="AF1071" s="10">
        <f t="shared" si="315"/>
        <v>234.35330387362202</v>
      </c>
      <c r="AG1071" s="8">
        <f t="shared" si="325"/>
        <v>45.698894255356294</v>
      </c>
      <c r="AH1071" s="10">
        <f t="shared" si="326"/>
        <v>117.17665193681101</v>
      </c>
      <c r="AI1071" s="63"/>
      <c r="AJ1071" s="10">
        <f t="shared" si="316"/>
        <v>266.56650000000002</v>
      </c>
      <c r="AK1071" s="8"/>
      <c r="AL1071" s="8">
        <f t="shared" si="327"/>
        <v>133.28325000000001</v>
      </c>
    </row>
    <row r="1072" spans="1:38">
      <c r="A1072" s="18">
        <v>41471</v>
      </c>
      <c r="B1072" s="19" t="s">
        <v>119</v>
      </c>
      <c r="C1072" s="12">
        <v>200.4</v>
      </c>
      <c r="D1072" s="19" t="s">
        <v>80</v>
      </c>
      <c r="E1072" s="8">
        <v>8.4099199999999996</v>
      </c>
      <c r="F1072" s="8">
        <v>83.311719999999994</v>
      </c>
      <c r="G1072" s="22">
        <v>200</v>
      </c>
      <c r="H1072" s="22">
        <v>5</v>
      </c>
      <c r="I1072" s="10">
        <f t="shared" si="318"/>
        <v>19.983330554894014</v>
      </c>
      <c r="J1072" s="10">
        <f t="shared" si="313"/>
        <v>0.34877491369728597</v>
      </c>
      <c r="K1072" s="10">
        <v>21</v>
      </c>
      <c r="L1072" s="22">
        <v>545</v>
      </c>
      <c r="M1072" s="31" t="s">
        <v>253</v>
      </c>
      <c r="N1072" s="7" t="s">
        <v>197</v>
      </c>
      <c r="O1072" s="57" t="s">
        <v>228</v>
      </c>
      <c r="P1072" s="33" t="s">
        <v>229</v>
      </c>
      <c r="Q1072" s="22">
        <v>0.89</v>
      </c>
      <c r="R1072" s="22" t="s">
        <v>190</v>
      </c>
      <c r="S1072" s="30">
        <v>7.3</v>
      </c>
      <c r="T1072" s="79">
        <f t="shared" si="317"/>
        <v>4.1853966000000003E-3</v>
      </c>
      <c r="U1072" s="22">
        <v>8</v>
      </c>
      <c r="V1072" s="22">
        <v>40</v>
      </c>
      <c r="W1072" s="10">
        <f t="shared" si="319"/>
        <v>0.69813170079773179</v>
      </c>
      <c r="X1072" s="22">
        <v>8</v>
      </c>
      <c r="Y1072" s="22">
        <v>12</v>
      </c>
      <c r="Z1072" s="10">
        <f t="shared" si="323"/>
        <v>0.20943951023931956</v>
      </c>
      <c r="AA1072" s="10">
        <f t="shared" si="321"/>
        <v>6.8055944040343892</v>
      </c>
      <c r="AB1072" s="10">
        <f t="shared" si="322"/>
        <v>17.710442140218568</v>
      </c>
      <c r="AC1072" s="10">
        <f t="shared" si="324"/>
        <v>2.213805267527321</v>
      </c>
      <c r="AD1072" s="10">
        <f t="shared" si="314"/>
        <v>8.8552210701092839</v>
      </c>
      <c r="AE1072" s="65"/>
      <c r="AF1072" s="10">
        <f t="shared" si="315"/>
        <v>23.991793137603274</v>
      </c>
      <c r="AG1072" s="8">
        <f t="shared" si="325"/>
        <v>4.6783996618326382</v>
      </c>
      <c r="AH1072" s="10">
        <f t="shared" si="326"/>
        <v>11.995896568801637</v>
      </c>
      <c r="AI1072" s="63"/>
      <c r="AJ1072" s="10">
        <f t="shared" si="316"/>
        <v>9.974699999999995</v>
      </c>
      <c r="AK1072" s="8"/>
      <c r="AL1072" s="8">
        <f t="shared" si="327"/>
        <v>4.9873499999999975</v>
      </c>
    </row>
    <row r="1073" spans="1:38">
      <c r="A1073" s="18">
        <v>41471</v>
      </c>
      <c r="B1073" s="19" t="s">
        <v>119</v>
      </c>
      <c r="C1073" s="12">
        <v>200.4</v>
      </c>
      <c r="D1073" s="19" t="s">
        <v>80</v>
      </c>
      <c r="E1073" s="8">
        <v>8.4099199999999996</v>
      </c>
      <c r="F1073" s="8">
        <v>83.311719999999994</v>
      </c>
      <c r="G1073" s="22">
        <v>200</v>
      </c>
      <c r="H1073" s="22">
        <v>5</v>
      </c>
      <c r="I1073" s="10">
        <f t="shared" si="318"/>
        <v>19.983330554894014</v>
      </c>
      <c r="J1073" s="10">
        <f t="shared" si="313"/>
        <v>0.34877491369728597</v>
      </c>
      <c r="K1073" s="10">
        <v>21</v>
      </c>
      <c r="L1073" s="22">
        <v>501</v>
      </c>
      <c r="M1073" s="22" t="s">
        <v>36</v>
      </c>
      <c r="N1073" s="8" t="s">
        <v>46</v>
      </c>
      <c r="O1073" s="10" t="s">
        <v>37</v>
      </c>
      <c r="P1073" s="10" t="s">
        <v>38</v>
      </c>
      <c r="Q1073" s="11">
        <v>0.48</v>
      </c>
      <c r="R1073" s="8" t="s">
        <v>60</v>
      </c>
      <c r="S1073" s="30">
        <v>28.3</v>
      </c>
      <c r="T1073" s="79">
        <f t="shared" si="317"/>
        <v>6.2901900600000005E-2</v>
      </c>
      <c r="U1073" s="22">
        <v>11</v>
      </c>
      <c r="V1073" s="22">
        <v>55</v>
      </c>
      <c r="W1073" s="10">
        <f t="shared" si="319"/>
        <v>0.95993108859688125</v>
      </c>
      <c r="X1073" s="22">
        <v>6</v>
      </c>
      <c r="Y1073" s="22">
        <v>12</v>
      </c>
      <c r="Z1073" s="10">
        <f t="shared" si="323"/>
        <v>0.24434609527920614</v>
      </c>
      <c r="AA1073" s="10">
        <f t="shared" si="321"/>
        <v>10.462203860776917</v>
      </c>
      <c r="AB1073" s="10">
        <f t="shared" si="322"/>
        <v>189.68490468941783</v>
      </c>
      <c r="AC1073" s="10">
        <f t="shared" si="324"/>
        <v>23.710613086177229</v>
      </c>
      <c r="AD1073" s="10">
        <f t="shared" si="314"/>
        <v>94.842452344708917</v>
      </c>
      <c r="AE1073" s="65"/>
      <c r="AF1073" s="10">
        <f t="shared" si="315"/>
        <v>368.47541885001255</v>
      </c>
      <c r="AG1073" s="8">
        <f t="shared" si="325"/>
        <v>71.852706675752444</v>
      </c>
      <c r="AH1073" s="10">
        <f t="shared" si="326"/>
        <v>184.23770942500627</v>
      </c>
      <c r="AI1073" s="63"/>
      <c r="AJ1073" s="10">
        <f t="shared" si="316"/>
        <v>417.1857</v>
      </c>
      <c r="AK1073" s="8"/>
      <c r="AL1073" s="8">
        <f t="shared" si="327"/>
        <v>208.59285</v>
      </c>
    </row>
    <row r="1074" spans="1:38">
      <c r="A1074" s="18">
        <v>41471</v>
      </c>
      <c r="B1074" s="19" t="s">
        <v>119</v>
      </c>
      <c r="C1074" s="12">
        <v>200.4</v>
      </c>
      <c r="D1074" s="19" t="s">
        <v>80</v>
      </c>
      <c r="E1074" s="8">
        <v>8.4099199999999996</v>
      </c>
      <c r="F1074" s="8">
        <v>83.311719999999994</v>
      </c>
      <c r="G1074" s="22">
        <v>200</v>
      </c>
      <c r="H1074" s="22">
        <v>5</v>
      </c>
      <c r="I1074" s="10">
        <f t="shared" si="318"/>
        <v>19.983330554894014</v>
      </c>
      <c r="J1074" s="10">
        <f t="shared" si="313"/>
        <v>0.34877491369728597</v>
      </c>
      <c r="K1074" s="10">
        <v>21</v>
      </c>
      <c r="L1074" s="22">
        <v>490</v>
      </c>
      <c r="M1074" s="22" t="s">
        <v>135</v>
      </c>
      <c r="N1074" s="22" t="s">
        <v>180</v>
      </c>
      <c r="O1074" s="10" t="s">
        <v>217</v>
      </c>
      <c r="P1074" s="10" t="s">
        <v>221</v>
      </c>
      <c r="Q1074" s="24">
        <v>0.38</v>
      </c>
      <c r="R1074" s="31" t="s">
        <v>190</v>
      </c>
      <c r="S1074" s="30">
        <v>7.5</v>
      </c>
      <c r="T1074" s="79">
        <f t="shared" si="317"/>
        <v>4.4178749999999999E-3</v>
      </c>
      <c r="U1074" s="22">
        <v>11</v>
      </c>
      <c r="V1074" s="22">
        <v>50</v>
      </c>
      <c r="W1074" s="10">
        <f t="shared" si="319"/>
        <v>0.87266462599716477</v>
      </c>
      <c r="X1074" s="22">
        <v>6</v>
      </c>
      <c r="Y1074" s="22">
        <v>14</v>
      </c>
      <c r="Z1074" s="10">
        <f t="shared" si="323"/>
        <v>0.24434609527920614</v>
      </c>
      <c r="AA1074" s="10">
        <f t="shared" si="321"/>
        <v>9.8780202479067647</v>
      </c>
      <c r="AB1074" s="10">
        <f t="shared" si="322"/>
        <v>11.884015089597399</v>
      </c>
      <c r="AC1074" s="10">
        <f t="shared" si="324"/>
        <v>1.4855018861996749</v>
      </c>
      <c r="AD1074" s="10">
        <f t="shared" si="314"/>
        <v>5.9420075447986997</v>
      </c>
      <c r="AE1074" s="65"/>
      <c r="AF1074" s="10">
        <f t="shared" si="315"/>
        <v>10.951175395154729</v>
      </c>
      <c r="AG1074" s="8">
        <f t="shared" si="325"/>
        <v>2.1354792020551723</v>
      </c>
      <c r="AH1074" s="10">
        <f t="shared" si="326"/>
        <v>5.4755876975773647</v>
      </c>
      <c r="AI1074" s="63"/>
      <c r="AJ1074" s="10">
        <f t="shared" si="316"/>
        <v>10.7745</v>
      </c>
      <c r="AK1074" s="8"/>
      <c r="AL1074" s="8">
        <f t="shared" si="327"/>
        <v>5.3872499999999999</v>
      </c>
    </row>
    <row r="1075" spans="1:38">
      <c r="A1075" s="18">
        <v>41471</v>
      </c>
      <c r="B1075" s="19" t="s">
        <v>119</v>
      </c>
      <c r="C1075" s="12">
        <v>200.4</v>
      </c>
      <c r="D1075" s="19" t="s">
        <v>80</v>
      </c>
      <c r="E1075" s="8">
        <v>8.4099199999999996</v>
      </c>
      <c r="F1075" s="8">
        <v>83.311719999999994</v>
      </c>
      <c r="G1075" s="22">
        <v>200</v>
      </c>
      <c r="H1075" s="22">
        <v>5</v>
      </c>
      <c r="I1075" s="10">
        <f t="shared" si="318"/>
        <v>19.983330554894014</v>
      </c>
      <c r="J1075" s="10">
        <f t="shared" si="313"/>
        <v>0.34877491369728597</v>
      </c>
      <c r="K1075" s="10">
        <v>21</v>
      </c>
      <c r="L1075" s="22">
        <v>550</v>
      </c>
      <c r="M1075" s="22" t="s">
        <v>135</v>
      </c>
      <c r="N1075" s="22" t="s">
        <v>180</v>
      </c>
      <c r="O1075" s="10" t="s">
        <v>217</v>
      </c>
      <c r="P1075" s="10" t="s">
        <v>221</v>
      </c>
      <c r="Q1075" s="24">
        <v>0.38</v>
      </c>
      <c r="R1075" s="31" t="s">
        <v>190</v>
      </c>
      <c r="S1075" s="30">
        <v>8.3000000000000007</v>
      </c>
      <c r="T1075" s="79">
        <f t="shared" si="317"/>
        <v>5.4106206000000016E-3</v>
      </c>
      <c r="U1075" s="22">
        <v>10</v>
      </c>
      <c r="V1075" s="22">
        <v>55</v>
      </c>
      <c r="W1075" s="10">
        <f t="shared" si="319"/>
        <v>0.95993108859688125</v>
      </c>
      <c r="X1075" s="22">
        <v>6</v>
      </c>
      <c r="Y1075" s="22">
        <v>14</v>
      </c>
      <c r="Z1075" s="10">
        <f t="shared" si="323"/>
        <v>0.20943951023931956</v>
      </c>
      <c r="AA1075" s="10">
        <f t="shared" si="321"/>
        <v>9.4389905877964733</v>
      </c>
      <c r="AB1075" s="10">
        <f t="shared" si="322"/>
        <v>13.777015137593368</v>
      </c>
      <c r="AC1075" s="10">
        <f t="shared" si="324"/>
        <v>1.722126892199171</v>
      </c>
      <c r="AD1075" s="10">
        <f t="shared" si="314"/>
        <v>6.8885075687966841</v>
      </c>
      <c r="AE1075" s="65"/>
      <c r="AF1075" s="10">
        <f t="shared" si="315"/>
        <v>14.074081822927729</v>
      </c>
      <c r="AG1075" s="8">
        <f t="shared" si="325"/>
        <v>2.7444459554709071</v>
      </c>
      <c r="AH1075" s="10">
        <f t="shared" si="326"/>
        <v>7.0370409114638646</v>
      </c>
      <c r="AI1075" s="63"/>
      <c r="AJ1075" s="10">
        <f t="shared" si="316"/>
        <v>14.5657</v>
      </c>
      <c r="AK1075" s="8"/>
      <c r="AL1075" s="8">
        <f t="shared" si="327"/>
        <v>7.2828499999999998</v>
      </c>
    </row>
    <row r="1076" spans="1:38">
      <c r="A1076" s="18">
        <v>41471</v>
      </c>
      <c r="B1076" s="19" t="s">
        <v>119</v>
      </c>
      <c r="C1076" s="12">
        <v>200.4</v>
      </c>
      <c r="D1076" s="19" t="s">
        <v>80</v>
      </c>
      <c r="E1076" s="8">
        <v>8.4099199999999996</v>
      </c>
      <c r="F1076" s="8">
        <v>83.311719999999994</v>
      </c>
      <c r="G1076" s="22">
        <v>200</v>
      </c>
      <c r="H1076" s="22">
        <v>5</v>
      </c>
      <c r="I1076" s="10">
        <f t="shared" si="318"/>
        <v>19.983330554894014</v>
      </c>
      <c r="J1076" s="10">
        <f t="shared" si="313"/>
        <v>0.34877491369728597</v>
      </c>
      <c r="K1076" s="10">
        <v>21</v>
      </c>
      <c r="L1076" s="22">
        <v>491</v>
      </c>
      <c r="M1076" s="22" t="s">
        <v>126</v>
      </c>
      <c r="N1076" s="22" t="s">
        <v>180</v>
      </c>
      <c r="O1076" s="50" t="s">
        <v>216</v>
      </c>
      <c r="P1076" s="51" t="s">
        <v>92</v>
      </c>
      <c r="Q1076" s="8">
        <v>0.68</v>
      </c>
      <c r="R1076" s="22" t="s">
        <v>190</v>
      </c>
      <c r="S1076" s="30">
        <v>8.5</v>
      </c>
      <c r="T1076" s="79">
        <f t="shared" si="317"/>
        <v>5.6745150000000006E-3</v>
      </c>
      <c r="U1076" s="22">
        <v>7</v>
      </c>
      <c r="V1076" s="22">
        <v>47</v>
      </c>
      <c r="W1076" s="10">
        <f t="shared" si="319"/>
        <v>0.82030474843733492</v>
      </c>
      <c r="X1076" s="22">
        <v>5</v>
      </c>
      <c r="Y1076" s="22">
        <v>12</v>
      </c>
      <c r="Z1076" s="10">
        <f t="shared" si="323"/>
        <v>0.20943951023931956</v>
      </c>
      <c r="AA1076" s="10">
        <f t="shared" si="321"/>
        <v>6.1590343654229898</v>
      </c>
      <c r="AB1076" s="10">
        <f t="shared" si="322"/>
        <v>16.667464900288682</v>
      </c>
      <c r="AC1076" s="10">
        <f t="shared" si="324"/>
        <v>2.0834331125360852</v>
      </c>
      <c r="AD1076" s="10">
        <f t="shared" si="314"/>
        <v>8.3337324501443408</v>
      </c>
      <c r="AE1076" s="65"/>
      <c r="AF1076" s="10">
        <f t="shared" si="315"/>
        <v>26.716707846509159</v>
      </c>
      <c r="AG1076" s="8">
        <f t="shared" si="325"/>
        <v>5.2097580300692865</v>
      </c>
      <c r="AH1076" s="10">
        <f t="shared" si="326"/>
        <v>13.35835392325458</v>
      </c>
      <c r="AI1076" s="63"/>
      <c r="AJ1076" s="10">
        <f t="shared" si="316"/>
        <v>15.661499999999997</v>
      </c>
      <c r="AK1076" s="8"/>
      <c r="AL1076" s="8">
        <f t="shared" si="327"/>
        <v>7.8307499999999983</v>
      </c>
    </row>
    <row r="1077" spans="1:38">
      <c r="A1077" s="18">
        <v>41471</v>
      </c>
      <c r="B1077" s="19" t="s">
        <v>119</v>
      </c>
      <c r="C1077" s="12">
        <v>200.4</v>
      </c>
      <c r="D1077" s="19" t="s">
        <v>80</v>
      </c>
      <c r="E1077" s="8">
        <v>8.4099199999999996</v>
      </c>
      <c r="F1077" s="8">
        <v>83.311719999999994</v>
      </c>
      <c r="G1077" s="22">
        <v>200</v>
      </c>
      <c r="H1077" s="22">
        <v>5</v>
      </c>
      <c r="I1077" s="10">
        <f t="shared" si="318"/>
        <v>19.983330554894014</v>
      </c>
      <c r="J1077" s="10">
        <f t="shared" ref="J1077:J1093" si="328">RADIANS(I1077)</f>
        <v>0.34877491369728597</v>
      </c>
      <c r="K1077" s="10">
        <v>21</v>
      </c>
      <c r="L1077" s="22">
        <v>524</v>
      </c>
      <c r="M1077" s="22" t="s">
        <v>130</v>
      </c>
      <c r="N1077" s="8" t="s">
        <v>99</v>
      </c>
      <c r="O1077" s="10" t="s">
        <v>99</v>
      </c>
      <c r="P1077" s="10" t="s">
        <v>99</v>
      </c>
      <c r="Q1077" s="8">
        <v>0.57999999999999996</v>
      </c>
      <c r="R1077" s="8" t="s">
        <v>103</v>
      </c>
      <c r="S1077" s="30">
        <v>9</v>
      </c>
      <c r="T1077" s="79">
        <f t="shared" si="317"/>
        <v>6.3617400000000003E-3</v>
      </c>
      <c r="U1077" s="22">
        <v>10</v>
      </c>
      <c r="V1077" s="22">
        <v>57</v>
      </c>
      <c r="W1077" s="10">
        <f t="shared" si="319"/>
        <v>0.99483767363676789</v>
      </c>
      <c r="X1077" s="22">
        <v>6</v>
      </c>
      <c r="Y1077" s="22">
        <v>12</v>
      </c>
      <c r="Z1077" s="10">
        <f t="shared" si="323"/>
        <v>0.17453292519943295</v>
      </c>
      <c r="AA1077" s="10">
        <f t="shared" si="321"/>
        <v>9.4285947454558237</v>
      </c>
      <c r="AB1077" s="10">
        <f t="shared" si="322"/>
        <v>23.847348823054652</v>
      </c>
      <c r="AC1077" s="10">
        <f t="shared" si="324"/>
        <v>2.9809186028818315</v>
      </c>
      <c r="AD1077" s="10">
        <f t="shared" si="314"/>
        <v>11.923674411527326</v>
      </c>
      <c r="AE1077" s="65"/>
      <c r="AF1077" s="10">
        <f t="shared" si="315"/>
        <v>26.260171639120962</v>
      </c>
      <c r="AG1077" s="8">
        <f t="shared" si="325"/>
        <v>5.120733469628588</v>
      </c>
      <c r="AH1077" s="10">
        <f t="shared" si="326"/>
        <v>13.130085819560481</v>
      </c>
      <c r="AI1077" s="63"/>
      <c r="AJ1077" s="10">
        <f t="shared" si="316"/>
        <v>18.659999999999997</v>
      </c>
      <c r="AK1077" s="8"/>
      <c r="AL1077" s="8">
        <f t="shared" si="327"/>
        <v>9.3299999999999983</v>
      </c>
    </row>
    <row r="1078" spans="1:38">
      <c r="A1078" s="18">
        <v>41471</v>
      </c>
      <c r="B1078" s="19" t="s">
        <v>119</v>
      </c>
      <c r="C1078" s="12">
        <v>200.4</v>
      </c>
      <c r="D1078" s="19" t="s">
        <v>80</v>
      </c>
      <c r="E1078" s="8">
        <v>8.4099199999999996</v>
      </c>
      <c r="F1078" s="8">
        <v>83.311719999999994</v>
      </c>
      <c r="G1078" s="22">
        <v>200</v>
      </c>
      <c r="H1078" s="22">
        <v>5</v>
      </c>
      <c r="I1078" s="10">
        <f t="shared" si="318"/>
        <v>19.983330554894014</v>
      </c>
      <c r="J1078" s="10">
        <f t="shared" si="328"/>
        <v>0.34877491369728597</v>
      </c>
      <c r="K1078" s="10">
        <v>21</v>
      </c>
      <c r="L1078" s="22">
        <v>503</v>
      </c>
      <c r="M1078" s="22" t="s">
        <v>36</v>
      </c>
      <c r="N1078" s="8" t="s">
        <v>46</v>
      </c>
      <c r="O1078" s="10" t="s">
        <v>37</v>
      </c>
      <c r="P1078" s="10" t="s">
        <v>38</v>
      </c>
      <c r="Q1078" s="11">
        <v>0.48</v>
      </c>
      <c r="R1078" s="8" t="s">
        <v>60</v>
      </c>
      <c r="S1078" s="30">
        <v>32.799999999999997</v>
      </c>
      <c r="T1078" s="79">
        <f t="shared" si="317"/>
        <v>8.4496473599999997E-2</v>
      </c>
      <c r="U1078" s="22">
        <v>16</v>
      </c>
      <c r="V1078" s="22">
        <v>63</v>
      </c>
      <c r="W1078" s="10">
        <f t="shared" si="319"/>
        <v>1.0995574287564276</v>
      </c>
      <c r="X1078" s="22">
        <v>8</v>
      </c>
      <c r="Y1078" s="22">
        <v>10</v>
      </c>
      <c r="Z1078" s="10">
        <f t="shared" ref="Z1078:Z1093" si="329">RADIANS(Y1078)</f>
        <v>0.17453292519943295</v>
      </c>
      <c r="AA1078" s="10">
        <f t="shared" si="321"/>
        <v>15.645289808349327</v>
      </c>
      <c r="AB1078" s="10">
        <f t="shared" si="322"/>
        <v>365.41965741745798</v>
      </c>
      <c r="AC1078" s="10">
        <f t="shared" si="324"/>
        <v>45.677457177182248</v>
      </c>
      <c r="AD1078" s="10">
        <f t="shared" si="314"/>
        <v>182.70982870872899</v>
      </c>
      <c r="AE1078" s="65"/>
      <c r="AF1078" s="10">
        <f t="shared" si="315"/>
        <v>525.86729769089891</v>
      </c>
      <c r="AG1078" s="8">
        <f t="shared" si="325"/>
        <v>102.54412304972529</v>
      </c>
      <c r="AH1078" s="10">
        <f t="shared" si="326"/>
        <v>262.93364884544945</v>
      </c>
      <c r="AI1078" s="63"/>
      <c r="AJ1078" s="10">
        <f t="shared" si="316"/>
        <v>589.36019999999996</v>
      </c>
      <c r="AK1078" s="8"/>
      <c r="AL1078" s="8">
        <f t="shared" si="327"/>
        <v>294.68009999999998</v>
      </c>
    </row>
    <row r="1079" spans="1:38">
      <c r="A1079" s="18">
        <v>41471</v>
      </c>
      <c r="B1079" s="19" t="s">
        <v>119</v>
      </c>
      <c r="C1079" s="12">
        <v>200.4</v>
      </c>
      <c r="D1079" s="19" t="s">
        <v>80</v>
      </c>
      <c r="E1079" s="8">
        <v>8.4099199999999996</v>
      </c>
      <c r="F1079" s="8">
        <v>83.311719999999994</v>
      </c>
      <c r="G1079" s="22">
        <v>200</v>
      </c>
      <c r="H1079" s="22">
        <v>5</v>
      </c>
      <c r="I1079" s="10">
        <f t="shared" si="318"/>
        <v>19.983330554894014</v>
      </c>
      <c r="J1079" s="10">
        <f t="shared" si="328"/>
        <v>0.34877491369728597</v>
      </c>
      <c r="K1079" s="10">
        <v>21</v>
      </c>
      <c r="L1079" s="22">
        <v>532</v>
      </c>
      <c r="M1079" s="31" t="s">
        <v>231</v>
      </c>
      <c r="N1079" s="8" t="s">
        <v>171</v>
      </c>
      <c r="O1079" s="33" t="s">
        <v>99</v>
      </c>
      <c r="P1079" s="33" t="s">
        <v>99</v>
      </c>
      <c r="Q1079" s="7">
        <v>0.57999999999999996</v>
      </c>
      <c r="R1079" s="7" t="s">
        <v>103</v>
      </c>
      <c r="S1079" s="30">
        <v>10</v>
      </c>
      <c r="T1079" s="79">
        <f t="shared" si="317"/>
        <v>7.8539999999999999E-3</v>
      </c>
      <c r="U1079" s="22">
        <v>9</v>
      </c>
      <c r="V1079" s="22">
        <v>60</v>
      </c>
      <c r="W1079" s="10">
        <f t="shared" si="319"/>
        <v>1.0471975511965976</v>
      </c>
      <c r="X1079" s="22">
        <v>5</v>
      </c>
      <c r="Y1079" s="22">
        <v>15</v>
      </c>
      <c r="Z1079" s="10">
        <f t="shared" si="329"/>
        <v>0.26179938779914941</v>
      </c>
      <c r="AA1079" s="10">
        <f t="shared" si="321"/>
        <v>9.0883238595725508</v>
      </c>
      <c r="AB1079" s="10">
        <f t="shared" si="322"/>
        <v>28.083989508605455</v>
      </c>
      <c r="AC1079" s="10">
        <f t="shared" si="324"/>
        <v>3.5104986885756819</v>
      </c>
      <c r="AD1079" s="10">
        <f t="shared" si="314"/>
        <v>14.041994754302728</v>
      </c>
      <c r="AE1079" s="65"/>
      <c r="AF1079" s="10">
        <f t="shared" si="315"/>
        <v>34.11841974393613</v>
      </c>
      <c r="AG1079" s="8">
        <f t="shared" si="325"/>
        <v>6.6530918500675451</v>
      </c>
      <c r="AH1079" s="10">
        <f t="shared" si="326"/>
        <v>17.059209871968065</v>
      </c>
      <c r="AI1079" s="63"/>
      <c r="AJ1079" s="10">
        <f t="shared" si="316"/>
        <v>25.766999999999996</v>
      </c>
      <c r="AK1079" s="8"/>
      <c r="AL1079" s="8">
        <f t="shared" si="327"/>
        <v>12.883499999999998</v>
      </c>
    </row>
    <row r="1080" spans="1:38">
      <c r="A1080" s="18">
        <v>41471</v>
      </c>
      <c r="B1080" s="19" t="s">
        <v>119</v>
      </c>
      <c r="C1080" s="12">
        <v>200.4</v>
      </c>
      <c r="D1080" s="19" t="s">
        <v>80</v>
      </c>
      <c r="E1080" s="8">
        <v>8.4099199999999996</v>
      </c>
      <c r="F1080" s="8">
        <v>83.311719999999994</v>
      </c>
      <c r="G1080" s="22">
        <v>200</v>
      </c>
      <c r="H1080" s="22">
        <v>5</v>
      </c>
      <c r="I1080" s="10">
        <f t="shared" si="318"/>
        <v>19.983330554894014</v>
      </c>
      <c r="J1080" s="10">
        <f t="shared" si="328"/>
        <v>0.34877491369728597</v>
      </c>
      <c r="K1080" s="10">
        <v>21</v>
      </c>
      <c r="L1080" s="22">
        <v>502</v>
      </c>
      <c r="M1080" s="22" t="s">
        <v>139</v>
      </c>
      <c r="N1080" s="7" t="s">
        <v>251</v>
      </c>
      <c r="O1080" s="33" t="s">
        <v>99</v>
      </c>
      <c r="P1080" s="33" t="s">
        <v>99</v>
      </c>
      <c r="Q1080" s="7">
        <v>0.57999999999999996</v>
      </c>
      <c r="R1080" s="7" t="s">
        <v>103</v>
      </c>
      <c r="S1080" s="30">
        <v>7.7</v>
      </c>
      <c r="T1080" s="79">
        <f t="shared" si="317"/>
        <v>4.6566366000000007E-3</v>
      </c>
      <c r="U1080" s="22">
        <v>10</v>
      </c>
      <c r="V1080" s="22">
        <v>47</v>
      </c>
      <c r="W1080" s="10">
        <f t="shared" si="319"/>
        <v>0.82030474843733492</v>
      </c>
      <c r="X1080" s="22">
        <v>6</v>
      </c>
      <c r="Y1080" s="22">
        <v>10</v>
      </c>
      <c r="Z1080" s="10">
        <f t="shared" si="329"/>
        <v>0.17453292519943295</v>
      </c>
      <c r="AA1080" s="10">
        <f t="shared" si="321"/>
        <v>8.3554260821932864</v>
      </c>
      <c r="AB1080" s="10">
        <f t="shared" si="322"/>
        <v>15.87585354717055</v>
      </c>
      <c r="AC1080" s="10">
        <f t="shared" si="324"/>
        <v>1.9844816933963187</v>
      </c>
      <c r="AD1080" s="10">
        <f t="shared" si="314"/>
        <v>7.937926773585275</v>
      </c>
      <c r="AE1080" s="65"/>
      <c r="AF1080" s="10">
        <f t="shared" si="315"/>
        <v>17.838932556231089</v>
      </c>
      <c r="AG1080" s="8">
        <f t="shared" si="325"/>
        <v>3.4785918484650624</v>
      </c>
      <c r="AH1080" s="10">
        <f t="shared" si="326"/>
        <v>8.9194662781155447</v>
      </c>
      <c r="AI1080" s="63"/>
      <c r="AJ1080" s="10">
        <f t="shared" si="316"/>
        <v>11.633499999999998</v>
      </c>
      <c r="AK1080" s="8"/>
      <c r="AL1080" s="8">
        <f t="shared" si="327"/>
        <v>5.816749999999999</v>
      </c>
    </row>
    <row r="1081" spans="1:38">
      <c r="A1081" s="18">
        <v>41471</v>
      </c>
      <c r="B1081" s="19" t="s">
        <v>119</v>
      </c>
      <c r="C1081" s="12">
        <v>200.4</v>
      </c>
      <c r="D1081" s="19" t="s">
        <v>80</v>
      </c>
      <c r="E1081" s="8">
        <v>8.4099199999999996</v>
      </c>
      <c r="F1081" s="8">
        <v>83.311719999999994</v>
      </c>
      <c r="G1081" s="22">
        <v>200</v>
      </c>
      <c r="H1081" s="22">
        <v>5</v>
      </c>
      <c r="I1081" s="10">
        <f t="shared" si="318"/>
        <v>19.983330554894014</v>
      </c>
      <c r="J1081" s="10">
        <f t="shared" si="328"/>
        <v>0.34877491369728597</v>
      </c>
      <c r="K1081" s="10">
        <v>21</v>
      </c>
      <c r="L1081" s="22">
        <v>538</v>
      </c>
      <c r="M1081" s="22" t="s">
        <v>36</v>
      </c>
      <c r="N1081" s="8" t="s">
        <v>46</v>
      </c>
      <c r="O1081" s="10" t="s">
        <v>37</v>
      </c>
      <c r="P1081" s="10" t="s">
        <v>38</v>
      </c>
      <c r="Q1081" s="11">
        <v>0.48</v>
      </c>
      <c r="R1081" s="8" t="s">
        <v>60</v>
      </c>
      <c r="S1081" s="30">
        <v>14.1</v>
      </c>
      <c r="T1081" s="79">
        <f t="shared" si="317"/>
        <v>1.5614537400000001E-2</v>
      </c>
      <c r="U1081" s="22">
        <v>13</v>
      </c>
      <c r="V1081" s="22">
        <v>63</v>
      </c>
      <c r="W1081" s="10">
        <f t="shared" si="319"/>
        <v>1.0995574287564276</v>
      </c>
      <c r="X1081" s="22">
        <v>5</v>
      </c>
      <c r="Y1081" s="22">
        <v>15</v>
      </c>
      <c r="Z1081" s="10">
        <f t="shared" si="329"/>
        <v>0.26179938779914941</v>
      </c>
      <c r="AA1081" s="10">
        <f t="shared" si="321"/>
        <v>12.877180039961384</v>
      </c>
      <c r="AB1081" s="10">
        <f t="shared" si="322"/>
        <v>62.228873304842132</v>
      </c>
      <c r="AC1081" s="10">
        <f t="shared" si="324"/>
        <v>7.7786091631052665</v>
      </c>
      <c r="AD1081" s="10">
        <f t="shared" si="314"/>
        <v>31.114436652421066</v>
      </c>
      <c r="AE1081" s="65"/>
      <c r="AF1081" s="10">
        <f t="shared" si="315"/>
        <v>66.370428319355142</v>
      </c>
      <c r="AG1081" s="8">
        <f t="shared" si="325"/>
        <v>12.942233522274254</v>
      </c>
      <c r="AH1081" s="10">
        <f t="shared" si="326"/>
        <v>33.185214159677571</v>
      </c>
      <c r="AI1081" s="63"/>
      <c r="AJ1081" s="10">
        <f t="shared" si="316"/>
        <v>70.379100000000008</v>
      </c>
      <c r="AK1081" s="8"/>
      <c r="AL1081" s="8">
        <f t="shared" si="327"/>
        <v>35.189550000000004</v>
      </c>
    </row>
    <row r="1082" spans="1:38">
      <c r="A1082" s="18">
        <v>41471</v>
      </c>
      <c r="B1082" s="19" t="s">
        <v>119</v>
      </c>
      <c r="C1082" s="12">
        <v>200.4</v>
      </c>
      <c r="D1082" s="19" t="s">
        <v>80</v>
      </c>
      <c r="E1082" s="8">
        <v>8.4099199999999996</v>
      </c>
      <c r="F1082" s="8">
        <v>83.311719999999994</v>
      </c>
      <c r="G1082" s="22">
        <v>200</v>
      </c>
      <c r="H1082" s="22">
        <v>5</v>
      </c>
      <c r="I1082" s="10">
        <f t="shared" si="318"/>
        <v>19.983330554894014</v>
      </c>
      <c r="J1082" s="10">
        <f t="shared" si="328"/>
        <v>0.34877491369728597</v>
      </c>
      <c r="K1082" s="10">
        <v>21</v>
      </c>
      <c r="L1082" s="22">
        <v>495</v>
      </c>
      <c r="M1082" s="22" t="s">
        <v>135</v>
      </c>
      <c r="N1082" s="22" t="s">
        <v>180</v>
      </c>
      <c r="O1082" s="10" t="s">
        <v>217</v>
      </c>
      <c r="P1082" s="10" t="s">
        <v>221</v>
      </c>
      <c r="Q1082" s="24">
        <v>0.38</v>
      </c>
      <c r="R1082" s="31" t="s">
        <v>190</v>
      </c>
      <c r="S1082" s="30">
        <v>8</v>
      </c>
      <c r="T1082" s="79">
        <f t="shared" si="317"/>
        <v>5.0265600000000002E-3</v>
      </c>
      <c r="U1082" s="22">
        <v>8</v>
      </c>
      <c r="V1082" s="22">
        <v>45</v>
      </c>
      <c r="W1082" s="10">
        <f t="shared" si="319"/>
        <v>0.78539816339744828</v>
      </c>
      <c r="X1082" s="22">
        <v>6</v>
      </c>
      <c r="Y1082" s="22">
        <v>10</v>
      </c>
      <c r="Z1082" s="10">
        <f t="shared" si="329"/>
        <v>0.17453292519943295</v>
      </c>
      <c r="AA1082" s="10">
        <f t="shared" si="321"/>
        <v>6.698743315493962</v>
      </c>
      <c r="AB1082" s="10">
        <f t="shared" si="322"/>
        <v>9.3132489924855602</v>
      </c>
      <c r="AC1082" s="10">
        <f t="shared" si="324"/>
        <v>1.164156124060695</v>
      </c>
      <c r="AD1082" s="10">
        <f t="shared" si="314"/>
        <v>4.6566244962427801</v>
      </c>
      <c r="AE1082" s="65"/>
      <c r="AF1082" s="10">
        <f t="shared" si="315"/>
        <v>12.847232104741124</v>
      </c>
      <c r="AG1082" s="8">
        <f t="shared" si="325"/>
        <v>2.5052102604245192</v>
      </c>
      <c r="AH1082" s="10">
        <f t="shared" si="326"/>
        <v>6.4236160523705621</v>
      </c>
      <c r="AI1082" s="63"/>
      <c r="AJ1082" s="10">
        <f t="shared" si="316"/>
        <v>13.033000000000001</v>
      </c>
      <c r="AK1082" s="8"/>
      <c r="AL1082" s="8">
        <f t="shared" si="327"/>
        <v>6.5165000000000006</v>
      </c>
    </row>
    <row r="1083" spans="1:38">
      <c r="A1083" s="18">
        <v>41471</v>
      </c>
      <c r="B1083" s="19" t="s">
        <v>119</v>
      </c>
      <c r="C1083" s="12">
        <v>200.4</v>
      </c>
      <c r="D1083" s="19" t="s">
        <v>80</v>
      </c>
      <c r="E1083" s="8">
        <v>8.4099199999999996</v>
      </c>
      <c r="F1083" s="8">
        <v>83.311719999999994</v>
      </c>
      <c r="G1083" s="22">
        <v>200</v>
      </c>
      <c r="H1083" s="22">
        <v>5</v>
      </c>
      <c r="I1083" s="10">
        <f t="shared" si="318"/>
        <v>19.983330554894014</v>
      </c>
      <c r="J1083" s="10">
        <f t="shared" si="328"/>
        <v>0.34877491369728597</v>
      </c>
      <c r="K1083" s="10">
        <v>21</v>
      </c>
      <c r="L1083" s="22">
        <v>520</v>
      </c>
      <c r="M1083" s="22" t="s">
        <v>36</v>
      </c>
      <c r="N1083" s="8" t="s">
        <v>46</v>
      </c>
      <c r="O1083" s="10" t="s">
        <v>37</v>
      </c>
      <c r="P1083" s="10" t="s">
        <v>38</v>
      </c>
      <c r="Q1083" s="11">
        <v>0.48</v>
      </c>
      <c r="R1083" s="8" t="s">
        <v>60</v>
      </c>
      <c r="S1083" s="30">
        <v>28.4</v>
      </c>
      <c r="T1083" s="79">
        <f t="shared" si="317"/>
        <v>6.33472224E-2</v>
      </c>
      <c r="U1083" s="22">
        <v>12</v>
      </c>
      <c r="V1083" s="22">
        <v>75</v>
      </c>
      <c r="W1083" s="10">
        <f t="shared" si="319"/>
        <v>1.3089969389957472</v>
      </c>
      <c r="X1083" s="22">
        <v>5</v>
      </c>
      <c r="Y1083" s="22">
        <v>10</v>
      </c>
      <c r="Z1083" s="10">
        <f t="shared" si="329"/>
        <v>0.17453292519943295</v>
      </c>
      <c r="AA1083" s="10">
        <f t="shared" si="321"/>
        <v>12.459350803803472</v>
      </c>
      <c r="AB1083" s="10">
        <f t="shared" si="322"/>
        <v>225.02597535193738</v>
      </c>
      <c r="AC1083" s="10">
        <f t="shared" si="324"/>
        <v>28.128246918992172</v>
      </c>
      <c r="AD1083" s="10">
        <f t="shared" si="314"/>
        <v>112.51298767596869</v>
      </c>
      <c r="AE1083" s="65"/>
      <c r="AF1083" s="10">
        <f t="shared" si="315"/>
        <v>371.63641304832061</v>
      </c>
      <c r="AG1083" s="8">
        <f t="shared" si="325"/>
        <v>72.469100544422517</v>
      </c>
      <c r="AH1083" s="10">
        <f t="shared" si="326"/>
        <v>185.8182065241603</v>
      </c>
      <c r="AI1083" s="63"/>
      <c r="AJ1083" s="10">
        <f t="shared" si="316"/>
        <v>420.68619999999993</v>
      </c>
      <c r="AK1083" s="8"/>
      <c r="AL1083" s="8">
        <f t="shared" si="327"/>
        <v>210.34309999999996</v>
      </c>
    </row>
    <row r="1084" spans="1:38">
      <c r="A1084" s="18">
        <v>41471</v>
      </c>
      <c r="B1084" s="19" t="s">
        <v>119</v>
      </c>
      <c r="C1084" s="12">
        <v>200.4</v>
      </c>
      <c r="D1084" s="19" t="s">
        <v>80</v>
      </c>
      <c r="E1084" s="8">
        <v>8.4099199999999996</v>
      </c>
      <c r="F1084" s="8">
        <v>83.311719999999994</v>
      </c>
      <c r="G1084" s="22">
        <v>200</v>
      </c>
      <c r="H1084" s="22">
        <v>5</v>
      </c>
      <c r="I1084" s="10">
        <f t="shared" si="318"/>
        <v>19.983330554894014</v>
      </c>
      <c r="J1084" s="10">
        <f t="shared" si="328"/>
        <v>0.34877491369728597</v>
      </c>
      <c r="K1084" s="10">
        <v>21</v>
      </c>
      <c r="L1084" s="22">
        <v>489</v>
      </c>
      <c r="M1084" s="22" t="s">
        <v>54</v>
      </c>
      <c r="N1084" s="8" t="s">
        <v>55</v>
      </c>
      <c r="O1084" s="10" t="s">
        <v>56</v>
      </c>
      <c r="P1084" s="10" t="s">
        <v>57</v>
      </c>
      <c r="Q1084" s="11">
        <v>0.315</v>
      </c>
      <c r="R1084" s="12" t="s">
        <v>66</v>
      </c>
      <c r="S1084" s="30">
        <v>8.4</v>
      </c>
      <c r="T1084" s="79">
        <f t="shared" si="317"/>
        <v>5.5417824000000004E-3</v>
      </c>
      <c r="U1084" s="22">
        <v>13</v>
      </c>
      <c r="V1084" s="22">
        <v>63</v>
      </c>
      <c r="W1084" s="10">
        <f t="shared" si="319"/>
        <v>1.0995574287564276</v>
      </c>
      <c r="X1084" s="22">
        <v>5</v>
      </c>
      <c r="Y1084" s="22">
        <v>10</v>
      </c>
      <c r="Z1084" s="10">
        <f t="shared" si="329"/>
        <v>0.17453292519943295</v>
      </c>
      <c r="AA1084" s="10">
        <f t="shared" si="321"/>
        <v>12.451325702783434</v>
      </c>
      <c r="AB1084" s="10">
        <f t="shared" si="322"/>
        <v>15.325736614806154</v>
      </c>
      <c r="AC1084" s="10">
        <f t="shared" si="324"/>
        <v>1.9157170768507692</v>
      </c>
      <c r="AD1084" s="10">
        <f t="shared" si="314"/>
        <v>7.6628683074030768</v>
      </c>
      <c r="AE1084" s="65"/>
      <c r="AF1084" s="10">
        <f t="shared" si="315"/>
        <v>12.018227233572158</v>
      </c>
      <c r="AG1084" s="8">
        <f t="shared" si="325"/>
        <v>2.3435543105465708</v>
      </c>
      <c r="AH1084" s="10">
        <f t="shared" si="326"/>
        <v>6.0091136167860792</v>
      </c>
      <c r="AI1084" s="63"/>
      <c r="AJ1084" s="10">
        <f t="shared" si="316"/>
        <v>15.106199999999987</v>
      </c>
      <c r="AK1084" s="8"/>
      <c r="AL1084" s="8">
        <f t="shared" si="327"/>
        <v>7.5530999999999935</v>
      </c>
    </row>
    <row r="1085" spans="1:38">
      <c r="A1085" s="18">
        <v>41471</v>
      </c>
      <c r="B1085" s="19" t="s">
        <v>119</v>
      </c>
      <c r="C1085" s="12">
        <v>200.4</v>
      </c>
      <c r="D1085" s="19" t="s">
        <v>80</v>
      </c>
      <c r="E1085" s="8">
        <v>8.4099199999999996</v>
      </c>
      <c r="F1085" s="8">
        <v>83.311719999999994</v>
      </c>
      <c r="G1085" s="22">
        <v>200</v>
      </c>
      <c r="H1085" s="22">
        <v>5</v>
      </c>
      <c r="I1085" s="10">
        <f t="shared" si="318"/>
        <v>19.983330554894014</v>
      </c>
      <c r="J1085" s="10">
        <f t="shared" si="328"/>
        <v>0.34877491369728597</v>
      </c>
      <c r="K1085" s="10">
        <v>21</v>
      </c>
      <c r="L1085" s="22">
        <v>527</v>
      </c>
      <c r="M1085" s="22" t="s">
        <v>54</v>
      </c>
      <c r="N1085" s="8" t="s">
        <v>55</v>
      </c>
      <c r="O1085" s="10" t="s">
        <v>56</v>
      </c>
      <c r="P1085" s="10" t="s">
        <v>57</v>
      </c>
      <c r="Q1085" s="11">
        <v>0.315</v>
      </c>
      <c r="R1085" s="12" t="s">
        <v>66</v>
      </c>
      <c r="S1085" s="30">
        <v>13</v>
      </c>
      <c r="T1085" s="79">
        <f t="shared" si="317"/>
        <v>1.327326E-2</v>
      </c>
      <c r="U1085" s="22">
        <v>15</v>
      </c>
      <c r="V1085" s="22">
        <v>60</v>
      </c>
      <c r="W1085" s="10">
        <f t="shared" si="319"/>
        <v>1.0471975511965976</v>
      </c>
      <c r="X1085" s="22">
        <v>6</v>
      </c>
      <c r="Y1085" s="22">
        <v>5</v>
      </c>
      <c r="Z1085" s="10">
        <f t="shared" si="329"/>
        <v>8.7266462599716474E-2</v>
      </c>
      <c r="AA1085" s="10">
        <f t="shared" si="321"/>
        <v>13.513315513252527</v>
      </c>
      <c r="AB1085" s="10">
        <f t="shared" si="322"/>
        <v>37.618662115400895</v>
      </c>
      <c r="AC1085" s="10">
        <f t="shared" si="324"/>
        <v>4.7023327644251118</v>
      </c>
      <c r="AD1085" s="10">
        <f t="shared" si="314"/>
        <v>18.809331057700447</v>
      </c>
      <c r="AE1085" s="65"/>
      <c r="AF1085" s="10">
        <f t="shared" si="315"/>
        <v>35.590667758111394</v>
      </c>
      <c r="AG1085" s="8">
        <f t="shared" si="325"/>
        <v>6.9401802128317218</v>
      </c>
      <c r="AH1085" s="10">
        <f t="shared" si="326"/>
        <v>17.795333879055697</v>
      </c>
      <c r="AI1085" s="63"/>
      <c r="AJ1085" s="10">
        <f t="shared" si="316"/>
        <v>55.967999999999989</v>
      </c>
      <c r="AK1085" s="8"/>
      <c r="AL1085" s="8">
        <f t="shared" si="327"/>
        <v>27.983999999999995</v>
      </c>
    </row>
    <row r="1086" spans="1:38">
      <c r="A1086" s="18">
        <v>41471</v>
      </c>
      <c r="B1086" s="19" t="s">
        <v>119</v>
      </c>
      <c r="C1086" s="12">
        <v>200.4</v>
      </c>
      <c r="D1086" s="19" t="s">
        <v>80</v>
      </c>
      <c r="E1086" s="8">
        <v>8.4099199999999996</v>
      </c>
      <c r="F1086" s="8">
        <v>83.311719999999994</v>
      </c>
      <c r="G1086" s="22">
        <v>200</v>
      </c>
      <c r="H1086" s="22">
        <v>5</v>
      </c>
      <c r="I1086" s="10">
        <f t="shared" si="318"/>
        <v>19.983330554894014</v>
      </c>
      <c r="J1086" s="10">
        <f t="shared" si="328"/>
        <v>0.34877491369728597</v>
      </c>
      <c r="K1086" s="10">
        <v>21</v>
      </c>
      <c r="L1086" s="22">
        <v>535</v>
      </c>
      <c r="M1086" s="22" t="s">
        <v>72</v>
      </c>
      <c r="N1086" s="22" t="s">
        <v>93</v>
      </c>
      <c r="O1086" s="10" t="s">
        <v>91</v>
      </c>
      <c r="P1086" s="15" t="s">
        <v>92</v>
      </c>
      <c r="Q1086" s="8">
        <v>0.48</v>
      </c>
      <c r="R1086" s="22" t="s">
        <v>190</v>
      </c>
      <c r="S1086" s="30">
        <v>7.3</v>
      </c>
      <c r="T1086" s="79">
        <f t="shared" si="317"/>
        <v>4.1853966000000003E-3</v>
      </c>
      <c r="U1086" s="22">
        <v>9</v>
      </c>
      <c r="V1086" s="22">
        <v>42</v>
      </c>
      <c r="W1086" s="10">
        <f t="shared" si="319"/>
        <v>0.73303828583761843</v>
      </c>
      <c r="X1086" s="22">
        <v>6</v>
      </c>
      <c r="Y1086" s="22">
        <v>7</v>
      </c>
      <c r="Z1086" s="10">
        <f t="shared" si="329"/>
        <v>0.12217304763960307</v>
      </c>
      <c r="AA1086" s="10">
        <f t="shared" si="321"/>
        <v>6.7533915176606092</v>
      </c>
      <c r="AB1086" s="10">
        <f t="shared" si="322"/>
        <v>9.8407018464286704</v>
      </c>
      <c r="AC1086" s="10">
        <f t="shared" si="324"/>
        <v>1.2300877308035838</v>
      </c>
      <c r="AD1086" s="10">
        <f t="shared" si="314"/>
        <v>4.9203509232143352</v>
      </c>
      <c r="AE1086" s="65"/>
      <c r="AF1086" s="10">
        <f t="shared" si="315"/>
        <v>12.939394051741091</v>
      </c>
      <c r="AG1086" s="8">
        <f t="shared" si="325"/>
        <v>2.5231818400895127</v>
      </c>
      <c r="AH1086" s="10">
        <f t="shared" si="326"/>
        <v>6.4696970258705457</v>
      </c>
      <c r="AI1086" s="63"/>
      <c r="AJ1086" s="10">
        <f t="shared" si="316"/>
        <v>9.974699999999995</v>
      </c>
      <c r="AK1086" s="8"/>
      <c r="AL1086" s="8">
        <f t="shared" si="327"/>
        <v>4.9873499999999975</v>
      </c>
    </row>
    <row r="1087" spans="1:38">
      <c r="A1087" s="18">
        <v>41471</v>
      </c>
      <c r="B1087" s="19" t="s">
        <v>119</v>
      </c>
      <c r="C1087" s="12">
        <v>200.4</v>
      </c>
      <c r="D1087" s="19" t="s">
        <v>80</v>
      </c>
      <c r="E1087" s="8">
        <v>8.4099199999999996</v>
      </c>
      <c r="F1087" s="8">
        <v>83.311719999999994</v>
      </c>
      <c r="G1087" s="22">
        <v>200</v>
      </c>
      <c r="H1087" s="22">
        <v>5</v>
      </c>
      <c r="I1087" s="10">
        <f t="shared" si="318"/>
        <v>19.983330554894014</v>
      </c>
      <c r="J1087" s="10">
        <f t="shared" si="328"/>
        <v>0.34877491369728597</v>
      </c>
      <c r="K1087" s="10">
        <v>21</v>
      </c>
      <c r="L1087" s="22">
        <v>514</v>
      </c>
      <c r="M1087" s="22" t="s">
        <v>252</v>
      </c>
      <c r="N1087" s="8" t="s">
        <v>198</v>
      </c>
      <c r="O1087" s="10" t="s">
        <v>226</v>
      </c>
      <c r="P1087" s="10" t="s">
        <v>227</v>
      </c>
      <c r="Q1087" s="22">
        <v>0.54</v>
      </c>
      <c r="R1087" s="22" t="s">
        <v>190</v>
      </c>
      <c r="S1087" s="30">
        <v>7.2</v>
      </c>
      <c r="T1087" s="79">
        <f t="shared" si="317"/>
        <v>4.0715136000000008E-3</v>
      </c>
      <c r="U1087" s="22">
        <v>10</v>
      </c>
      <c r="V1087" s="22">
        <v>50</v>
      </c>
      <c r="W1087" s="10">
        <f t="shared" si="319"/>
        <v>0.87266462599716477</v>
      </c>
      <c r="X1087" s="22">
        <v>7</v>
      </c>
      <c r="Y1087" s="22">
        <v>5</v>
      </c>
      <c r="Z1087" s="10">
        <f t="shared" si="329"/>
        <v>8.7266462599716474E-2</v>
      </c>
      <c r="AA1087" s="10">
        <f t="shared" si="321"/>
        <v>8.2705346304233878</v>
      </c>
      <c r="AB1087" s="10">
        <f t="shared" si="322"/>
        <v>12.959209721026674</v>
      </c>
      <c r="AC1087" s="10">
        <f t="shared" si="324"/>
        <v>1.6199012151283343</v>
      </c>
      <c r="AD1087" s="10">
        <f t="shared" si="314"/>
        <v>6.4796048605133372</v>
      </c>
      <c r="AE1087" s="65"/>
      <c r="AF1087" s="10">
        <f t="shared" si="315"/>
        <v>14.069362287298061</v>
      </c>
      <c r="AG1087" s="8">
        <f t="shared" si="325"/>
        <v>2.7435256460231221</v>
      </c>
      <c r="AH1087" s="10">
        <f t="shared" si="326"/>
        <v>7.0346811436490304</v>
      </c>
      <c r="AI1087" s="63"/>
      <c r="AJ1087" s="10">
        <f t="shared" si="316"/>
        <v>9.5969999999999978</v>
      </c>
      <c r="AK1087" s="8"/>
      <c r="AL1087" s="8">
        <f t="shared" si="327"/>
        <v>4.7984999999999989</v>
      </c>
    </row>
    <row r="1088" spans="1:38">
      <c r="A1088" s="18">
        <v>41471</v>
      </c>
      <c r="B1088" s="19" t="s">
        <v>119</v>
      </c>
      <c r="C1088" s="12">
        <v>200.4</v>
      </c>
      <c r="D1088" s="19" t="s">
        <v>80</v>
      </c>
      <c r="E1088" s="8">
        <v>8.4099199999999996</v>
      </c>
      <c r="F1088" s="8">
        <v>83.311719999999994</v>
      </c>
      <c r="G1088" s="22">
        <v>200</v>
      </c>
      <c r="H1088" s="22">
        <v>5</v>
      </c>
      <c r="I1088" s="10">
        <f t="shared" si="318"/>
        <v>19.983330554894014</v>
      </c>
      <c r="J1088" s="10">
        <f t="shared" si="328"/>
        <v>0.34877491369728597</v>
      </c>
      <c r="K1088" s="10">
        <v>21</v>
      </c>
      <c r="L1088" s="22">
        <v>517</v>
      </c>
      <c r="M1088" s="22" t="s">
        <v>135</v>
      </c>
      <c r="N1088" s="22" t="s">
        <v>180</v>
      </c>
      <c r="O1088" s="10" t="s">
        <v>217</v>
      </c>
      <c r="P1088" s="10" t="s">
        <v>221</v>
      </c>
      <c r="Q1088" s="24">
        <v>0.38</v>
      </c>
      <c r="R1088" s="31" t="s">
        <v>190</v>
      </c>
      <c r="S1088" s="30">
        <v>10.9</v>
      </c>
      <c r="T1088" s="79">
        <f t="shared" si="317"/>
        <v>9.3313374000000004E-3</v>
      </c>
      <c r="U1088" s="22">
        <v>11</v>
      </c>
      <c r="V1088" s="22">
        <v>52</v>
      </c>
      <c r="W1088" s="10">
        <f t="shared" si="319"/>
        <v>0.90757121103705141</v>
      </c>
      <c r="X1088" s="22">
        <v>6</v>
      </c>
      <c r="Y1088" s="22">
        <v>13</v>
      </c>
      <c r="Z1088" s="10">
        <f t="shared" si="329"/>
        <v>0.22689280275926285</v>
      </c>
      <c r="AA1088" s="10">
        <f t="shared" si="321"/>
        <v>10.017824615737132</v>
      </c>
      <c r="AB1088" s="10">
        <f t="shared" si="322"/>
        <v>24.319079748156152</v>
      </c>
      <c r="AC1088" s="10">
        <f t="shared" si="324"/>
        <v>3.0398849685195191</v>
      </c>
      <c r="AD1088" s="10">
        <f t="shared" si="314"/>
        <v>12.159539874078076</v>
      </c>
      <c r="AE1088" s="65"/>
      <c r="AF1088" s="10">
        <f t="shared" si="315"/>
        <v>27.696987827872793</v>
      </c>
      <c r="AG1088" s="8">
        <f t="shared" si="325"/>
        <v>5.4009126264351943</v>
      </c>
      <c r="AH1088" s="10">
        <f t="shared" si="326"/>
        <v>13.848493913936396</v>
      </c>
      <c r="AI1088" s="63"/>
      <c r="AJ1088" s="10">
        <f t="shared" si="316"/>
        <v>33.428699999999992</v>
      </c>
      <c r="AK1088" s="8"/>
      <c r="AL1088" s="8">
        <f t="shared" si="327"/>
        <v>16.714349999999996</v>
      </c>
    </row>
    <row r="1089" spans="1:38">
      <c r="A1089" s="18">
        <v>41471</v>
      </c>
      <c r="B1089" s="19" t="s">
        <v>119</v>
      </c>
      <c r="C1089" s="12">
        <v>200.4</v>
      </c>
      <c r="D1089" s="19" t="s">
        <v>80</v>
      </c>
      <c r="E1089" s="8">
        <v>8.4099199999999996</v>
      </c>
      <c r="F1089" s="8">
        <v>83.311719999999994</v>
      </c>
      <c r="G1089" s="22">
        <v>200</v>
      </c>
      <c r="H1089" s="22">
        <v>5</v>
      </c>
      <c r="I1089" s="10">
        <f t="shared" si="318"/>
        <v>19.983330554894014</v>
      </c>
      <c r="J1089" s="10">
        <f t="shared" si="328"/>
        <v>0.34877491369728597</v>
      </c>
      <c r="K1089" s="10">
        <v>21</v>
      </c>
      <c r="L1089" s="22">
        <v>540</v>
      </c>
      <c r="M1089" s="22" t="s">
        <v>135</v>
      </c>
      <c r="N1089" s="22" t="s">
        <v>180</v>
      </c>
      <c r="O1089" s="10" t="s">
        <v>217</v>
      </c>
      <c r="P1089" s="10" t="s">
        <v>221</v>
      </c>
      <c r="Q1089" s="24">
        <v>0.38</v>
      </c>
      <c r="R1089" s="31" t="s">
        <v>190</v>
      </c>
      <c r="S1089" s="30">
        <v>12.1</v>
      </c>
      <c r="T1089" s="79">
        <f t="shared" si="317"/>
        <v>1.14990414E-2</v>
      </c>
      <c r="U1089" s="22">
        <v>10</v>
      </c>
      <c r="V1089" s="22">
        <v>55</v>
      </c>
      <c r="W1089" s="10">
        <f t="shared" si="319"/>
        <v>0.95993108859688125</v>
      </c>
      <c r="X1089" s="22">
        <v>5</v>
      </c>
      <c r="Y1089" s="22">
        <v>14</v>
      </c>
      <c r="Z1089" s="10">
        <f t="shared" si="329"/>
        <v>0.24434609527920614</v>
      </c>
      <c r="AA1089" s="10">
        <f t="shared" si="321"/>
        <v>9.4011299208882555</v>
      </c>
      <c r="AB1089" s="10">
        <f t="shared" si="322"/>
        <v>27.87944022371628</v>
      </c>
      <c r="AC1089" s="10">
        <f t="shared" si="324"/>
        <v>3.484930027964535</v>
      </c>
      <c r="AD1089" s="10">
        <f t="shared" si="314"/>
        <v>13.93972011185814</v>
      </c>
      <c r="AE1089" s="65"/>
      <c r="AF1089" s="10">
        <f t="shared" si="315"/>
        <v>35.916529676160366</v>
      </c>
      <c r="AG1089" s="8">
        <f t="shared" si="325"/>
        <v>7.0037232868512715</v>
      </c>
      <c r="AH1089" s="10">
        <f t="shared" si="326"/>
        <v>17.958264838080183</v>
      </c>
      <c r="AI1089" s="63"/>
      <c r="AJ1089" s="10">
        <f t="shared" si="316"/>
        <v>45.509100000000004</v>
      </c>
      <c r="AK1089" s="8"/>
      <c r="AL1089" s="8">
        <f t="shared" si="327"/>
        <v>22.754550000000002</v>
      </c>
    </row>
    <row r="1090" spans="1:38">
      <c r="A1090" s="18">
        <v>41471</v>
      </c>
      <c r="B1090" s="19" t="s">
        <v>119</v>
      </c>
      <c r="C1090" s="12">
        <v>200.4</v>
      </c>
      <c r="D1090" s="19" t="s">
        <v>80</v>
      </c>
      <c r="E1090" s="8">
        <v>8.4099199999999996</v>
      </c>
      <c r="F1090" s="8">
        <v>83.311719999999994</v>
      </c>
      <c r="G1090" s="22">
        <v>200</v>
      </c>
      <c r="H1090" s="22">
        <v>5</v>
      </c>
      <c r="I1090" s="10">
        <f t="shared" si="318"/>
        <v>19.983330554894014</v>
      </c>
      <c r="J1090" s="10">
        <f t="shared" si="328"/>
        <v>0.34877491369728597</v>
      </c>
      <c r="K1090" s="10">
        <v>21</v>
      </c>
      <c r="L1090" s="22">
        <v>546</v>
      </c>
      <c r="M1090" s="22" t="s">
        <v>36</v>
      </c>
      <c r="N1090" s="8" t="s">
        <v>46</v>
      </c>
      <c r="O1090" s="10" t="s">
        <v>37</v>
      </c>
      <c r="P1090" s="10" t="s">
        <v>38</v>
      </c>
      <c r="Q1090" s="11">
        <v>0.48</v>
      </c>
      <c r="R1090" s="8" t="s">
        <v>60</v>
      </c>
      <c r="S1090" s="30">
        <v>24.6</v>
      </c>
      <c r="T1090" s="79">
        <f t="shared" si="317"/>
        <v>4.7529266400000006E-2</v>
      </c>
      <c r="U1090" s="22">
        <v>17</v>
      </c>
      <c r="V1090" s="22">
        <v>72</v>
      </c>
      <c r="W1090" s="10">
        <f t="shared" si="319"/>
        <v>1.2566370614359172</v>
      </c>
      <c r="X1090" s="22">
        <v>5</v>
      </c>
      <c r="Y1090" s="22">
        <v>15</v>
      </c>
      <c r="Z1090" s="10">
        <f t="shared" si="329"/>
        <v>0.26179938779914941</v>
      </c>
      <c r="AA1090" s="10">
        <f t="shared" si="321"/>
        <v>17.462056002530211</v>
      </c>
      <c r="AB1090" s="10">
        <f t="shared" si="322"/>
        <v>235.91531760803647</v>
      </c>
      <c r="AC1090" s="10">
        <f t="shared" si="324"/>
        <v>29.489414701004559</v>
      </c>
      <c r="AD1090" s="10">
        <f t="shared" si="314"/>
        <v>117.95765880401824</v>
      </c>
      <c r="AE1090" s="65"/>
      <c r="AF1090" s="10">
        <f t="shared" si="315"/>
        <v>262.07616775523076</v>
      </c>
      <c r="AG1090" s="8">
        <f t="shared" si="325"/>
        <v>51.104852712270002</v>
      </c>
      <c r="AH1090" s="10">
        <f t="shared" si="326"/>
        <v>131.03808387761538</v>
      </c>
      <c r="AI1090" s="63"/>
      <c r="AJ1090" s="10">
        <f t="shared" si="316"/>
        <v>298.07160000000005</v>
      </c>
      <c r="AK1090" s="8"/>
      <c r="AL1090" s="8">
        <f t="shared" si="327"/>
        <v>149.03580000000002</v>
      </c>
    </row>
    <row r="1091" spans="1:38">
      <c r="A1091" s="18">
        <v>41471</v>
      </c>
      <c r="B1091" s="19" t="s">
        <v>119</v>
      </c>
      <c r="C1091" s="12">
        <v>200.4</v>
      </c>
      <c r="D1091" s="19" t="s">
        <v>80</v>
      </c>
      <c r="E1091" s="8">
        <v>8.4099199999999996</v>
      </c>
      <c r="F1091" s="8">
        <v>83.311719999999994</v>
      </c>
      <c r="G1091" s="22">
        <v>200</v>
      </c>
      <c r="H1091" s="22">
        <v>5</v>
      </c>
      <c r="I1091" s="10">
        <f t="shared" si="318"/>
        <v>19.983330554894014</v>
      </c>
      <c r="J1091" s="10">
        <f t="shared" si="328"/>
        <v>0.34877491369728597</v>
      </c>
      <c r="K1091" s="10">
        <v>21</v>
      </c>
      <c r="L1091" s="22">
        <v>531</v>
      </c>
      <c r="M1091" s="22" t="s">
        <v>96</v>
      </c>
      <c r="N1091" s="8" t="s">
        <v>69</v>
      </c>
      <c r="O1091" s="58" t="s">
        <v>65</v>
      </c>
      <c r="P1091" s="10" t="s">
        <v>102</v>
      </c>
      <c r="Q1091" s="22">
        <v>0.48</v>
      </c>
      <c r="R1091" s="22" t="s">
        <v>190</v>
      </c>
      <c r="S1091" s="30">
        <v>52.5</v>
      </c>
      <c r="T1091" s="79">
        <f t="shared" si="317"/>
        <v>0.21647587500000001</v>
      </c>
      <c r="U1091" s="22">
        <v>21</v>
      </c>
      <c r="V1091" s="22">
        <v>80</v>
      </c>
      <c r="W1091" s="10">
        <f t="shared" si="319"/>
        <v>1.3962634015954636</v>
      </c>
      <c r="X1091" s="22">
        <v>7</v>
      </c>
      <c r="Y1091" s="22">
        <v>10</v>
      </c>
      <c r="Z1091" s="10">
        <f t="shared" si="329"/>
        <v>0.17453292519943295</v>
      </c>
      <c r="AA1091" s="10">
        <f t="shared" si="321"/>
        <v>21.896500056924879</v>
      </c>
      <c r="AB1091" s="10">
        <f t="shared" si="322"/>
        <v>1213.6129311969082</v>
      </c>
      <c r="AC1091" s="10">
        <f t="shared" si="324"/>
        <v>151.70161639961353</v>
      </c>
      <c r="AD1091" s="10">
        <f t="shared" si="314"/>
        <v>606.80646559845411</v>
      </c>
      <c r="AE1091" s="65"/>
      <c r="AF1091" s="10">
        <f t="shared" si="315"/>
        <v>1588.9114867458966</v>
      </c>
      <c r="AG1091" s="8">
        <f t="shared" si="325"/>
        <v>309.83773991544984</v>
      </c>
      <c r="AH1091" s="10">
        <f t="shared" si="326"/>
        <v>794.45574337294829</v>
      </c>
      <c r="AI1091" s="63"/>
      <c r="AJ1091" s="10">
        <f t="shared" si="316"/>
        <v>1695.8895</v>
      </c>
      <c r="AK1091" s="8"/>
      <c r="AL1091" s="8">
        <f t="shared" si="327"/>
        <v>847.94475</v>
      </c>
    </row>
    <row r="1092" spans="1:38">
      <c r="A1092" s="18">
        <v>41471</v>
      </c>
      <c r="B1092" s="19" t="s">
        <v>119</v>
      </c>
      <c r="C1092" s="12">
        <v>200.4</v>
      </c>
      <c r="D1092" s="19" t="s">
        <v>80</v>
      </c>
      <c r="E1092" s="8">
        <v>8.4099199999999996</v>
      </c>
      <c r="F1092" s="8">
        <v>83.311719999999994</v>
      </c>
      <c r="G1092" s="22">
        <v>200</v>
      </c>
      <c r="H1092" s="22">
        <v>5</v>
      </c>
      <c r="I1092" s="10">
        <f t="shared" si="318"/>
        <v>19.983330554894014</v>
      </c>
      <c r="J1092" s="10">
        <f t="shared" si="328"/>
        <v>0.34877491369728597</v>
      </c>
      <c r="K1092" s="10">
        <v>21</v>
      </c>
      <c r="L1092" s="22">
        <v>526</v>
      </c>
      <c r="M1092" s="22" t="s">
        <v>36</v>
      </c>
      <c r="N1092" s="8" t="s">
        <v>46</v>
      </c>
      <c r="O1092" s="10" t="s">
        <v>37</v>
      </c>
      <c r="P1092" s="10" t="s">
        <v>38</v>
      </c>
      <c r="Q1092" s="11">
        <v>0.48</v>
      </c>
      <c r="R1092" s="8" t="s">
        <v>60</v>
      </c>
      <c r="S1092" s="30">
        <v>33.200000000000003</v>
      </c>
      <c r="T1092" s="79">
        <f t="shared" si="317"/>
        <v>8.6569929600000026E-2</v>
      </c>
      <c r="U1092" s="22">
        <v>14</v>
      </c>
      <c r="V1092" s="22">
        <v>68</v>
      </c>
      <c r="W1092" s="10">
        <f t="shared" si="319"/>
        <v>1.1868238913561442</v>
      </c>
      <c r="X1092" s="22">
        <v>7</v>
      </c>
      <c r="Y1092" s="22">
        <v>10</v>
      </c>
      <c r="Z1092" s="10">
        <f t="shared" si="329"/>
        <v>0.17453292519943295</v>
      </c>
      <c r="AA1092" s="10">
        <f t="shared" si="321"/>
        <v>14.196111207603536</v>
      </c>
      <c r="AB1092" s="10">
        <f t="shared" si="322"/>
        <v>341.19865537474982</v>
      </c>
      <c r="AC1092" s="10">
        <f t="shared" si="324"/>
        <v>42.649831921843727</v>
      </c>
      <c r="AD1092" s="10">
        <f t="shared" si="314"/>
        <v>170.59932768737491</v>
      </c>
      <c r="AE1092" s="65"/>
      <c r="AF1092" s="10">
        <f t="shared" si="315"/>
        <v>541.37006476656074</v>
      </c>
      <c r="AG1092" s="8">
        <f t="shared" si="325"/>
        <v>105.56716262947936</v>
      </c>
      <c r="AH1092" s="10">
        <f t="shared" si="326"/>
        <v>270.68503238328037</v>
      </c>
      <c r="AI1092" s="63"/>
      <c r="AJ1092" s="10">
        <f t="shared" si="316"/>
        <v>606.11500000000012</v>
      </c>
      <c r="AK1092" s="8"/>
      <c r="AL1092" s="8">
        <f t="shared" si="327"/>
        <v>303.05750000000006</v>
      </c>
    </row>
    <row r="1093" spans="1:38">
      <c r="A1093" s="18">
        <v>41471</v>
      </c>
      <c r="B1093" s="19" t="s">
        <v>119</v>
      </c>
      <c r="C1093" s="12">
        <v>200.4</v>
      </c>
      <c r="D1093" s="19" t="s">
        <v>80</v>
      </c>
      <c r="E1093" s="8">
        <v>8.4099199999999996</v>
      </c>
      <c r="F1093" s="8">
        <v>83.311719999999994</v>
      </c>
      <c r="G1093" s="22">
        <v>200</v>
      </c>
      <c r="H1093" s="22">
        <v>5</v>
      </c>
      <c r="I1093" s="10">
        <f t="shared" si="318"/>
        <v>19.983330554894014</v>
      </c>
      <c r="J1093" s="10">
        <f t="shared" si="328"/>
        <v>0.34877491369728597</v>
      </c>
      <c r="K1093" s="10">
        <v>21</v>
      </c>
      <c r="L1093" s="22">
        <v>551</v>
      </c>
      <c r="M1093" s="31" t="s">
        <v>231</v>
      </c>
      <c r="N1093" s="8" t="s">
        <v>171</v>
      </c>
      <c r="O1093" s="33" t="s">
        <v>99</v>
      </c>
      <c r="P1093" s="33" t="s">
        <v>99</v>
      </c>
      <c r="Q1093" s="7">
        <v>0.57999999999999996</v>
      </c>
      <c r="R1093" s="7" t="s">
        <v>103</v>
      </c>
      <c r="S1093" s="30">
        <v>10.9</v>
      </c>
      <c r="T1093" s="79">
        <f t="shared" si="317"/>
        <v>9.3313374000000004E-3</v>
      </c>
      <c r="U1093" s="22">
        <v>10</v>
      </c>
      <c r="V1093" s="22">
        <v>55</v>
      </c>
      <c r="W1093" s="10">
        <f t="shared" si="319"/>
        <v>0.95993108859688125</v>
      </c>
      <c r="X1093" s="22">
        <v>6</v>
      </c>
      <c r="Y1093" s="22">
        <v>10</v>
      </c>
      <c r="Z1093" s="10">
        <f t="shared" si="329"/>
        <v>0.17453292519943295</v>
      </c>
      <c r="AA1093" s="10">
        <f t="shared" si="321"/>
        <v>9.2334095088914996</v>
      </c>
      <c r="AB1093" s="10">
        <f t="shared" si="322"/>
        <v>33.518627166852617</v>
      </c>
      <c r="AC1093" s="10">
        <f t="shared" si="324"/>
        <v>4.1898283958565772</v>
      </c>
      <c r="AD1093" s="10">
        <f t="shared" si="314"/>
        <v>16.759313583426309</v>
      </c>
      <c r="AE1093" s="65"/>
      <c r="AF1093" s="10">
        <f t="shared" si="315"/>
        <v>42.274349842542676</v>
      </c>
      <c r="AG1093" s="8">
        <f t="shared" si="325"/>
        <v>8.243498219295823</v>
      </c>
      <c r="AH1093" s="10">
        <f t="shared" si="326"/>
        <v>21.137174921271338</v>
      </c>
      <c r="AI1093" s="63"/>
      <c r="AJ1093" s="10">
        <f t="shared" si="316"/>
        <v>33.428699999999992</v>
      </c>
      <c r="AK1093" s="8"/>
      <c r="AL1093" s="8">
        <f t="shared" si="327"/>
        <v>16.714349999999996</v>
      </c>
    </row>
    <row r="1094" spans="1:38">
      <c r="A1094" s="18">
        <v>41471</v>
      </c>
      <c r="B1094" s="19" t="s">
        <v>119</v>
      </c>
      <c r="C1094" s="12">
        <v>250.1</v>
      </c>
      <c r="D1094" s="9" t="s">
        <v>80</v>
      </c>
      <c r="E1094" s="8">
        <v>8.4103100000000008</v>
      </c>
      <c r="F1094" s="8">
        <v>83.311729999999997</v>
      </c>
      <c r="G1094" s="22">
        <v>250</v>
      </c>
      <c r="H1094" s="22">
        <v>-21</v>
      </c>
      <c r="I1094" s="10">
        <f t="shared" ref="I1094:I1124" si="330">1/TAN(H1094/100)</f>
        <v>-4.6916980937158783</v>
      </c>
      <c r="J1094" s="10">
        <f t="shared" ref="J1094:J1124" si="331">RADIANS(I1094)</f>
        <v>-8.1885579244883558E-2</v>
      </c>
      <c r="K1094" s="10">
        <f t="shared" ref="K1094:K1124" si="332">21/COS(J1094)</f>
        <v>21.070602344294585</v>
      </c>
      <c r="L1094" s="8">
        <v>479</v>
      </c>
      <c r="M1094" s="8" t="s">
        <v>96</v>
      </c>
      <c r="N1094" s="8" t="s">
        <v>69</v>
      </c>
      <c r="O1094" s="58" t="s">
        <v>65</v>
      </c>
      <c r="P1094" s="10" t="s">
        <v>102</v>
      </c>
      <c r="Q1094" s="22">
        <v>0.48</v>
      </c>
      <c r="R1094" s="22" t="s">
        <v>190</v>
      </c>
      <c r="S1094" s="12">
        <v>24.8</v>
      </c>
      <c r="T1094" s="79">
        <f t="shared" si="317"/>
        <v>4.8305241600000007E-2</v>
      </c>
      <c r="U1094" s="8">
        <v>14</v>
      </c>
      <c r="V1094" s="8">
        <v>70</v>
      </c>
      <c r="W1094" s="10">
        <f t="shared" ref="W1094:W1121" si="333">RADIANS(V1094)</f>
        <v>1.2217304763960306</v>
      </c>
      <c r="X1094" s="22">
        <v>5</v>
      </c>
      <c r="Y1094" s="22">
        <v>15</v>
      </c>
      <c r="Z1094" s="10">
        <f t="shared" ref="Z1094:Z1121" si="334">RADIANS(Y1094)</f>
        <v>0.26179938779914941</v>
      </c>
      <c r="AA1094" s="10">
        <f t="shared" ref="AA1094:AA1121" si="335">(SIN(W1094)*U1094)+(SIN(Z1094)*X1094)</f>
        <v>14.44979191651532</v>
      </c>
      <c r="AB1094" s="10">
        <f t="shared" ref="AB1094:AB1121" si="336">0.0776*(Q1094*S1094^2*AA1094)^0.94</f>
        <v>200.47837888638853</v>
      </c>
      <c r="AC1094" s="10">
        <f t="shared" si="324"/>
        <v>25.059797360798566</v>
      </c>
      <c r="AD1094" s="10">
        <f t="shared" si="314"/>
        <v>100.23918944319426</v>
      </c>
      <c r="AE1094" s="65"/>
      <c r="AF1094" s="10">
        <f t="shared" si="315"/>
        <v>267.30708432128597</v>
      </c>
      <c r="AG1094" s="8">
        <f t="shared" si="325"/>
        <v>52.124881442650768</v>
      </c>
      <c r="AH1094" s="10">
        <f t="shared" si="326"/>
        <v>133.65354216064298</v>
      </c>
      <c r="AI1094" s="63"/>
      <c r="AJ1094" s="10">
        <f t="shared" si="316"/>
        <v>303.99220000000003</v>
      </c>
      <c r="AK1094" s="8"/>
      <c r="AL1094" s="8">
        <f t="shared" si="327"/>
        <v>151.99610000000001</v>
      </c>
    </row>
    <row r="1095" spans="1:38">
      <c r="A1095" s="18">
        <v>41471</v>
      </c>
      <c r="B1095" s="19" t="s">
        <v>119</v>
      </c>
      <c r="C1095" s="12">
        <v>250.1</v>
      </c>
      <c r="D1095" s="19" t="s">
        <v>80</v>
      </c>
      <c r="E1095" s="8">
        <v>8.4103100000000008</v>
      </c>
      <c r="F1095" s="8">
        <v>83.311729999999997</v>
      </c>
      <c r="G1095" s="22">
        <v>250</v>
      </c>
      <c r="H1095" s="22">
        <v>-21</v>
      </c>
      <c r="I1095" s="10">
        <f t="shared" si="330"/>
        <v>-4.6916980937158783</v>
      </c>
      <c r="J1095" s="10">
        <f t="shared" si="331"/>
        <v>-8.1885579244883558E-2</v>
      </c>
      <c r="K1095" s="10">
        <f t="shared" si="332"/>
        <v>21.070602344294585</v>
      </c>
      <c r="L1095" s="8">
        <v>416</v>
      </c>
      <c r="M1095" s="8" t="s">
        <v>36</v>
      </c>
      <c r="N1095" s="8" t="s">
        <v>46</v>
      </c>
      <c r="O1095" s="10" t="s">
        <v>37</v>
      </c>
      <c r="P1095" s="10" t="s">
        <v>38</v>
      </c>
      <c r="Q1095" s="11">
        <v>0.48</v>
      </c>
      <c r="R1095" s="8" t="s">
        <v>60</v>
      </c>
      <c r="S1095" s="12">
        <v>26.5</v>
      </c>
      <c r="T1095" s="79">
        <f t="shared" si="317"/>
        <v>5.5154715E-2</v>
      </c>
      <c r="U1095" s="8">
        <v>10</v>
      </c>
      <c r="V1095" s="8">
        <v>58</v>
      </c>
      <c r="W1095" s="10">
        <f t="shared" si="333"/>
        <v>1.0122909661567112</v>
      </c>
      <c r="X1095" s="22">
        <v>6</v>
      </c>
      <c r="Y1095" s="22">
        <v>10</v>
      </c>
      <c r="Z1095" s="10">
        <f t="shared" si="334"/>
        <v>0.17453292519943295</v>
      </c>
      <c r="AA1095" s="10">
        <f t="shared" si="335"/>
        <v>9.5223700275658416</v>
      </c>
      <c r="AB1095" s="10">
        <f t="shared" si="336"/>
        <v>153.44441216914439</v>
      </c>
      <c r="AC1095" s="10">
        <f t="shared" si="324"/>
        <v>19.180551521143048</v>
      </c>
      <c r="AD1095" s="10">
        <f t="shared" ref="AD1095:AD1158" si="337">AB1095/2</f>
        <v>76.722206084572193</v>
      </c>
      <c r="AE1095" s="65"/>
      <c r="AF1095" s="10">
        <f t="shared" ref="AF1095:AF1158" si="338">Q1095*EXP(-1.239+1.98*LN(S1095)+0.207*(LN(S1095))^2-0.0281*(LN(S1095))^3)</f>
        <v>314.15852999678032</v>
      </c>
      <c r="AG1095" s="8">
        <f t="shared" si="325"/>
        <v>61.260913349372167</v>
      </c>
      <c r="AH1095" s="10">
        <f t="shared" si="326"/>
        <v>157.07926499839016</v>
      </c>
      <c r="AI1095" s="63"/>
      <c r="AJ1095" s="10">
        <f t="shared" ref="AJ1095:AJ1158" si="339">21.297-6.953*S1095+0.74*(S1095^2)</f>
        <v>356.70749999999998</v>
      </c>
      <c r="AK1095" s="8"/>
      <c r="AL1095" s="8">
        <f t="shared" si="327"/>
        <v>178.35374999999999</v>
      </c>
    </row>
    <row r="1096" spans="1:38">
      <c r="A1096" s="18">
        <v>41471</v>
      </c>
      <c r="B1096" s="19" t="s">
        <v>119</v>
      </c>
      <c r="C1096" s="12">
        <v>250.1</v>
      </c>
      <c r="D1096" s="19" t="s">
        <v>80</v>
      </c>
      <c r="E1096" s="8">
        <v>8.4103100000000008</v>
      </c>
      <c r="F1096" s="8">
        <v>83.311729999999997</v>
      </c>
      <c r="G1096" s="22">
        <v>250</v>
      </c>
      <c r="H1096" s="22">
        <v>-21</v>
      </c>
      <c r="I1096" s="10">
        <f t="shared" si="330"/>
        <v>-4.6916980937158783</v>
      </c>
      <c r="J1096" s="10">
        <f t="shared" si="331"/>
        <v>-8.1885579244883558E-2</v>
      </c>
      <c r="K1096" s="10">
        <f t="shared" si="332"/>
        <v>21.070602344294585</v>
      </c>
      <c r="L1096" s="8">
        <v>476</v>
      </c>
      <c r="M1096" s="8" t="s">
        <v>36</v>
      </c>
      <c r="N1096" s="8" t="s">
        <v>46</v>
      </c>
      <c r="O1096" s="10" t="s">
        <v>37</v>
      </c>
      <c r="P1096" s="10" t="s">
        <v>38</v>
      </c>
      <c r="Q1096" s="11">
        <v>0.48</v>
      </c>
      <c r="R1096" s="8" t="s">
        <v>60</v>
      </c>
      <c r="S1096" s="12">
        <v>26.1</v>
      </c>
      <c r="T1096" s="79">
        <f t="shared" ref="T1096:T1159" si="340">0.00007854*S1096^2</f>
        <v>5.3502233400000009E-2</v>
      </c>
      <c r="U1096" s="8">
        <v>13</v>
      </c>
      <c r="V1096" s="8">
        <v>70</v>
      </c>
      <c r="W1096" s="10">
        <f t="shared" si="333"/>
        <v>1.2217304763960306</v>
      </c>
      <c r="X1096" s="22">
        <v>6</v>
      </c>
      <c r="Y1096" s="22">
        <v>10</v>
      </c>
      <c r="Z1096" s="10">
        <f t="shared" si="334"/>
        <v>0.17453292519943295</v>
      </c>
      <c r="AA1096" s="10">
        <f t="shared" si="335"/>
        <v>13.25789313621839</v>
      </c>
      <c r="AB1096" s="10">
        <f t="shared" si="336"/>
        <v>203.53480313249554</v>
      </c>
      <c r="AC1096" s="10">
        <f t="shared" si="324"/>
        <v>25.441850391561943</v>
      </c>
      <c r="AD1096" s="10">
        <f t="shared" si="337"/>
        <v>101.76740156624777</v>
      </c>
      <c r="AE1096" s="65"/>
      <c r="AF1096" s="10">
        <f t="shared" si="338"/>
        <v>302.74833537634686</v>
      </c>
      <c r="AG1096" s="8">
        <f t="shared" si="325"/>
        <v>59.03592539838764</v>
      </c>
      <c r="AH1096" s="10">
        <f t="shared" si="326"/>
        <v>151.37416768817343</v>
      </c>
      <c r="AI1096" s="63"/>
      <c r="AJ1096" s="10">
        <f t="shared" si="339"/>
        <v>343.91910000000001</v>
      </c>
      <c r="AK1096" s="8"/>
      <c r="AL1096" s="8">
        <f t="shared" si="327"/>
        <v>171.95955000000001</v>
      </c>
    </row>
    <row r="1097" spans="1:38">
      <c r="A1097" s="18">
        <v>41471</v>
      </c>
      <c r="B1097" s="19" t="s">
        <v>119</v>
      </c>
      <c r="C1097" s="12">
        <v>250.1</v>
      </c>
      <c r="D1097" s="19" t="s">
        <v>80</v>
      </c>
      <c r="E1097" s="8">
        <v>8.4103100000000008</v>
      </c>
      <c r="F1097" s="8">
        <v>83.311729999999997</v>
      </c>
      <c r="G1097" s="22">
        <v>250</v>
      </c>
      <c r="H1097" s="22">
        <v>-21</v>
      </c>
      <c r="I1097" s="10">
        <f t="shared" si="330"/>
        <v>-4.6916980937158783</v>
      </c>
      <c r="J1097" s="10">
        <f t="shared" si="331"/>
        <v>-8.1885579244883558E-2</v>
      </c>
      <c r="K1097" s="10">
        <f t="shared" si="332"/>
        <v>21.070602344294585</v>
      </c>
      <c r="L1097" s="22">
        <v>461</v>
      </c>
      <c r="M1097" s="22" t="s">
        <v>138</v>
      </c>
      <c r="N1097" s="56" t="s">
        <v>99</v>
      </c>
      <c r="O1097" s="57" t="s">
        <v>249</v>
      </c>
      <c r="P1097" s="33" t="s">
        <v>250</v>
      </c>
      <c r="Q1097" s="7">
        <v>0.59</v>
      </c>
      <c r="R1097" s="7" t="s">
        <v>190</v>
      </c>
      <c r="S1097" s="31">
        <v>7.6</v>
      </c>
      <c r="T1097" s="79">
        <f t="shared" si="340"/>
        <v>4.5364704E-3</v>
      </c>
      <c r="U1097" s="22">
        <v>6</v>
      </c>
      <c r="V1097" s="22">
        <v>51</v>
      </c>
      <c r="W1097" s="10">
        <f t="shared" si="333"/>
        <v>0.89011791851710809</v>
      </c>
      <c r="X1097" s="22">
        <v>5</v>
      </c>
      <c r="Y1097" s="22">
        <v>6</v>
      </c>
      <c r="Z1097" s="10">
        <f t="shared" si="334"/>
        <v>0.10471975511965978</v>
      </c>
      <c r="AA1097" s="10">
        <f t="shared" si="335"/>
        <v>5.1855180850800924</v>
      </c>
      <c r="AB1097" s="10">
        <f t="shared" si="336"/>
        <v>10.053025629176142</v>
      </c>
      <c r="AC1097" s="10">
        <f t="shared" si="324"/>
        <v>1.2566282036470178</v>
      </c>
      <c r="AD1097" s="10">
        <f t="shared" si="337"/>
        <v>5.0265128145880711</v>
      </c>
      <c r="AE1097" s="65"/>
      <c r="AF1097" s="10">
        <f t="shared" si="338"/>
        <v>17.569171482681629</v>
      </c>
      <c r="AG1097" s="8">
        <f t="shared" si="325"/>
        <v>3.4259884391229178</v>
      </c>
      <c r="AH1097" s="10">
        <f t="shared" si="326"/>
        <v>8.7845857413408144</v>
      </c>
      <c r="AI1097" s="63"/>
      <c r="AJ1097" s="10">
        <f t="shared" si="339"/>
        <v>11.1966</v>
      </c>
      <c r="AK1097" s="8"/>
      <c r="AL1097" s="8">
        <f t="shared" si="327"/>
        <v>5.5983000000000001</v>
      </c>
    </row>
    <row r="1098" spans="1:38">
      <c r="A1098" s="18">
        <v>41471</v>
      </c>
      <c r="B1098" s="19" t="s">
        <v>119</v>
      </c>
      <c r="C1098" s="12">
        <v>250.1</v>
      </c>
      <c r="D1098" s="19" t="s">
        <v>80</v>
      </c>
      <c r="E1098" s="8">
        <v>8.4103100000000008</v>
      </c>
      <c r="F1098" s="8">
        <v>83.311729999999997</v>
      </c>
      <c r="G1098" s="22">
        <v>250</v>
      </c>
      <c r="H1098" s="22">
        <v>-21</v>
      </c>
      <c r="I1098" s="10">
        <f t="shared" si="330"/>
        <v>-4.6916980937158783</v>
      </c>
      <c r="J1098" s="10">
        <f t="shared" si="331"/>
        <v>-8.1885579244883558E-2</v>
      </c>
      <c r="K1098" s="10">
        <f t="shared" si="332"/>
        <v>21.070602344294585</v>
      </c>
      <c r="L1098" s="22">
        <v>433</v>
      </c>
      <c r="M1098" s="31" t="s">
        <v>231</v>
      </c>
      <c r="N1098" s="8" t="s">
        <v>171</v>
      </c>
      <c r="O1098" s="33" t="s">
        <v>99</v>
      </c>
      <c r="P1098" s="33" t="s">
        <v>99</v>
      </c>
      <c r="Q1098" s="7">
        <v>0.57999999999999996</v>
      </c>
      <c r="R1098" s="7" t="s">
        <v>103</v>
      </c>
      <c r="S1098" s="31">
        <v>14.2</v>
      </c>
      <c r="T1098" s="79">
        <f t="shared" si="340"/>
        <v>1.58368056E-2</v>
      </c>
      <c r="U1098" s="22">
        <v>10</v>
      </c>
      <c r="V1098" s="22">
        <v>60</v>
      </c>
      <c r="W1098" s="10">
        <f t="shared" si="333"/>
        <v>1.0471975511965976</v>
      </c>
      <c r="X1098" s="22">
        <v>5</v>
      </c>
      <c r="Y1098" s="22">
        <v>4</v>
      </c>
      <c r="Z1098" s="10">
        <f t="shared" si="334"/>
        <v>6.9813170079773182E-2</v>
      </c>
      <c r="AA1098" s="10">
        <f t="shared" si="335"/>
        <v>9.0090364065650128</v>
      </c>
      <c r="AB1098" s="10">
        <f t="shared" si="336"/>
        <v>53.849759011950432</v>
      </c>
      <c r="AC1098" s="10">
        <f t="shared" si="324"/>
        <v>6.731219876493804</v>
      </c>
      <c r="AD1098" s="10">
        <f t="shared" si="337"/>
        <v>26.924879505975216</v>
      </c>
      <c r="AE1098" s="65"/>
      <c r="AF1098" s="10">
        <f t="shared" si="338"/>
        <v>81.618528860752903</v>
      </c>
      <c r="AG1098" s="8">
        <f t="shared" si="325"/>
        <v>15.915613127846816</v>
      </c>
      <c r="AH1098" s="10">
        <f t="shared" si="326"/>
        <v>40.809264430376452</v>
      </c>
      <c r="AI1098" s="63"/>
      <c r="AJ1098" s="10">
        <f t="shared" si="339"/>
        <v>71.777999999999977</v>
      </c>
      <c r="AK1098" s="8"/>
      <c r="AL1098" s="8">
        <f t="shared" si="327"/>
        <v>35.888999999999989</v>
      </c>
    </row>
    <row r="1099" spans="1:38">
      <c r="A1099" s="18">
        <v>41471</v>
      </c>
      <c r="B1099" s="19" t="s">
        <v>119</v>
      </c>
      <c r="C1099" s="12">
        <v>250.1</v>
      </c>
      <c r="D1099" s="19" t="s">
        <v>80</v>
      </c>
      <c r="E1099" s="8">
        <v>8.4103100000000008</v>
      </c>
      <c r="F1099" s="8">
        <v>83.311729999999997</v>
      </c>
      <c r="G1099" s="22">
        <v>250</v>
      </c>
      <c r="H1099" s="22">
        <v>-21</v>
      </c>
      <c r="I1099" s="10">
        <f t="shared" si="330"/>
        <v>-4.6916980937158783</v>
      </c>
      <c r="J1099" s="10">
        <f t="shared" si="331"/>
        <v>-8.1885579244883558E-2</v>
      </c>
      <c r="K1099" s="10">
        <f t="shared" si="332"/>
        <v>21.070602344294585</v>
      </c>
      <c r="L1099" s="22">
        <v>425</v>
      </c>
      <c r="M1099" s="22" t="s">
        <v>36</v>
      </c>
      <c r="N1099" s="8" t="s">
        <v>46</v>
      </c>
      <c r="O1099" s="10" t="s">
        <v>37</v>
      </c>
      <c r="P1099" s="10" t="s">
        <v>38</v>
      </c>
      <c r="Q1099" s="11">
        <v>0.48</v>
      </c>
      <c r="R1099" s="8" t="s">
        <v>60</v>
      </c>
      <c r="S1099" s="31">
        <v>14.6</v>
      </c>
      <c r="T1099" s="79">
        <f t="shared" si="340"/>
        <v>1.6741586400000001E-2</v>
      </c>
      <c r="U1099" s="22">
        <v>14</v>
      </c>
      <c r="V1099" s="22">
        <v>65</v>
      </c>
      <c r="W1099" s="10">
        <f t="shared" si="333"/>
        <v>1.1344640137963142</v>
      </c>
      <c r="X1099" s="22">
        <v>6</v>
      </c>
      <c r="Y1099" s="22">
        <v>9</v>
      </c>
      <c r="Z1099" s="10">
        <f t="shared" si="334"/>
        <v>0.15707963267948966</v>
      </c>
      <c r="AA1099" s="10">
        <f t="shared" si="335"/>
        <v>13.626915808754484</v>
      </c>
      <c r="AB1099" s="10">
        <f t="shared" si="336"/>
        <v>70.072170752102707</v>
      </c>
      <c r="AC1099" s="10">
        <f t="shared" si="324"/>
        <v>8.7590213440128384</v>
      </c>
      <c r="AD1099" s="10">
        <f t="shared" si="337"/>
        <v>35.036085376051354</v>
      </c>
      <c r="AE1099" s="65"/>
      <c r="AF1099" s="10">
        <f t="shared" si="338"/>
        <v>72.372974396540229</v>
      </c>
      <c r="AG1099" s="8">
        <f t="shared" si="325"/>
        <v>14.112730007325345</v>
      </c>
      <c r="AH1099" s="10">
        <f t="shared" si="326"/>
        <v>36.186487198270115</v>
      </c>
      <c r="AI1099" s="63"/>
      <c r="AJ1099" s="10">
        <f t="shared" si="339"/>
        <v>77.521599999999978</v>
      </c>
      <c r="AK1099" s="8"/>
      <c r="AL1099" s="8">
        <f t="shared" si="327"/>
        <v>38.760799999999989</v>
      </c>
    </row>
    <row r="1100" spans="1:38">
      <c r="A1100" s="18">
        <v>41471</v>
      </c>
      <c r="B1100" s="19" t="s">
        <v>119</v>
      </c>
      <c r="C1100" s="12">
        <v>250.1</v>
      </c>
      <c r="D1100" s="19" t="s">
        <v>80</v>
      </c>
      <c r="E1100" s="8">
        <v>8.4103100000000008</v>
      </c>
      <c r="F1100" s="8">
        <v>83.311729999999997</v>
      </c>
      <c r="G1100" s="22">
        <v>250</v>
      </c>
      <c r="H1100" s="22">
        <v>-21</v>
      </c>
      <c r="I1100" s="10">
        <f t="shared" si="330"/>
        <v>-4.6916980937158783</v>
      </c>
      <c r="J1100" s="10">
        <f t="shared" si="331"/>
        <v>-8.1885579244883558E-2</v>
      </c>
      <c r="K1100" s="10">
        <f t="shared" si="332"/>
        <v>21.070602344294585</v>
      </c>
      <c r="L1100" s="22">
        <v>460</v>
      </c>
      <c r="M1100" s="22" t="s">
        <v>181</v>
      </c>
      <c r="N1100" s="22" t="s">
        <v>48</v>
      </c>
      <c r="O1100" s="58" t="s">
        <v>218</v>
      </c>
      <c r="P1100" s="10" t="s">
        <v>219</v>
      </c>
      <c r="Q1100" s="24">
        <v>0.66</v>
      </c>
      <c r="R1100" s="22" t="s">
        <v>190</v>
      </c>
      <c r="S1100" s="31">
        <v>10.9</v>
      </c>
      <c r="T1100" s="79">
        <f t="shared" si="340"/>
        <v>9.3313374000000004E-3</v>
      </c>
      <c r="U1100" s="22">
        <v>10</v>
      </c>
      <c r="V1100" s="22">
        <v>42</v>
      </c>
      <c r="W1100" s="10">
        <f t="shared" si="333"/>
        <v>0.73303828583761843</v>
      </c>
      <c r="X1100" s="22">
        <v>8</v>
      </c>
      <c r="Y1100" s="22">
        <v>9</v>
      </c>
      <c r="Z1100" s="10">
        <f t="shared" si="334"/>
        <v>0.15707963267948966</v>
      </c>
      <c r="AA1100" s="10">
        <f t="shared" si="335"/>
        <v>7.9427817839104291</v>
      </c>
      <c r="AB1100" s="10">
        <f t="shared" si="336"/>
        <v>32.852551899017506</v>
      </c>
      <c r="AC1100" s="10">
        <f t="shared" si="324"/>
        <v>4.1065689873771882</v>
      </c>
      <c r="AD1100" s="10">
        <f t="shared" si="337"/>
        <v>16.426275949508753</v>
      </c>
      <c r="AE1100" s="65"/>
      <c r="AF1100" s="10">
        <f t="shared" si="338"/>
        <v>48.105294648410641</v>
      </c>
      <c r="AG1100" s="8">
        <f t="shared" si="325"/>
        <v>9.3805324564400756</v>
      </c>
      <c r="AH1100" s="10">
        <f t="shared" si="326"/>
        <v>24.052647324205321</v>
      </c>
      <c r="AI1100" s="63"/>
      <c r="AJ1100" s="10">
        <f t="shared" si="339"/>
        <v>33.428699999999992</v>
      </c>
      <c r="AK1100" s="8"/>
      <c r="AL1100" s="8">
        <f t="shared" si="327"/>
        <v>16.714349999999996</v>
      </c>
    </row>
    <row r="1101" spans="1:38">
      <c r="A1101" s="18">
        <v>41471</v>
      </c>
      <c r="B1101" s="19" t="s">
        <v>119</v>
      </c>
      <c r="C1101" s="12">
        <v>250.1</v>
      </c>
      <c r="D1101" s="19" t="s">
        <v>80</v>
      </c>
      <c r="E1101" s="8">
        <v>8.4103100000000008</v>
      </c>
      <c r="F1101" s="8">
        <v>83.311729999999997</v>
      </c>
      <c r="G1101" s="22">
        <v>250</v>
      </c>
      <c r="H1101" s="22">
        <v>-21</v>
      </c>
      <c r="I1101" s="10">
        <f t="shared" si="330"/>
        <v>-4.6916980937158783</v>
      </c>
      <c r="J1101" s="10">
        <f t="shared" si="331"/>
        <v>-8.1885579244883558E-2</v>
      </c>
      <c r="K1101" s="10">
        <f t="shared" si="332"/>
        <v>21.070602344294585</v>
      </c>
      <c r="L1101" s="22">
        <v>408</v>
      </c>
      <c r="M1101" s="22" t="s">
        <v>181</v>
      </c>
      <c r="N1101" s="22" t="s">
        <v>48</v>
      </c>
      <c r="O1101" s="58" t="s">
        <v>218</v>
      </c>
      <c r="P1101" s="10" t="s">
        <v>219</v>
      </c>
      <c r="Q1101" s="24">
        <v>0.66</v>
      </c>
      <c r="R1101" s="22" t="s">
        <v>190</v>
      </c>
      <c r="S1101" s="31">
        <v>8.1</v>
      </c>
      <c r="T1101" s="79">
        <f t="shared" si="340"/>
        <v>5.1530094000000002E-3</v>
      </c>
      <c r="U1101" s="22">
        <v>10</v>
      </c>
      <c r="V1101" s="22">
        <v>42</v>
      </c>
      <c r="W1101" s="10">
        <f t="shared" si="333"/>
        <v>0.73303828583761843</v>
      </c>
      <c r="X1101" s="22">
        <v>8</v>
      </c>
      <c r="Y1101" s="22">
        <v>9</v>
      </c>
      <c r="Z1101" s="10">
        <f t="shared" si="334"/>
        <v>0.15707963267948966</v>
      </c>
      <c r="AA1101" s="10">
        <f t="shared" si="335"/>
        <v>7.9427817839104291</v>
      </c>
      <c r="AB1101" s="10">
        <f t="shared" si="336"/>
        <v>18.800055415909991</v>
      </c>
      <c r="AC1101" s="10">
        <f t="shared" si="324"/>
        <v>2.3500069269887489</v>
      </c>
      <c r="AD1101" s="10">
        <f t="shared" si="337"/>
        <v>9.4000277079549956</v>
      </c>
      <c r="AE1101" s="65"/>
      <c r="AF1101" s="10">
        <f t="shared" si="338"/>
        <v>23.01082030105308</v>
      </c>
      <c r="AG1101" s="8">
        <f t="shared" si="325"/>
        <v>4.4871099587053509</v>
      </c>
      <c r="AH1101" s="10">
        <f t="shared" si="326"/>
        <v>11.50541015052654</v>
      </c>
      <c r="AI1101" s="63"/>
      <c r="AJ1101" s="10">
        <f t="shared" si="339"/>
        <v>13.5291</v>
      </c>
      <c r="AK1101" s="8"/>
      <c r="AL1101" s="8">
        <f t="shared" si="327"/>
        <v>6.7645499999999998</v>
      </c>
    </row>
    <row r="1102" spans="1:38">
      <c r="A1102" s="18">
        <v>41471</v>
      </c>
      <c r="B1102" s="19" t="s">
        <v>119</v>
      </c>
      <c r="C1102" s="12">
        <v>250.1</v>
      </c>
      <c r="D1102" s="19" t="s">
        <v>80</v>
      </c>
      <c r="E1102" s="8">
        <v>8.4103100000000008</v>
      </c>
      <c r="F1102" s="8">
        <v>83.311729999999997</v>
      </c>
      <c r="G1102" s="22">
        <v>250</v>
      </c>
      <c r="H1102" s="22">
        <v>-21</v>
      </c>
      <c r="I1102" s="10">
        <f t="shared" si="330"/>
        <v>-4.6916980937158783</v>
      </c>
      <c r="J1102" s="10">
        <f t="shared" si="331"/>
        <v>-8.1885579244883558E-2</v>
      </c>
      <c r="K1102" s="10">
        <f t="shared" si="332"/>
        <v>21.070602344294585</v>
      </c>
      <c r="L1102" s="22">
        <v>450</v>
      </c>
      <c r="M1102" s="22" t="s">
        <v>36</v>
      </c>
      <c r="N1102" s="8" t="s">
        <v>46</v>
      </c>
      <c r="O1102" s="10" t="s">
        <v>37</v>
      </c>
      <c r="P1102" s="10" t="s">
        <v>38</v>
      </c>
      <c r="Q1102" s="11">
        <v>0.48</v>
      </c>
      <c r="R1102" s="8" t="s">
        <v>60</v>
      </c>
      <c r="S1102" s="31">
        <v>26.9</v>
      </c>
      <c r="T1102" s="79">
        <f t="shared" si="340"/>
        <v>5.6832329399999992E-2</v>
      </c>
      <c r="U1102" s="22">
        <v>12</v>
      </c>
      <c r="V1102" s="22">
        <v>60</v>
      </c>
      <c r="W1102" s="10">
        <f t="shared" si="333"/>
        <v>1.0471975511965976</v>
      </c>
      <c r="X1102" s="22">
        <v>5</v>
      </c>
      <c r="Y1102" s="22">
        <v>22</v>
      </c>
      <c r="Z1102" s="10">
        <f t="shared" si="334"/>
        <v>0.38397243543875248</v>
      </c>
      <c r="AA1102" s="10">
        <f t="shared" si="335"/>
        <v>12.265337812492824</v>
      </c>
      <c r="AB1102" s="10">
        <f t="shared" si="336"/>
        <v>200.22648070373575</v>
      </c>
      <c r="AC1102" s="10">
        <f t="shared" si="324"/>
        <v>25.028310087966968</v>
      </c>
      <c r="AD1102" s="10">
        <f t="shared" si="337"/>
        <v>100.11324035186787</v>
      </c>
      <c r="AE1102" s="65"/>
      <c r="AF1102" s="10">
        <f t="shared" si="338"/>
        <v>325.80791402242107</v>
      </c>
      <c r="AG1102" s="8">
        <f t="shared" si="325"/>
        <v>63.532543234372113</v>
      </c>
      <c r="AH1102" s="10">
        <f t="shared" si="326"/>
        <v>162.90395701121054</v>
      </c>
      <c r="AI1102" s="63"/>
      <c r="AJ1102" s="10">
        <f t="shared" si="339"/>
        <v>369.73269999999991</v>
      </c>
      <c r="AK1102" s="8"/>
      <c r="AL1102" s="8">
        <f t="shared" si="327"/>
        <v>184.86634999999995</v>
      </c>
    </row>
    <row r="1103" spans="1:38">
      <c r="A1103" s="18">
        <v>41471</v>
      </c>
      <c r="B1103" s="19" t="s">
        <v>119</v>
      </c>
      <c r="C1103" s="12">
        <v>250.1</v>
      </c>
      <c r="D1103" s="19" t="s">
        <v>80</v>
      </c>
      <c r="E1103" s="8">
        <v>8.4103100000000008</v>
      </c>
      <c r="F1103" s="8">
        <v>83.311729999999997</v>
      </c>
      <c r="G1103" s="22">
        <v>250</v>
      </c>
      <c r="H1103" s="22">
        <v>-21</v>
      </c>
      <c r="I1103" s="10">
        <f t="shared" si="330"/>
        <v>-4.6916980937158783</v>
      </c>
      <c r="J1103" s="10">
        <f t="shared" si="331"/>
        <v>-8.1885579244883558E-2</v>
      </c>
      <c r="K1103" s="10">
        <f t="shared" si="332"/>
        <v>21.070602344294585</v>
      </c>
      <c r="L1103" s="22">
        <v>403</v>
      </c>
      <c r="M1103" s="22" t="s">
        <v>36</v>
      </c>
      <c r="N1103" s="8" t="s">
        <v>46</v>
      </c>
      <c r="O1103" s="10" t="s">
        <v>37</v>
      </c>
      <c r="P1103" s="10" t="s">
        <v>38</v>
      </c>
      <c r="Q1103" s="11">
        <v>0.48</v>
      </c>
      <c r="R1103" s="8" t="s">
        <v>60</v>
      </c>
      <c r="S1103" s="12">
        <f>AVERAGE(33.7,35.1)</f>
        <v>34.400000000000006</v>
      </c>
      <c r="T1103" s="79">
        <f t="shared" si="340"/>
        <v>9.2941094400000035E-2</v>
      </c>
      <c r="U1103" s="22">
        <v>12</v>
      </c>
      <c r="V1103" s="22">
        <v>60</v>
      </c>
      <c r="W1103" s="10">
        <f t="shared" si="333"/>
        <v>1.0471975511965976</v>
      </c>
      <c r="X1103" s="22">
        <v>8</v>
      </c>
      <c r="Y1103" s="22">
        <v>12</v>
      </c>
      <c r="Z1103" s="10">
        <f t="shared" si="334"/>
        <v>0.20943951023931956</v>
      </c>
      <c r="AA1103" s="10">
        <f t="shared" si="335"/>
        <v>12.055598371955339</v>
      </c>
      <c r="AB1103" s="10">
        <f t="shared" si="336"/>
        <v>312.8065233208057</v>
      </c>
      <c r="AC1103" s="10">
        <f t="shared" si="324"/>
        <v>39.100815415100712</v>
      </c>
      <c r="AD1103" s="10">
        <f t="shared" si="337"/>
        <v>156.40326166040285</v>
      </c>
      <c r="AE1103" s="65"/>
      <c r="AF1103" s="10">
        <f t="shared" si="338"/>
        <v>589.37352442503709</v>
      </c>
      <c r="AG1103" s="8">
        <f t="shared" si="325"/>
        <v>114.92783726288224</v>
      </c>
      <c r="AH1103" s="10">
        <f t="shared" si="326"/>
        <v>294.68676221251854</v>
      </c>
      <c r="AI1103" s="63"/>
      <c r="AJ1103" s="10">
        <f t="shared" si="339"/>
        <v>657.80020000000025</v>
      </c>
      <c r="AK1103" s="8"/>
      <c r="AL1103" s="8">
        <f t="shared" si="327"/>
        <v>328.90010000000012</v>
      </c>
    </row>
    <row r="1104" spans="1:38">
      <c r="A1104" s="18">
        <v>41471</v>
      </c>
      <c r="B1104" s="19" t="s">
        <v>119</v>
      </c>
      <c r="C1104" s="12">
        <v>250.1</v>
      </c>
      <c r="D1104" s="19" t="s">
        <v>80</v>
      </c>
      <c r="E1104" s="8">
        <v>8.4103100000000008</v>
      </c>
      <c r="F1104" s="8">
        <v>83.311729999999997</v>
      </c>
      <c r="G1104" s="22">
        <v>250</v>
      </c>
      <c r="H1104" s="22">
        <v>-21</v>
      </c>
      <c r="I1104" s="10">
        <f t="shared" si="330"/>
        <v>-4.6916980937158783</v>
      </c>
      <c r="J1104" s="10">
        <f t="shared" si="331"/>
        <v>-8.1885579244883558E-2</v>
      </c>
      <c r="K1104" s="10">
        <f t="shared" si="332"/>
        <v>21.070602344294585</v>
      </c>
      <c r="L1104" s="22">
        <v>437</v>
      </c>
      <c r="M1104" s="22" t="s">
        <v>107</v>
      </c>
      <c r="N1104" s="22" t="s">
        <v>63</v>
      </c>
      <c r="O1104" s="10" t="s">
        <v>108</v>
      </c>
      <c r="P1104" s="15" t="s">
        <v>92</v>
      </c>
      <c r="Q1104" s="8">
        <v>0.57999999999999996</v>
      </c>
      <c r="R1104" s="22" t="s">
        <v>190</v>
      </c>
      <c r="S1104" s="31">
        <v>13.5</v>
      </c>
      <c r="T1104" s="79">
        <f t="shared" si="340"/>
        <v>1.4313915E-2</v>
      </c>
      <c r="U1104" s="22">
        <v>11</v>
      </c>
      <c r="V1104" s="22">
        <v>72</v>
      </c>
      <c r="W1104" s="10">
        <f t="shared" si="333"/>
        <v>1.2566370614359172</v>
      </c>
      <c r="X1104" s="22">
        <v>5</v>
      </c>
      <c r="Y1104" s="22">
        <v>10</v>
      </c>
      <c r="Z1104" s="10">
        <f t="shared" si="334"/>
        <v>0.17453292519943295</v>
      </c>
      <c r="AA1104" s="10">
        <f t="shared" si="335"/>
        <v>11.32986256758134</v>
      </c>
      <c r="AB1104" s="10">
        <f t="shared" si="336"/>
        <v>60.741104300775923</v>
      </c>
      <c r="AC1104" s="10">
        <f t="shared" si="324"/>
        <v>7.5926380375969904</v>
      </c>
      <c r="AD1104" s="10">
        <f t="shared" si="337"/>
        <v>30.370552150387962</v>
      </c>
      <c r="AE1104" s="65"/>
      <c r="AF1104" s="10">
        <f t="shared" si="338"/>
        <v>71.980491061685584</v>
      </c>
      <c r="AG1104" s="8">
        <f t="shared" si="325"/>
        <v>14.03619575702869</v>
      </c>
      <c r="AH1104" s="10">
        <f t="shared" si="326"/>
        <v>35.990245530842792</v>
      </c>
      <c r="AI1104" s="63"/>
      <c r="AJ1104" s="10">
        <f t="shared" si="339"/>
        <v>62.296500000000009</v>
      </c>
      <c r="AK1104" s="8"/>
      <c r="AL1104" s="8">
        <f t="shared" si="327"/>
        <v>31.148250000000004</v>
      </c>
    </row>
    <row r="1105" spans="1:38">
      <c r="A1105" s="18">
        <v>41471</v>
      </c>
      <c r="B1105" s="19" t="s">
        <v>119</v>
      </c>
      <c r="C1105" s="12">
        <v>250.1</v>
      </c>
      <c r="D1105" s="19" t="s">
        <v>80</v>
      </c>
      <c r="E1105" s="8">
        <v>8.4103100000000008</v>
      </c>
      <c r="F1105" s="8">
        <v>83.311729999999997</v>
      </c>
      <c r="G1105" s="22">
        <v>250</v>
      </c>
      <c r="H1105" s="22">
        <v>-21</v>
      </c>
      <c r="I1105" s="10">
        <f t="shared" si="330"/>
        <v>-4.6916980937158783</v>
      </c>
      <c r="J1105" s="10">
        <f t="shared" si="331"/>
        <v>-8.1885579244883558E-2</v>
      </c>
      <c r="K1105" s="10">
        <f t="shared" si="332"/>
        <v>21.070602344294585</v>
      </c>
      <c r="L1105" s="22">
        <v>420</v>
      </c>
      <c r="M1105" s="22" t="s">
        <v>36</v>
      </c>
      <c r="N1105" s="8" t="s">
        <v>46</v>
      </c>
      <c r="O1105" s="10" t="s">
        <v>37</v>
      </c>
      <c r="P1105" s="10" t="s">
        <v>38</v>
      </c>
      <c r="Q1105" s="11">
        <v>0.48</v>
      </c>
      <c r="R1105" s="8" t="s">
        <v>60</v>
      </c>
      <c r="S1105" s="31">
        <v>16.399999999999999</v>
      </c>
      <c r="T1105" s="79">
        <f t="shared" si="340"/>
        <v>2.1124118399999999E-2</v>
      </c>
      <c r="U1105" s="22">
        <v>7</v>
      </c>
      <c r="V1105" s="22">
        <v>60</v>
      </c>
      <c r="W1105" s="10">
        <f t="shared" si="333"/>
        <v>1.0471975511965976</v>
      </c>
      <c r="X1105" s="22">
        <v>5</v>
      </c>
      <c r="Y1105" s="22">
        <v>14</v>
      </c>
      <c r="Z1105" s="10">
        <f t="shared" si="334"/>
        <v>0.24434609527920614</v>
      </c>
      <c r="AA1105" s="10">
        <f t="shared" si="335"/>
        <v>7.2717873044894095</v>
      </c>
      <c r="AB1105" s="10">
        <f t="shared" si="336"/>
        <v>48.314514102234611</v>
      </c>
      <c r="AC1105" s="10">
        <f t="shared" si="324"/>
        <v>6.0393142627793264</v>
      </c>
      <c r="AD1105" s="10">
        <f t="shared" si="337"/>
        <v>24.157257051117305</v>
      </c>
      <c r="AE1105" s="65"/>
      <c r="AF1105" s="10">
        <f t="shared" si="338"/>
        <v>96.57518030829435</v>
      </c>
      <c r="AG1105" s="8">
        <f t="shared" si="325"/>
        <v>18.8321601601174</v>
      </c>
      <c r="AH1105" s="10">
        <f t="shared" si="326"/>
        <v>48.287590154147175</v>
      </c>
      <c r="AI1105" s="63"/>
      <c r="AJ1105" s="10">
        <f t="shared" si="339"/>
        <v>106.29819999999999</v>
      </c>
      <c r="AK1105" s="8"/>
      <c r="AL1105" s="8">
        <f t="shared" si="327"/>
        <v>53.149099999999997</v>
      </c>
    </row>
    <row r="1106" spans="1:38">
      <c r="A1106" s="18">
        <v>41471</v>
      </c>
      <c r="B1106" s="19" t="s">
        <v>119</v>
      </c>
      <c r="C1106" s="12">
        <v>250.1</v>
      </c>
      <c r="D1106" s="19" t="s">
        <v>80</v>
      </c>
      <c r="E1106" s="8">
        <v>8.4103100000000008</v>
      </c>
      <c r="F1106" s="8">
        <v>83.311729999999997</v>
      </c>
      <c r="G1106" s="22">
        <v>250</v>
      </c>
      <c r="H1106" s="22">
        <v>-21</v>
      </c>
      <c r="I1106" s="10">
        <f t="shared" si="330"/>
        <v>-4.6916980937158783</v>
      </c>
      <c r="J1106" s="10">
        <f t="shared" si="331"/>
        <v>-8.1885579244883558E-2</v>
      </c>
      <c r="K1106" s="10">
        <f t="shared" si="332"/>
        <v>21.070602344294585</v>
      </c>
      <c r="L1106" s="22">
        <v>421</v>
      </c>
      <c r="M1106" s="22" t="s">
        <v>96</v>
      </c>
      <c r="N1106" s="8" t="s">
        <v>69</v>
      </c>
      <c r="O1106" s="58" t="s">
        <v>65</v>
      </c>
      <c r="P1106" s="10" t="s">
        <v>102</v>
      </c>
      <c r="Q1106" s="22">
        <v>0.48</v>
      </c>
      <c r="R1106" s="22" t="s">
        <v>190</v>
      </c>
      <c r="S1106" s="31">
        <v>22.9</v>
      </c>
      <c r="T1106" s="79">
        <f t="shared" si="340"/>
        <v>4.1187161399999998E-2</v>
      </c>
      <c r="U1106" s="22">
        <v>18</v>
      </c>
      <c r="V1106" s="22">
        <v>75</v>
      </c>
      <c r="W1106" s="10">
        <f t="shared" si="333"/>
        <v>1.3089969389957472</v>
      </c>
      <c r="X1106" s="22">
        <v>5</v>
      </c>
      <c r="Y1106" s="22">
        <v>10</v>
      </c>
      <c r="Z1106" s="10">
        <f t="shared" si="334"/>
        <v>0.17453292519943295</v>
      </c>
      <c r="AA1106" s="10">
        <f t="shared" si="335"/>
        <v>18.254905761537881</v>
      </c>
      <c r="AB1106" s="10">
        <f t="shared" si="336"/>
        <v>214.98888671126147</v>
      </c>
      <c r="AC1106" s="10">
        <f t="shared" si="324"/>
        <v>26.873610838907684</v>
      </c>
      <c r="AD1106" s="10">
        <f t="shared" si="337"/>
        <v>107.49444335563074</v>
      </c>
      <c r="AE1106" s="65"/>
      <c r="AF1106" s="10">
        <f t="shared" si="338"/>
        <v>219.9736287511374</v>
      </c>
      <c r="AG1106" s="8">
        <f t="shared" si="325"/>
        <v>42.894857606471795</v>
      </c>
      <c r="AH1106" s="10">
        <f t="shared" si="326"/>
        <v>109.9868143755687</v>
      </c>
      <c r="AI1106" s="63"/>
      <c r="AJ1106" s="10">
        <f t="shared" si="339"/>
        <v>250.13669999999993</v>
      </c>
      <c r="AK1106" s="8"/>
      <c r="AL1106" s="8">
        <f t="shared" si="327"/>
        <v>125.06834999999997</v>
      </c>
    </row>
    <row r="1107" spans="1:38">
      <c r="A1107" s="18">
        <v>41471</v>
      </c>
      <c r="B1107" s="19" t="s">
        <v>119</v>
      </c>
      <c r="C1107" s="12">
        <v>250.1</v>
      </c>
      <c r="D1107" s="19" t="s">
        <v>80</v>
      </c>
      <c r="E1107" s="8">
        <v>8.4103100000000008</v>
      </c>
      <c r="F1107" s="8">
        <v>83.311729999999997</v>
      </c>
      <c r="G1107" s="22">
        <v>250</v>
      </c>
      <c r="H1107" s="22">
        <v>-21</v>
      </c>
      <c r="I1107" s="10">
        <f t="shared" si="330"/>
        <v>-4.6916980937158783</v>
      </c>
      <c r="J1107" s="10">
        <f t="shared" si="331"/>
        <v>-8.1885579244883558E-2</v>
      </c>
      <c r="K1107" s="10">
        <f t="shared" si="332"/>
        <v>21.070602344294585</v>
      </c>
      <c r="L1107" s="22">
        <v>392</v>
      </c>
      <c r="M1107" s="22" t="s">
        <v>36</v>
      </c>
      <c r="N1107" s="8" t="s">
        <v>46</v>
      </c>
      <c r="O1107" s="10" t="s">
        <v>37</v>
      </c>
      <c r="P1107" s="10" t="s">
        <v>38</v>
      </c>
      <c r="Q1107" s="11">
        <v>0.48</v>
      </c>
      <c r="R1107" s="8" t="s">
        <v>60</v>
      </c>
      <c r="S1107" s="31">
        <v>22.5</v>
      </c>
      <c r="T1107" s="79">
        <f t="shared" si="340"/>
        <v>3.9760875000000001E-2</v>
      </c>
      <c r="U1107" s="22">
        <v>9</v>
      </c>
      <c r="V1107" s="22">
        <v>55</v>
      </c>
      <c r="W1107" s="10">
        <f t="shared" si="333"/>
        <v>0.95993108859688125</v>
      </c>
      <c r="X1107" s="22">
        <v>5</v>
      </c>
      <c r="Y1107" s="22">
        <v>12</v>
      </c>
      <c r="Z1107" s="10">
        <f t="shared" si="334"/>
        <v>0.20943951023931956</v>
      </c>
      <c r="AA1107" s="10">
        <f t="shared" si="335"/>
        <v>8.4119268526897226</v>
      </c>
      <c r="AB1107" s="10">
        <f t="shared" si="336"/>
        <v>100.39992230735807</v>
      </c>
      <c r="AC1107" s="10">
        <f t="shared" si="324"/>
        <v>12.549990288419758</v>
      </c>
      <c r="AD1107" s="10">
        <f t="shared" si="337"/>
        <v>50.199961153679034</v>
      </c>
      <c r="AE1107" s="65"/>
      <c r="AF1107" s="10">
        <f t="shared" si="338"/>
        <v>210.67581468403424</v>
      </c>
      <c r="AG1107" s="8">
        <f t="shared" si="325"/>
        <v>41.081783863386676</v>
      </c>
      <c r="AH1107" s="10">
        <f t="shared" si="326"/>
        <v>105.33790734201712</v>
      </c>
      <c r="AI1107" s="63"/>
      <c r="AJ1107" s="10">
        <f t="shared" si="339"/>
        <v>239.4795</v>
      </c>
      <c r="AK1107" s="8"/>
      <c r="AL1107" s="8">
        <f t="shared" si="327"/>
        <v>119.73975</v>
      </c>
    </row>
    <row r="1108" spans="1:38">
      <c r="A1108" s="18">
        <v>41471</v>
      </c>
      <c r="B1108" s="19" t="s">
        <v>119</v>
      </c>
      <c r="C1108" s="12">
        <v>250.1</v>
      </c>
      <c r="D1108" s="19" t="s">
        <v>80</v>
      </c>
      <c r="E1108" s="8">
        <v>8.4103100000000008</v>
      </c>
      <c r="F1108" s="8">
        <v>83.311729999999997</v>
      </c>
      <c r="G1108" s="22">
        <v>250</v>
      </c>
      <c r="H1108" s="22">
        <v>-21</v>
      </c>
      <c r="I1108" s="10">
        <f t="shared" si="330"/>
        <v>-4.6916980937158783</v>
      </c>
      <c r="J1108" s="10">
        <f t="shared" si="331"/>
        <v>-8.1885579244883558E-2</v>
      </c>
      <c r="K1108" s="10">
        <f t="shared" si="332"/>
        <v>21.070602344294585</v>
      </c>
      <c r="L1108" s="22">
        <v>486</v>
      </c>
      <c r="M1108" s="31" t="s">
        <v>231</v>
      </c>
      <c r="N1108" s="8" t="s">
        <v>171</v>
      </c>
      <c r="O1108" s="33" t="s">
        <v>99</v>
      </c>
      <c r="P1108" s="33" t="s">
        <v>99</v>
      </c>
      <c r="Q1108" s="7">
        <v>0.57999999999999996</v>
      </c>
      <c r="R1108" s="7" t="s">
        <v>103</v>
      </c>
      <c r="S1108" s="31">
        <v>22.1</v>
      </c>
      <c r="T1108" s="79">
        <f t="shared" si="340"/>
        <v>3.8359721400000005E-2</v>
      </c>
      <c r="U1108" s="22">
        <v>10</v>
      </c>
      <c r="V1108" s="22">
        <v>50</v>
      </c>
      <c r="W1108" s="10">
        <f t="shared" si="333"/>
        <v>0.87266462599716477</v>
      </c>
      <c r="X1108" s="22">
        <v>7</v>
      </c>
      <c r="Y1108" s="22">
        <v>15</v>
      </c>
      <c r="Z1108" s="10">
        <f t="shared" si="334"/>
        <v>0.26179938779914941</v>
      </c>
      <c r="AA1108" s="10">
        <f t="shared" si="335"/>
        <v>9.4721777469074251</v>
      </c>
      <c r="AB1108" s="10">
        <f t="shared" si="336"/>
        <v>129.65950475631672</v>
      </c>
      <c r="AC1108" s="10">
        <f t="shared" si="324"/>
        <v>16.20743809453959</v>
      </c>
      <c r="AD1108" s="10">
        <f t="shared" si="337"/>
        <v>64.829752378158361</v>
      </c>
      <c r="AE1108" s="65"/>
      <c r="AF1108" s="10">
        <f t="shared" si="338"/>
        <v>243.60920272354727</v>
      </c>
      <c r="AG1108" s="8">
        <f t="shared" si="325"/>
        <v>47.503794531091721</v>
      </c>
      <c r="AH1108" s="10">
        <f t="shared" si="326"/>
        <v>121.80460136177363</v>
      </c>
      <c r="AI1108" s="63"/>
      <c r="AJ1108" s="10">
        <f t="shared" si="339"/>
        <v>229.05910000000006</v>
      </c>
      <c r="AK1108" s="8"/>
      <c r="AL1108" s="8">
        <f t="shared" si="327"/>
        <v>114.52955000000003</v>
      </c>
    </row>
    <row r="1109" spans="1:38">
      <c r="A1109" s="18">
        <v>41471</v>
      </c>
      <c r="B1109" s="19" t="s">
        <v>119</v>
      </c>
      <c r="C1109" s="12">
        <v>250.1</v>
      </c>
      <c r="D1109" s="19" t="s">
        <v>80</v>
      </c>
      <c r="E1109" s="8">
        <v>8.4103100000000008</v>
      </c>
      <c r="F1109" s="8">
        <v>83.311729999999997</v>
      </c>
      <c r="G1109" s="22">
        <v>250</v>
      </c>
      <c r="H1109" s="22">
        <v>-21</v>
      </c>
      <c r="I1109" s="10">
        <f t="shared" si="330"/>
        <v>-4.6916980937158783</v>
      </c>
      <c r="J1109" s="10">
        <f t="shared" si="331"/>
        <v>-8.1885579244883558E-2</v>
      </c>
      <c r="K1109" s="10">
        <f t="shared" si="332"/>
        <v>21.070602344294585</v>
      </c>
      <c r="L1109" s="22">
        <v>393</v>
      </c>
      <c r="M1109" s="22" t="s">
        <v>36</v>
      </c>
      <c r="N1109" s="8" t="s">
        <v>46</v>
      </c>
      <c r="O1109" s="10" t="s">
        <v>37</v>
      </c>
      <c r="P1109" s="10" t="s">
        <v>38</v>
      </c>
      <c r="Q1109" s="11">
        <v>0.48</v>
      </c>
      <c r="R1109" s="8" t="s">
        <v>60</v>
      </c>
      <c r="S1109" s="30">
        <v>25</v>
      </c>
      <c r="T1109" s="79">
        <f t="shared" si="340"/>
        <v>4.9087499999999999E-2</v>
      </c>
      <c r="U1109" s="22">
        <v>11</v>
      </c>
      <c r="V1109" s="22">
        <v>62</v>
      </c>
      <c r="W1109" s="10">
        <f t="shared" si="333"/>
        <v>1.0821041362364843</v>
      </c>
      <c r="X1109" s="22">
        <v>7</v>
      </c>
      <c r="Y1109" s="22">
        <v>20</v>
      </c>
      <c r="Z1109" s="10">
        <f t="shared" si="334"/>
        <v>0.3490658503988659</v>
      </c>
      <c r="AA1109" s="10">
        <f t="shared" si="335"/>
        <v>12.106564524727876</v>
      </c>
      <c r="AB1109" s="10">
        <f t="shared" si="336"/>
        <v>172.34368175180492</v>
      </c>
      <c r="AC1109" s="10">
        <f t="shared" si="324"/>
        <v>21.542960218975615</v>
      </c>
      <c r="AD1109" s="10">
        <f t="shared" si="337"/>
        <v>86.171840875902461</v>
      </c>
      <c r="AE1109" s="65"/>
      <c r="AF1109" s="10">
        <f t="shared" si="338"/>
        <v>272.59688296238687</v>
      </c>
      <c r="AG1109" s="8">
        <f t="shared" si="325"/>
        <v>53.156392177665438</v>
      </c>
      <c r="AH1109" s="10">
        <f t="shared" si="326"/>
        <v>136.29844148119344</v>
      </c>
      <c r="AI1109" s="63"/>
      <c r="AJ1109" s="10">
        <f t="shared" si="339"/>
        <v>309.97199999999998</v>
      </c>
      <c r="AK1109" s="8"/>
      <c r="AL1109" s="8">
        <f t="shared" si="327"/>
        <v>154.98599999999999</v>
      </c>
    </row>
    <row r="1110" spans="1:38">
      <c r="A1110" s="18">
        <v>41471</v>
      </c>
      <c r="B1110" s="19" t="s">
        <v>119</v>
      </c>
      <c r="C1110" s="12">
        <v>250.1</v>
      </c>
      <c r="D1110" s="19" t="s">
        <v>80</v>
      </c>
      <c r="E1110" s="8">
        <v>8.4103100000000008</v>
      </c>
      <c r="F1110" s="8">
        <v>83.311729999999997</v>
      </c>
      <c r="G1110" s="22">
        <v>250</v>
      </c>
      <c r="H1110" s="22">
        <v>-21</v>
      </c>
      <c r="I1110" s="10">
        <f t="shared" si="330"/>
        <v>-4.6916980937158783</v>
      </c>
      <c r="J1110" s="10">
        <f t="shared" si="331"/>
        <v>-8.1885579244883558E-2</v>
      </c>
      <c r="K1110" s="10">
        <f t="shared" si="332"/>
        <v>21.070602344294585</v>
      </c>
      <c r="L1110" s="22">
        <v>487</v>
      </c>
      <c r="M1110" s="22" t="s">
        <v>96</v>
      </c>
      <c r="N1110" s="8" t="s">
        <v>69</v>
      </c>
      <c r="O1110" s="58" t="s">
        <v>65</v>
      </c>
      <c r="P1110" s="10" t="s">
        <v>102</v>
      </c>
      <c r="Q1110" s="22">
        <v>0.48</v>
      </c>
      <c r="R1110" s="22" t="s">
        <v>190</v>
      </c>
      <c r="S1110" s="31">
        <v>21.7</v>
      </c>
      <c r="T1110" s="79">
        <f t="shared" si="340"/>
        <v>3.6983700600000002E-2</v>
      </c>
      <c r="U1110" s="22">
        <v>13</v>
      </c>
      <c r="V1110" s="22">
        <v>60</v>
      </c>
      <c r="W1110" s="10">
        <f t="shared" si="333"/>
        <v>1.0471975511965976</v>
      </c>
      <c r="X1110" s="22">
        <v>6</v>
      </c>
      <c r="Y1110" s="22">
        <v>20</v>
      </c>
      <c r="Z1110" s="10">
        <f t="shared" si="334"/>
        <v>0.3490658503988659</v>
      </c>
      <c r="AA1110" s="10">
        <f t="shared" si="335"/>
        <v>13.310451109151714</v>
      </c>
      <c r="AB1110" s="10">
        <f t="shared" si="336"/>
        <v>144.38231206481856</v>
      </c>
      <c r="AC1110" s="10">
        <f t="shared" si="324"/>
        <v>18.04778900810232</v>
      </c>
      <c r="AD1110" s="10">
        <f t="shared" si="337"/>
        <v>72.191156032409282</v>
      </c>
      <c r="AE1110" s="65"/>
      <c r="AF1110" s="10">
        <f t="shared" si="338"/>
        <v>192.76788143277977</v>
      </c>
      <c r="AG1110" s="8">
        <f t="shared" si="325"/>
        <v>37.589736879392056</v>
      </c>
      <c r="AH1110" s="10">
        <f t="shared" si="326"/>
        <v>96.383940716389887</v>
      </c>
      <c r="AI1110" s="63"/>
      <c r="AJ1110" s="10">
        <f t="shared" si="339"/>
        <v>218.87549999999999</v>
      </c>
      <c r="AK1110" s="8"/>
      <c r="AL1110" s="8">
        <f t="shared" si="327"/>
        <v>109.43774999999999</v>
      </c>
    </row>
    <row r="1111" spans="1:38">
      <c r="A1111" s="18">
        <v>41471</v>
      </c>
      <c r="B1111" s="19" t="s">
        <v>119</v>
      </c>
      <c r="C1111" s="12">
        <v>250.1</v>
      </c>
      <c r="D1111" s="19" t="s">
        <v>80</v>
      </c>
      <c r="E1111" s="8">
        <v>8.4103100000000008</v>
      </c>
      <c r="F1111" s="8">
        <v>83.311729999999997</v>
      </c>
      <c r="G1111" s="22">
        <v>250</v>
      </c>
      <c r="H1111" s="22">
        <v>-21</v>
      </c>
      <c r="I1111" s="10">
        <f t="shared" si="330"/>
        <v>-4.6916980937158783</v>
      </c>
      <c r="J1111" s="10">
        <f t="shared" si="331"/>
        <v>-8.1885579244883558E-2</v>
      </c>
      <c r="K1111" s="10">
        <f t="shared" si="332"/>
        <v>21.070602344294585</v>
      </c>
      <c r="L1111" s="22">
        <v>437</v>
      </c>
      <c r="M1111" s="22" t="s">
        <v>36</v>
      </c>
      <c r="N1111" s="8" t="s">
        <v>46</v>
      </c>
      <c r="O1111" s="10" t="s">
        <v>37</v>
      </c>
      <c r="P1111" s="10" t="s">
        <v>38</v>
      </c>
      <c r="Q1111" s="11">
        <v>0.48</v>
      </c>
      <c r="R1111" s="8" t="s">
        <v>60</v>
      </c>
      <c r="S1111" s="31">
        <v>25.5</v>
      </c>
      <c r="T1111" s="79">
        <f t="shared" si="340"/>
        <v>5.1070635000000003E-2</v>
      </c>
      <c r="U1111" s="22">
        <v>10</v>
      </c>
      <c r="V1111" s="22">
        <v>65</v>
      </c>
      <c r="W1111" s="10">
        <f t="shared" si="333"/>
        <v>1.1344640137963142</v>
      </c>
      <c r="X1111" s="22">
        <v>5</v>
      </c>
      <c r="Y1111" s="22">
        <v>5</v>
      </c>
      <c r="Z1111" s="10">
        <f t="shared" si="334"/>
        <v>8.7266462599716474E-2</v>
      </c>
      <c r="AA1111" s="10">
        <f t="shared" si="335"/>
        <v>9.4988565841047894</v>
      </c>
      <c r="AB1111" s="10">
        <f t="shared" si="336"/>
        <v>142.40822534839867</v>
      </c>
      <c r="AC1111" s="10">
        <f t="shared" si="324"/>
        <v>17.801028168549834</v>
      </c>
      <c r="AD1111" s="10">
        <f t="shared" si="337"/>
        <v>71.204112674199337</v>
      </c>
      <c r="AE1111" s="65"/>
      <c r="AF1111" s="10">
        <f t="shared" si="338"/>
        <v>286.07973900148045</v>
      </c>
      <c r="AG1111" s="8">
        <f t="shared" si="325"/>
        <v>55.785549105288688</v>
      </c>
      <c r="AH1111" s="10">
        <f t="shared" si="326"/>
        <v>143.03986950074022</v>
      </c>
      <c r="AI1111" s="63"/>
      <c r="AJ1111" s="10">
        <f t="shared" si="339"/>
        <v>325.18049999999999</v>
      </c>
      <c r="AK1111" s="8"/>
      <c r="AL1111" s="8">
        <f t="shared" si="327"/>
        <v>162.59025</v>
      </c>
    </row>
    <row r="1112" spans="1:38">
      <c r="A1112" s="18">
        <v>41471</v>
      </c>
      <c r="B1112" s="19" t="s">
        <v>119</v>
      </c>
      <c r="C1112" s="12">
        <v>250.1</v>
      </c>
      <c r="D1112" s="19" t="s">
        <v>80</v>
      </c>
      <c r="E1112" s="8">
        <v>8.4103100000000008</v>
      </c>
      <c r="F1112" s="8">
        <v>83.311729999999997</v>
      </c>
      <c r="G1112" s="22">
        <v>250</v>
      </c>
      <c r="H1112" s="22">
        <v>-21</v>
      </c>
      <c r="I1112" s="10">
        <f t="shared" si="330"/>
        <v>-4.6916980937158783</v>
      </c>
      <c r="J1112" s="10">
        <f t="shared" si="331"/>
        <v>-8.1885579244883558E-2</v>
      </c>
      <c r="K1112" s="10">
        <f t="shared" si="332"/>
        <v>21.070602344294585</v>
      </c>
      <c r="L1112" s="22">
        <v>464</v>
      </c>
      <c r="M1112" s="22" t="s">
        <v>96</v>
      </c>
      <c r="N1112" s="8" t="s">
        <v>69</v>
      </c>
      <c r="O1112" s="58" t="s">
        <v>65</v>
      </c>
      <c r="P1112" s="10" t="s">
        <v>102</v>
      </c>
      <c r="Q1112" s="22">
        <v>0.48</v>
      </c>
      <c r="R1112" s="22" t="s">
        <v>190</v>
      </c>
      <c r="S1112" s="30">
        <v>9</v>
      </c>
      <c r="T1112" s="79">
        <f t="shared" si="340"/>
        <v>6.3617400000000003E-3</v>
      </c>
      <c r="U1112" s="22">
        <v>9</v>
      </c>
      <c r="V1112" s="22">
        <v>50</v>
      </c>
      <c r="W1112" s="10">
        <f t="shared" si="333"/>
        <v>0.87266462599716477</v>
      </c>
      <c r="X1112" s="22">
        <v>6</v>
      </c>
      <c r="Y1112" s="22">
        <v>-5</v>
      </c>
      <c r="Z1112" s="10">
        <f t="shared" si="334"/>
        <v>-8.7266462599716474E-2</v>
      </c>
      <c r="AA1112" s="10">
        <f t="shared" si="335"/>
        <v>6.3714655315848532</v>
      </c>
      <c r="AB1112" s="10">
        <f t="shared" si="336"/>
        <v>13.809863306883793</v>
      </c>
      <c r="AC1112" s="10">
        <f t="shared" si="324"/>
        <v>1.7262329133604741</v>
      </c>
      <c r="AD1112" s="10">
        <f t="shared" si="337"/>
        <v>6.9049316534418965</v>
      </c>
      <c r="AE1112" s="65"/>
      <c r="AF1112" s="10">
        <f t="shared" si="338"/>
        <v>21.732555839272521</v>
      </c>
      <c r="AG1112" s="8">
        <f t="shared" si="325"/>
        <v>4.2378483886581417</v>
      </c>
      <c r="AH1112" s="10">
        <f t="shared" si="326"/>
        <v>10.866277919636261</v>
      </c>
      <c r="AI1112" s="63"/>
      <c r="AJ1112" s="10">
        <f t="shared" si="339"/>
        <v>18.659999999999997</v>
      </c>
      <c r="AK1112" s="8"/>
      <c r="AL1112" s="8">
        <f t="shared" si="327"/>
        <v>9.3299999999999983</v>
      </c>
    </row>
    <row r="1113" spans="1:38">
      <c r="A1113" s="18">
        <v>41471</v>
      </c>
      <c r="B1113" s="19" t="s">
        <v>119</v>
      </c>
      <c r="C1113" s="12">
        <v>250.1</v>
      </c>
      <c r="D1113" s="19" t="s">
        <v>80</v>
      </c>
      <c r="E1113" s="8">
        <v>8.4103100000000008</v>
      </c>
      <c r="F1113" s="8">
        <v>83.311729999999997</v>
      </c>
      <c r="G1113" s="22">
        <v>250</v>
      </c>
      <c r="H1113" s="22">
        <v>-21</v>
      </c>
      <c r="I1113" s="10">
        <f t="shared" si="330"/>
        <v>-4.6916980937158783</v>
      </c>
      <c r="J1113" s="10">
        <f t="shared" si="331"/>
        <v>-8.1885579244883558E-2</v>
      </c>
      <c r="K1113" s="10">
        <f t="shared" si="332"/>
        <v>21.070602344294585</v>
      </c>
      <c r="L1113" s="22">
        <v>390</v>
      </c>
      <c r="M1113" s="22" t="s">
        <v>36</v>
      </c>
      <c r="N1113" s="8" t="s">
        <v>46</v>
      </c>
      <c r="O1113" s="10" t="s">
        <v>37</v>
      </c>
      <c r="P1113" s="10" t="s">
        <v>38</v>
      </c>
      <c r="Q1113" s="11">
        <v>0.48</v>
      </c>
      <c r="R1113" s="8" t="s">
        <v>60</v>
      </c>
      <c r="S1113" s="31">
        <v>21.6</v>
      </c>
      <c r="T1113" s="79">
        <f t="shared" si="340"/>
        <v>3.6643622400000006E-2</v>
      </c>
      <c r="U1113" s="22">
        <v>11</v>
      </c>
      <c r="V1113" s="22">
        <v>60</v>
      </c>
      <c r="W1113" s="10">
        <f t="shared" si="333"/>
        <v>1.0471975511965976</v>
      </c>
      <c r="X1113" s="22">
        <v>8</v>
      </c>
      <c r="Y1113" s="22">
        <v>-6</v>
      </c>
      <c r="Z1113" s="10">
        <f t="shared" si="334"/>
        <v>-0.10471975511965978</v>
      </c>
      <c r="AA1113" s="10">
        <f t="shared" si="335"/>
        <v>8.6900517354875966</v>
      </c>
      <c r="AB1113" s="10">
        <f t="shared" si="336"/>
        <v>95.86996235261941</v>
      </c>
      <c r="AC1113" s="10">
        <f t="shared" si="324"/>
        <v>11.983745294077426</v>
      </c>
      <c r="AD1113" s="10">
        <f t="shared" si="337"/>
        <v>47.934981176309705</v>
      </c>
      <c r="AE1113" s="65"/>
      <c r="AF1113" s="10">
        <f t="shared" si="338"/>
        <v>190.59350663499762</v>
      </c>
      <c r="AG1113" s="8">
        <f t="shared" si="325"/>
        <v>37.165733793824536</v>
      </c>
      <c r="AH1113" s="10">
        <f t="shared" si="326"/>
        <v>95.296753317498812</v>
      </c>
      <c r="AI1113" s="63"/>
      <c r="AJ1113" s="10">
        <f t="shared" si="339"/>
        <v>216.36660000000001</v>
      </c>
      <c r="AK1113" s="8"/>
      <c r="AL1113" s="8">
        <f t="shared" si="327"/>
        <v>108.1833</v>
      </c>
    </row>
    <row r="1114" spans="1:38">
      <c r="A1114" s="18">
        <v>41471</v>
      </c>
      <c r="B1114" s="19" t="s">
        <v>119</v>
      </c>
      <c r="C1114" s="12">
        <v>250.1</v>
      </c>
      <c r="D1114" s="19" t="s">
        <v>80</v>
      </c>
      <c r="E1114" s="8">
        <v>8.4103100000000008</v>
      </c>
      <c r="F1114" s="8">
        <v>83.311729999999997</v>
      </c>
      <c r="G1114" s="22">
        <v>250</v>
      </c>
      <c r="H1114" s="22">
        <v>-21</v>
      </c>
      <c r="I1114" s="10">
        <f t="shared" si="330"/>
        <v>-4.6916980937158783</v>
      </c>
      <c r="J1114" s="10">
        <f t="shared" si="331"/>
        <v>-8.1885579244883558E-2</v>
      </c>
      <c r="K1114" s="10">
        <f t="shared" si="332"/>
        <v>21.070602344294585</v>
      </c>
      <c r="L1114" s="22">
        <v>434</v>
      </c>
      <c r="M1114" s="31" t="s">
        <v>231</v>
      </c>
      <c r="N1114" s="8" t="s">
        <v>171</v>
      </c>
      <c r="O1114" s="33" t="s">
        <v>99</v>
      </c>
      <c r="P1114" s="33" t="s">
        <v>99</v>
      </c>
      <c r="Q1114" s="7">
        <v>0.57999999999999996</v>
      </c>
      <c r="R1114" s="7" t="s">
        <v>103</v>
      </c>
      <c r="S1114" s="31">
        <v>11.9</v>
      </c>
      <c r="T1114" s="79">
        <f t="shared" si="340"/>
        <v>1.1122049400000002E-2</v>
      </c>
      <c r="U1114" s="22">
        <v>12</v>
      </c>
      <c r="V1114" s="22">
        <v>58</v>
      </c>
      <c r="W1114" s="10">
        <f t="shared" si="333"/>
        <v>1.0122909661567112</v>
      </c>
      <c r="X1114" s="22">
        <v>5</v>
      </c>
      <c r="Y1114" s="22">
        <v>-8</v>
      </c>
      <c r="Z1114" s="10">
        <f t="shared" si="334"/>
        <v>-0.13962634015954636</v>
      </c>
      <c r="AA1114" s="10">
        <f t="shared" si="335"/>
        <v>9.4807116490767847</v>
      </c>
      <c r="AB1114" s="10">
        <f t="shared" si="336"/>
        <v>40.526845829890462</v>
      </c>
      <c r="AC1114" s="10">
        <f t="shared" si="324"/>
        <v>5.0658557287363077</v>
      </c>
      <c r="AD1114" s="10">
        <f t="shared" si="337"/>
        <v>20.263422914945231</v>
      </c>
      <c r="AE1114" s="65"/>
      <c r="AF1114" s="10">
        <f t="shared" si="338"/>
        <v>52.593010467548417</v>
      </c>
      <c r="AG1114" s="8">
        <f t="shared" si="325"/>
        <v>10.255637041171942</v>
      </c>
      <c r="AH1114" s="10">
        <f t="shared" si="326"/>
        <v>26.296505233774209</v>
      </c>
      <c r="AI1114" s="63"/>
      <c r="AJ1114" s="10">
        <f t="shared" si="339"/>
        <v>43.347700000000003</v>
      </c>
      <c r="AK1114" s="8"/>
      <c r="AL1114" s="8">
        <f t="shared" si="327"/>
        <v>21.673850000000002</v>
      </c>
    </row>
    <row r="1115" spans="1:38">
      <c r="A1115" s="18">
        <v>41471</v>
      </c>
      <c r="B1115" s="19" t="s">
        <v>119</v>
      </c>
      <c r="C1115" s="12">
        <v>250.1</v>
      </c>
      <c r="D1115" s="19" t="s">
        <v>80</v>
      </c>
      <c r="E1115" s="8">
        <v>8.4103100000000008</v>
      </c>
      <c r="F1115" s="8">
        <v>83.311729999999997</v>
      </c>
      <c r="G1115" s="22">
        <v>250</v>
      </c>
      <c r="H1115" s="22">
        <v>-21</v>
      </c>
      <c r="I1115" s="10">
        <f t="shared" si="330"/>
        <v>-4.6916980937158783</v>
      </c>
      <c r="J1115" s="10">
        <f t="shared" si="331"/>
        <v>-8.1885579244883558E-2</v>
      </c>
      <c r="K1115" s="10">
        <f t="shared" si="332"/>
        <v>21.070602344294585</v>
      </c>
      <c r="L1115" s="22">
        <v>455</v>
      </c>
      <c r="M1115" s="22" t="s">
        <v>54</v>
      </c>
      <c r="N1115" s="8" t="s">
        <v>55</v>
      </c>
      <c r="O1115" s="10" t="s">
        <v>56</v>
      </c>
      <c r="P1115" s="10" t="s">
        <v>57</v>
      </c>
      <c r="Q1115" s="11">
        <v>0.315</v>
      </c>
      <c r="R1115" s="12" t="s">
        <v>66</v>
      </c>
      <c r="S1115" s="31">
        <v>18.3</v>
      </c>
      <c r="T1115" s="79">
        <f t="shared" si="340"/>
        <v>2.6302260600000005E-2</v>
      </c>
      <c r="U1115" s="22">
        <v>16</v>
      </c>
      <c r="V1115" s="22">
        <v>70</v>
      </c>
      <c r="W1115" s="10">
        <f t="shared" si="333"/>
        <v>1.2217304763960306</v>
      </c>
      <c r="X1115" s="22">
        <v>6</v>
      </c>
      <c r="Y1115" s="22">
        <v>-8</v>
      </c>
      <c r="Z1115" s="10">
        <f t="shared" si="334"/>
        <v>-0.13962634015954636</v>
      </c>
      <c r="AA1115" s="10">
        <f t="shared" si="335"/>
        <v>14.200043326814141</v>
      </c>
      <c r="AB1115" s="10">
        <f t="shared" si="336"/>
        <v>74.960759789585978</v>
      </c>
      <c r="AC1115" s="10">
        <f t="shared" si="324"/>
        <v>9.3700949736982473</v>
      </c>
      <c r="AD1115" s="10">
        <f t="shared" si="337"/>
        <v>37.480379894792989</v>
      </c>
      <c r="AE1115" s="65"/>
      <c r="AF1115" s="10">
        <f t="shared" si="338"/>
        <v>83.130493247362438</v>
      </c>
      <c r="AG1115" s="8">
        <f t="shared" si="325"/>
        <v>16.210446183235675</v>
      </c>
      <c r="AH1115" s="10">
        <f t="shared" si="326"/>
        <v>41.565246623681219</v>
      </c>
      <c r="AI1115" s="63"/>
      <c r="AJ1115" s="10">
        <f t="shared" si="339"/>
        <v>141.87570000000002</v>
      </c>
      <c r="AK1115" s="8"/>
      <c r="AL1115" s="8">
        <f t="shared" si="327"/>
        <v>70.937850000000012</v>
      </c>
    </row>
    <row r="1116" spans="1:38">
      <c r="A1116" s="18">
        <v>41471</v>
      </c>
      <c r="B1116" s="19" t="s">
        <v>119</v>
      </c>
      <c r="C1116" s="12">
        <v>250.1</v>
      </c>
      <c r="D1116" s="19" t="s">
        <v>80</v>
      </c>
      <c r="E1116" s="8">
        <v>8.4103100000000008</v>
      </c>
      <c r="F1116" s="8">
        <v>83.311729999999997</v>
      </c>
      <c r="G1116" s="22">
        <v>250</v>
      </c>
      <c r="H1116" s="22">
        <v>-21</v>
      </c>
      <c r="I1116" s="10">
        <f t="shared" si="330"/>
        <v>-4.6916980937158783</v>
      </c>
      <c r="J1116" s="10">
        <f t="shared" si="331"/>
        <v>-8.1885579244883558E-2</v>
      </c>
      <c r="K1116" s="10">
        <f t="shared" si="332"/>
        <v>21.070602344294585</v>
      </c>
      <c r="L1116" s="22">
        <v>389</v>
      </c>
      <c r="M1116" s="22" t="s">
        <v>96</v>
      </c>
      <c r="N1116" s="8" t="s">
        <v>69</v>
      </c>
      <c r="O1116" s="58" t="s">
        <v>65</v>
      </c>
      <c r="P1116" s="10" t="s">
        <v>102</v>
      </c>
      <c r="Q1116" s="22">
        <v>0.48</v>
      </c>
      <c r="R1116" s="22" t="s">
        <v>190</v>
      </c>
      <c r="S1116" s="31">
        <v>12.5</v>
      </c>
      <c r="T1116" s="79">
        <f t="shared" si="340"/>
        <v>1.2271875E-2</v>
      </c>
      <c r="U1116" s="22">
        <v>7</v>
      </c>
      <c r="V1116" s="22">
        <v>60</v>
      </c>
      <c r="W1116" s="10">
        <f t="shared" si="333"/>
        <v>1.0471975511965976</v>
      </c>
      <c r="X1116" s="22">
        <v>5</v>
      </c>
      <c r="Y1116" s="22">
        <v>-4</v>
      </c>
      <c r="Z1116" s="10">
        <f t="shared" si="334"/>
        <v>-6.9813170079773182E-2</v>
      </c>
      <c r="AA1116" s="10">
        <f t="shared" si="335"/>
        <v>5.713395457770444</v>
      </c>
      <c r="AB1116" s="10">
        <f t="shared" si="336"/>
        <v>23.115321431109802</v>
      </c>
      <c r="AC1116" s="10">
        <f t="shared" si="324"/>
        <v>2.8894151788887252</v>
      </c>
      <c r="AD1116" s="10">
        <f t="shared" si="337"/>
        <v>11.557660715554901</v>
      </c>
      <c r="AE1116" s="65"/>
      <c r="AF1116" s="10">
        <f t="shared" si="338"/>
        <v>49.192021567922559</v>
      </c>
      <c r="AG1116" s="8">
        <f t="shared" si="325"/>
        <v>9.5924442057448989</v>
      </c>
      <c r="AH1116" s="10">
        <f t="shared" si="326"/>
        <v>24.59601078396128</v>
      </c>
      <c r="AI1116" s="63"/>
      <c r="AJ1116" s="10">
        <f t="shared" si="339"/>
        <v>50.009499999999989</v>
      </c>
      <c r="AK1116" s="8"/>
      <c r="AL1116" s="8">
        <f t="shared" si="327"/>
        <v>25.004749999999994</v>
      </c>
    </row>
    <row r="1117" spans="1:38">
      <c r="A1117" s="18">
        <v>41471</v>
      </c>
      <c r="B1117" s="19" t="s">
        <v>119</v>
      </c>
      <c r="C1117" s="12">
        <v>250.1</v>
      </c>
      <c r="D1117" s="19" t="s">
        <v>80</v>
      </c>
      <c r="E1117" s="8">
        <v>8.4103100000000008</v>
      </c>
      <c r="F1117" s="8">
        <v>83.311729999999997</v>
      </c>
      <c r="G1117" s="22">
        <v>250</v>
      </c>
      <c r="H1117" s="22">
        <v>-21</v>
      </c>
      <c r="I1117" s="10">
        <f t="shared" si="330"/>
        <v>-4.6916980937158783</v>
      </c>
      <c r="J1117" s="10">
        <f t="shared" si="331"/>
        <v>-8.1885579244883558E-2</v>
      </c>
      <c r="K1117" s="10">
        <f t="shared" si="332"/>
        <v>21.070602344294585</v>
      </c>
      <c r="L1117" s="22">
        <v>424</v>
      </c>
      <c r="M1117" s="22" t="s">
        <v>54</v>
      </c>
      <c r="N1117" s="8" t="s">
        <v>55</v>
      </c>
      <c r="O1117" s="10" t="s">
        <v>56</v>
      </c>
      <c r="P1117" s="10" t="s">
        <v>57</v>
      </c>
      <c r="Q1117" s="11">
        <v>0.315</v>
      </c>
      <c r="R1117" s="12" t="s">
        <v>66</v>
      </c>
      <c r="S1117" s="31">
        <v>13.8</v>
      </c>
      <c r="T1117" s="79">
        <f t="shared" si="340"/>
        <v>1.4957157600000003E-2</v>
      </c>
      <c r="U1117" s="22">
        <v>12</v>
      </c>
      <c r="V1117" s="22">
        <v>60</v>
      </c>
      <c r="W1117" s="10">
        <f t="shared" si="333"/>
        <v>1.0471975511965976</v>
      </c>
      <c r="X1117" s="22">
        <v>5</v>
      </c>
      <c r="Y1117" s="22">
        <v>25</v>
      </c>
      <c r="Z1117" s="10">
        <f t="shared" si="334"/>
        <v>0.43633231299858238</v>
      </c>
      <c r="AA1117" s="10">
        <f t="shared" si="335"/>
        <v>12.505396154116761</v>
      </c>
      <c r="AB1117" s="10">
        <f t="shared" si="336"/>
        <v>39.130728309226491</v>
      </c>
      <c r="AC1117" s="10">
        <f t="shared" si="324"/>
        <v>4.8913410386533114</v>
      </c>
      <c r="AD1117" s="10">
        <f t="shared" si="337"/>
        <v>19.565364154613246</v>
      </c>
      <c r="AE1117" s="65"/>
      <c r="AF1117" s="10">
        <f t="shared" si="338"/>
        <v>41.28846527558445</v>
      </c>
      <c r="AG1117" s="8">
        <f t="shared" si="325"/>
        <v>8.0512507287389674</v>
      </c>
      <c r="AH1117" s="10">
        <f t="shared" si="326"/>
        <v>20.644232637792225</v>
      </c>
      <c r="AI1117" s="63"/>
      <c r="AJ1117" s="10">
        <f t="shared" si="339"/>
        <v>66.271200000000022</v>
      </c>
      <c r="AK1117" s="8"/>
      <c r="AL1117" s="8">
        <f t="shared" si="327"/>
        <v>33.135600000000011</v>
      </c>
    </row>
    <row r="1118" spans="1:38">
      <c r="A1118" s="18">
        <v>41471</v>
      </c>
      <c r="B1118" s="19" t="s">
        <v>119</v>
      </c>
      <c r="C1118" s="12">
        <v>250.1</v>
      </c>
      <c r="D1118" s="19" t="s">
        <v>80</v>
      </c>
      <c r="E1118" s="8">
        <v>8.4103100000000008</v>
      </c>
      <c r="F1118" s="8">
        <v>83.311729999999997</v>
      </c>
      <c r="G1118" s="22">
        <v>250</v>
      </c>
      <c r="H1118" s="22">
        <v>-21</v>
      </c>
      <c r="I1118" s="10">
        <f t="shared" si="330"/>
        <v>-4.6916980937158783</v>
      </c>
      <c r="J1118" s="10">
        <f t="shared" si="331"/>
        <v>-8.1885579244883558E-2</v>
      </c>
      <c r="K1118" s="10">
        <f t="shared" si="332"/>
        <v>21.070602344294585</v>
      </c>
      <c r="L1118" s="22">
        <v>451</v>
      </c>
      <c r="M1118" s="22" t="s">
        <v>54</v>
      </c>
      <c r="N1118" s="8" t="s">
        <v>55</v>
      </c>
      <c r="O1118" s="10" t="s">
        <v>56</v>
      </c>
      <c r="P1118" s="10" t="s">
        <v>57</v>
      </c>
      <c r="Q1118" s="11">
        <v>0.315</v>
      </c>
      <c r="R1118" s="12" t="s">
        <v>66</v>
      </c>
      <c r="S1118" s="30">
        <v>25</v>
      </c>
      <c r="T1118" s="79">
        <f t="shared" si="340"/>
        <v>4.9087499999999999E-2</v>
      </c>
      <c r="U1118" s="22">
        <v>17</v>
      </c>
      <c r="V1118" s="22">
        <v>70</v>
      </c>
      <c r="W1118" s="10">
        <f t="shared" si="333"/>
        <v>1.2217304763960306</v>
      </c>
      <c r="X1118" s="22">
        <v>5</v>
      </c>
      <c r="Y1118" s="22">
        <v>25</v>
      </c>
      <c r="Z1118" s="10">
        <f t="shared" si="334"/>
        <v>0.43633231299858238</v>
      </c>
      <c r="AA1118" s="10">
        <f t="shared" si="335"/>
        <v>18.087865862063939</v>
      </c>
      <c r="AB1118" s="10">
        <f t="shared" si="336"/>
        <v>169.17841314749654</v>
      </c>
      <c r="AC1118" s="10">
        <f t="shared" si="324"/>
        <v>21.147301643437068</v>
      </c>
      <c r="AD1118" s="10">
        <f t="shared" si="337"/>
        <v>84.589206573748271</v>
      </c>
      <c r="AE1118" s="65"/>
      <c r="AF1118" s="10">
        <f t="shared" si="338"/>
        <v>178.89170444406639</v>
      </c>
      <c r="AG1118" s="8">
        <f t="shared" si="325"/>
        <v>34.88388236659295</v>
      </c>
      <c r="AH1118" s="10">
        <f t="shared" si="326"/>
        <v>89.445852222033196</v>
      </c>
      <c r="AI1118" s="63"/>
      <c r="AJ1118" s="10">
        <f t="shared" si="339"/>
        <v>309.97199999999998</v>
      </c>
      <c r="AK1118" s="8"/>
      <c r="AL1118" s="8">
        <f t="shared" si="327"/>
        <v>154.98599999999999</v>
      </c>
    </row>
    <row r="1119" spans="1:38">
      <c r="A1119" s="18">
        <v>41471</v>
      </c>
      <c r="B1119" s="19" t="s">
        <v>119</v>
      </c>
      <c r="C1119" s="12">
        <v>250.1</v>
      </c>
      <c r="D1119" s="19" t="s">
        <v>80</v>
      </c>
      <c r="E1119" s="8">
        <v>8.4103100000000008</v>
      </c>
      <c r="F1119" s="8">
        <v>83.311729999999997</v>
      </c>
      <c r="G1119" s="22">
        <v>250</v>
      </c>
      <c r="H1119" s="22">
        <v>-21</v>
      </c>
      <c r="I1119" s="10">
        <f t="shared" si="330"/>
        <v>-4.6916980937158783</v>
      </c>
      <c r="J1119" s="10">
        <f t="shared" si="331"/>
        <v>-8.1885579244883558E-2</v>
      </c>
      <c r="K1119" s="10">
        <f t="shared" si="332"/>
        <v>21.070602344294585</v>
      </c>
      <c r="L1119" s="22">
        <v>473</v>
      </c>
      <c r="M1119" s="22" t="s">
        <v>202</v>
      </c>
      <c r="N1119" s="28" t="s">
        <v>111</v>
      </c>
      <c r="O1119" s="10" t="s">
        <v>112</v>
      </c>
      <c r="P1119" s="10" t="s">
        <v>113</v>
      </c>
      <c r="Q1119" s="22">
        <v>0.51</v>
      </c>
      <c r="R1119" s="59" t="s">
        <v>190</v>
      </c>
      <c r="S1119" s="31">
        <v>16</v>
      </c>
      <c r="T1119" s="79">
        <f t="shared" si="340"/>
        <v>2.0106240000000001E-2</v>
      </c>
      <c r="U1119" s="22">
        <v>5</v>
      </c>
      <c r="V1119" s="22">
        <v>50</v>
      </c>
      <c r="W1119" s="10">
        <f t="shared" si="333"/>
        <v>0.87266462599716477</v>
      </c>
      <c r="X1119" s="22">
        <v>5</v>
      </c>
      <c r="Y1119" s="22">
        <v>20</v>
      </c>
      <c r="Z1119" s="10">
        <f t="shared" si="334"/>
        <v>0.3490658503988659</v>
      </c>
      <c r="AA1119" s="10">
        <f t="shared" si="335"/>
        <v>5.5403229322232335</v>
      </c>
      <c r="AB1119" s="10">
        <f t="shared" si="336"/>
        <v>37.813443540643647</v>
      </c>
      <c r="AC1119" s="10">
        <f t="shared" si="324"/>
        <v>4.7266804425804558</v>
      </c>
      <c r="AD1119" s="10">
        <f t="shared" si="337"/>
        <v>18.906721770321823</v>
      </c>
      <c r="AE1119" s="65"/>
      <c r="AF1119" s="10">
        <f t="shared" si="338"/>
        <v>96.518042977845838</v>
      </c>
      <c r="AG1119" s="8">
        <f t="shared" si="325"/>
        <v>18.821018380679938</v>
      </c>
      <c r="AH1119" s="10">
        <f t="shared" si="326"/>
        <v>48.259021488922919</v>
      </c>
      <c r="AI1119" s="63"/>
      <c r="AJ1119" s="10">
        <f t="shared" si="339"/>
        <v>99.48899999999999</v>
      </c>
      <c r="AK1119" s="8"/>
      <c r="AL1119" s="8">
        <f t="shared" si="327"/>
        <v>49.744499999999995</v>
      </c>
    </row>
    <row r="1120" spans="1:38">
      <c r="A1120" s="18">
        <v>41471</v>
      </c>
      <c r="B1120" s="19" t="s">
        <v>119</v>
      </c>
      <c r="C1120" s="12">
        <v>250.1</v>
      </c>
      <c r="D1120" s="19" t="s">
        <v>80</v>
      </c>
      <c r="E1120" s="8">
        <v>8.4103100000000008</v>
      </c>
      <c r="F1120" s="8">
        <v>83.311729999999997</v>
      </c>
      <c r="G1120" s="22">
        <v>250</v>
      </c>
      <c r="H1120" s="22">
        <v>-21</v>
      </c>
      <c r="I1120" s="10">
        <f t="shared" si="330"/>
        <v>-4.6916980937158783</v>
      </c>
      <c r="J1120" s="10">
        <f t="shared" si="331"/>
        <v>-8.1885579244883558E-2</v>
      </c>
      <c r="K1120" s="10">
        <f t="shared" si="332"/>
        <v>21.070602344294585</v>
      </c>
      <c r="L1120" s="22">
        <v>418</v>
      </c>
      <c r="M1120" s="31" t="s">
        <v>222</v>
      </c>
      <c r="N1120" s="22" t="s">
        <v>171</v>
      </c>
      <c r="O1120" s="50" t="s">
        <v>172</v>
      </c>
      <c r="P1120" s="50" t="s">
        <v>173</v>
      </c>
      <c r="Q1120" s="23">
        <v>0.24</v>
      </c>
      <c r="R1120" s="22" t="s">
        <v>174</v>
      </c>
      <c r="S1120" s="31">
        <v>8.1999999999999993</v>
      </c>
      <c r="T1120" s="79">
        <f t="shared" si="340"/>
        <v>5.2810295999999998E-3</v>
      </c>
      <c r="U1120" s="22">
        <v>7</v>
      </c>
      <c r="V1120" s="22">
        <v>50</v>
      </c>
      <c r="W1120" s="10">
        <f t="shared" si="333"/>
        <v>0.87266462599716477</v>
      </c>
      <c r="X1120" s="22">
        <v>5</v>
      </c>
      <c r="Y1120" s="22">
        <v>18</v>
      </c>
      <c r="Z1120" s="10">
        <f t="shared" si="334"/>
        <v>0.31415926535897931</v>
      </c>
      <c r="AA1120" s="10">
        <f t="shared" si="335"/>
        <v>6.9073960737075835</v>
      </c>
      <c r="AB1120" s="10">
        <f t="shared" si="336"/>
        <v>6.5190727676281366</v>
      </c>
      <c r="AC1120" s="10">
        <f t="shared" si="324"/>
        <v>0.81488409595351707</v>
      </c>
      <c r="AD1120" s="10">
        <f t="shared" si="337"/>
        <v>3.2595363838140683</v>
      </c>
      <c r="AE1120" s="65"/>
      <c r="AF1120" s="10">
        <f t="shared" si="338"/>
        <v>8.6258455093482596</v>
      </c>
      <c r="AG1120" s="8">
        <f t="shared" si="325"/>
        <v>1.6820398743229106</v>
      </c>
      <c r="AH1120" s="10">
        <f t="shared" si="326"/>
        <v>4.3129227546741298</v>
      </c>
      <c r="AI1120" s="63"/>
      <c r="AJ1120" s="10">
        <f t="shared" si="339"/>
        <v>14.040000000000006</v>
      </c>
      <c r="AK1120" s="8"/>
      <c r="AL1120" s="8">
        <f t="shared" si="327"/>
        <v>7.0200000000000031</v>
      </c>
    </row>
    <row r="1121" spans="1:38">
      <c r="A1121" s="18">
        <v>41471</v>
      </c>
      <c r="B1121" s="19" t="s">
        <v>119</v>
      </c>
      <c r="C1121" s="12">
        <v>250.1</v>
      </c>
      <c r="D1121" s="19" t="s">
        <v>80</v>
      </c>
      <c r="E1121" s="8">
        <v>8.4103100000000008</v>
      </c>
      <c r="F1121" s="8">
        <v>83.311729999999997</v>
      </c>
      <c r="G1121" s="22">
        <v>250</v>
      </c>
      <c r="H1121" s="22">
        <v>-21</v>
      </c>
      <c r="I1121" s="10">
        <f t="shared" si="330"/>
        <v>-4.6916980937158783</v>
      </c>
      <c r="J1121" s="10">
        <f t="shared" si="331"/>
        <v>-8.1885579244883558E-2</v>
      </c>
      <c r="K1121" s="10">
        <f t="shared" si="332"/>
        <v>21.070602344294585</v>
      </c>
      <c r="L1121" s="22">
        <v>449</v>
      </c>
      <c r="M1121" s="22" t="s">
        <v>39</v>
      </c>
      <c r="N1121" s="7" t="s">
        <v>69</v>
      </c>
      <c r="O1121" s="33" t="s">
        <v>65</v>
      </c>
      <c r="P1121" s="33" t="s">
        <v>70</v>
      </c>
      <c r="Q1121" s="7">
        <v>0.37</v>
      </c>
      <c r="R1121" s="7" t="s">
        <v>71</v>
      </c>
      <c r="S1121" s="31">
        <v>13.5</v>
      </c>
      <c r="T1121" s="79">
        <f t="shared" si="340"/>
        <v>1.4313915E-2</v>
      </c>
      <c r="U1121" s="22">
        <v>8</v>
      </c>
      <c r="V1121" s="22">
        <v>65</v>
      </c>
      <c r="W1121" s="10">
        <f t="shared" si="333"/>
        <v>1.1344640137963142</v>
      </c>
      <c r="X1121" s="22">
        <v>5</v>
      </c>
      <c r="Y1121" s="22">
        <v>10</v>
      </c>
      <c r="Z1121" s="10">
        <f t="shared" si="334"/>
        <v>0.17453292519943295</v>
      </c>
      <c r="AA1121" s="10">
        <f t="shared" si="335"/>
        <v>8.1187031846278508</v>
      </c>
      <c r="AB1121" s="10">
        <f t="shared" si="336"/>
        <v>29.101561393913652</v>
      </c>
      <c r="AC1121" s="10">
        <f t="shared" si="324"/>
        <v>3.6376951742392065</v>
      </c>
      <c r="AD1121" s="10">
        <f t="shared" si="337"/>
        <v>14.550780696956826</v>
      </c>
      <c r="AE1121" s="65"/>
      <c r="AF1121" s="10">
        <f t="shared" si="338"/>
        <v>45.918589125558043</v>
      </c>
      <c r="AG1121" s="8">
        <f t="shared" si="325"/>
        <v>8.9541248794838193</v>
      </c>
      <c r="AH1121" s="10">
        <f t="shared" si="326"/>
        <v>22.959294562779021</v>
      </c>
      <c r="AI1121" s="63"/>
      <c r="AJ1121" s="10">
        <f t="shared" si="339"/>
        <v>62.296500000000009</v>
      </c>
      <c r="AK1121" s="8"/>
      <c r="AL1121" s="8">
        <f t="shared" si="327"/>
        <v>31.148250000000004</v>
      </c>
    </row>
    <row r="1122" spans="1:38">
      <c r="A1122" s="18">
        <v>41468</v>
      </c>
      <c r="B1122" s="19" t="s">
        <v>132</v>
      </c>
      <c r="C1122" s="12">
        <v>250.2</v>
      </c>
      <c r="D1122" s="9" t="s">
        <v>32</v>
      </c>
      <c r="E1122" s="8">
        <v>8.4106699999999996</v>
      </c>
      <c r="F1122" s="8">
        <v>83.311130000000006</v>
      </c>
      <c r="G1122" s="22">
        <v>250</v>
      </c>
      <c r="H1122" s="22">
        <v>-14</v>
      </c>
      <c r="I1122" s="10">
        <f t="shared" si="330"/>
        <v>-7.0961293843639721</v>
      </c>
      <c r="J1122" s="10">
        <f t="shared" si="331"/>
        <v>-0.12385082190466953</v>
      </c>
      <c r="K1122" s="10">
        <f t="shared" si="332"/>
        <v>21.162095610230239</v>
      </c>
      <c r="L1122" s="8">
        <v>301</v>
      </c>
      <c r="M1122" s="8" t="s">
        <v>36</v>
      </c>
      <c r="N1122" s="8" t="s">
        <v>46</v>
      </c>
      <c r="O1122" s="10" t="s">
        <v>37</v>
      </c>
      <c r="P1122" s="10" t="s">
        <v>38</v>
      </c>
      <c r="Q1122" s="11">
        <v>0.48</v>
      </c>
      <c r="R1122" s="8" t="s">
        <v>60</v>
      </c>
      <c r="S1122" s="29">
        <v>17</v>
      </c>
      <c r="T1122" s="79">
        <f t="shared" si="340"/>
        <v>2.2698060000000003E-2</v>
      </c>
      <c r="U1122" s="8">
        <v>9</v>
      </c>
      <c r="V1122" s="8">
        <v>74</v>
      </c>
      <c r="W1122" s="10">
        <f t="shared" ref="W1122:W1153" si="341">RADIANS(V1122)</f>
        <v>1.2915436464758039</v>
      </c>
      <c r="X1122" s="22">
        <v>6</v>
      </c>
      <c r="Y1122" s="22">
        <v>10</v>
      </c>
      <c r="Z1122" s="10">
        <f t="shared" ref="Z1122:Z1153" si="342">RADIANS(Y1122)</f>
        <v>0.17453292519943295</v>
      </c>
      <c r="AA1122" s="10">
        <f t="shared" ref="AA1122:AA1153" si="343">(SIN(W1122)*U1122)+(SIN(Z1122)*X1122)</f>
        <v>9.6932443294464523</v>
      </c>
      <c r="AB1122" s="10">
        <f t="shared" ref="AB1122:AB1153" si="344">0.0776*(Q1122*S1122^2*AA1122)^0.94</f>
        <v>67.725694425436913</v>
      </c>
      <c r="AC1122" s="10">
        <f t="shared" si="324"/>
        <v>8.4657118031796141</v>
      </c>
      <c r="AD1122" s="10">
        <f t="shared" si="337"/>
        <v>33.862847212718457</v>
      </c>
      <c r="AE1122" s="65"/>
      <c r="AF1122" s="10">
        <f t="shared" si="338"/>
        <v>105.56625788482448</v>
      </c>
      <c r="AG1122" s="8">
        <f t="shared" si="325"/>
        <v>20.585420287540774</v>
      </c>
      <c r="AH1122" s="10">
        <f t="shared" si="326"/>
        <v>52.78312894241224</v>
      </c>
      <c r="AI1122" s="63"/>
      <c r="AJ1122" s="10">
        <f t="shared" si="339"/>
        <v>116.95599999999997</v>
      </c>
      <c r="AK1122" s="8"/>
      <c r="AL1122" s="8">
        <f t="shared" si="327"/>
        <v>58.477999999999987</v>
      </c>
    </row>
    <row r="1123" spans="1:38">
      <c r="A1123" s="18">
        <v>41468</v>
      </c>
      <c r="B1123" s="19" t="s">
        <v>132</v>
      </c>
      <c r="C1123" s="12">
        <v>250.2</v>
      </c>
      <c r="D1123" s="19" t="s">
        <v>32</v>
      </c>
      <c r="E1123" s="8">
        <v>8.4106699999999996</v>
      </c>
      <c r="F1123" s="8">
        <v>83.311130000000006</v>
      </c>
      <c r="G1123" s="22">
        <v>250</v>
      </c>
      <c r="H1123" s="22">
        <v>-14</v>
      </c>
      <c r="I1123" s="10">
        <f t="shared" si="330"/>
        <v>-7.0961293843639721</v>
      </c>
      <c r="J1123" s="10">
        <f t="shared" si="331"/>
        <v>-0.12385082190466953</v>
      </c>
      <c r="K1123" s="10">
        <f t="shared" si="332"/>
        <v>21.162095610230239</v>
      </c>
      <c r="L1123" s="8">
        <v>262</v>
      </c>
      <c r="M1123" s="31" t="s">
        <v>231</v>
      </c>
      <c r="N1123" s="8" t="s">
        <v>171</v>
      </c>
      <c r="O1123" s="33" t="s">
        <v>99</v>
      </c>
      <c r="P1123" s="33" t="s">
        <v>99</v>
      </c>
      <c r="Q1123" s="7">
        <v>0.57999999999999996</v>
      </c>
      <c r="R1123" s="7" t="s">
        <v>103</v>
      </c>
      <c r="S1123" s="12">
        <f>AVERAGE(28,23.2)</f>
        <v>25.6</v>
      </c>
      <c r="T1123" s="79">
        <f t="shared" si="340"/>
        <v>5.1471974400000009E-2</v>
      </c>
      <c r="U1123" s="8">
        <v>7</v>
      </c>
      <c r="V1123" s="8">
        <v>49</v>
      </c>
      <c r="W1123" s="10">
        <f t="shared" si="341"/>
        <v>0.85521133347722145</v>
      </c>
      <c r="X1123" s="8">
        <v>7</v>
      </c>
      <c r="Y1123" s="22">
        <v>11</v>
      </c>
      <c r="Z1123" s="10">
        <f t="shared" si="342"/>
        <v>0.19198621771937624</v>
      </c>
      <c r="AA1123" s="10">
        <f t="shared" si="343"/>
        <v>6.6186300291952174</v>
      </c>
      <c r="AB1123" s="10">
        <f t="shared" si="344"/>
        <v>122.03859218893443</v>
      </c>
      <c r="AC1123" s="10">
        <f t="shared" si="324"/>
        <v>15.254824023616804</v>
      </c>
      <c r="AD1123" s="10">
        <f t="shared" si="337"/>
        <v>61.019296094467215</v>
      </c>
      <c r="AE1123" s="65"/>
      <c r="AF1123" s="10">
        <f t="shared" si="338"/>
        <v>348.99169394682104</v>
      </c>
      <c r="AG1123" s="8">
        <f t="shared" si="325"/>
        <v>68.053380319630108</v>
      </c>
      <c r="AH1123" s="10">
        <f t="shared" si="326"/>
        <v>174.49584697341052</v>
      </c>
      <c r="AI1123" s="63"/>
      <c r="AJ1123" s="10">
        <f t="shared" si="339"/>
        <v>328.26660000000004</v>
      </c>
      <c r="AK1123" s="8"/>
      <c r="AL1123" s="8">
        <f t="shared" si="327"/>
        <v>164.13330000000002</v>
      </c>
    </row>
    <row r="1124" spans="1:38">
      <c r="A1124" s="18">
        <v>41468</v>
      </c>
      <c r="B1124" s="19" t="s">
        <v>132</v>
      </c>
      <c r="C1124" s="12">
        <v>250.2</v>
      </c>
      <c r="D1124" s="19" t="s">
        <v>32</v>
      </c>
      <c r="E1124" s="8">
        <v>8.4106699999999996</v>
      </c>
      <c r="F1124" s="8">
        <v>83.311130000000006</v>
      </c>
      <c r="G1124" s="22">
        <v>250</v>
      </c>
      <c r="H1124" s="22">
        <v>-14</v>
      </c>
      <c r="I1124" s="10">
        <f t="shared" si="330"/>
        <v>-7.0961293843639721</v>
      </c>
      <c r="J1124" s="10">
        <f t="shared" si="331"/>
        <v>-0.12385082190466953</v>
      </c>
      <c r="K1124" s="10">
        <f t="shared" si="332"/>
        <v>21.162095610230239</v>
      </c>
      <c r="L1124" s="8">
        <v>282</v>
      </c>
      <c r="M1124" s="31" t="s">
        <v>231</v>
      </c>
      <c r="N1124" s="8" t="s">
        <v>171</v>
      </c>
      <c r="O1124" s="33" t="s">
        <v>99</v>
      </c>
      <c r="P1124" s="33" t="s">
        <v>99</v>
      </c>
      <c r="Q1124" s="7">
        <v>0.57999999999999996</v>
      </c>
      <c r="R1124" s="7" t="s">
        <v>103</v>
      </c>
      <c r="S1124" s="12">
        <v>23.3</v>
      </c>
      <c r="T1124" s="79">
        <f t="shared" si="340"/>
        <v>4.2638580600000003E-2</v>
      </c>
      <c r="U1124" s="8">
        <v>9</v>
      </c>
      <c r="V1124" s="8">
        <v>70</v>
      </c>
      <c r="W1124" s="10">
        <f t="shared" si="341"/>
        <v>1.2217304763960306</v>
      </c>
      <c r="X1124" s="22">
        <v>5</v>
      </c>
      <c r="Y1124" s="22">
        <v>7</v>
      </c>
      <c r="Z1124" s="10">
        <f t="shared" si="342"/>
        <v>0.12217304763960307</v>
      </c>
      <c r="AA1124" s="10">
        <f t="shared" si="343"/>
        <v>9.0665803040989115</v>
      </c>
      <c r="AB1124" s="10">
        <f t="shared" si="344"/>
        <v>137.43902592185859</v>
      </c>
      <c r="AC1124" s="10">
        <f t="shared" si="324"/>
        <v>17.179878240232323</v>
      </c>
      <c r="AD1124" s="10">
        <f t="shared" si="337"/>
        <v>68.719512960929293</v>
      </c>
      <c r="AE1124" s="65"/>
      <c r="AF1124" s="10">
        <f t="shared" si="338"/>
        <v>277.3151239120815</v>
      </c>
      <c r="AG1124" s="8">
        <f t="shared" si="325"/>
        <v>54.076449162855894</v>
      </c>
      <c r="AH1124" s="10">
        <f t="shared" si="326"/>
        <v>138.65756195604075</v>
      </c>
      <c r="AI1124" s="63"/>
      <c r="AJ1124" s="10">
        <f t="shared" si="339"/>
        <v>261.03069999999991</v>
      </c>
      <c r="AK1124" s="8"/>
      <c r="AL1124" s="8">
        <f t="shared" si="327"/>
        <v>130.51534999999996</v>
      </c>
    </row>
    <row r="1125" spans="1:38">
      <c r="A1125" s="18">
        <v>41468</v>
      </c>
      <c r="B1125" s="19" t="s">
        <v>132</v>
      </c>
      <c r="C1125" s="12">
        <v>250.2</v>
      </c>
      <c r="D1125" s="19" t="s">
        <v>32</v>
      </c>
      <c r="E1125" s="8">
        <v>8.4106699999999996</v>
      </c>
      <c r="F1125" s="8">
        <v>83.311130000000006</v>
      </c>
      <c r="G1125" s="22">
        <v>250</v>
      </c>
      <c r="H1125" s="22">
        <v>-14</v>
      </c>
      <c r="I1125" s="10">
        <f t="shared" ref="I1125:I1156" si="345">1/TAN(H1125/100)</f>
        <v>-7.0961293843639721</v>
      </c>
      <c r="J1125" s="10">
        <f t="shared" ref="J1125:J1156" si="346">RADIANS(I1125)</f>
        <v>-0.12385082190466953</v>
      </c>
      <c r="K1125" s="10">
        <f t="shared" ref="K1125:K1156" si="347">21/COS(J1125)</f>
        <v>21.162095610230239</v>
      </c>
      <c r="L1125" s="22">
        <v>213</v>
      </c>
      <c r="M1125" s="22" t="s">
        <v>36</v>
      </c>
      <c r="N1125" s="8" t="s">
        <v>46</v>
      </c>
      <c r="O1125" s="10" t="s">
        <v>37</v>
      </c>
      <c r="P1125" s="10" t="s">
        <v>38</v>
      </c>
      <c r="Q1125" s="11">
        <v>0.48</v>
      </c>
      <c r="R1125" s="8" t="s">
        <v>60</v>
      </c>
      <c r="S1125" s="29">
        <v>27</v>
      </c>
      <c r="T1125" s="79">
        <f t="shared" si="340"/>
        <v>5.725566E-2</v>
      </c>
      <c r="U1125" s="22">
        <v>10</v>
      </c>
      <c r="V1125" s="22">
        <v>63</v>
      </c>
      <c r="W1125" s="10">
        <f t="shared" si="341"/>
        <v>1.0995574287564276</v>
      </c>
      <c r="X1125" s="22">
        <v>5</v>
      </c>
      <c r="Y1125" s="22">
        <v>23</v>
      </c>
      <c r="Z1125" s="10">
        <f t="shared" si="342"/>
        <v>0.4014257279586958</v>
      </c>
      <c r="AA1125" s="10">
        <f t="shared" si="343"/>
        <v>10.863720884330048</v>
      </c>
      <c r="AB1125" s="10">
        <f t="shared" si="344"/>
        <v>179.89216313884805</v>
      </c>
      <c r="AC1125" s="10">
        <f t="shared" si="324"/>
        <v>22.486520392356006</v>
      </c>
      <c r="AD1125" s="10">
        <f t="shared" si="337"/>
        <v>89.946081569424024</v>
      </c>
      <c r="AE1125" s="65"/>
      <c r="AF1125" s="10">
        <f t="shared" si="338"/>
        <v>328.75772573190403</v>
      </c>
      <c r="AG1125" s="8">
        <f t="shared" si="325"/>
        <v>64.107756517721285</v>
      </c>
      <c r="AH1125" s="10">
        <f t="shared" si="326"/>
        <v>164.37886286595202</v>
      </c>
      <c r="AI1125" s="63"/>
      <c r="AJ1125" s="10">
        <f t="shared" si="339"/>
        <v>373.02600000000007</v>
      </c>
      <c r="AK1125" s="8"/>
      <c r="AL1125" s="8">
        <f t="shared" si="327"/>
        <v>186.51300000000003</v>
      </c>
    </row>
    <row r="1126" spans="1:38">
      <c r="A1126" s="18">
        <v>41468</v>
      </c>
      <c r="B1126" s="19" t="s">
        <v>132</v>
      </c>
      <c r="C1126" s="12">
        <v>250.2</v>
      </c>
      <c r="D1126" s="19" t="s">
        <v>32</v>
      </c>
      <c r="E1126" s="8">
        <v>8.4106699999999996</v>
      </c>
      <c r="F1126" s="8">
        <v>83.311130000000006</v>
      </c>
      <c r="G1126" s="22">
        <v>250</v>
      </c>
      <c r="H1126" s="22">
        <v>-14</v>
      </c>
      <c r="I1126" s="10">
        <f t="shared" si="345"/>
        <v>-7.0961293843639721</v>
      </c>
      <c r="J1126" s="10">
        <f t="shared" si="346"/>
        <v>-0.12385082190466953</v>
      </c>
      <c r="K1126" s="10">
        <f t="shared" si="347"/>
        <v>21.162095610230239</v>
      </c>
      <c r="L1126" s="22">
        <v>244</v>
      </c>
      <c r="M1126" s="31" t="s">
        <v>231</v>
      </c>
      <c r="N1126" s="8" t="s">
        <v>171</v>
      </c>
      <c r="O1126" s="33" t="s">
        <v>99</v>
      </c>
      <c r="P1126" s="33" t="s">
        <v>99</v>
      </c>
      <c r="Q1126" s="7">
        <v>0.57999999999999996</v>
      </c>
      <c r="R1126" s="7" t="s">
        <v>103</v>
      </c>
      <c r="S1126" s="12">
        <v>10.199999999999999</v>
      </c>
      <c r="T1126" s="79">
        <f t="shared" si="340"/>
        <v>8.1713015999999999E-3</v>
      </c>
      <c r="U1126" s="22">
        <v>10</v>
      </c>
      <c r="V1126" s="22">
        <v>61</v>
      </c>
      <c r="W1126" s="10">
        <f t="shared" si="341"/>
        <v>1.064650843716541</v>
      </c>
      <c r="X1126" s="22">
        <v>6</v>
      </c>
      <c r="Y1126" s="22">
        <v>20</v>
      </c>
      <c r="Z1126" s="10">
        <f t="shared" si="342"/>
        <v>0.3490658503988659</v>
      </c>
      <c r="AA1126" s="10">
        <f t="shared" si="343"/>
        <v>10.79831793134797</v>
      </c>
      <c r="AB1126" s="10">
        <f t="shared" si="344"/>
        <v>34.277339156552877</v>
      </c>
      <c r="AC1126" s="10">
        <f t="shared" si="324"/>
        <v>4.2846673945691096</v>
      </c>
      <c r="AD1126" s="10">
        <f t="shared" si="337"/>
        <v>17.138669578276438</v>
      </c>
      <c r="AE1126" s="65"/>
      <c r="AF1126" s="10">
        <f t="shared" si="338"/>
        <v>35.8404777052612</v>
      </c>
      <c r="AG1126" s="8">
        <f t="shared" si="325"/>
        <v>6.9888931525259341</v>
      </c>
      <c r="AH1126" s="10">
        <f t="shared" si="326"/>
        <v>17.9202388526306</v>
      </c>
      <c r="AI1126" s="63"/>
      <c r="AJ1126" s="10">
        <f t="shared" si="339"/>
        <v>27.366</v>
      </c>
      <c r="AK1126" s="8"/>
      <c r="AL1126" s="8">
        <f t="shared" si="327"/>
        <v>13.683</v>
      </c>
    </row>
    <row r="1127" spans="1:38">
      <c r="A1127" s="18">
        <v>41468</v>
      </c>
      <c r="B1127" s="19" t="s">
        <v>132</v>
      </c>
      <c r="C1127" s="12">
        <v>250.2</v>
      </c>
      <c r="D1127" s="19" t="s">
        <v>32</v>
      </c>
      <c r="E1127" s="8">
        <v>8.4106699999999996</v>
      </c>
      <c r="F1127" s="8">
        <v>83.311130000000006</v>
      </c>
      <c r="G1127" s="22">
        <v>250</v>
      </c>
      <c r="H1127" s="22">
        <v>-14</v>
      </c>
      <c r="I1127" s="10">
        <f t="shared" si="345"/>
        <v>-7.0961293843639721</v>
      </c>
      <c r="J1127" s="10">
        <f t="shared" si="346"/>
        <v>-0.12385082190466953</v>
      </c>
      <c r="K1127" s="10">
        <f t="shared" si="347"/>
        <v>21.162095610230239</v>
      </c>
      <c r="L1127" s="22">
        <v>259</v>
      </c>
      <c r="M1127" s="31" t="s">
        <v>231</v>
      </c>
      <c r="N1127" s="8" t="s">
        <v>171</v>
      </c>
      <c r="O1127" s="33" t="s">
        <v>99</v>
      </c>
      <c r="P1127" s="33" t="s">
        <v>99</v>
      </c>
      <c r="Q1127" s="7">
        <v>0.57999999999999996</v>
      </c>
      <c r="R1127" s="7" t="s">
        <v>103</v>
      </c>
      <c r="S1127" s="31">
        <v>18.600000000000001</v>
      </c>
      <c r="T1127" s="79">
        <f t="shared" si="340"/>
        <v>2.7171698400000003E-2</v>
      </c>
      <c r="U1127" s="22">
        <v>11</v>
      </c>
      <c r="V1127" s="22">
        <v>59</v>
      </c>
      <c r="W1127" s="10">
        <f t="shared" si="341"/>
        <v>1.0297442586766545</v>
      </c>
      <c r="X1127" s="22">
        <v>6</v>
      </c>
      <c r="Y1127" s="22">
        <v>19</v>
      </c>
      <c r="Z1127" s="10">
        <f t="shared" si="342"/>
        <v>0.33161255787892263</v>
      </c>
      <c r="AA1127" s="10">
        <f t="shared" si="343"/>
        <v>11.382249234466176</v>
      </c>
      <c r="AB1127" s="10">
        <f t="shared" si="344"/>
        <v>111.43529725648661</v>
      </c>
      <c r="AC1127" s="10">
        <f t="shared" si="324"/>
        <v>13.929412157060826</v>
      </c>
      <c r="AD1127" s="10">
        <f t="shared" si="337"/>
        <v>55.717648628243303</v>
      </c>
      <c r="AE1127" s="65"/>
      <c r="AF1127" s="10">
        <f t="shared" si="338"/>
        <v>159.33971481813413</v>
      </c>
      <c r="AG1127" s="8">
        <f t="shared" si="325"/>
        <v>31.071244389536155</v>
      </c>
      <c r="AH1127" s="10">
        <f t="shared" si="326"/>
        <v>79.669857409067063</v>
      </c>
      <c r="AI1127" s="63"/>
      <c r="AJ1127" s="10">
        <f t="shared" si="339"/>
        <v>147.98159999999999</v>
      </c>
      <c r="AK1127" s="8"/>
      <c r="AL1127" s="8">
        <f t="shared" si="327"/>
        <v>73.990799999999993</v>
      </c>
    </row>
    <row r="1128" spans="1:38">
      <c r="A1128" s="18">
        <v>41468</v>
      </c>
      <c r="B1128" s="19" t="s">
        <v>132</v>
      </c>
      <c r="C1128" s="12">
        <v>250.2</v>
      </c>
      <c r="D1128" s="19" t="s">
        <v>32</v>
      </c>
      <c r="E1128" s="8">
        <v>8.4106699999999996</v>
      </c>
      <c r="F1128" s="8">
        <v>83.311130000000006</v>
      </c>
      <c r="G1128" s="22">
        <v>250</v>
      </c>
      <c r="H1128" s="22">
        <v>-14</v>
      </c>
      <c r="I1128" s="10">
        <f t="shared" si="345"/>
        <v>-7.0961293843639721</v>
      </c>
      <c r="J1128" s="10">
        <f t="shared" si="346"/>
        <v>-0.12385082190466953</v>
      </c>
      <c r="K1128" s="10">
        <f t="shared" si="347"/>
        <v>21.162095610230239</v>
      </c>
      <c r="L1128" s="22">
        <v>277</v>
      </c>
      <c r="M1128" s="22" t="s">
        <v>36</v>
      </c>
      <c r="N1128" s="8" t="s">
        <v>46</v>
      </c>
      <c r="O1128" s="10" t="s">
        <v>37</v>
      </c>
      <c r="P1128" s="10" t="s">
        <v>38</v>
      </c>
      <c r="Q1128" s="11">
        <v>0.48</v>
      </c>
      <c r="R1128" s="8" t="s">
        <v>60</v>
      </c>
      <c r="S1128" s="30">
        <v>18</v>
      </c>
      <c r="T1128" s="79">
        <f t="shared" si="340"/>
        <v>2.5446960000000001E-2</v>
      </c>
      <c r="U1128" s="22">
        <v>10</v>
      </c>
      <c r="V1128" s="22">
        <v>51</v>
      </c>
      <c r="W1128" s="10">
        <f t="shared" si="341"/>
        <v>0.89011791851710809</v>
      </c>
      <c r="X1128" s="22">
        <v>6</v>
      </c>
      <c r="Y1128" s="22">
        <v>17</v>
      </c>
      <c r="Z1128" s="10">
        <f t="shared" si="342"/>
        <v>0.29670597283903605</v>
      </c>
      <c r="AA1128" s="10">
        <f t="shared" si="343"/>
        <v>9.5256898429061287</v>
      </c>
      <c r="AB1128" s="10">
        <f t="shared" si="344"/>
        <v>74.182838083675648</v>
      </c>
      <c r="AC1128" s="10">
        <f t="shared" si="324"/>
        <v>9.272854760459456</v>
      </c>
      <c r="AD1128" s="10">
        <f t="shared" si="337"/>
        <v>37.091419041837824</v>
      </c>
      <c r="AE1128" s="65"/>
      <c r="AF1128" s="10">
        <f t="shared" si="338"/>
        <v>121.6038897369755</v>
      </c>
      <c r="AG1128" s="8">
        <f t="shared" si="325"/>
        <v>23.712758498710222</v>
      </c>
      <c r="AH1128" s="10">
        <f t="shared" si="326"/>
        <v>60.801944868487752</v>
      </c>
      <c r="AI1128" s="63"/>
      <c r="AJ1128" s="10">
        <f t="shared" si="339"/>
        <v>135.90299999999996</v>
      </c>
      <c r="AK1128" s="8"/>
      <c r="AL1128" s="8">
        <f t="shared" si="327"/>
        <v>67.951499999999982</v>
      </c>
    </row>
    <row r="1129" spans="1:38">
      <c r="A1129" s="18">
        <v>41468</v>
      </c>
      <c r="B1129" s="19" t="s">
        <v>132</v>
      </c>
      <c r="C1129" s="12">
        <v>250.2</v>
      </c>
      <c r="D1129" s="19" t="s">
        <v>32</v>
      </c>
      <c r="E1129" s="8">
        <v>8.4106699999999996</v>
      </c>
      <c r="F1129" s="8">
        <v>83.311130000000006</v>
      </c>
      <c r="G1129" s="22">
        <v>250</v>
      </c>
      <c r="H1129" s="22">
        <v>-14</v>
      </c>
      <c r="I1129" s="10">
        <f t="shared" si="345"/>
        <v>-7.0961293843639721</v>
      </c>
      <c r="J1129" s="10">
        <f t="shared" si="346"/>
        <v>-0.12385082190466953</v>
      </c>
      <c r="K1129" s="10">
        <f t="shared" si="347"/>
        <v>21.162095610230239</v>
      </c>
      <c r="L1129" s="22">
        <v>232</v>
      </c>
      <c r="M1129" s="22" t="s">
        <v>131</v>
      </c>
      <c r="N1129" s="8" t="s">
        <v>81</v>
      </c>
      <c r="O1129" s="10" t="s">
        <v>164</v>
      </c>
      <c r="P1129" s="50" t="s">
        <v>165</v>
      </c>
      <c r="Q1129" s="23">
        <v>0.56000000000000005</v>
      </c>
      <c r="R1129" s="22" t="s">
        <v>166</v>
      </c>
      <c r="S1129" s="31">
        <v>11.1</v>
      </c>
      <c r="T1129" s="79">
        <f t="shared" si="340"/>
        <v>9.6769134000000007E-3</v>
      </c>
      <c r="U1129" s="22">
        <v>11</v>
      </c>
      <c r="V1129" s="22">
        <v>52</v>
      </c>
      <c r="W1129" s="10">
        <f t="shared" si="341"/>
        <v>0.90757121103705141</v>
      </c>
      <c r="X1129" s="22">
        <v>7</v>
      </c>
      <c r="Y1129" s="22">
        <v>13</v>
      </c>
      <c r="Z1129" s="10">
        <f t="shared" si="342"/>
        <v>0.22689280275926285</v>
      </c>
      <c r="AA1129" s="10">
        <f t="shared" si="343"/>
        <v>10.242775670080997</v>
      </c>
      <c r="AB1129" s="10">
        <f t="shared" si="344"/>
        <v>36.996297943420167</v>
      </c>
      <c r="AC1129" s="10">
        <f t="shared" si="324"/>
        <v>4.6245372429275209</v>
      </c>
      <c r="AD1129" s="10">
        <f t="shared" si="337"/>
        <v>18.498148971710084</v>
      </c>
      <c r="AE1129" s="65"/>
      <c r="AF1129" s="10">
        <f t="shared" si="338"/>
        <v>42.705468195100806</v>
      </c>
      <c r="AG1129" s="8">
        <f t="shared" si="325"/>
        <v>8.3275662980446583</v>
      </c>
      <c r="AH1129" s="10">
        <f t="shared" si="326"/>
        <v>21.352734097550403</v>
      </c>
      <c r="AI1129" s="63"/>
      <c r="AJ1129" s="10">
        <f t="shared" si="339"/>
        <v>35.294099999999986</v>
      </c>
      <c r="AK1129" s="8"/>
      <c r="AL1129" s="8">
        <f t="shared" si="327"/>
        <v>17.647049999999993</v>
      </c>
    </row>
    <row r="1130" spans="1:38">
      <c r="A1130" s="18">
        <v>41468</v>
      </c>
      <c r="B1130" s="19" t="s">
        <v>132</v>
      </c>
      <c r="C1130" s="12">
        <v>250.2</v>
      </c>
      <c r="D1130" s="19" t="s">
        <v>32</v>
      </c>
      <c r="E1130" s="8">
        <v>8.4106699999999996</v>
      </c>
      <c r="F1130" s="8">
        <v>83.311130000000006</v>
      </c>
      <c r="G1130" s="22">
        <v>250</v>
      </c>
      <c r="H1130" s="22">
        <v>-14</v>
      </c>
      <c r="I1130" s="10">
        <f t="shared" si="345"/>
        <v>-7.0961293843639721</v>
      </c>
      <c r="J1130" s="10">
        <f t="shared" si="346"/>
        <v>-0.12385082190466953</v>
      </c>
      <c r="K1130" s="10">
        <f t="shared" si="347"/>
        <v>21.162095610230239</v>
      </c>
      <c r="L1130" s="22">
        <v>235</v>
      </c>
      <c r="M1130" s="22" t="s">
        <v>131</v>
      </c>
      <c r="N1130" s="8" t="s">
        <v>81</v>
      </c>
      <c r="O1130" s="10" t="s">
        <v>164</v>
      </c>
      <c r="P1130" s="50" t="s">
        <v>165</v>
      </c>
      <c r="Q1130" s="23">
        <v>0.56000000000000005</v>
      </c>
      <c r="R1130" s="22" t="s">
        <v>166</v>
      </c>
      <c r="S1130" s="31">
        <v>16.600000000000001</v>
      </c>
      <c r="T1130" s="79">
        <f t="shared" si="340"/>
        <v>2.1642482400000006E-2</v>
      </c>
      <c r="U1130" s="22">
        <v>12</v>
      </c>
      <c r="V1130" s="22">
        <v>55</v>
      </c>
      <c r="W1130" s="10">
        <f t="shared" si="341"/>
        <v>0.95993108859688125</v>
      </c>
      <c r="X1130" s="22">
        <v>6</v>
      </c>
      <c r="Y1130" s="22">
        <v>14</v>
      </c>
      <c r="Z1130" s="10">
        <f t="shared" si="342"/>
        <v>0.24434609527920614</v>
      </c>
      <c r="AA1130" s="10">
        <f t="shared" si="343"/>
        <v>11.281355905065908</v>
      </c>
      <c r="AB1130" s="10">
        <f t="shared" si="344"/>
        <v>86.333887035958583</v>
      </c>
      <c r="AC1130" s="10">
        <f t="shared" si="324"/>
        <v>10.791735879494823</v>
      </c>
      <c r="AD1130" s="10">
        <f t="shared" si="337"/>
        <v>43.166943517979291</v>
      </c>
      <c r="AE1130" s="65"/>
      <c r="AF1130" s="10">
        <f t="shared" si="338"/>
        <v>116.1067818686667</v>
      </c>
      <c r="AG1130" s="8">
        <f t="shared" si="325"/>
        <v>22.640822464390009</v>
      </c>
      <c r="AH1130" s="10">
        <f t="shared" si="326"/>
        <v>58.053390934333351</v>
      </c>
      <c r="AI1130" s="63"/>
      <c r="AJ1130" s="10">
        <f t="shared" si="339"/>
        <v>109.79160000000002</v>
      </c>
      <c r="AK1130" s="8"/>
      <c r="AL1130" s="8">
        <f t="shared" si="327"/>
        <v>54.895800000000008</v>
      </c>
    </row>
    <row r="1131" spans="1:38">
      <c r="A1131" s="18">
        <v>41468</v>
      </c>
      <c r="B1131" s="19" t="s">
        <v>132</v>
      </c>
      <c r="C1131" s="12">
        <v>250.2</v>
      </c>
      <c r="D1131" s="19" t="s">
        <v>32</v>
      </c>
      <c r="E1131" s="8">
        <v>8.4106699999999996</v>
      </c>
      <c r="F1131" s="8">
        <v>83.311130000000006</v>
      </c>
      <c r="G1131" s="22">
        <v>250</v>
      </c>
      <c r="H1131" s="22">
        <v>-14</v>
      </c>
      <c r="I1131" s="10">
        <f t="shared" si="345"/>
        <v>-7.0961293843639721</v>
      </c>
      <c r="J1131" s="10">
        <f t="shared" si="346"/>
        <v>-0.12385082190466953</v>
      </c>
      <c r="K1131" s="10">
        <f t="shared" si="347"/>
        <v>21.162095610230239</v>
      </c>
      <c r="L1131" s="22">
        <v>246</v>
      </c>
      <c r="M1131" s="31" t="s">
        <v>231</v>
      </c>
      <c r="N1131" s="8" t="s">
        <v>171</v>
      </c>
      <c r="O1131" s="33" t="s">
        <v>99</v>
      </c>
      <c r="P1131" s="33" t="s">
        <v>99</v>
      </c>
      <c r="Q1131" s="7">
        <v>0.57999999999999996</v>
      </c>
      <c r="R1131" s="7" t="s">
        <v>103</v>
      </c>
      <c r="S1131" s="31">
        <v>19.5</v>
      </c>
      <c r="T1131" s="79">
        <f t="shared" si="340"/>
        <v>2.9864835000000003E-2</v>
      </c>
      <c r="U1131" s="22">
        <v>10</v>
      </c>
      <c r="V1131" s="22">
        <v>41</v>
      </c>
      <c r="W1131" s="10">
        <f t="shared" si="341"/>
        <v>0.71558499331767511</v>
      </c>
      <c r="X1131" s="22">
        <v>5</v>
      </c>
      <c r="Y1131" s="22">
        <v>19</v>
      </c>
      <c r="Z1131" s="10">
        <f t="shared" si="342"/>
        <v>0.33161255787892263</v>
      </c>
      <c r="AA1131" s="10">
        <f t="shared" si="343"/>
        <v>8.1884310621908565</v>
      </c>
      <c r="AB1131" s="10">
        <f t="shared" si="344"/>
        <v>89.363004074240891</v>
      </c>
      <c r="AC1131" s="10">
        <f t="shared" si="324"/>
        <v>11.170375509280111</v>
      </c>
      <c r="AD1131" s="10">
        <f t="shared" si="337"/>
        <v>44.681502037120445</v>
      </c>
      <c r="AE1131" s="65"/>
      <c r="AF1131" s="10">
        <f t="shared" si="338"/>
        <v>179.04825111833995</v>
      </c>
      <c r="AG1131" s="8">
        <f t="shared" si="325"/>
        <v>34.914408968076295</v>
      </c>
      <c r="AH1131" s="10">
        <f t="shared" si="326"/>
        <v>89.524125559169974</v>
      </c>
      <c r="AI1131" s="63"/>
      <c r="AJ1131" s="10">
        <f t="shared" si="339"/>
        <v>167.09849999999997</v>
      </c>
      <c r="AK1131" s="8"/>
      <c r="AL1131" s="8">
        <f t="shared" si="327"/>
        <v>83.549249999999986</v>
      </c>
    </row>
    <row r="1132" spans="1:38">
      <c r="A1132" s="18">
        <v>41468</v>
      </c>
      <c r="B1132" s="19" t="s">
        <v>132</v>
      </c>
      <c r="C1132" s="12">
        <v>250.2</v>
      </c>
      <c r="D1132" s="19" t="s">
        <v>32</v>
      </c>
      <c r="E1132" s="8">
        <v>8.4106699999999996</v>
      </c>
      <c r="F1132" s="8">
        <v>83.311130000000006</v>
      </c>
      <c r="G1132" s="22">
        <v>250</v>
      </c>
      <c r="H1132" s="22">
        <v>-14</v>
      </c>
      <c r="I1132" s="10">
        <f t="shared" si="345"/>
        <v>-7.0961293843639721</v>
      </c>
      <c r="J1132" s="10">
        <f t="shared" si="346"/>
        <v>-0.12385082190466953</v>
      </c>
      <c r="K1132" s="10">
        <f t="shared" si="347"/>
        <v>21.162095610230239</v>
      </c>
      <c r="L1132" s="22">
        <v>217</v>
      </c>
      <c r="M1132" s="31" t="s">
        <v>231</v>
      </c>
      <c r="N1132" s="8" t="s">
        <v>171</v>
      </c>
      <c r="O1132" s="33" t="s">
        <v>99</v>
      </c>
      <c r="P1132" s="33" t="s">
        <v>99</v>
      </c>
      <c r="Q1132" s="7">
        <v>0.57999999999999996</v>
      </c>
      <c r="R1132" s="7" t="s">
        <v>103</v>
      </c>
      <c r="S1132" s="31">
        <v>8.8000000000000007</v>
      </c>
      <c r="T1132" s="79">
        <f t="shared" si="340"/>
        <v>6.0821376000000016E-3</v>
      </c>
      <c r="U1132" s="22">
        <v>8</v>
      </c>
      <c r="V1132" s="22">
        <v>61</v>
      </c>
      <c r="W1132" s="10">
        <f t="shared" si="341"/>
        <v>1.064650843716541</v>
      </c>
      <c r="X1132" s="22">
        <v>5</v>
      </c>
      <c r="Y1132" s="22">
        <v>21</v>
      </c>
      <c r="Z1132" s="10">
        <f t="shared" si="342"/>
        <v>0.36651914291880922</v>
      </c>
      <c r="AA1132" s="10">
        <f t="shared" si="343"/>
        <v>8.7887974048416666</v>
      </c>
      <c r="AB1132" s="10">
        <f t="shared" si="344"/>
        <v>21.399574843590944</v>
      </c>
      <c r="AC1132" s="10">
        <f t="shared" ref="AC1132:AC1194" si="348">AB1132*0.125</f>
        <v>2.674946855448868</v>
      </c>
      <c r="AD1132" s="10">
        <f t="shared" si="337"/>
        <v>10.699787421795472</v>
      </c>
      <c r="AE1132" s="65"/>
      <c r="AF1132" s="10">
        <f t="shared" si="338"/>
        <v>24.835450425973931</v>
      </c>
      <c r="AG1132" s="8">
        <f t="shared" ref="AG1132:AG1194" si="349">AF1132*0.195</f>
        <v>4.8429128330649167</v>
      </c>
      <c r="AH1132" s="10">
        <f t="shared" ref="AH1132:AH1194" si="350">AF1132/2</f>
        <v>12.417725212986966</v>
      </c>
      <c r="AI1132" s="63"/>
      <c r="AJ1132" s="10">
        <f t="shared" si="339"/>
        <v>17.416199999999996</v>
      </c>
      <c r="AK1132" s="8"/>
      <c r="AL1132" s="8">
        <f t="shared" ref="AL1132:AL1194" si="351">AJ1132/2</f>
        <v>8.7080999999999982</v>
      </c>
    </row>
    <row r="1133" spans="1:38">
      <c r="A1133" s="18">
        <v>41468</v>
      </c>
      <c r="B1133" s="19" t="s">
        <v>132</v>
      </c>
      <c r="C1133" s="12">
        <v>250.2</v>
      </c>
      <c r="D1133" s="19" t="s">
        <v>32</v>
      </c>
      <c r="E1133" s="8">
        <v>8.4106699999999996</v>
      </c>
      <c r="F1133" s="8">
        <v>83.311130000000006</v>
      </c>
      <c r="G1133" s="22">
        <v>250</v>
      </c>
      <c r="H1133" s="22">
        <v>-14</v>
      </c>
      <c r="I1133" s="10">
        <f t="shared" si="345"/>
        <v>-7.0961293843639721</v>
      </c>
      <c r="J1133" s="10">
        <f t="shared" si="346"/>
        <v>-0.12385082190466953</v>
      </c>
      <c r="K1133" s="10">
        <f t="shared" si="347"/>
        <v>21.162095610230239</v>
      </c>
      <c r="L1133" s="22">
        <v>266</v>
      </c>
      <c r="M1133" s="31" t="s">
        <v>231</v>
      </c>
      <c r="N1133" s="8" t="s">
        <v>171</v>
      </c>
      <c r="O1133" s="33" t="s">
        <v>99</v>
      </c>
      <c r="P1133" s="33" t="s">
        <v>99</v>
      </c>
      <c r="Q1133" s="7">
        <v>0.57999999999999996</v>
      </c>
      <c r="R1133" s="7" t="s">
        <v>103</v>
      </c>
      <c r="S1133" s="31">
        <v>5.3</v>
      </c>
      <c r="T1133" s="79">
        <f t="shared" si="340"/>
        <v>2.2061886000000002E-3</v>
      </c>
      <c r="U1133" s="22">
        <v>9</v>
      </c>
      <c r="V1133" s="22">
        <v>57</v>
      </c>
      <c r="W1133" s="10">
        <f t="shared" si="341"/>
        <v>0.99483767363676789</v>
      </c>
      <c r="X1133" s="22">
        <v>5</v>
      </c>
      <c r="Y1133" s="22">
        <v>16</v>
      </c>
      <c r="Z1133" s="10">
        <f t="shared" si="342"/>
        <v>0.27925268031909273</v>
      </c>
      <c r="AA1133" s="10">
        <f t="shared" si="343"/>
        <v>8.926221890593812</v>
      </c>
      <c r="AB1133" s="10">
        <f t="shared" si="344"/>
        <v>8.3704785496425416</v>
      </c>
      <c r="AC1133" s="10">
        <f t="shared" si="348"/>
        <v>1.0463098187053177</v>
      </c>
      <c r="AD1133" s="10">
        <f t="shared" si="337"/>
        <v>4.1852392748212708</v>
      </c>
      <c r="AE1133" s="65"/>
      <c r="AF1133" s="10">
        <f t="shared" si="338"/>
        <v>7.1257426008349691</v>
      </c>
      <c r="AG1133" s="8">
        <f t="shared" si="349"/>
        <v>1.389519807162819</v>
      </c>
      <c r="AH1133" s="10">
        <f t="shared" si="350"/>
        <v>3.5628713004174846</v>
      </c>
      <c r="AI1133" s="63"/>
      <c r="AJ1133" s="10">
        <f t="shared" si="339"/>
        <v>5.2326999999999977</v>
      </c>
      <c r="AK1133" s="8"/>
      <c r="AL1133" s="8">
        <f t="shared" si="351"/>
        <v>2.6163499999999988</v>
      </c>
    </row>
    <row r="1134" spans="1:38">
      <c r="A1134" s="18">
        <v>41468</v>
      </c>
      <c r="B1134" s="19" t="s">
        <v>132</v>
      </c>
      <c r="C1134" s="12">
        <v>250.2</v>
      </c>
      <c r="D1134" s="19" t="s">
        <v>32</v>
      </c>
      <c r="E1134" s="8">
        <v>8.4106699999999996</v>
      </c>
      <c r="F1134" s="8">
        <v>83.311130000000006</v>
      </c>
      <c r="G1134" s="22">
        <v>250</v>
      </c>
      <c r="H1134" s="22">
        <v>-14</v>
      </c>
      <c r="I1134" s="10">
        <f t="shared" si="345"/>
        <v>-7.0961293843639721</v>
      </c>
      <c r="J1134" s="10">
        <f t="shared" si="346"/>
        <v>-0.12385082190466953</v>
      </c>
      <c r="K1134" s="10">
        <f t="shared" si="347"/>
        <v>21.162095610230239</v>
      </c>
      <c r="L1134" s="22">
        <v>236</v>
      </c>
      <c r="M1134" s="22" t="s">
        <v>36</v>
      </c>
      <c r="N1134" s="8" t="s">
        <v>46</v>
      </c>
      <c r="O1134" s="10" t="s">
        <v>37</v>
      </c>
      <c r="P1134" s="10" t="s">
        <v>38</v>
      </c>
      <c r="Q1134" s="11">
        <v>0.48</v>
      </c>
      <c r="R1134" s="8" t="s">
        <v>60</v>
      </c>
      <c r="S1134" s="31">
        <v>18.899999999999999</v>
      </c>
      <c r="T1134" s="79">
        <f t="shared" si="340"/>
        <v>2.8055273399999994E-2</v>
      </c>
      <c r="U1134" s="22">
        <v>10</v>
      </c>
      <c r="V1134" s="22">
        <v>53</v>
      </c>
      <c r="W1134" s="10">
        <f t="shared" si="341"/>
        <v>0.92502450355699462</v>
      </c>
      <c r="X1134" s="22">
        <v>5</v>
      </c>
      <c r="Y1134" s="22">
        <v>16</v>
      </c>
      <c r="Z1134" s="10">
        <f t="shared" si="342"/>
        <v>0.27925268031909273</v>
      </c>
      <c r="AA1134" s="10">
        <f t="shared" si="343"/>
        <v>9.3645418795579243</v>
      </c>
      <c r="AB1134" s="10">
        <f t="shared" si="344"/>
        <v>80.015481001703307</v>
      </c>
      <c r="AC1134" s="10">
        <f t="shared" si="348"/>
        <v>10.001935125212913</v>
      </c>
      <c r="AD1134" s="10">
        <f t="shared" si="337"/>
        <v>40.007740500851654</v>
      </c>
      <c r="AE1134" s="65"/>
      <c r="AF1134" s="10">
        <f t="shared" si="338"/>
        <v>137.18149453068523</v>
      </c>
      <c r="AG1134" s="8">
        <f t="shared" si="349"/>
        <v>26.750391433483621</v>
      </c>
      <c r="AH1134" s="10">
        <f t="shared" si="350"/>
        <v>68.590747265342614</v>
      </c>
      <c r="AI1134" s="63"/>
      <c r="AJ1134" s="10">
        <f t="shared" si="339"/>
        <v>154.22069999999994</v>
      </c>
      <c r="AK1134" s="8"/>
      <c r="AL1134" s="8">
        <f t="shared" si="351"/>
        <v>77.110349999999968</v>
      </c>
    </row>
    <row r="1135" spans="1:38">
      <c r="A1135" s="18">
        <v>41468</v>
      </c>
      <c r="B1135" s="19" t="s">
        <v>132</v>
      </c>
      <c r="C1135" s="12">
        <v>250.2</v>
      </c>
      <c r="D1135" s="19" t="s">
        <v>32</v>
      </c>
      <c r="E1135" s="8">
        <v>8.4106699999999996</v>
      </c>
      <c r="F1135" s="8">
        <v>83.311130000000006</v>
      </c>
      <c r="G1135" s="22">
        <v>250</v>
      </c>
      <c r="H1135" s="22">
        <v>-14</v>
      </c>
      <c r="I1135" s="10">
        <f t="shared" si="345"/>
        <v>-7.0961293843639721</v>
      </c>
      <c r="J1135" s="10">
        <f t="shared" si="346"/>
        <v>-0.12385082190466953</v>
      </c>
      <c r="K1135" s="10">
        <f t="shared" si="347"/>
        <v>21.162095610230239</v>
      </c>
      <c r="L1135" s="22">
        <v>237</v>
      </c>
      <c r="M1135" s="31" t="s">
        <v>231</v>
      </c>
      <c r="N1135" s="8" t="s">
        <v>171</v>
      </c>
      <c r="O1135" s="33" t="s">
        <v>99</v>
      </c>
      <c r="P1135" s="33" t="s">
        <v>99</v>
      </c>
      <c r="Q1135" s="7">
        <v>0.57999999999999996</v>
      </c>
      <c r="R1135" s="7" t="s">
        <v>103</v>
      </c>
      <c r="S1135" s="30">
        <v>11</v>
      </c>
      <c r="T1135" s="79">
        <f t="shared" si="340"/>
        <v>9.5033400000000007E-3</v>
      </c>
      <c r="U1135" s="22">
        <v>9</v>
      </c>
      <c r="V1135" s="22">
        <v>54</v>
      </c>
      <c r="W1135" s="10">
        <f t="shared" si="341"/>
        <v>0.94247779607693793</v>
      </c>
      <c r="X1135" s="22">
        <v>5</v>
      </c>
      <c r="Y1135" s="22">
        <v>16</v>
      </c>
      <c r="Z1135" s="10">
        <f t="shared" si="342"/>
        <v>0.27925268031909273</v>
      </c>
      <c r="AA1135" s="10">
        <f t="shared" si="343"/>
        <v>8.659339728459523</v>
      </c>
      <c r="AB1135" s="10">
        <f t="shared" si="344"/>
        <v>32.10243498350988</v>
      </c>
      <c r="AC1135" s="10">
        <f t="shared" si="348"/>
        <v>4.012804372938735</v>
      </c>
      <c r="AD1135" s="10">
        <f t="shared" si="337"/>
        <v>16.05121749175494</v>
      </c>
      <c r="AE1135" s="65"/>
      <c r="AF1135" s="10">
        <f t="shared" si="338"/>
        <v>43.245873435209901</v>
      </c>
      <c r="AG1135" s="8">
        <f t="shared" si="349"/>
        <v>8.4329453198659312</v>
      </c>
      <c r="AH1135" s="10">
        <f t="shared" si="350"/>
        <v>21.622936717604951</v>
      </c>
      <c r="AI1135" s="63"/>
      <c r="AJ1135" s="10">
        <f t="shared" si="339"/>
        <v>34.353999999999985</v>
      </c>
      <c r="AK1135" s="8"/>
      <c r="AL1135" s="8">
        <f t="shared" si="351"/>
        <v>17.176999999999992</v>
      </c>
    </row>
    <row r="1136" spans="1:38">
      <c r="A1136" s="18">
        <v>41468</v>
      </c>
      <c r="B1136" s="19" t="s">
        <v>132</v>
      </c>
      <c r="C1136" s="12">
        <v>250.2</v>
      </c>
      <c r="D1136" s="19" t="s">
        <v>32</v>
      </c>
      <c r="E1136" s="8">
        <v>8.4106699999999996</v>
      </c>
      <c r="F1136" s="8">
        <v>83.311130000000006</v>
      </c>
      <c r="G1136" s="22">
        <v>250</v>
      </c>
      <c r="H1136" s="22">
        <v>-14</v>
      </c>
      <c r="I1136" s="10">
        <f t="shared" si="345"/>
        <v>-7.0961293843639721</v>
      </c>
      <c r="J1136" s="10">
        <f t="shared" si="346"/>
        <v>-0.12385082190466953</v>
      </c>
      <c r="K1136" s="10">
        <f t="shared" si="347"/>
        <v>21.162095610230239</v>
      </c>
      <c r="L1136" s="22">
        <v>242</v>
      </c>
      <c r="M1136" s="22" t="s">
        <v>96</v>
      </c>
      <c r="N1136" s="8" t="s">
        <v>69</v>
      </c>
      <c r="O1136" s="58" t="s">
        <v>65</v>
      </c>
      <c r="P1136" s="10" t="s">
        <v>102</v>
      </c>
      <c r="Q1136" s="22">
        <v>0.48</v>
      </c>
      <c r="R1136" s="22" t="s">
        <v>190</v>
      </c>
      <c r="S1136" s="31">
        <v>33.6</v>
      </c>
      <c r="T1136" s="79">
        <f t="shared" si="340"/>
        <v>8.8668518400000007E-2</v>
      </c>
      <c r="U1136" s="22">
        <v>15</v>
      </c>
      <c r="V1136" s="22">
        <v>72</v>
      </c>
      <c r="W1136" s="10">
        <f t="shared" si="341"/>
        <v>1.2566370614359172</v>
      </c>
      <c r="X1136" s="22">
        <v>5</v>
      </c>
      <c r="Y1136" s="22">
        <v>16</v>
      </c>
      <c r="Z1136" s="10">
        <f t="shared" si="342"/>
        <v>0.27925268031909273</v>
      </c>
      <c r="AA1136" s="10">
        <f t="shared" si="343"/>
        <v>15.644034523512298</v>
      </c>
      <c r="AB1136" s="10">
        <f t="shared" si="344"/>
        <v>382.32629271522228</v>
      </c>
      <c r="AC1136" s="10">
        <f t="shared" si="348"/>
        <v>47.790786589402785</v>
      </c>
      <c r="AD1136" s="10">
        <f t="shared" si="337"/>
        <v>191.16314635761114</v>
      </c>
      <c r="AE1136" s="65"/>
      <c r="AF1136" s="10">
        <f t="shared" si="338"/>
        <v>557.12177192721549</v>
      </c>
      <c r="AG1136" s="8">
        <f t="shared" si="349"/>
        <v>108.63874552580702</v>
      </c>
      <c r="AH1136" s="10">
        <f t="shared" si="350"/>
        <v>278.56088596360775</v>
      </c>
      <c r="AI1136" s="63"/>
      <c r="AJ1136" s="10">
        <f t="shared" si="339"/>
        <v>623.10659999999996</v>
      </c>
      <c r="AK1136" s="8"/>
      <c r="AL1136" s="8">
        <f t="shared" si="351"/>
        <v>311.55329999999998</v>
      </c>
    </row>
    <row r="1137" spans="1:38">
      <c r="A1137" s="18">
        <v>41468</v>
      </c>
      <c r="B1137" s="19" t="s">
        <v>132</v>
      </c>
      <c r="C1137" s="12">
        <v>250.2</v>
      </c>
      <c r="D1137" s="19" t="s">
        <v>32</v>
      </c>
      <c r="E1137" s="8">
        <v>8.4106699999999996</v>
      </c>
      <c r="F1137" s="8">
        <v>83.311130000000006</v>
      </c>
      <c r="G1137" s="22">
        <v>250</v>
      </c>
      <c r="H1137" s="22">
        <v>-14</v>
      </c>
      <c r="I1137" s="10">
        <f t="shared" si="345"/>
        <v>-7.0961293843639721</v>
      </c>
      <c r="J1137" s="10">
        <f t="shared" si="346"/>
        <v>-0.12385082190466953</v>
      </c>
      <c r="K1137" s="10">
        <f t="shared" si="347"/>
        <v>21.162095610230239</v>
      </c>
      <c r="L1137" s="22">
        <v>271</v>
      </c>
      <c r="M1137" s="31" t="s">
        <v>231</v>
      </c>
      <c r="N1137" s="8" t="s">
        <v>171</v>
      </c>
      <c r="O1137" s="33" t="s">
        <v>99</v>
      </c>
      <c r="P1137" s="33" t="s">
        <v>99</v>
      </c>
      <c r="Q1137" s="7">
        <v>0.57999999999999996</v>
      </c>
      <c r="R1137" s="7" t="s">
        <v>103</v>
      </c>
      <c r="S1137" s="31">
        <v>19.399999999999999</v>
      </c>
      <c r="T1137" s="79">
        <f t="shared" si="340"/>
        <v>2.9559314399999998E-2</v>
      </c>
      <c r="U1137" s="22">
        <v>11</v>
      </c>
      <c r="V1137" s="22">
        <v>55</v>
      </c>
      <c r="W1137" s="10">
        <f t="shared" si="341"/>
        <v>0.95993108859688125</v>
      </c>
      <c r="X1137" s="22">
        <v>5</v>
      </c>
      <c r="Y1137" s="22">
        <v>21</v>
      </c>
      <c r="Z1137" s="10">
        <f t="shared" si="342"/>
        <v>0.36651914291880922</v>
      </c>
      <c r="AA1137" s="10">
        <f t="shared" si="343"/>
        <v>10.802512234905411</v>
      </c>
      <c r="AB1137" s="10">
        <f t="shared" si="344"/>
        <v>114.83243348608097</v>
      </c>
      <c r="AC1137" s="10">
        <f t="shared" si="348"/>
        <v>14.354054185760122</v>
      </c>
      <c r="AD1137" s="10">
        <f t="shared" si="337"/>
        <v>57.416216743040486</v>
      </c>
      <c r="AE1137" s="65"/>
      <c r="AF1137" s="10">
        <f t="shared" si="338"/>
        <v>176.79233433920098</v>
      </c>
      <c r="AG1137" s="8">
        <f t="shared" si="349"/>
        <v>34.474505196144193</v>
      </c>
      <c r="AH1137" s="10">
        <f t="shared" si="350"/>
        <v>88.396167169600488</v>
      </c>
      <c r="AI1137" s="63"/>
      <c r="AJ1137" s="10">
        <f t="shared" si="339"/>
        <v>164.9152</v>
      </c>
      <c r="AK1137" s="8"/>
      <c r="AL1137" s="8">
        <f t="shared" si="351"/>
        <v>82.457599999999999</v>
      </c>
    </row>
    <row r="1138" spans="1:38">
      <c r="A1138" s="18">
        <v>41468</v>
      </c>
      <c r="B1138" s="19" t="s">
        <v>132</v>
      </c>
      <c r="C1138" s="12">
        <v>250.2</v>
      </c>
      <c r="D1138" s="19" t="s">
        <v>32</v>
      </c>
      <c r="E1138" s="8">
        <v>8.4106699999999996</v>
      </c>
      <c r="F1138" s="8">
        <v>83.311130000000006</v>
      </c>
      <c r="G1138" s="22">
        <v>250</v>
      </c>
      <c r="H1138" s="22">
        <v>-14</v>
      </c>
      <c r="I1138" s="10">
        <f t="shared" si="345"/>
        <v>-7.0961293843639721</v>
      </c>
      <c r="J1138" s="10">
        <f t="shared" si="346"/>
        <v>-0.12385082190466953</v>
      </c>
      <c r="K1138" s="10">
        <f t="shared" si="347"/>
        <v>21.162095610230239</v>
      </c>
      <c r="L1138" s="22">
        <v>270</v>
      </c>
      <c r="M1138" s="22" t="s">
        <v>131</v>
      </c>
      <c r="N1138" s="8" t="s">
        <v>81</v>
      </c>
      <c r="O1138" s="10" t="s">
        <v>164</v>
      </c>
      <c r="P1138" s="50" t="s">
        <v>165</v>
      </c>
      <c r="Q1138" s="23">
        <v>0.56000000000000005</v>
      </c>
      <c r="R1138" s="22" t="s">
        <v>166</v>
      </c>
      <c r="S1138" s="30">
        <v>8</v>
      </c>
      <c r="T1138" s="79">
        <f t="shared" si="340"/>
        <v>5.0265600000000002E-3</v>
      </c>
      <c r="U1138" s="22">
        <v>7</v>
      </c>
      <c r="V1138" s="22">
        <v>59</v>
      </c>
      <c r="W1138" s="10">
        <f t="shared" si="341"/>
        <v>1.0297442586766545</v>
      </c>
      <c r="X1138" s="22">
        <v>7</v>
      </c>
      <c r="Y1138" s="22">
        <v>17</v>
      </c>
      <c r="Z1138" s="10">
        <f t="shared" si="342"/>
        <v>0.29670597283903605</v>
      </c>
      <c r="AA1138" s="10">
        <f t="shared" si="343"/>
        <v>8.0467730379739439</v>
      </c>
      <c r="AB1138" s="10">
        <f t="shared" si="344"/>
        <v>15.931332035425587</v>
      </c>
      <c r="AC1138" s="10">
        <f t="shared" si="348"/>
        <v>1.9914165044281984</v>
      </c>
      <c r="AD1138" s="10">
        <f t="shared" si="337"/>
        <v>7.9656660177127936</v>
      </c>
      <c r="AE1138" s="65"/>
      <c r="AF1138" s="10">
        <f t="shared" si="338"/>
        <v>18.932763101723765</v>
      </c>
      <c r="AG1138" s="8">
        <f t="shared" si="349"/>
        <v>3.6918888048361342</v>
      </c>
      <c r="AH1138" s="10">
        <f t="shared" si="350"/>
        <v>9.4663815508618825</v>
      </c>
      <c r="AI1138" s="63"/>
      <c r="AJ1138" s="10">
        <f t="shared" si="339"/>
        <v>13.033000000000001</v>
      </c>
      <c r="AK1138" s="8"/>
      <c r="AL1138" s="8">
        <f t="shared" si="351"/>
        <v>6.5165000000000006</v>
      </c>
    </row>
    <row r="1139" spans="1:38">
      <c r="A1139" s="18">
        <v>41468</v>
      </c>
      <c r="B1139" s="19" t="s">
        <v>132</v>
      </c>
      <c r="C1139" s="12">
        <v>250.2</v>
      </c>
      <c r="D1139" s="19" t="s">
        <v>32</v>
      </c>
      <c r="E1139" s="8">
        <v>8.4106699999999996</v>
      </c>
      <c r="F1139" s="8">
        <v>83.311130000000006</v>
      </c>
      <c r="G1139" s="22">
        <v>250</v>
      </c>
      <c r="H1139" s="22">
        <v>-14</v>
      </c>
      <c r="I1139" s="10">
        <f t="shared" si="345"/>
        <v>-7.0961293843639721</v>
      </c>
      <c r="J1139" s="10">
        <f t="shared" si="346"/>
        <v>-0.12385082190466953</v>
      </c>
      <c r="K1139" s="10">
        <f t="shared" si="347"/>
        <v>21.162095610230239</v>
      </c>
      <c r="L1139" s="22">
        <v>240</v>
      </c>
      <c r="M1139" s="31" t="s">
        <v>231</v>
      </c>
      <c r="N1139" s="8" t="s">
        <v>171</v>
      </c>
      <c r="O1139" s="33" t="s">
        <v>99</v>
      </c>
      <c r="P1139" s="33" t="s">
        <v>99</v>
      </c>
      <c r="Q1139" s="7">
        <v>0.57999999999999996</v>
      </c>
      <c r="R1139" s="7" t="s">
        <v>103</v>
      </c>
      <c r="S1139" s="29">
        <f>AVERAGE(14.8,18.3)</f>
        <v>16.55</v>
      </c>
      <c r="T1139" s="79">
        <f t="shared" si="340"/>
        <v>2.1512302350000005E-2</v>
      </c>
      <c r="U1139" s="22">
        <v>10</v>
      </c>
      <c r="V1139" s="22">
        <v>38</v>
      </c>
      <c r="W1139" s="10">
        <f t="shared" si="341"/>
        <v>0.66322511575784526</v>
      </c>
      <c r="X1139" s="22">
        <v>6</v>
      </c>
      <c r="Y1139" s="22">
        <v>18</v>
      </c>
      <c r="Z1139" s="10">
        <f t="shared" si="342"/>
        <v>0.31415926535897931</v>
      </c>
      <c r="AA1139" s="10">
        <f t="shared" si="343"/>
        <v>8.0107167195062665</v>
      </c>
      <c r="AB1139" s="10">
        <f t="shared" si="344"/>
        <v>64.309534116278485</v>
      </c>
      <c r="AC1139" s="10">
        <f t="shared" si="348"/>
        <v>8.0386917645348106</v>
      </c>
      <c r="AD1139" s="10">
        <f t="shared" si="337"/>
        <v>32.154767058139242</v>
      </c>
      <c r="AE1139" s="65"/>
      <c r="AF1139" s="10">
        <f t="shared" si="338"/>
        <v>119.35795848181371</v>
      </c>
      <c r="AG1139" s="8">
        <f t="shared" si="349"/>
        <v>23.274801903953673</v>
      </c>
      <c r="AH1139" s="10">
        <f t="shared" si="350"/>
        <v>59.678979240906855</v>
      </c>
      <c r="AI1139" s="63"/>
      <c r="AJ1139" s="10">
        <f t="shared" si="339"/>
        <v>108.91270000000002</v>
      </c>
      <c r="AK1139" s="8"/>
      <c r="AL1139" s="8">
        <f t="shared" si="351"/>
        <v>54.456350000000008</v>
      </c>
    </row>
    <row r="1140" spans="1:38">
      <c r="A1140" s="18">
        <v>41468</v>
      </c>
      <c r="B1140" s="19" t="s">
        <v>132</v>
      </c>
      <c r="C1140" s="12">
        <v>250.2</v>
      </c>
      <c r="D1140" s="19" t="s">
        <v>32</v>
      </c>
      <c r="E1140" s="8">
        <v>8.4106699999999996</v>
      </c>
      <c r="F1140" s="8">
        <v>83.311130000000006</v>
      </c>
      <c r="G1140" s="22">
        <v>250</v>
      </c>
      <c r="H1140" s="22">
        <v>-14</v>
      </c>
      <c r="I1140" s="10">
        <f t="shared" si="345"/>
        <v>-7.0961293843639721</v>
      </c>
      <c r="J1140" s="10">
        <f t="shared" si="346"/>
        <v>-0.12385082190466953</v>
      </c>
      <c r="K1140" s="10">
        <f t="shared" si="347"/>
        <v>21.162095610230239</v>
      </c>
      <c r="L1140" s="22">
        <v>284</v>
      </c>
      <c r="M1140" s="22" t="s">
        <v>36</v>
      </c>
      <c r="N1140" s="8" t="s">
        <v>46</v>
      </c>
      <c r="O1140" s="10" t="s">
        <v>37</v>
      </c>
      <c r="P1140" s="10" t="s">
        <v>38</v>
      </c>
      <c r="Q1140" s="11">
        <v>0.48</v>
      </c>
      <c r="R1140" s="8" t="s">
        <v>60</v>
      </c>
      <c r="S1140" s="30">
        <v>19</v>
      </c>
      <c r="T1140" s="79">
        <f t="shared" si="340"/>
        <v>2.835294E-2</v>
      </c>
      <c r="U1140" s="22">
        <v>8</v>
      </c>
      <c r="V1140" s="22">
        <v>45</v>
      </c>
      <c r="W1140" s="10">
        <f t="shared" si="341"/>
        <v>0.78539816339744828</v>
      </c>
      <c r="X1140" s="22">
        <v>5</v>
      </c>
      <c r="Y1140" s="22">
        <v>19</v>
      </c>
      <c r="Z1140" s="10">
        <f t="shared" si="342"/>
        <v>0.33161255787892263</v>
      </c>
      <c r="AA1140" s="10">
        <f t="shared" si="343"/>
        <v>7.2846950217781634</v>
      </c>
      <c r="AB1140" s="10">
        <f t="shared" si="344"/>
        <v>63.819286753607976</v>
      </c>
      <c r="AC1140" s="10">
        <f t="shared" si="348"/>
        <v>7.977410844200997</v>
      </c>
      <c r="AD1140" s="10">
        <f t="shared" si="337"/>
        <v>31.909643376803988</v>
      </c>
      <c r="AE1140" s="65"/>
      <c r="AF1140" s="10">
        <f t="shared" si="338"/>
        <v>138.98006247703458</v>
      </c>
      <c r="AG1140" s="8">
        <f t="shared" si="349"/>
        <v>27.101112183021744</v>
      </c>
      <c r="AH1140" s="10">
        <f t="shared" si="350"/>
        <v>69.49003123851729</v>
      </c>
      <c r="AI1140" s="63"/>
      <c r="AJ1140" s="10">
        <f t="shared" si="339"/>
        <v>156.32999999999998</v>
      </c>
      <c r="AK1140" s="8"/>
      <c r="AL1140" s="8">
        <f t="shared" si="351"/>
        <v>78.164999999999992</v>
      </c>
    </row>
    <row r="1141" spans="1:38">
      <c r="A1141" s="18">
        <v>41468</v>
      </c>
      <c r="B1141" s="19" t="s">
        <v>132</v>
      </c>
      <c r="C1141" s="12">
        <v>250.2</v>
      </c>
      <c r="D1141" s="19" t="s">
        <v>32</v>
      </c>
      <c r="E1141" s="8">
        <v>8.4106699999999996</v>
      </c>
      <c r="F1141" s="8">
        <v>83.311130000000006</v>
      </c>
      <c r="G1141" s="22">
        <v>250</v>
      </c>
      <c r="H1141" s="22">
        <v>-14</v>
      </c>
      <c r="I1141" s="10">
        <f t="shared" si="345"/>
        <v>-7.0961293843639721</v>
      </c>
      <c r="J1141" s="10">
        <f t="shared" si="346"/>
        <v>-0.12385082190466953</v>
      </c>
      <c r="K1141" s="10">
        <f t="shared" si="347"/>
        <v>21.162095610230239</v>
      </c>
      <c r="L1141" s="22">
        <v>308</v>
      </c>
      <c r="M1141" s="31" t="s">
        <v>231</v>
      </c>
      <c r="N1141" s="8" t="s">
        <v>171</v>
      </c>
      <c r="O1141" s="33" t="s">
        <v>99</v>
      </c>
      <c r="P1141" s="33" t="s">
        <v>99</v>
      </c>
      <c r="Q1141" s="7">
        <v>0.57999999999999996</v>
      </c>
      <c r="R1141" s="7" t="s">
        <v>103</v>
      </c>
      <c r="S1141" s="30">
        <v>18.8</v>
      </c>
      <c r="T1141" s="79">
        <f t="shared" si="340"/>
        <v>2.7759177600000004E-2</v>
      </c>
      <c r="U1141" s="22">
        <v>13</v>
      </c>
      <c r="V1141" s="22">
        <v>64</v>
      </c>
      <c r="W1141" s="10">
        <f t="shared" si="341"/>
        <v>1.1170107212763709</v>
      </c>
      <c r="X1141" s="22">
        <v>5</v>
      </c>
      <c r="Y1141" s="22">
        <v>18</v>
      </c>
      <c r="Z1141" s="10">
        <f t="shared" si="342"/>
        <v>0.31415926535897931</v>
      </c>
      <c r="AA1141" s="10">
        <f t="shared" si="343"/>
        <v>13.229407573763908</v>
      </c>
      <c r="AB1141" s="10">
        <f t="shared" si="344"/>
        <v>130.96304508492042</v>
      </c>
      <c r="AC1141" s="10">
        <f t="shared" si="348"/>
        <v>16.370380635615053</v>
      </c>
      <c r="AD1141" s="10">
        <f t="shared" si="337"/>
        <v>65.481522542460212</v>
      </c>
      <c r="AE1141" s="65"/>
      <c r="AF1141" s="10">
        <f t="shared" si="338"/>
        <v>163.60414741559043</v>
      </c>
      <c r="AG1141" s="8">
        <f t="shared" si="349"/>
        <v>31.902808746040137</v>
      </c>
      <c r="AH1141" s="10">
        <f t="shared" si="350"/>
        <v>81.802073707795216</v>
      </c>
      <c r="AI1141" s="63"/>
      <c r="AJ1141" s="10">
        <f t="shared" si="339"/>
        <v>152.12620000000001</v>
      </c>
      <c r="AK1141" s="8"/>
      <c r="AL1141" s="8">
        <f t="shared" si="351"/>
        <v>76.063100000000006</v>
      </c>
    </row>
    <row r="1142" spans="1:38">
      <c r="A1142" s="18">
        <v>41468</v>
      </c>
      <c r="B1142" s="19" t="s">
        <v>132</v>
      </c>
      <c r="C1142" s="12">
        <v>250.2</v>
      </c>
      <c r="D1142" s="19" t="s">
        <v>32</v>
      </c>
      <c r="E1142" s="8">
        <v>8.4106699999999996</v>
      </c>
      <c r="F1142" s="8">
        <v>83.311130000000006</v>
      </c>
      <c r="G1142" s="22">
        <v>250</v>
      </c>
      <c r="H1142" s="22">
        <v>-14</v>
      </c>
      <c r="I1142" s="10">
        <f t="shared" si="345"/>
        <v>-7.0961293843639721</v>
      </c>
      <c r="J1142" s="10">
        <f t="shared" si="346"/>
        <v>-0.12385082190466953</v>
      </c>
      <c r="K1142" s="10">
        <f t="shared" si="347"/>
        <v>21.162095610230239</v>
      </c>
      <c r="L1142" s="22">
        <v>275</v>
      </c>
      <c r="M1142" s="22" t="s">
        <v>131</v>
      </c>
      <c r="N1142" s="8" t="s">
        <v>81</v>
      </c>
      <c r="O1142" s="10" t="s">
        <v>164</v>
      </c>
      <c r="P1142" s="50" t="s">
        <v>165</v>
      </c>
      <c r="Q1142" s="23">
        <v>0.56000000000000005</v>
      </c>
      <c r="R1142" s="22" t="s">
        <v>166</v>
      </c>
      <c r="S1142" s="30">
        <v>8</v>
      </c>
      <c r="T1142" s="79">
        <f t="shared" si="340"/>
        <v>5.0265600000000002E-3</v>
      </c>
      <c r="U1142" s="22">
        <v>9</v>
      </c>
      <c r="V1142" s="22">
        <v>45</v>
      </c>
      <c r="W1142" s="10">
        <f t="shared" si="341"/>
        <v>0.78539816339744828</v>
      </c>
      <c r="X1142" s="22">
        <v>7</v>
      </c>
      <c r="Y1142" s="22">
        <v>17</v>
      </c>
      <c r="Z1142" s="10">
        <f t="shared" si="342"/>
        <v>0.29670597283903605</v>
      </c>
      <c r="AA1142" s="10">
        <f t="shared" si="343"/>
        <v>8.4105629637380854</v>
      </c>
      <c r="AB1142" s="10">
        <f t="shared" si="344"/>
        <v>16.607459599385233</v>
      </c>
      <c r="AC1142" s="10">
        <f t="shared" si="348"/>
        <v>2.0759324499231542</v>
      </c>
      <c r="AD1142" s="10">
        <f t="shared" si="337"/>
        <v>8.3037297996926167</v>
      </c>
      <c r="AE1142" s="65"/>
      <c r="AF1142" s="10">
        <f t="shared" si="338"/>
        <v>18.932763101723765</v>
      </c>
      <c r="AG1142" s="8">
        <f t="shared" si="349"/>
        <v>3.6918888048361342</v>
      </c>
      <c r="AH1142" s="10">
        <f t="shared" si="350"/>
        <v>9.4663815508618825</v>
      </c>
      <c r="AI1142" s="63"/>
      <c r="AJ1142" s="10">
        <f t="shared" si="339"/>
        <v>13.033000000000001</v>
      </c>
      <c r="AK1142" s="8"/>
      <c r="AL1142" s="8">
        <f t="shared" si="351"/>
        <v>6.5165000000000006</v>
      </c>
    </row>
    <row r="1143" spans="1:38">
      <c r="A1143" s="18">
        <v>41468</v>
      </c>
      <c r="B1143" s="19" t="s">
        <v>132</v>
      </c>
      <c r="C1143" s="12">
        <v>250.2</v>
      </c>
      <c r="D1143" s="19" t="s">
        <v>32</v>
      </c>
      <c r="E1143" s="8">
        <v>8.4106699999999996</v>
      </c>
      <c r="F1143" s="8">
        <v>83.311130000000006</v>
      </c>
      <c r="G1143" s="22">
        <v>250</v>
      </c>
      <c r="H1143" s="22">
        <v>-14</v>
      </c>
      <c r="I1143" s="10">
        <f t="shared" si="345"/>
        <v>-7.0961293843639721</v>
      </c>
      <c r="J1143" s="10">
        <f t="shared" si="346"/>
        <v>-0.12385082190466953</v>
      </c>
      <c r="K1143" s="10">
        <f t="shared" si="347"/>
        <v>21.162095610230239</v>
      </c>
      <c r="L1143" s="22">
        <v>261</v>
      </c>
      <c r="M1143" s="31" t="s">
        <v>231</v>
      </c>
      <c r="N1143" s="8" t="s">
        <v>171</v>
      </c>
      <c r="O1143" s="33" t="s">
        <v>99</v>
      </c>
      <c r="P1143" s="33" t="s">
        <v>99</v>
      </c>
      <c r="Q1143" s="7">
        <v>0.57999999999999996</v>
      </c>
      <c r="R1143" s="7" t="s">
        <v>103</v>
      </c>
      <c r="S1143" s="30">
        <v>10.5</v>
      </c>
      <c r="T1143" s="79">
        <f t="shared" si="340"/>
        <v>8.6590350000000007E-3</v>
      </c>
      <c r="U1143" s="22">
        <v>12</v>
      </c>
      <c r="V1143" s="22">
        <v>51</v>
      </c>
      <c r="W1143" s="10">
        <f t="shared" si="341"/>
        <v>0.89011791851710809</v>
      </c>
      <c r="X1143" s="22">
        <v>7</v>
      </c>
      <c r="Y1143" s="22">
        <v>18</v>
      </c>
      <c r="Z1143" s="10">
        <f t="shared" si="342"/>
        <v>0.31415926535897931</v>
      </c>
      <c r="AA1143" s="10">
        <f t="shared" si="343"/>
        <v>11.488870498108282</v>
      </c>
      <c r="AB1143" s="10">
        <f t="shared" si="344"/>
        <v>38.36901158053233</v>
      </c>
      <c r="AC1143" s="10">
        <f t="shared" si="348"/>
        <v>4.7961264475665413</v>
      </c>
      <c r="AD1143" s="10">
        <f t="shared" si="337"/>
        <v>19.184505790266165</v>
      </c>
      <c r="AE1143" s="65"/>
      <c r="AF1143" s="10">
        <f t="shared" si="338"/>
        <v>38.519815769059839</v>
      </c>
      <c r="AG1143" s="8">
        <f t="shared" si="349"/>
        <v>7.5113640749666688</v>
      </c>
      <c r="AH1143" s="10">
        <f t="shared" si="350"/>
        <v>19.25990788452992</v>
      </c>
      <c r="AI1143" s="63"/>
      <c r="AJ1143" s="10">
        <f t="shared" si="339"/>
        <v>29.875499999999988</v>
      </c>
      <c r="AK1143" s="8"/>
      <c r="AL1143" s="8">
        <f t="shared" si="351"/>
        <v>14.937749999999994</v>
      </c>
    </row>
    <row r="1144" spans="1:38">
      <c r="A1144" s="18">
        <v>41468</v>
      </c>
      <c r="B1144" s="19" t="s">
        <v>132</v>
      </c>
      <c r="C1144" s="12">
        <v>250.2</v>
      </c>
      <c r="D1144" s="19" t="s">
        <v>32</v>
      </c>
      <c r="E1144" s="8">
        <v>8.4106699999999996</v>
      </c>
      <c r="F1144" s="8">
        <v>83.311130000000006</v>
      </c>
      <c r="G1144" s="22">
        <v>250</v>
      </c>
      <c r="H1144" s="22">
        <v>-14</v>
      </c>
      <c r="I1144" s="10">
        <f t="shared" si="345"/>
        <v>-7.0961293843639721</v>
      </c>
      <c r="J1144" s="10">
        <f t="shared" si="346"/>
        <v>-0.12385082190466953</v>
      </c>
      <c r="K1144" s="10">
        <f t="shared" si="347"/>
        <v>21.162095610230239</v>
      </c>
      <c r="L1144" s="22">
        <v>283</v>
      </c>
      <c r="M1144" s="22" t="s">
        <v>131</v>
      </c>
      <c r="N1144" s="8" t="s">
        <v>81</v>
      </c>
      <c r="O1144" s="10" t="s">
        <v>164</v>
      </c>
      <c r="P1144" s="50" t="s">
        <v>165</v>
      </c>
      <c r="Q1144" s="23">
        <v>0.56000000000000005</v>
      </c>
      <c r="R1144" s="22" t="s">
        <v>166</v>
      </c>
      <c r="S1144" s="30">
        <v>7.3</v>
      </c>
      <c r="T1144" s="79">
        <f t="shared" si="340"/>
        <v>4.1853966000000003E-3</v>
      </c>
      <c r="U1144" s="22">
        <v>10</v>
      </c>
      <c r="V1144" s="22">
        <v>49</v>
      </c>
      <c r="W1144" s="10">
        <f t="shared" si="341"/>
        <v>0.85521133347722145</v>
      </c>
      <c r="X1144" s="22">
        <v>6</v>
      </c>
      <c r="Y1144" s="22">
        <v>18</v>
      </c>
      <c r="Z1144" s="10">
        <f t="shared" si="342"/>
        <v>0.31415926535897931</v>
      </c>
      <c r="AA1144" s="10">
        <f t="shared" si="343"/>
        <v>9.4011977684774042</v>
      </c>
      <c r="AB1144" s="10">
        <f t="shared" si="344"/>
        <v>15.523785783154473</v>
      </c>
      <c r="AC1144" s="10">
        <f t="shared" si="348"/>
        <v>1.9404732228943091</v>
      </c>
      <c r="AD1144" s="10">
        <f t="shared" si="337"/>
        <v>7.7618928915772365</v>
      </c>
      <c r="AE1144" s="65"/>
      <c r="AF1144" s="10">
        <f t="shared" si="338"/>
        <v>15.095959727031275</v>
      </c>
      <c r="AG1144" s="8">
        <f t="shared" si="349"/>
        <v>2.9437121467710985</v>
      </c>
      <c r="AH1144" s="10">
        <f t="shared" si="350"/>
        <v>7.5479798635156374</v>
      </c>
      <c r="AI1144" s="63"/>
      <c r="AJ1144" s="10">
        <f t="shared" si="339"/>
        <v>9.974699999999995</v>
      </c>
      <c r="AK1144" s="8"/>
      <c r="AL1144" s="8">
        <f t="shared" si="351"/>
        <v>4.9873499999999975</v>
      </c>
    </row>
    <row r="1145" spans="1:38">
      <c r="A1145" s="18">
        <v>41468</v>
      </c>
      <c r="B1145" s="19" t="s">
        <v>132</v>
      </c>
      <c r="C1145" s="12">
        <v>250.2</v>
      </c>
      <c r="D1145" s="19" t="s">
        <v>32</v>
      </c>
      <c r="E1145" s="8">
        <v>8.4106699999999996</v>
      </c>
      <c r="F1145" s="8">
        <v>83.311130000000006</v>
      </c>
      <c r="G1145" s="22">
        <v>250</v>
      </c>
      <c r="H1145" s="22">
        <v>-14</v>
      </c>
      <c r="I1145" s="10">
        <f t="shared" si="345"/>
        <v>-7.0961293843639721</v>
      </c>
      <c r="J1145" s="10">
        <f t="shared" si="346"/>
        <v>-0.12385082190466953</v>
      </c>
      <c r="K1145" s="10">
        <f t="shared" si="347"/>
        <v>21.162095610230239</v>
      </c>
      <c r="L1145" s="22">
        <v>238</v>
      </c>
      <c r="M1145" s="22" t="s">
        <v>36</v>
      </c>
      <c r="N1145" s="8" t="s">
        <v>46</v>
      </c>
      <c r="O1145" s="10" t="s">
        <v>37</v>
      </c>
      <c r="P1145" s="10" t="s">
        <v>38</v>
      </c>
      <c r="Q1145" s="11">
        <v>0.48</v>
      </c>
      <c r="R1145" s="8" t="s">
        <v>60</v>
      </c>
      <c r="S1145" s="30">
        <v>29</v>
      </c>
      <c r="T1145" s="79">
        <f t="shared" si="340"/>
        <v>6.6052140000000009E-2</v>
      </c>
      <c r="U1145" s="22">
        <v>10</v>
      </c>
      <c r="V1145" s="22">
        <v>48</v>
      </c>
      <c r="W1145" s="10">
        <f t="shared" si="341"/>
        <v>0.83775804095727824</v>
      </c>
      <c r="X1145" s="22">
        <v>7</v>
      </c>
      <c r="Y1145" s="22">
        <v>16</v>
      </c>
      <c r="Z1145" s="10">
        <f t="shared" si="342"/>
        <v>0.27925268031909273</v>
      </c>
      <c r="AA1145" s="10">
        <f t="shared" si="343"/>
        <v>9.3609097454929362</v>
      </c>
      <c r="AB1145" s="10">
        <f t="shared" si="344"/>
        <v>178.88572890070083</v>
      </c>
      <c r="AC1145" s="10">
        <f t="shared" si="348"/>
        <v>22.360716112587603</v>
      </c>
      <c r="AD1145" s="10">
        <f t="shared" si="337"/>
        <v>89.442864450350413</v>
      </c>
      <c r="AE1145" s="65"/>
      <c r="AF1145" s="10">
        <f t="shared" si="338"/>
        <v>390.92122856664514</v>
      </c>
      <c r="AG1145" s="8">
        <f t="shared" si="349"/>
        <v>76.229639570495806</v>
      </c>
      <c r="AH1145" s="10">
        <f t="shared" si="350"/>
        <v>195.46061428332257</v>
      </c>
      <c r="AI1145" s="63"/>
      <c r="AJ1145" s="10">
        <f t="shared" si="339"/>
        <v>442</v>
      </c>
      <c r="AK1145" s="8"/>
      <c r="AL1145" s="8">
        <f t="shared" si="351"/>
        <v>221</v>
      </c>
    </row>
    <row r="1146" spans="1:38">
      <c r="A1146" s="18">
        <v>41468</v>
      </c>
      <c r="B1146" s="19" t="s">
        <v>132</v>
      </c>
      <c r="C1146" s="12">
        <v>250.2</v>
      </c>
      <c r="D1146" s="19" t="s">
        <v>32</v>
      </c>
      <c r="E1146" s="8">
        <v>8.4106699999999996</v>
      </c>
      <c r="F1146" s="8">
        <v>83.311130000000006</v>
      </c>
      <c r="G1146" s="22">
        <v>250</v>
      </c>
      <c r="H1146" s="22">
        <v>-14</v>
      </c>
      <c r="I1146" s="10">
        <f t="shared" si="345"/>
        <v>-7.0961293843639721</v>
      </c>
      <c r="J1146" s="10">
        <f t="shared" si="346"/>
        <v>-0.12385082190466953</v>
      </c>
      <c r="K1146" s="10">
        <f t="shared" si="347"/>
        <v>21.162095610230239</v>
      </c>
      <c r="L1146" s="22">
        <v>247</v>
      </c>
      <c r="M1146" s="22" t="s">
        <v>36</v>
      </c>
      <c r="N1146" s="8" t="s">
        <v>46</v>
      </c>
      <c r="O1146" s="10" t="s">
        <v>37</v>
      </c>
      <c r="P1146" s="10" t="s">
        <v>38</v>
      </c>
      <c r="Q1146" s="11">
        <v>0.48</v>
      </c>
      <c r="R1146" s="8" t="s">
        <v>60</v>
      </c>
      <c r="S1146" s="30">
        <v>20.2</v>
      </c>
      <c r="T1146" s="79">
        <f t="shared" si="340"/>
        <v>3.20474616E-2</v>
      </c>
      <c r="U1146" s="22">
        <v>10</v>
      </c>
      <c r="V1146" s="22">
        <v>49</v>
      </c>
      <c r="W1146" s="10">
        <f t="shared" si="341"/>
        <v>0.85521133347722145</v>
      </c>
      <c r="X1146" s="22">
        <v>6</v>
      </c>
      <c r="Y1146" s="22">
        <v>14</v>
      </c>
      <c r="Z1146" s="10">
        <f t="shared" si="342"/>
        <v>0.24434609527920614</v>
      </c>
      <c r="AA1146" s="10">
        <f t="shared" si="343"/>
        <v>8.9986271758257264</v>
      </c>
      <c r="AB1146" s="10">
        <f t="shared" si="344"/>
        <v>87.340312656869799</v>
      </c>
      <c r="AC1146" s="10">
        <f t="shared" si="348"/>
        <v>10.917539082108725</v>
      </c>
      <c r="AD1146" s="10">
        <f t="shared" si="337"/>
        <v>43.670156328434899</v>
      </c>
      <c r="AE1146" s="65"/>
      <c r="AF1146" s="10">
        <f t="shared" si="338"/>
        <v>161.63283252193193</v>
      </c>
      <c r="AG1146" s="8">
        <f t="shared" si="349"/>
        <v>31.518402341776728</v>
      </c>
      <c r="AH1146" s="10">
        <f t="shared" si="350"/>
        <v>80.816416260965966</v>
      </c>
      <c r="AI1146" s="63"/>
      <c r="AJ1146" s="10">
        <f t="shared" si="339"/>
        <v>182.79599999999996</v>
      </c>
      <c r="AK1146" s="8"/>
      <c r="AL1146" s="8">
        <f t="shared" si="351"/>
        <v>91.397999999999982</v>
      </c>
    </row>
    <row r="1147" spans="1:38">
      <c r="A1147" s="18">
        <v>41468</v>
      </c>
      <c r="B1147" s="19" t="s">
        <v>132</v>
      </c>
      <c r="C1147" s="12">
        <v>250.2</v>
      </c>
      <c r="D1147" s="19" t="s">
        <v>32</v>
      </c>
      <c r="E1147" s="8">
        <v>8.4106699999999996</v>
      </c>
      <c r="F1147" s="8">
        <v>83.311130000000006</v>
      </c>
      <c r="G1147" s="22">
        <v>250</v>
      </c>
      <c r="H1147" s="22">
        <v>-14</v>
      </c>
      <c r="I1147" s="10">
        <f t="shared" si="345"/>
        <v>-7.0961293843639721</v>
      </c>
      <c r="J1147" s="10">
        <f t="shared" si="346"/>
        <v>-0.12385082190466953</v>
      </c>
      <c r="K1147" s="10">
        <f t="shared" si="347"/>
        <v>21.162095610230239</v>
      </c>
      <c r="L1147" s="22">
        <v>287</v>
      </c>
      <c r="M1147" s="22" t="s">
        <v>131</v>
      </c>
      <c r="N1147" s="8" t="s">
        <v>81</v>
      </c>
      <c r="O1147" s="10" t="s">
        <v>164</v>
      </c>
      <c r="P1147" s="50" t="s">
        <v>165</v>
      </c>
      <c r="Q1147" s="23">
        <v>0.56000000000000005</v>
      </c>
      <c r="R1147" s="22" t="s">
        <v>166</v>
      </c>
      <c r="S1147" s="30">
        <v>7.3</v>
      </c>
      <c r="T1147" s="79">
        <f t="shared" si="340"/>
        <v>4.1853966000000003E-3</v>
      </c>
      <c r="U1147" s="22">
        <v>9</v>
      </c>
      <c r="V1147" s="22">
        <v>50</v>
      </c>
      <c r="W1147" s="10">
        <f t="shared" si="341"/>
        <v>0.87266462599716477</v>
      </c>
      <c r="X1147" s="22">
        <v>6</v>
      </c>
      <c r="Y1147" s="22">
        <v>13</v>
      </c>
      <c r="Z1147" s="10">
        <f t="shared" si="342"/>
        <v>0.22689280275926285</v>
      </c>
      <c r="AA1147" s="10">
        <f t="shared" si="343"/>
        <v>8.2441063141339921</v>
      </c>
      <c r="AB1147" s="10">
        <f t="shared" si="344"/>
        <v>13.72083091184729</v>
      </c>
      <c r="AC1147" s="10">
        <f t="shared" si="348"/>
        <v>1.7151038639809113</v>
      </c>
      <c r="AD1147" s="10">
        <f t="shared" si="337"/>
        <v>6.8604154559236452</v>
      </c>
      <c r="AE1147" s="65"/>
      <c r="AF1147" s="10">
        <f t="shared" si="338"/>
        <v>15.095959727031275</v>
      </c>
      <c r="AG1147" s="8">
        <f t="shared" si="349"/>
        <v>2.9437121467710985</v>
      </c>
      <c r="AH1147" s="10">
        <f t="shared" si="350"/>
        <v>7.5479798635156374</v>
      </c>
      <c r="AI1147" s="63"/>
      <c r="AJ1147" s="10">
        <f t="shared" si="339"/>
        <v>9.974699999999995</v>
      </c>
      <c r="AK1147" s="8"/>
      <c r="AL1147" s="8">
        <f t="shared" si="351"/>
        <v>4.9873499999999975</v>
      </c>
    </row>
    <row r="1148" spans="1:38">
      <c r="A1148" s="18">
        <v>41468</v>
      </c>
      <c r="B1148" s="19" t="s">
        <v>132</v>
      </c>
      <c r="C1148" s="12">
        <v>250.2</v>
      </c>
      <c r="D1148" s="19" t="s">
        <v>32</v>
      </c>
      <c r="E1148" s="8">
        <v>8.4106699999999996</v>
      </c>
      <c r="F1148" s="8">
        <v>83.311130000000006</v>
      </c>
      <c r="G1148" s="22">
        <v>250</v>
      </c>
      <c r="H1148" s="22">
        <v>-14</v>
      </c>
      <c r="I1148" s="10">
        <f t="shared" si="345"/>
        <v>-7.0961293843639721</v>
      </c>
      <c r="J1148" s="10">
        <f t="shared" si="346"/>
        <v>-0.12385082190466953</v>
      </c>
      <c r="K1148" s="10">
        <f t="shared" si="347"/>
        <v>21.162095610230239</v>
      </c>
      <c r="L1148" s="22">
        <v>258</v>
      </c>
      <c r="M1148" s="22" t="s">
        <v>36</v>
      </c>
      <c r="N1148" s="8" t="s">
        <v>46</v>
      </c>
      <c r="O1148" s="10" t="s">
        <v>37</v>
      </c>
      <c r="P1148" s="10" t="s">
        <v>38</v>
      </c>
      <c r="Q1148" s="11">
        <v>0.48</v>
      </c>
      <c r="R1148" s="8" t="s">
        <v>60</v>
      </c>
      <c r="S1148" s="30">
        <v>16.5</v>
      </c>
      <c r="T1148" s="79">
        <f t="shared" si="340"/>
        <v>2.1382515000000001E-2</v>
      </c>
      <c r="U1148" s="22">
        <v>12</v>
      </c>
      <c r="V1148" s="22">
        <v>48</v>
      </c>
      <c r="W1148" s="10">
        <f t="shared" si="341"/>
        <v>0.83775804095727824</v>
      </c>
      <c r="X1148" s="22">
        <v>7</v>
      </c>
      <c r="Y1148" s="22">
        <v>7</v>
      </c>
      <c r="Z1148" s="10">
        <f t="shared" si="342"/>
        <v>0.12217304763960307</v>
      </c>
      <c r="AA1148" s="10">
        <f t="shared" si="343"/>
        <v>9.770823309564765</v>
      </c>
      <c r="AB1148" s="10">
        <f t="shared" si="344"/>
        <v>64.510972620977668</v>
      </c>
      <c r="AC1148" s="10">
        <f t="shared" si="348"/>
        <v>8.0638715776222085</v>
      </c>
      <c r="AD1148" s="10">
        <f t="shared" si="337"/>
        <v>32.255486310488834</v>
      </c>
      <c r="AE1148" s="65"/>
      <c r="AF1148" s="10">
        <f t="shared" si="338"/>
        <v>98.041149912548704</v>
      </c>
      <c r="AG1148" s="8">
        <f t="shared" si="349"/>
        <v>19.118024232946997</v>
      </c>
      <c r="AH1148" s="10">
        <f t="shared" si="350"/>
        <v>49.020574956274352</v>
      </c>
      <c r="AI1148" s="63"/>
      <c r="AJ1148" s="10">
        <f t="shared" si="339"/>
        <v>108.03749999999999</v>
      </c>
      <c r="AK1148" s="8"/>
      <c r="AL1148" s="8">
        <f t="shared" si="351"/>
        <v>54.018749999999997</v>
      </c>
    </row>
    <row r="1149" spans="1:38">
      <c r="A1149" s="18">
        <v>41468</v>
      </c>
      <c r="B1149" s="19" t="s">
        <v>132</v>
      </c>
      <c r="C1149" s="12">
        <v>250.2</v>
      </c>
      <c r="D1149" s="19" t="s">
        <v>32</v>
      </c>
      <c r="E1149" s="8">
        <v>8.4106699999999996</v>
      </c>
      <c r="F1149" s="8">
        <v>83.311130000000006</v>
      </c>
      <c r="G1149" s="22">
        <v>250</v>
      </c>
      <c r="H1149" s="22">
        <v>-14</v>
      </c>
      <c r="I1149" s="10">
        <f t="shared" si="345"/>
        <v>-7.0961293843639721</v>
      </c>
      <c r="J1149" s="10">
        <f t="shared" si="346"/>
        <v>-0.12385082190466953</v>
      </c>
      <c r="K1149" s="10">
        <f t="shared" si="347"/>
        <v>21.162095610230239</v>
      </c>
      <c r="L1149" s="22">
        <v>285</v>
      </c>
      <c r="M1149" s="22" t="s">
        <v>107</v>
      </c>
      <c r="N1149" s="22" t="s">
        <v>63</v>
      </c>
      <c r="O1149" s="10" t="s">
        <v>108</v>
      </c>
      <c r="P1149" s="15" t="s">
        <v>92</v>
      </c>
      <c r="Q1149" s="8">
        <v>0.57999999999999996</v>
      </c>
      <c r="R1149" s="22" t="s">
        <v>190</v>
      </c>
      <c r="S1149" s="30">
        <v>21.8</v>
      </c>
      <c r="T1149" s="79">
        <f t="shared" si="340"/>
        <v>3.7325349600000002E-2</v>
      </c>
      <c r="U1149" s="22">
        <v>13</v>
      </c>
      <c r="V1149" s="22">
        <v>68</v>
      </c>
      <c r="W1149" s="10">
        <f t="shared" si="341"/>
        <v>1.1868238913561442</v>
      </c>
      <c r="X1149" s="22">
        <v>6</v>
      </c>
      <c r="Y1149" s="22">
        <v>12</v>
      </c>
      <c r="Z1149" s="10">
        <f t="shared" si="342"/>
        <v>0.20943951023931956</v>
      </c>
      <c r="AA1149" s="10">
        <f t="shared" si="343"/>
        <v>13.300860254274793</v>
      </c>
      <c r="AB1149" s="10">
        <f t="shared" si="344"/>
        <v>173.87181591486905</v>
      </c>
      <c r="AC1149" s="10">
        <f t="shared" si="348"/>
        <v>21.733976989358631</v>
      </c>
      <c r="AD1149" s="10">
        <f t="shared" si="337"/>
        <v>86.935907957434523</v>
      </c>
      <c r="AE1149" s="65"/>
      <c r="AF1149" s="10">
        <f t="shared" si="338"/>
        <v>235.57239039382094</v>
      </c>
      <c r="AG1149" s="8">
        <f t="shared" si="349"/>
        <v>45.936616126795087</v>
      </c>
      <c r="AH1149" s="10">
        <f t="shared" si="350"/>
        <v>117.78619519691047</v>
      </c>
      <c r="AI1149" s="63"/>
      <c r="AJ1149" s="10">
        <f t="shared" si="339"/>
        <v>221.39919999999998</v>
      </c>
      <c r="AK1149" s="8"/>
      <c r="AL1149" s="8">
        <f t="shared" si="351"/>
        <v>110.69959999999999</v>
      </c>
    </row>
    <row r="1150" spans="1:38">
      <c r="A1150" s="18">
        <v>41468</v>
      </c>
      <c r="B1150" s="19" t="s">
        <v>132</v>
      </c>
      <c r="C1150" s="12">
        <v>250.2</v>
      </c>
      <c r="D1150" s="19" t="s">
        <v>32</v>
      </c>
      <c r="E1150" s="8">
        <v>8.4106699999999996</v>
      </c>
      <c r="F1150" s="8">
        <v>83.311130000000006</v>
      </c>
      <c r="G1150" s="22">
        <v>250</v>
      </c>
      <c r="H1150" s="22">
        <v>-14</v>
      </c>
      <c r="I1150" s="10">
        <f t="shared" si="345"/>
        <v>-7.0961293843639721</v>
      </c>
      <c r="J1150" s="10">
        <f t="shared" si="346"/>
        <v>-0.12385082190466953</v>
      </c>
      <c r="K1150" s="10">
        <f t="shared" si="347"/>
        <v>21.162095610230239</v>
      </c>
      <c r="L1150" s="22">
        <v>286</v>
      </c>
      <c r="M1150" s="22" t="s">
        <v>107</v>
      </c>
      <c r="N1150" s="22" t="s">
        <v>63</v>
      </c>
      <c r="O1150" s="10" t="s">
        <v>108</v>
      </c>
      <c r="P1150" s="15" t="s">
        <v>92</v>
      </c>
      <c r="Q1150" s="8">
        <v>0.57999999999999996</v>
      </c>
      <c r="R1150" s="22" t="s">
        <v>190</v>
      </c>
      <c r="S1150" s="30">
        <v>10</v>
      </c>
      <c r="T1150" s="79">
        <f t="shared" si="340"/>
        <v>7.8539999999999999E-3</v>
      </c>
      <c r="U1150" s="22">
        <v>7</v>
      </c>
      <c r="V1150" s="22">
        <v>62</v>
      </c>
      <c r="W1150" s="10">
        <f t="shared" si="341"/>
        <v>1.0821041362364843</v>
      </c>
      <c r="X1150" s="22">
        <v>5</v>
      </c>
      <c r="Y1150" s="22">
        <v>11</v>
      </c>
      <c r="Z1150" s="10">
        <f t="shared" si="342"/>
        <v>0.19198621771937624</v>
      </c>
      <c r="AA1150" s="10">
        <f t="shared" si="343"/>
        <v>7.1346781268952117</v>
      </c>
      <c r="AB1150" s="10">
        <f t="shared" si="344"/>
        <v>22.3694835361025</v>
      </c>
      <c r="AC1150" s="10">
        <f t="shared" si="348"/>
        <v>2.7961854420128125</v>
      </c>
      <c r="AD1150" s="10">
        <f t="shared" si="337"/>
        <v>11.18474176805125</v>
      </c>
      <c r="AE1150" s="65"/>
      <c r="AF1150" s="10">
        <f t="shared" si="338"/>
        <v>34.11841974393613</v>
      </c>
      <c r="AG1150" s="8">
        <f t="shared" si="349"/>
        <v>6.6530918500675451</v>
      </c>
      <c r="AH1150" s="10">
        <f t="shared" si="350"/>
        <v>17.059209871968065</v>
      </c>
      <c r="AI1150" s="63"/>
      <c r="AJ1150" s="10">
        <f t="shared" si="339"/>
        <v>25.766999999999996</v>
      </c>
      <c r="AK1150" s="8"/>
      <c r="AL1150" s="8">
        <f t="shared" si="351"/>
        <v>12.883499999999998</v>
      </c>
    </row>
    <row r="1151" spans="1:38">
      <c r="A1151" s="18">
        <v>41468</v>
      </c>
      <c r="B1151" s="19" t="s">
        <v>132</v>
      </c>
      <c r="C1151" s="12">
        <v>250.2</v>
      </c>
      <c r="D1151" s="19" t="s">
        <v>32</v>
      </c>
      <c r="E1151" s="8">
        <v>8.4106699999999996</v>
      </c>
      <c r="F1151" s="8">
        <v>83.311130000000006</v>
      </c>
      <c r="G1151" s="22">
        <v>250</v>
      </c>
      <c r="H1151" s="22">
        <v>-14</v>
      </c>
      <c r="I1151" s="10">
        <f t="shared" si="345"/>
        <v>-7.0961293843639721</v>
      </c>
      <c r="J1151" s="10">
        <f t="shared" si="346"/>
        <v>-0.12385082190466953</v>
      </c>
      <c r="K1151" s="10">
        <f t="shared" si="347"/>
        <v>21.162095610230239</v>
      </c>
      <c r="L1151" s="22">
        <v>239</v>
      </c>
      <c r="M1151" s="22" t="s">
        <v>36</v>
      </c>
      <c r="N1151" s="8" t="s">
        <v>46</v>
      </c>
      <c r="O1151" s="10" t="s">
        <v>37</v>
      </c>
      <c r="P1151" s="10" t="s">
        <v>38</v>
      </c>
      <c r="Q1151" s="11">
        <v>0.48</v>
      </c>
      <c r="R1151" s="8" t="s">
        <v>60</v>
      </c>
      <c r="S1151" s="30">
        <v>18</v>
      </c>
      <c r="T1151" s="79">
        <f t="shared" si="340"/>
        <v>2.5446960000000001E-2</v>
      </c>
      <c r="U1151" s="22">
        <v>8</v>
      </c>
      <c r="V1151" s="22">
        <v>56</v>
      </c>
      <c r="W1151" s="10">
        <f t="shared" si="341"/>
        <v>0.97738438111682457</v>
      </c>
      <c r="X1151" s="22">
        <v>5</v>
      </c>
      <c r="Y1151" s="22">
        <v>9</v>
      </c>
      <c r="Z1151" s="10">
        <f t="shared" si="342"/>
        <v>0.15707963267948966</v>
      </c>
      <c r="AA1151" s="10">
        <f t="shared" si="343"/>
        <v>7.414472905641488</v>
      </c>
      <c r="AB1151" s="10">
        <f t="shared" si="344"/>
        <v>58.616010932729573</v>
      </c>
      <c r="AC1151" s="10">
        <f t="shared" si="348"/>
        <v>7.3270013665911966</v>
      </c>
      <c r="AD1151" s="10">
        <f t="shared" si="337"/>
        <v>29.308005466364786</v>
      </c>
      <c r="AE1151" s="65"/>
      <c r="AF1151" s="10">
        <f t="shared" si="338"/>
        <v>121.6038897369755</v>
      </c>
      <c r="AG1151" s="8">
        <f t="shared" si="349"/>
        <v>23.712758498710222</v>
      </c>
      <c r="AH1151" s="10">
        <f t="shared" si="350"/>
        <v>60.801944868487752</v>
      </c>
      <c r="AI1151" s="63"/>
      <c r="AJ1151" s="10">
        <f t="shared" si="339"/>
        <v>135.90299999999996</v>
      </c>
      <c r="AK1151" s="8"/>
      <c r="AL1151" s="8">
        <f t="shared" si="351"/>
        <v>67.951499999999982</v>
      </c>
    </row>
    <row r="1152" spans="1:38">
      <c r="A1152" s="18">
        <v>41468</v>
      </c>
      <c r="B1152" s="19" t="s">
        <v>132</v>
      </c>
      <c r="C1152" s="12">
        <v>250.2</v>
      </c>
      <c r="D1152" s="19" t="s">
        <v>32</v>
      </c>
      <c r="E1152" s="8">
        <v>8.4106699999999996</v>
      </c>
      <c r="F1152" s="8">
        <v>83.311130000000006</v>
      </c>
      <c r="G1152" s="22">
        <v>250</v>
      </c>
      <c r="H1152" s="22">
        <v>-14</v>
      </c>
      <c r="I1152" s="10">
        <f t="shared" si="345"/>
        <v>-7.0961293843639721</v>
      </c>
      <c r="J1152" s="10">
        <f t="shared" si="346"/>
        <v>-0.12385082190466953</v>
      </c>
      <c r="K1152" s="10">
        <f t="shared" si="347"/>
        <v>21.162095610230239</v>
      </c>
      <c r="L1152" s="22">
        <v>269</v>
      </c>
      <c r="M1152" s="31" t="s">
        <v>231</v>
      </c>
      <c r="N1152" s="8" t="s">
        <v>171</v>
      </c>
      <c r="O1152" s="33" t="s">
        <v>99</v>
      </c>
      <c r="P1152" s="33" t="s">
        <v>99</v>
      </c>
      <c r="Q1152" s="7">
        <v>0.57999999999999996</v>
      </c>
      <c r="R1152" s="7" t="s">
        <v>103</v>
      </c>
      <c r="S1152" s="30">
        <v>22.8</v>
      </c>
      <c r="T1152" s="79">
        <f t="shared" si="340"/>
        <v>4.0828233600000007E-2</v>
      </c>
      <c r="U1152" s="22">
        <v>17</v>
      </c>
      <c r="V1152" s="22">
        <v>54</v>
      </c>
      <c r="W1152" s="10">
        <f t="shared" si="341"/>
        <v>0.94247779607693793</v>
      </c>
      <c r="X1152" s="22">
        <v>8</v>
      </c>
      <c r="Y1152" s="22">
        <v>7</v>
      </c>
      <c r="Z1152" s="10">
        <f t="shared" si="342"/>
        <v>0.12217304763960307</v>
      </c>
      <c r="AA1152" s="10">
        <f t="shared" si="343"/>
        <v>14.728243651615285</v>
      </c>
      <c r="AB1152" s="10">
        <f t="shared" si="344"/>
        <v>208.19171853202465</v>
      </c>
      <c r="AC1152" s="10">
        <f t="shared" si="348"/>
        <v>26.023964816503081</v>
      </c>
      <c r="AD1152" s="10">
        <f t="shared" si="337"/>
        <v>104.09585926601233</v>
      </c>
      <c r="AE1152" s="65"/>
      <c r="AF1152" s="10">
        <f t="shared" si="338"/>
        <v>262.96666794400198</v>
      </c>
      <c r="AG1152" s="8">
        <f t="shared" si="349"/>
        <v>51.278500249080388</v>
      </c>
      <c r="AH1152" s="10">
        <f t="shared" si="350"/>
        <v>131.48333397200099</v>
      </c>
      <c r="AI1152" s="63"/>
      <c r="AJ1152" s="10">
        <f t="shared" si="339"/>
        <v>247.4502</v>
      </c>
      <c r="AK1152" s="8"/>
      <c r="AL1152" s="8">
        <f t="shared" si="351"/>
        <v>123.7251</v>
      </c>
    </row>
    <row r="1153" spans="1:38">
      <c r="A1153" s="18">
        <v>41468</v>
      </c>
      <c r="B1153" s="19" t="s">
        <v>132</v>
      </c>
      <c r="C1153" s="12">
        <v>250.2</v>
      </c>
      <c r="D1153" s="19" t="s">
        <v>32</v>
      </c>
      <c r="E1153" s="8">
        <v>8.4106699999999996</v>
      </c>
      <c r="F1153" s="8">
        <v>83.311130000000006</v>
      </c>
      <c r="G1153" s="22">
        <v>250</v>
      </c>
      <c r="H1153" s="22">
        <v>-14</v>
      </c>
      <c r="I1153" s="10">
        <f t="shared" si="345"/>
        <v>-7.0961293843639721</v>
      </c>
      <c r="J1153" s="10">
        <f t="shared" si="346"/>
        <v>-0.12385082190466953</v>
      </c>
      <c r="K1153" s="10">
        <f t="shared" si="347"/>
        <v>21.162095610230239</v>
      </c>
      <c r="L1153" s="22">
        <v>268</v>
      </c>
      <c r="M1153" s="22" t="s">
        <v>36</v>
      </c>
      <c r="N1153" s="8" t="s">
        <v>46</v>
      </c>
      <c r="O1153" s="10" t="s">
        <v>37</v>
      </c>
      <c r="P1153" s="10" t="s">
        <v>38</v>
      </c>
      <c r="Q1153" s="11">
        <v>0.48</v>
      </c>
      <c r="R1153" s="8" t="s">
        <v>60</v>
      </c>
      <c r="S1153" s="30">
        <v>21.5</v>
      </c>
      <c r="T1153" s="79">
        <f t="shared" si="340"/>
        <v>3.6305114999999999E-2</v>
      </c>
      <c r="U1153" s="22">
        <v>10</v>
      </c>
      <c r="V1153" s="22">
        <v>53</v>
      </c>
      <c r="W1153" s="10">
        <f t="shared" si="341"/>
        <v>0.92502450355699462</v>
      </c>
      <c r="X1153" s="22">
        <v>6</v>
      </c>
      <c r="Y1153" s="22">
        <v>10</v>
      </c>
      <c r="Z1153" s="10">
        <f t="shared" si="342"/>
        <v>0.17453292519943295</v>
      </c>
      <c r="AA1153" s="10">
        <f t="shared" si="343"/>
        <v>9.0282441664745097</v>
      </c>
      <c r="AB1153" s="10">
        <f t="shared" si="344"/>
        <v>98.50990204448955</v>
      </c>
      <c r="AC1153" s="10">
        <f t="shared" si="348"/>
        <v>12.313737755561194</v>
      </c>
      <c r="AD1153" s="10">
        <f t="shared" si="337"/>
        <v>49.254951022244775</v>
      </c>
      <c r="AE1153" s="65"/>
      <c r="AF1153" s="10">
        <f t="shared" si="338"/>
        <v>188.43331762946116</v>
      </c>
      <c r="AG1153" s="8">
        <f t="shared" si="349"/>
        <v>36.744496937744927</v>
      </c>
      <c r="AH1153" s="10">
        <f t="shared" si="350"/>
        <v>94.216658814730579</v>
      </c>
      <c r="AI1153" s="63"/>
      <c r="AJ1153" s="10">
        <f t="shared" si="339"/>
        <v>213.8725</v>
      </c>
      <c r="AK1153" s="8"/>
      <c r="AL1153" s="8">
        <f t="shared" si="351"/>
        <v>106.93625</v>
      </c>
    </row>
    <row r="1154" spans="1:38">
      <c r="A1154" s="18">
        <v>41468</v>
      </c>
      <c r="B1154" s="19" t="s">
        <v>132</v>
      </c>
      <c r="C1154" s="12">
        <v>250.2</v>
      </c>
      <c r="D1154" s="19" t="s">
        <v>32</v>
      </c>
      <c r="E1154" s="8">
        <v>8.4106699999999996</v>
      </c>
      <c r="F1154" s="8">
        <v>83.311130000000006</v>
      </c>
      <c r="G1154" s="22">
        <v>250</v>
      </c>
      <c r="H1154" s="22">
        <v>-14</v>
      </c>
      <c r="I1154" s="10">
        <f t="shared" si="345"/>
        <v>-7.0961293843639721</v>
      </c>
      <c r="J1154" s="10">
        <f t="shared" si="346"/>
        <v>-0.12385082190466953</v>
      </c>
      <c r="K1154" s="10">
        <f t="shared" si="347"/>
        <v>21.162095610230239</v>
      </c>
      <c r="L1154" s="22">
        <v>255</v>
      </c>
      <c r="M1154" s="22" t="s">
        <v>54</v>
      </c>
      <c r="N1154" s="8" t="s">
        <v>55</v>
      </c>
      <c r="O1154" s="10" t="s">
        <v>56</v>
      </c>
      <c r="P1154" s="10" t="s">
        <v>57</v>
      </c>
      <c r="Q1154" s="11">
        <v>0.315</v>
      </c>
      <c r="R1154" s="12" t="s">
        <v>66</v>
      </c>
      <c r="S1154" s="29">
        <f>AVERAGE(10,14.5)</f>
        <v>12.25</v>
      </c>
      <c r="T1154" s="79">
        <f t="shared" si="340"/>
        <v>1.1785908750000001E-2</v>
      </c>
      <c r="U1154" s="22">
        <v>14</v>
      </c>
      <c r="V1154" s="22">
        <v>58</v>
      </c>
      <c r="W1154" s="10">
        <f t="shared" ref="W1154:W1185" si="352">RADIANS(V1154)</f>
        <v>1.0122909661567112</v>
      </c>
      <c r="X1154" s="22">
        <v>6</v>
      </c>
      <c r="Y1154" s="22">
        <v>18</v>
      </c>
      <c r="Z1154" s="10">
        <f t="shared" ref="Z1154:Z1185" si="353">RADIANS(Y1154)</f>
        <v>0.31415926535897931</v>
      </c>
      <c r="AA1154" s="10">
        <f t="shared" ref="AA1154:AA1185" si="354">(SIN(W1154)*U1154)+(SIN(Z1154)*X1154)</f>
        <v>13.726775312439647</v>
      </c>
      <c r="AB1154" s="10">
        <f t="shared" ref="AB1154:AB1185" si="355">0.0776*(Q1154*S1154^2*AA1154)^0.94</f>
        <v>34.14160252851719</v>
      </c>
      <c r="AC1154" s="10">
        <f t="shared" si="348"/>
        <v>4.2677003160646487</v>
      </c>
      <c r="AD1154" s="10">
        <f t="shared" si="337"/>
        <v>17.070801264258595</v>
      </c>
      <c r="AE1154" s="65"/>
      <c r="AF1154" s="10">
        <f t="shared" si="338"/>
        <v>30.699733155958587</v>
      </c>
      <c r="AG1154" s="8">
        <f t="shared" si="349"/>
        <v>5.9864479654119247</v>
      </c>
      <c r="AH1154" s="10">
        <f t="shared" si="350"/>
        <v>15.349866577979293</v>
      </c>
      <c r="AI1154" s="63"/>
      <c r="AJ1154" s="10">
        <f t="shared" si="339"/>
        <v>47.168999999999997</v>
      </c>
      <c r="AK1154" s="8"/>
      <c r="AL1154" s="8">
        <f t="shared" si="351"/>
        <v>23.584499999999998</v>
      </c>
    </row>
    <row r="1155" spans="1:38">
      <c r="A1155" s="18">
        <v>41468</v>
      </c>
      <c r="B1155" s="19" t="s">
        <v>132</v>
      </c>
      <c r="C1155" s="12">
        <v>250.2</v>
      </c>
      <c r="D1155" s="19" t="s">
        <v>32</v>
      </c>
      <c r="E1155" s="8">
        <v>8.4106699999999996</v>
      </c>
      <c r="F1155" s="8">
        <v>83.311130000000006</v>
      </c>
      <c r="G1155" s="22">
        <v>250</v>
      </c>
      <c r="H1155" s="22">
        <v>-14</v>
      </c>
      <c r="I1155" s="10">
        <f t="shared" si="345"/>
        <v>-7.0961293843639721</v>
      </c>
      <c r="J1155" s="10">
        <f t="shared" si="346"/>
        <v>-0.12385082190466953</v>
      </c>
      <c r="K1155" s="10">
        <f t="shared" si="347"/>
        <v>21.162095610230239</v>
      </c>
      <c r="L1155" s="22">
        <v>1817</v>
      </c>
      <c r="M1155" s="22" t="s">
        <v>54</v>
      </c>
      <c r="N1155" s="8" t="s">
        <v>55</v>
      </c>
      <c r="O1155" s="10" t="s">
        <v>56</v>
      </c>
      <c r="P1155" s="10" t="s">
        <v>57</v>
      </c>
      <c r="Q1155" s="11">
        <v>0.315</v>
      </c>
      <c r="R1155" s="12" t="s">
        <v>66</v>
      </c>
      <c r="S1155" s="30">
        <v>20</v>
      </c>
      <c r="T1155" s="79">
        <f t="shared" si="340"/>
        <v>3.1415999999999999E-2</v>
      </c>
      <c r="U1155" s="22">
        <v>17</v>
      </c>
      <c r="V1155" s="22">
        <v>66</v>
      </c>
      <c r="W1155" s="10">
        <f t="shared" si="352"/>
        <v>1.1519173063162575</v>
      </c>
      <c r="X1155" s="22">
        <v>6</v>
      </c>
      <c r="Y1155" s="22">
        <v>17</v>
      </c>
      <c r="Z1155" s="10">
        <f t="shared" si="353"/>
        <v>0.29670597283903605</v>
      </c>
      <c r="AA1155" s="10">
        <f t="shared" si="354"/>
        <v>17.284503008260636</v>
      </c>
      <c r="AB1155" s="10">
        <f t="shared" si="355"/>
        <v>106.56326450731058</v>
      </c>
      <c r="AC1155" s="10">
        <f t="shared" si="348"/>
        <v>13.320408063413822</v>
      </c>
      <c r="AD1155" s="10">
        <f t="shared" si="337"/>
        <v>53.281632253655289</v>
      </c>
      <c r="AE1155" s="65"/>
      <c r="AF1155" s="10">
        <f t="shared" si="338"/>
        <v>103.50333511029237</v>
      </c>
      <c r="AG1155" s="8">
        <f t="shared" si="349"/>
        <v>20.183150346507013</v>
      </c>
      <c r="AH1155" s="10">
        <f t="shared" si="350"/>
        <v>51.751667555146184</v>
      </c>
      <c r="AI1155" s="63"/>
      <c r="AJ1155" s="10">
        <f t="shared" si="339"/>
        <v>178.23699999999999</v>
      </c>
      <c r="AK1155" s="8"/>
      <c r="AL1155" s="8">
        <f t="shared" si="351"/>
        <v>89.118499999999997</v>
      </c>
    </row>
    <row r="1156" spans="1:38">
      <c r="A1156" s="18">
        <v>41468</v>
      </c>
      <c r="B1156" s="19" t="s">
        <v>132</v>
      </c>
      <c r="C1156" s="12">
        <v>250.2</v>
      </c>
      <c r="D1156" s="19" t="s">
        <v>32</v>
      </c>
      <c r="E1156" s="8">
        <v>8.4106699999999996</v>
      </c>
      <c r="F1156" s="8">
        <v>83.311130000000006</v>
      </c>
      <c r="G1156" s="22">
        <v>250</v>
      </c>
      <c r="H1156" s="22">
        <v>-14</v>
      </c>
      <c r="I1156" s="10">
        <f t="shared" si="345"/>
        <v>-7.0961293843639721</v>
      </c>
      <c r="J1156" s="10">
        <f t="shared" si="346"/>
        <v>-0.12385082190466953</v>
      </c>
      <c r="K1156" s="10">
        <f t="shared" si="347"/>
        <v>21.162095610230239</v>
      </c>
      <c r="L1156" s="22">
        <v>1818</v>
      </c>
      <c r="M1156" s="22" t="s">
        <v>252</v>
      </c>
      <c r="N1156" s="7" t="s">
        <v>198</v>
      </c>
      <c r="O1156" s="33" t="s">
        <v>226</v>
      </c>
      <c r="P1156" s="33" t="s">
        <v>227</v>
      </c>
      <c r="Q1156" s="7">
        <v>0.54</v>
      </c>
      <c r="R1156" s="7" t="s">
        <v>190</v>
      </c>
      <c r="S1156" s="30">
        <v>9.3000000000000007</v>
      </c>
      <c r="T1156" s="79">
        <f t="shared" si="340"/>
        <v>6.7929246000000007E-3</v>
      </c>
      <c r="U1156" s="22">
        <v>11</v>
      </c>
      <c r="V1156" s="22">
        <v>55</v>
      </c>
      <c r="W1156" s="10">
        <f t="shared" si="352"/>
        <v>0.95993108859688125</v>
      </c>
      <c r="X1156" s="22">
        <v>5</v>
      </c>
      <c r="Y1156" s="22">
        <v>19</v>
      </c>
      <c r="Z1156" s="10">
        <f t="shared" si="353"/>
        <v>0.33161255787892263</v>
      </c>
      <c r="AA1156" s="10">
        <f t="shared" si="354"/>
        <v>10.638513259464693</v>
      </c>
      <c r="AB1156" s="10">
        <f t="shared" si="355"/>
        <v>26.56610480468925</v>
      </c>
      <c r="AC1156" s="10">
        <f t="shared" si="348"/>
        <v>3.3207631005861562</v>
      </c>
      <c r="AD1156" s="10">
        <f t="shared" si="337"/>
        <v>13.283052402344625</v>
      </c>
      <c r="AE1156" s="65"/>
      <c r="AF1156" s="10">
        <f t="shared" si="338"/>
        <v>26.523286896839267</v>
      </c>
      <c r="AG1156" s="8">
        <f t="shared" si="349"/>
        <v>5.1720409448836575</v>
      </c>
      <c r="AH1156" s="10">
        <f t="shared" si="350"/>
        <v>13.261643448419633</v>
      </c>
      <c r="AI1156" s="63"/>
      <c r="AJ1156" s="10">
        <f t="shared" si="339"/>
        <v>20.63669999999999</v>
      </c>
      <c r="AK1156" s="8"/>
      <c r="AL1156" s="8">
        <f t="shared" si="351"/>
        <v>10.318349999999995</v>
      </c>
    </row>
    <row r="1157" spans="1:38">
      <c r="A1157" s="18">
        <v>41468</v>
      </c>
      <c r="B1157" s="19" t="s">
        <v>132</v>
      </c>
      <c r="C1157" s="12">
        <v>250.2</v>
      </c>
      <c r="D1157" s="19" t="s">
        <v>32</v>
      </c>
      <c r="E1157" s="8">
        <v>8.4106699999999996</v>
      </c>
      <c r="F1157" s="8">
        <v>83.311130000000006</v>
      </c>
      <c r="G1157" s="22">
        <v>250</v>
      </c>
      <c r="H1157" s="22">
        <v>-14</v>
      </c>
      <c r="I1157" s="10">
        <f t="shared" ref="I1157:I1187" si="356">1/TAN(H1157/100)</f>
        <v>-7.0961293843639721</v>
      </c>
      <c r="J1157" s="10">
        <f t="shared" ref="J1157:J1187" si="357">RADIANS(I1157)</f>
        <v>-0.12385082190466953</v>
      </c>
      <c r="K1157" s="10">
        <f t="shared" ref="K1157:K1187" si="358">21/COS(J1157)</f>
        <v>21.162095610230239</v>
      </c>
      <c r="L1157" s="22">
        <v>1816</v>
      </c>
      <c r="M1157" s="22" t="s">
        <v>36</v>
      </c>
      <c r="N1157" s="8" t="s">
        <v>46</v>
      </c>
      <c r="O1157" s="10" t="s">
        <v>37</v>
      </c>
      <c r="P1157" s="10" t="s">
        <v>38</v>
      </c>
      <c r="Q1157" s="11">
        <v>0.48</v>
      </c>
      <c r="R1157" s="8" t="s">
        <v>60</v>
      </c>
      <c r="S1157" s="30">
        <v>17.2</v>
      </c>
      <c r="T1157" s="79">
        <f t="shared" si="340"/>
        <v>2.3235273599999998E-2</v>
      </c>
      <c r="U1157" s="22">
        <v>9</v>
      </c>
      <c r="V1157" s="22">
        <v>45</v>
      </c>
      <c r="W1157" s="10">
        <f t="shared" si="352"/>
        <v>0.78539816339744828</v>
      </c>
      <c r="X1157" s="22">
        <v>7</v>
      </c>
      <c r="Y1157" s="22">
        <v>16</v>
      </c>
      <c r="Z1157" s="10">
        <f t="shared" si="353"/>
        <v>0.27925268031909273</v>
      </c>
      <c r="AA1157" s="10">
        <f t="shared" si="354"/>
        <v>8.2934225213979218</v>
      </c>
      <c r="AB1157" s="10">
        <f t="shared" si="355"/>
        <v>59.790437165285724</v>
      </c>
      <c r="AC1157" s="10">
        <f t="shared" si="348"/>
        <v>7.4738046456607155</v>
      </c>
      <c r="AD1157" s="10">
        <f t="shared" si="337"/>
        <v>29.895218582642862</v>
      </c>
      <c r="AE1157" s="65"/>
      <c r="AF1157" s="10">
        <f t="shared" si="338"/>
        <v>108.66794944614593</v>
      </c>
      <c r="AG1157" s="8">
        <f t="shared" si="349"/>
        <v>21.190250141998455</v>
      </c>
      <c r="AH1157" s="10">
        <f t="shared" si="350"/>
        <v>54.333974723072963</v>
      </c>
      <c r="AI1157" s="63"/>
      <c r="AJ1157" s="10">
        <f t="shared" si="339"/>
        <v>120.62699999999998</v>
      </c>
      <c r="AK1157" s="8"/>
      <c r="AL1157" s="8">
        <f t="shared" si="351"/>
        <v>60.313499999999991</v>
      </c>
    </row>
    <row r="1158" spans="1:38">
      <c r="A1158" s="18">
        <v>41468</v>
      </c>
      <c r="B1158" s="19" t="s">
        <v>132</v>
      </c>
      <c r="C1158" s="12">
        <v>250.2</v>
      </c>
      <c r="D1158" s="19" t="s">
        <v>32</v>
      </c>
      <c r="E1158" s="8">
        <v>8.4106699999999996</v>
      </c>
      <c r="F1158" s="8">
        <v>83.311130000000006</v>
      </c>
      <c r="G1158" s="22">
        <v>250</v>
      </c>
      <c r="H1158" s="22">
        <v>-14</v>
      </c>
      <c r="I1158" s="10">
        <f t="shared" si="356"/>
        <v>-7.0961293843639721</v>
      </c>
      <c r="J1158" s="10">
        <f t="shared" si="357"/>
        <v>-0.12385082190466953</v>
      </c>
      <c r="K1158" s="10">
        <f t="shared" si="358"/>
        <v>21.162095610230239</v>
      </c>
      <c r="L1158" s="22">
        <v>1814</v>
      </c>
      <c r="M1158" s="31" t="s">
        <v>231</v>
      </c>
      <c r="N1158" s="8" t="s">
        <v>171</v>
      </c>
      <c r="O1158" s="33" t="s">
        <v>99</v>
      </c>
      <c r="P1158" s="33" t="s">
        <v>99</v>
      </c>
      <c r="Q1158" s="7">
        <v>0.57999999999999996</v>
      </c>
      <c r="R1158" s="7" t="s">
        <v>103</v>
      </c>
      <c r="S1158" s="30">
        <v>10.199999999999999</v>
      </c>
      <c r="T1158" s="79">
        <f t="shared" si="340"/>
        <v>8.1713015999999999E-3</v>
      </c>
      <c r="U1158" s="22">
        <v>11</v>
      </c>
      <c r="V1158" s="22">
        <v>52</v>
      </c>
      <c r="W1158" s="10">
        <f t="shared" si="352"/>
        <v>0.90757121103705141</v>
      </c>
      <c r="X1158" s="22">
        <v>7</v>
      </c>
      <c r="Y1158" s="22">
        <v>13</v>
      </c>
      <c r="Z1158" s="10">
        <f t="shared" si="353"/>
        <v>0.22689280275926285</v>
      </c>
      <c r="AA1158" s="10">
        <f t="shared" si="354"/>
        <v>10.242775670080997</v>
      </c>
      <c r="AB1158" s="10">
        <f t="shared" si="355"/>
        <v>32.617071050963965</v>
      </c>
      <c r="AC1158" s="10">
        <f t="shared" si="348"/>
        <v>4.0771338813704956</v>
      </c>
      <c r="AD1158" s="10">
        <f t="shared" si="337"/>
        <v>16.308535525481982</v>
      </c>
      <c r="AE1158" s="65"/>
      <c r="AF1158" s="10">
        <f t="shared" si="338"/>
        <v>35.8404777052612</v>
      </c>
      <c r="AG1158" s="8">
        <f t="shared" si="349"/>
        <v>6.9888931525259341</v>
      </c>
      <c r="AH1158" s="10">
        <f t="shared" si="350"/>
        <v>17.9202388526306</v>
      </c>
      <c r="AI1158" s="63"/>
      <c r="AJ1158" s="10">
        <f t="shared" si="339"/>
        <v>27.366</v>
      </c>
      <c r="AK1158" s="8"/>
      <c r="AL1158" s="8">
        <f t="shared" si="351"/>
        <v>13.683</v>
      </c>
    </row>
    <row r="1159" spans="1:38">
      <c r="A1159" s="18">
        <v>41468</v>
      </c>
      <c r="B1159" s="19" t="s">
        <v>132</v>
      </c>
      <c r="C1159" s="12">
        <v>250.2</v>
      </c>
      <c r="D1159" s="19" t="s">
        <v>32</v>
      </c>
      <c r="E1159" s="8">
        <v>8.4106699999999996</v>
      </c>
      <c r="F1159" s="8">
        <v>83.311130000000006</v>
      </c>
      <c r="G1159" s="22">
        <v>250</v>
      </c>
      <c r="H1159" s="22">
        <v>-14</v>
      </c>
      <c r="I1159" s="10">
        <f t="shared" si="356"/>
        <v>-7.0961293843639721</v>
      </c>
      <c r="J1159" s="10">
        <f t="shared" si="357"/>
        <v>-0.12385082190466953</v>
      </c>
      <c r="K1159" s="10">
        <f t="shared" si="358"/>
        <v>21.162095610230239</v>
      </c>
      <c r="L1159" s="22">
        <v>1813</v>
      </c>
      <c r="M1159" s="31" t="s">
        <v>231</v>
      </c>
      <c r="N1159" s="8" t="s">
        <v>171</v>
      </c>
      <c r="O1159" s="33" t="s">
        <v>99</v>
      </c>
      <c r="P1159" s="33" t="s">
        <v>99</v>
      </c>
      <c r="Q1159" s="7">
        <v>0.57999999999999996</v>
      </c>
      <c r="R1159" s="7" t="s">
        <v>103</v>
      </c>
      <c r="S1159" s="30">
        <v>17.2</v>
      </c>
      <c r="T1159" s="79">
        <f t="shared" si="340"/>
        <v>2.3235273599999998E-2</v>
      </c>
      <c r="U1159" s="22">
        <v>9</v>
      </c>
      <c r="V1159" s="22">
        <v>51</v>
      </c>
      <c r="W1159" s="10">
        <f t="shared" si="352"/>
        <v>0.89011791851710809</v>
      </c>
      <c r="X1159" s="22">
        <v>5</v>
      </c>
      <c r="Y1159" s="22">
        <v>16</v>
      </c>
      <c r="Z1159" s="10">
        <f t="shared" si="353"/>
        <v>0.27925268031909273</v>
      </c>
      <c r="AA1159" s="10">
        <f t="shared" si="354"/>
        <v>8.3725004321977341</v>
      </c>
      <c r="AB1159" s="10">
        <f t="shared" si="355"/>
        <v>72.071138614448728</v>
      </c>
      <c r="AC1159" s="10">
        <f t="shared" si="348"/>
        <v>9.008892326806091</v>
      </c>
      <c r="AD1159" s="10">
        <f t="shared" ref="AD1159:AD1222" si="359">AB1159/2</f>
        <v>36.035569307224364</v>
      </c>
      <c r="AE1159" s="65"/>
      <c r="AF1159" s="10">
        <f t="shared" ref="AF1159:AF1222" si="360">Q1159*EXP(-1.239+1.98*LN(S1159)+0.207*(LN(S1159))^2-0.0281*(LN(S1159))^3)</f>
        <v>131.30710558075967</v>
      </c>
      <c r="AG1159" s="8">
        <f t="shared" si="349"/>
        <v>25.604885588248138</v>
      </c>
      <c r="AH1159" s="10">
        <f t="shared" si="350"/>
        <v>65.653552790379834</v>
      </c>
      <c r="AI1159" s="63"/>
      <c r="AJ1159" s="10">
        <f t="shared" ref="AJ1159:AJ1222" si="361">21.297-6.953*S1159+0.74*(S1159^2)</f>
        <v>120.62699999999998</v>
      </c>
      <c r="AK1159" s="8"/>
      <c r="AL1159" s="8">
        <f t="shared" si="351"/>
        <v>60.313499999999991</v>
      </c>
    </row>
    <row r="1160" spans="1:38">
      <c r="A1160" s="18">
        <v>41468</v>
      </c>
      <c r="B1160" s="19" t="s">
        <v>132</v>
      </c>
      <c r="C1160" s="12">
        <v>250.2</v>
      </c>
      <c r="D1160" s="19" t="s">
        <v>32</v>
      </c>
      <c r="E1160" s="8">
        <v>8.4106699999999996</v>
      </c>
      <c r="F1160" s="8">
        <v>83.311130000000006</v>
      </c>
      <c r="G1160" s="22">
        <v>250</v>
      </c>
      <c r="H1160" s="22">
        <v>-14</v>
      </c>
      <c r="I1160" s="10">
        <f t="shared" si="356"/>
        <v>-7.0961293843639721</v>
      </c>
      <c r="J1160" s="10">
        <f t="shared" si="357"/>
        <v>-0.12385082190466953</v>
      </c>
      <c r="K1160" s="10">
        <f t="shared" si="358"/>
        <v>21.162095610230239</v>
      </c>
      <c r="L1160" s="22">
        <v>1812</v>
      </c>
      <c r="M1160" s="22" t="s">
        <v>131</v>
      </c>
      <c r="N1160" s="8" t="s">
        <v>81</v>
      </c>
      <c r="O1160" s="10" t="s">
        <v>164</v>
      </c>
      <c r="P1160" s="50" t="s">
        <v>165</v>
      </c>
      <c r="Q1160" s="23">
        <v>0.56000000000000005</v>
      </c>
      <c r="R1160" s="22" t="s">
        <v>166</v>
      </c>
      <c r="S1160" s="30">
        <v>12.2</v>
      </c>
      <c r="T1160" s="79">
        <f t="shared" ref="T1160:T1223" si="362">0.00007854*S1160^2</f>
        <v>1.1689893599999999E-2</v>
      </c>
      <c r="U1160" s="22">
        <v>10</v>
      </c>
      <c r="V1160" s="22">
        <v>62</v>
      </c>
      <c r="W1160" s="10">
        <f t="shared" si="352"/>
        <v>1.0821041362364843</v>
      </c>
      <c r="X1160" s="22">
        <v>5</v>
      </c>
      <c r="Y1160" s="22">
        <v>13</v>
      </c>
      <c r="Z1160" s="10">
        <f t="shared" si="353"/>
        <v>0.22689280275926285</v>
      </c>
      <c r="AA1160" s="10">
        <f t="shared" si="354"/>
        <v>9.9542312003085929</v>
      </c>
      <c r="AB1160" s="10">
        <f t="shared" si="355"/>
        <v>43.017206919004671</v>
      </c>
      <c r="AC1160" s="10">
        <f t="shared" si="348"/>
        <v>5.3771508648755839</v>
      </c>
      <c r="AD1160" s="10">
        <f t="shared" si="359"/>
        <v>21.508603459502336</v>
      </c>
      <c r="AE1160" s="65"/>
      <c r="AF1160" s="10">
        <f t="shared" si="360"/>
        <v>54.024725659568915</v>
      </c>
      <c r="AG1160" s="8">
        <f t="shared" si="349"/>
        <v>10.534821503615939</v>
      </c>
      <c r="AH1160" s="10">
        <f t="shared" si="350"/>
        <v>27.012362829784458</v>
      </c>
      <c r="AI1160" s="63"/>
      <c r="AJ1160" s="10">
        <f t="shared" si="361"/>
        <v>46.611999999999981</v>
      </c>
      <c r="AK1160" s="8"/>
      <c r="AL1160" s="8">
        <f t="shared" si="351"/>
        <v>23.30599999999999</v>
      </c>
    </row>
    <row r="1161" spans="1:38">
      <c r="A1161" s="18">
        <v>41468</v>
      </c>
      <c r="B1161" s="19" t="s">
        <v>132</v>
      </c>
      <c r="C1161" s="12">
        <v>250.2</v>
      </c>
      <c r="D1161" s="19" t="s">
        <v>32</v>
      </c>
      <c r="E1161" s="8">
        <v>8.4106699999999996</v>
      </c>
      <c r="F1161" s="8">
        <v>83.311130000000006</v>
      </c>
      <c r="G1161" s="22">
        <v>250</v>
      </c>
      <c r="H1161" s="22">
        <v>-14</v>
      </c>
      <c r="I1161" s="10">
        <f t="shared" si="356"/>
        <v>-7.0961293843639721</v>
      </c>
      <c r="J1161" s="10">
        <f t="shared" si="357"/>
        <v>-0.12385082190466953</v>
      </c>
      <c r="K1161" s="10">
        <f t="shared" si="358"/>
        <v>21.162095610230239</v>
      </c>
      <c r="L1161" s="22">
        <v>1811</v>
      </c>
      <c r="M1161" s="22" t="s">
        <v>131</v>
      </c>
      <c r="N1161" s="8" t="s">
        <v>81</v>
      </c>
      <c r="O1161" s="10" t="s">
        <v>164</v>
      </c>
      <c r="P1161" s="50" t="s">
        <v>165</v>
      </c>
      <c r="Q1161" s="23">
        <v>0.56000000000000005</v>
      </c>
      <c r="R1161" s="22" t="s">
        <v>166</v>
      </c>
      <c r="S1161" s="30">
        <v>9</v>
      </c>
      <c r="T1161" s="79">
        <f t="shared" si="362"/>
        <v>6.3617400000000003E-3</v>
      </c>
      <c r="U1161" s="22">
        <v>10</v>
      </c>
      <c r="V1161" s="22">
        <v>63</v>
      </c>
      <c r="W1161" s="10">
        <f t="shared" si="352"/>
        <v>1.0995574287564276</v>
      </c>
      <c r="X1161" s="22">
        <v>5</v>
      </c>
      <c r="Y1161" s="22">
        <v>15</v>
      </c>
      <c r="Z1161" s="10">
        <f t="shared" si="353"/>
        <v>0.26179938779914941</v>
      </c>
      <c r="AA1161" s="10">
        <f t="shared" si="354"/>
        <v>10.204160467396282</v>
      </c>
      <c r="AB1161" s="10">
        <f t="shared" si="355"/>
        <v>24.853355225985702</v>
      </c>
      <c r="AC1161" s="10">
        <f t="shared" si="348"/>
        <v>3.1066694032482127</v>
      </c>
      <c r="AD1161" s="10">
        <f t="shared" si="359"/>
        <v>12.426677612992851</v>
      </c>
      <c r="AE1161" s="65"/>
      <c r="AF1161" s="10">
        <f t="shared" si="360"/>
        <v>25.35464847915128</v>
      </c>
      <c r="AG1161" s="8">
        <f t="shared" si="349"/>
        <v>4.9441564534344993</v>
      </c>
      <c r="AH1161" s="10">
        <f t="shared" si="350"/>
        <v>12.67732423957564</v>
      </c>
      <c r="AI1161" s="63"/>
      <c r="AJ1161" s="10">
        <f t="shared" si="361"/>
        <v>18.659999999999997</v>
      </c>
      <c r="AK1161" s="8"/>
      <c r="AL1161" s="8">
        <f t="shared" si="351"/>
        <v>9.3299999999999983</v>
      </c>
    </row>
    <row r="1162" spans="1:38">
      <c r="A1162" s="18">
        <v>41468</v>
      </c>
      <c r="B1162" s="19" t="s">
        <v>132</v>
      </c>
      <c r="C1162" s="12">
        <v>250.2</v>
      </c>
      <c r="D1162" s="19" t="s">
        <v>32</v>
      </c>
      <c r="E1162" s="8">
        <v>8.4106699999999996</v>
      </c>
      <c r="F1162" s="8">
        <v>83.311130000000006</v>
      </c>
      <c r="G1162" s="22">
        <v>250</v>
      </c>
      <c r="H1162" s="22">
        <v>-14</v>
      </c>
      <c r="I1162" s="10">
        <f t="shared" si="356"/>
        <v>-7.0961293843639721</v>
      </c>
      <c r="J1162" s="10">
        <f t="shared" si="357"/>
        <v>-0.12385082190466953</v>
      </c>
      <c r="K1162" s="10">
        <f t="shared" si="358"/>
        <v>21.162095610230239</v>
      </c>
      <c r="L1162" s="22">
        <v>1810</v>
      </c>
      <c r="M1162" s="22" t="s">
        <v>36</v>
      </c>
      <c r="N1162" s="8" t="s">
        <v>46</v>
      </c>
      <c r="O1162" s="10" t="s">
        <v>37</v>
      </c>
      <c r="P1162" s="10" t="s">
        <v>38</v>
      </c>
      <c r="Q1162" s="11">
        <v>0.48</v>
      </c>
      <c r="R1162" s="8" t="s">
        <v>60</v>
      </c>
      <c r="S1162" s="30">
        <v>29.4</v>
      </c>
      <c r="T1162" s="79">
        <f t="shared" si="362"/>
        <v>6.7886834399999998E-2</v>
      </c>
      <c r="U1162" s="22">
        <v>10</v>
      </c>
      <c r="V1162" s="22">
        <v>62</v>
      </c>
      <c r="W1162" s="10">
        <f t="shared" si="352"/>
        <v>1.0821041362364843</v>
      </c>
      <c r="X1162" s="22">
        <v>5</v>
      </c>
      <c r="Y1162" s="22">
        <v>10</v>
      </c>
      <c r="Z1162" s="10">
        <f t="shared" si="353"/>
        <v>0.17453292519943295</v>
      </c>
      <c r="AA1162" s="10">
        <f t="shared" si="354"/>
        <v>9.6977168169239203</v>
      </c>
      <c r="AB1162" s="10">
        <f t="shared" si="355"/>
        <v>189.75393631770504</v>
      </c>
      <c r="AC1162" s="10">
        <f t="shared" si="348"/>
        <v>23.71924203971313</v>
      </c>
      <c r="AD1162" s="10">
        <f t="shared" si="359"/>
        <v>94.87696815885252</v>
      </c>
      <c r="AE1162" s="65"/>
      <c r="AF1162" s="10">
        <f t="shared" si="360"/>
        <v>404.08217453340603</v>
      </c>
      <c r="AG1162" s="8">
        <f t="shared" si="349"/>
        <v>78.796024034014181</v>
      </c>
      <c r="AH1162" s="10">
        <f t="shared" si="350"/>
        <v>202.04108726670302</v>
      </c>
      <c r="AI1162" s="63"/>
      <c r="AJ1162" s="10">
        <f t="shared" si="361"/>
        <v>456.50519999999989</v>
      </c>
      <c r="AK1162" s="8"/>
      <c r="AL1162" s="8">
        <f t="shared" si="351"/>
        <v>228.25259999999994</v>
      </c>
    </row>
    <row r="1163" spans="1:38">
      <c r="A1163" s="18">
        <v>41468</v>
      </c>
      <c r="B1163" s="19" t="s">
        <v>132</v>
      </c>
      <c r="C1163" s="12">
        <v>250.2</v>
      </c>
      <c r="D1163" s="19" t="s">
        <v>32</v>
      </c>
      <c r="E1163" s="8">
        <v>8.4106699999999996</v>
      </c>
      <c r="F1163" s="8">
        <v>83.311130000000006</v>
      </c>
      <c r="G1163" s="22">
        <v>250</v>
      </c>
      <c r="H1163" s="22">
        <v>-14</v>
      </c>
      <c r="I1163" s="10">
        <f t="shared" si="356"/>
        <v>-7.0961293843639721</v>
      </c>
      <c r="J1163" s="10">
        <f t="shared" si="357"/>
        <v>-0.12385082190466953</v>
      </c>
      <c r="K1163" s="10">
        <f t="shared" si="358"/>
        <v>21.162095610230239</v>
      </c>
      <c r="L1163" s="22">
        <v>442</v>
      </c>
      <c r="M1163" s="31" t="s">
        <v>231</v>
      </c>
      <c r="N1163" s="8" t="s">
        <v>171</v>
      </c>
      <c r="O1163" s="33" t="s">
        <v>99</v>
      </c>
      <c r="P1163" s="33" t="s">
        <v>99</v>
      </c>
      <c r="Q1163" s="7">
        <v>0.57999999999999996</v>
      </c>
      <c r="R1163" s="7" t="s">
        <v>103</v>
      </c>
      <c r="S1163" s="30">
        <v>11</v>
      </c>
      <c r="T1163" s="79">
        <f t="shared" si="362"/>
        <v>9.5033400000000007E-3</v>
      </c>
      <c r="U1163" s="22">
        <v>8</v>
      </c>
      <c r="V1163" s="22">
        <v>74</v>
      </c>
      <c r="W1163" s="10">
        <f t="shared" si="352"/>
        <v>1.2915436464758039</v>
      </c>
      <c r="X1163" s="22">
        <v>5</v>
      </c>
      <c r="Y1163" s="22">
        <v>12</v>
      </c>
      <c r="Z1163" s="10">
        <f t="shared" si="353"/>
        <v>0.20943951023931956</v>
      </c>
      <c r="AA1163" s="10">
        <f t="shared" si="354"/>
        <v>8.7296520215953475</v>
      </c>
      <c r="AB1163" s="10">
        <f t="shared" si="355"/>
        <v>32.347401547084552</v>
      </c>
      <c r="AC1163" s="10">
        <f t="shared" si="348"/>
        <v>4.0434251933855689</v>
      </c>
      <c r="AD1163" s="10">
        <f t="shared" si="359"/>
        <v>16.173700773542276</v>
      </c>
      <c r="AE1163" s="65"/>
      <c r="AF1163" s="10">
        <f t="shared" si="360"/>
        <v>43.245873435209901</v>
      </c>
      <c r="AG1163" s="8">
        <f t="shared" si="349"/>
        <v>8.4329453198659312</v>
      </c>
      <c r="AH1163" s="10">
        <f t="shared" si="350"/>
        <v>21.622936717604951</v>
      </c>
      <c r="AI1163" s="63"/>
      <c r="AJ1163" s="10">
        <f t="shared" si="361"/>
        <v>34.353999999999985</v>
      </c>
      <c r="AK1163" s="8"/>
      <c r="AL1163" s="8">
        <f t="shared" si="351"/>
        <v>17.176999999999992</v>
      </c>
    </row>
    <row r="1164" spans="1:38">
      <c r="A1164" s="18">
        <v>41468</v>
      </c>
      <c r="B1164" s="19" t="s">
        <v>132</v>
      </c>
      <c r="C1164" s="12">
        <v>250.2</v>
      </c>
      <c r="D1164" s="19" t="s">
        <v>32</v>
      </c>
      <c r="E1164" s="8">
        <v>8.4106699999999996</v>
      </c>
      <c r="F1164" s="8">
        <v>83.311130000000006</v>
      </c>
      <c r="G1164" s="22">
        <v>250</v>
      </c>
      <c r="H1164" s="22">
        <v>-14</v>
      </c>
      <c r="I1164" s="10">
        <f t="shared" si="356"/>
        <v>-7.0961293843639721</v>
      </c>
      <c r="J1164" s="10">
        <f t="shared" si="357"/>
        <v>-0.12385082190466953</v>
      </c>
      <c r="K1164" s="10">
        <f t="shared" si="358"/>
        <v>21.162095610230239</v>
      </c>
      <c r="L1164" s="22">
        <v>1809</v>
      </c>
      <c r="M1164" s="22" t="s">
        <v>252</v>
      </c>
      <c r="N1164" s="7" t="s">
        <v>198</v>
      </c>
      <c r="O1164" s="33" t="s">
        <v>226</v>
      </c>
      <c r="P1164" s="33" t="s">
        <v>227</v>
      </c>
      <c r="Q1164" s="7">
        <v>0.54</v>
      </c>
      <c r="R1164" s="7" t="s">
        <v>190</v>
      </c>
      <c r="S1164" s="30">
        <v>8.8000000000000007</v>
      </c>
      <c r="T1164" s="79">
        <f t="shared" si="362"/>
        <v>6.0821376000000016E-3</v>
      </c>
      <c r="U1164" s="22">
        <v>10</v>
      </c>
      <c r="V1164" s="22">
        <v>51</v>
      </c>
      <c r="W1164" s="10">
        <f t="shared" si="352"/>
        <v>0.89011791851710809</v>
      </c>
      <c r="X1164" s="22">
        <v>6</v>
      </c>
      <c r="Y1164" s="22">
        <v>12</v>
      </c>
      <c r="Z1164" s="10">
        <f t="shared" si="353"/>
        <v>0.20943951023931956</v>
      </c>
      <c r="AA1164" s="10">
        <f t="shared" si="354"/>
        <v>9.018929759476265</v>
      </c>
      <c r="AB1164" s="10">
        <f t="shared" si="355"/>
        <v>20.501469123251098</v>
      </c>
      <c r="AC1164" s="10">
        <f t="shared" si="348"/>
        <v>2.5626836404063873</v>
      </c>
      <c r="AD1164" s="10">
        <f t="shared" si="359"/>
        <v>10.250734561625549</v>
      </c>
      <c r="AE1164" s="65"/>
      <c r="AF1164" s="10">
        <f t="shared" si="360"/>
        <v>23.12266074142401</v>
      </c>
      <c r="AG1164" s="8">
        <f t="shared" si="349"/>
        <v>4.508918844577682</v>
      </c>
      <c r="AH1164" s="10">
        <f t="shared" si="350"/>
        <v>11.561330370712005</v>
      </c>
      <c r="AI1164" s="63"/>
      <c r="AJ1164" s="10">
        <f t="shared" si="361"/>
        <v>17.416199999999996</v>
      </c>
      <c r="AK1164" s="8"/>
      <c r="AL1164" s="8">
        <f t="shared" si="351"/>
        <v>8.7080999999999982</v>
      </c>
    </row>
    <row r="1165" spans="1:38">
      <c r="A1165" s="18">
        <v>41468</v>
      </c>
      <c r="B1165" s="19" t="s">
        <v>132</v>
      </c>
      <c r="C1165" s="12">
        <v>250.2</v>
      </c>
      <c r="D1165" s="19" t="s">
        <v>32</v>
      </c>
      <c r="E1165" s="8">
        <v>8.4106699999999996</v>
      </c>
      <c r="F1165" s="8">
        <v>83.311130000000006</v>
      </c>
      <c r="G1165" s="22">
        <v>250</v>
      </c>
      <c r="H1165" s="22">
        <v>-14</v>
      </c>
      <c r="I1165" s="10">
        <f t="shared" si="356"/>
        <v>-7.0961293843639721</v>
      </c>
      <c r="J1165" s="10">
        <f t="shared" si="357"/>
        <v>-0.12385082190466953</v>
      </c>
      <c r="K1165" s="10">
        <f t="shared" si="358"/>
        <v>21.162095610230239</v>
      </c>
      <c r="L1165" s="22">
        <v>1807</v>
      </c>
      <c r="M1165" s="31" t="s">
        <v>231</v>
      </c>
      <c r="N1165" s="8" t="s">
        <v>171</v>
      </c>
      <c r="O1165" s="33" t="s">
        <v>99</v>
      </c>
      <c r="P1165" s="33" t="s">
        <v>99</v>
      </c>
      <c r="Q1165" s="7">
        <v>0.57999999999999996</v>
      </c>
      <c r="R1165" s="7" t="s">
        <v>103</v>
      </c>
      <c r="S1165" s="30">
        <v>14.5</v>
      </c>
      <c r="T1165" s="79">
        <f t="shared" si="362"/>
        <v>1.6513035000000002E-2</v>
      </c>
      <c r="U1165" s="22">
        <v>8</v>
      </c>
      <c r="V1165" s="22">
        <v>36</v>
      </c>
      <c r="W1165" s="10">
        <f t="shared" si="352"/>
        <v>0.62831853071795862</v>
      </c>
      <c r="X1165" s="22">
        <v>5</v>
      </c>
      <c r="Y1165" s="22">
        <v>11</v>
      </c>
      <c r="Z1165" s="10">
        <f t="shared" si="353"/>
        <v>0.19198621771937624</v>
      </c>
      <c r="AA1165" s="10">
        <f t="shared" si="354"/>
        <v>5.6563269952225088</v>
      </c>
      <c r="AB1165" s="10">
        <f t="shared" si="355"/>
        <v>36.160823916105016</v>
      </c>
      <c r="AC1165" s="10">
        <f t="shared" si="348"/>
        <v>4.5201029895131271</v>
      </c>
      <c r="AD1165" s="10">
        <f t="shared" si="359"/>
        <v>18.080411958052508</v>
      </c>
      <c r="AE1165" s="65"/>
      <c r="AF1165" s="10">
        <f t="shared" si="360"/>
        <v>85.970291822598611</v>
      </c>
      <c r="AG1165" s="8">
        <f t="shared" si="349"/>
        <v>16.764206905406731</v>
      </c>
      <c r="AH1165" s="10">
        <f t="shared" si="350"/>
        <v>42.985145911299306</v>
      </c>
      <c r="AI1165" s="63"/>
      <c r="AJ1165" s="10">
        <f t="shared" si="361"/>
        <v>76.063500000000005</v>
      </c>
      <c r="AK1165" s="8"/>
      <c r="AL1165" s="8">
        <f t="shared" si="351"/>
        <v>38.031750000000002</v>
      </c>
    </row>
    <row r="1166" spans="1:38">
      <c r="A1166" s="18">
        <v>41468</v>
      </c>
      <c r="B1166" s="19" t="s">
        <v>132</v>
      </c>
      <c r="C1166" s="12">
        <v>250.2</v>
      </c>
      <c r="D1166" s="19" t="s">
        <v>32</v>
      </c>
      <c r="E1166" s="8">
        <v>8.4106699999999996</v>
      </c>
      <c r="F1166" s="8">
        <v>83.311130000000006</v>
      </c>
      <c r="G1166" s="22">
        <v>250</v>
      </c>
      <c r="H1166" s="22">
        <v>-14</v>
      </c>
      <c r="I1166" s="10">
        <f t="shared" si="356"/>
        <v>-7.0961293843639721</v>
      </c>
      <c r="J1166" s="10">
        <f t="shared" si="357"/>
        <v>-0.12385082190466953</v>
      </c>
      <c r="K1166" s="10">
        <f t="shared" si="358"/>
        <v>21.162095610230239</v>
      </c>
      <c r="L1166" s="22">
        <v>1808</v>
      </c>
      <c r="M1166" s="31" t="s">
        <v>231</v>
      </c>
      <c r="N1166" s="8" t="s">
        <v>171</v>
      </c>
      <c r="O1166" s="33" t="s">
        <v>99</v>
      </c>
      <c r="P1166" s="33" t="s">
        <v>99</v>
      </c>
      <c r="Q1166" s="7">
        <v>0.57999999999999996</v>
      </c>
      <c r="R1166" s="7" t="s">
        <v>103</v>
      </c>
      <c r="S1166" s="30">
        <v>12.8</v>
      </c>
      <c r="T1166" s="79">
        <f t="shared" si="362"/>
        <v>1.2867993600000002E-2</v>
      </c>
      <c r="U1166" s="22">
        <v>8</v>
      </c>
      <c r="V1166" s="22">
        <v>53</v>
      </c>
      <c r="W1166" s="10">
        <f t="shared" si="352"/>
        <v>0.92502450355699462</v>
      </c>
      <c r="X1166" s="22">
        <v>5</v>
      </c>
      <c r="Y1166" s="22">
        <v>13</v>
      </c>
      <c r="Z1166" s="10">
        <f t="shared" si="353"/>
        <v>0.22689280275926285</v>
      </c>
      <c r="AA1166" s="10">
        <f t="shared" si="354"/>
        <v>7.5138393520976674</v>
      </c>
      <c r="AB1166" s="10">
        <f t="shared" si="355"/>
        <v>37.35501965954407</v>
      </c>
      <c r="AC1166" s="10">
        <f t="shared" si="348"/>
        <v>4.6693774574430087</v>
      </c>
      <c r="AD1166" s="10">
        <f t="shared" si="359"/>
        <v>18.677509829772035</v>
      </c>
      <c r="AE1166" s="65"/>
      <c r="AF1166" s="10">
        <f t="shared" si="360"/>
        <v>63.052866513653171</v>
      </c>
      <c r="AG1166" s="8">
        <f t="shared" si="349"/>
        <v>12.295308970162369</v>
      </c>
      <c r="AH1166" s="10">
        <f t="shared" si="350"/>
        <v>31.526433256826586</v>
      </c>
      <c r="AI1166" s="63"/>
      <c r="AJ1166" s="10">
        <f t="shared" si="361"/>
        <v>53.540200000000013</v>
      </c>
      <c r="AK1166" s="8"/>
      <c r="AL1166" s="8">
        <f t="shared" si="351"/>
        <v>26.770100000000006</v>
      </c>
    </row>
    <row r="1167" spans="1:38">
      <c r="A1167" s="18">
        <v>41468</v>
      </c>
      <c r="B1167" s="19" t="s">
        <v>132</v>
      </c>
      <c r="C1167" s="12">
        <v>250.2</v>
      </c>
      <c r="D1167" s="19" t="s">
        <v>32</v>
      </c>
      <c r="E1167" s="8">
        <v>8.4106699999999996</v>
      </c>
      <c r="F1167" s="8">
        <v>83.311130000000006</v>
      </c>
      <c r="G1167" s="22">
        <v>250</v>
      </c>
      <c r="H1167" s="22">
        <v>-14</v>
      </c>
      <c r="I1167" s="10">
        <f t="shared" si="356"/>
        <v>-7.0961293843639721</v>
      </c>
      <c r="J1167" s="10">
        <f t="shared" si="357"/>
        <v>-0.12385082190466953</v>
      </c>
      <c r="K1167" s="10">
        <f t="shared" si="358"/>
        <v>21.162095610230239</v>
      </c>
      <c r="L1167" s="22">
        <v>459</v>
      </c>
      <c r="M1167" s="22" t="s">
        <v>54</v>
      </c>
      <c r="N1167" s="8" t="s">
        <v>55</v>
      </c>
      <c r="O1167" s="10" t="s">
        <v>56</v>
      </c>
      <c r="P1167" s="10" t="s">
        <v>57</v>
      </c>
      <c r="Q1167" s="11">
        <v>0.315</v>
      </c>
      <c r="R1167" s="12" t="s">
        <v>66</v>
      </c>
      <c r="S1167" s="30">
        <v>18.2</v>
      </c>
      <c r="T1167" s="79">
        <f t="shared" si="362"/>
        <v>2.6015589599999996E-2</v>
      </c>
      <c r="U1167" s="22">
        <v>14</v>
      </c>
      <c r="V1167" s="22">
        <v>59</v>
      </c>
      <c r="W1167" s="10">
        <f t="shared" si="352"/>
        <v>1.0297442586766545</v>
      </c>
      <c r="X1167" s="22">
        <v>6</v>
      </c>
      <c r="Y1167" s="22">
        <v>16</v>
      </c>
      <c r="Z1167" s="10">
        <f t="shared" si="353"/>
        <v>0.27925268031909273</v>
      </c>
      <c r="AA1167" s="10">
        <f t="shared" si="354"/>
        <v>13.654166344731568</v>
      </c>
      <c r="AB1167" s="10">
        <f t="shared" si="355"/>
        <v>71.508411276222503</v>
      </c>
      <c r="AC1167" s="10">
        <f t="shared" si="348"/>
        <v>8.9385514095278129</v>
      </c>
      <c r="AD1167" s="10">
        <f t="shared" si="359"/>
        <v>35.754205638111252</v>
      </c>
      <c r="AE1167" s="65"/>
      <c r="AF1167" s="10">
        <f t="shared" si="360"/>
        <v>82.012366639700147</v>
      </c>
      <c r="AG1167" s="8">
        <f t="shared" si="349"/>
        <v>15.99241149474153</v>
      </c>
      <c r="AH1167" s="10">
        <f t="shared" si="350"/>
        <v>41.006183319850074</v>
      </c>
      <c r="AI1167" s="63"/>
      <c r="AJ1167" s="10">
        <f t="shared" si="361"/>
        <v>139.86999999999995</v>
      </c>
      <c r="AK1167" s="8"/>
      <c r="AL1167" s="8">
        <f t="shared" si="351"/>
        <v>69.934999999999974</v>
      </c>
    </row>
    <row r="1168" spans="1:38">
      <c r="A1168" s="18">
        <v>41468</v>
      </c>
      <c r="B1168" s="19" t="s">
        <v>132</v>
      </c>
      <c r="C1168" s="12">
        <v>250.2</v>
      </c>
      <c r="D1168" s="19" t="s">
        <v>32</v>
      </c>
      <c r="E1168" s="8">
        <v>8.4106699999999996</v>
      </c>
      <c r="F1168" s="8">
        <v>83.311130000000006</v>
      </c>
      <c r="G1168" s="22">
        <v>250</v>
      </c>
      <c r="H1168" s="22">
        <v>-14</v>
      </c>
      <c r="I1168" s="10">
        <f t="shared" si="356"/>
        <v>-7.0961293843639721</v>
      </c>
      <c r="J1168" s="10">
        <f t="shared" si="357"/>
        <v>-0.12385082190466953</v>
      </c>
      <c r="K1168" s="10">
        <f t="shared" si="358"/>
        <v>21.162095610230239</v>
      </c>
      <c r="L1168" s="22">
        <v>481</v>
      </c>
      <c r="M1168" s="22" t="s">
        <v>131</v>
      </c>
      <c r="N1168" s="8" t="s">
        <v>81</v>
      </c>
      <c r="O1168" s="10" t="s">
        <v>164</v>
      </c>
      <c r="P1168" s="50" t="s">
        <v>165</v>
      </c>
      <c r="Q1168" s="23">
        <v>0.56000000000000005</v>
      </c>
      <c r="R1168" s="22" t="s">
        <v>166</v>
      </c>
      <c r="S1168" s="30">
        <v>11.2</v>
      </c>
      <c r="T1168" s="79">
        <f t="shared" si="362"/>
        <v>9.8520575999999985E-3</v>
      </c>
      <c r="U1168" s="22">
        <v>13</v>
      </c>
      <c r="V1168" s="22">
        <v>61</v>
      </c>
      <c r="W1168" s="10">
        <f t="shared" si="352"/>
        <v>1.064650843716541</v>
      </c>
      <c r="X1168" s="22">
        <v>5</v>
      </c>
      <c r="Y1168" s="22">
        <v>15</v>
      </c>
      <c r="Z1168" s="10">
        <f t="shared" si="353"/>
        <v>0.26179938779914941</v>
      </c>
      <c r="AA1168" s="10">
        <f t="shared" si="354"/>
        <v>12.664151418324749</v>
      </c>
      <c r="AB1168" s="10">
        <f t="shared" si="355"/>
        <v>45.931420632003984</v>
      </c>
      <c r="AC1168" s="10">
        <f t="shared" si="348"/>
        <v>5.741427579000498</v>
      </c>
      <c r="AD1168" s="10">
        <f t="shared" si="359"/>
        <v>22.965710316001992</v>
      </c>
      <c r="AE1168" s="65"/>
      <c r="AF1168" s="10">
        <f t="shared" si="360"/>
        <v>43.669161494216453</v>
      </c>
      <c r="AG1168" s="8">
        <f t="shared" si="349"/>
        <v>8.5154864913722079</v>
      </c>
      <c r="AH1168" s="10">
        <f t="shared" si="350"/>
        <v>21.834580747108227</v>
      </c>
      <c r="AI1168" s="63"/>
      <c r="AJ1168" s="10">
        <f t="shared" si="361"/>
        <v>36.248999999999981</v>
      </c>
      <c r="AK1168" s="8"/>
      <c r="AL1168" s="8">
        <f t="shared" si="351"/>
        <v>18.124499999999991</v>
      </c>
    </row>
    <row r="1169" spans="1:38">
      <c r="A1169" s="18">
        <v>41468</v>
      </c>
      <c r="B1169" s="19" t="s">
        <v>132</v>
      </c>
      <c r="C1169" s="12">
        <v>250.2</v>
      </c>
      <c r="D1169" s="19" t="s">
        <v>32</v>
      </c>
      <c r="E1169" s="8">
        <v>8.4106699999999996</v>
      </c>
      <c r="F1169" s="8">
        <v>83.311130000000006</v>
      </c>
      <c r="G1169" s="22">
        <v>250</v>
      </c>
      <c r="H1169" s="22">
        <v>-14</v>
      </c>
      <c r="I1169" s="10">
        <f t="shared" si="356"/>
        <v>-7.0961293843639721</v>
      </c>
      <c r="J1169" s="10">
        <f t="shared" si="357"/>
        <v>-0.12385082190466953</v>
      </c>
      <c r="K1169" s="10">
        <f t="shared" si="358"/>
        <v>21.162095610230239</v>
      </c>
      <c r="L1169" s="22">
        <v>428</v>
      </c>
      <c r="M1169" s="31" t="s">
        <v>231</v>
      </c>
      <c r="N1169" s="8" t="s">
        <v>171</v>
      </c>
      <c r="O1169" s="33" t="s">
        <v>99</v>
      </c>
      <c r="P1169" s="33" t="s">
        <v>99</v>
      </c>
      <c r="Q1169" s="7">
        <v>0.57999999999999996</v>
      </c>
      <c r="R1169" s="7" t="s">
        <v>103</v>
      </c>
      <c r="S1169" s="30">
        <v>14</v>
      </c>
      <c r="T1169" s="79">
        <f t="shared" si="362"/>
        <v>1.5393840000000001E-2</v>
      </c>
      <c r="U1169" s="22">
        <v>13</v>
      </c>
      <c r="V1169" s="22">
        <v>52</v>
      </c>
      <c r="W1169" s="10">
        <f t="shared" si="352"/>
        <v>0.90757121103705141</v>
      </c>
      <c r="X1169" s="22">
        <v>8</v>
      </c>
      <c r="Y1169" s="22">
        <v>11</v>
      </c>
      <c r="Z1169" s="10">
        <f t="shared" si="353"/>
        <v>0.19198621771937624</v>
      </c>
      <c r="AA1169" s="10">
        <f t="shared" si="354"/>
        <v>11.770611759899746</v>
      </c>
      <c r="AB1169" s="10">
        <f t="shared" si="355"/>
        <v>67.414890803883722</v>
      </c>
      <c r="AC1169" s="10">
        <f t="shared" si="348"/>
        <v>8.4268613504854653</v>
      </c>
      <c r="AD1169" s="10">
        <f t="shared" si="359"/>
        <v>33.707445401941861</v>
      </c>
      <c r="AE1169" s="65"/>
      <c r="AF1169" s="10">
        <f t="shared" si="360"/>
        <v>78.791432786535395</v>
      </c>
      <c r="AG1169" s="8">
        <f t="shared" si="349"/>
        <v>15.364329393374403</v>
      </c>
      <c r="AH1169" s="10">
        <f t="shared" si="350"/>
        <v>39.395716393267698</v>
      </c>
      <c r="AI1169" s="63"/>
      <c r="AJ1169" s="10">
        <f t="shared" si="361"/>
        <v>68.99499999999999</v>
      </c>
      <c r="AK1169" s="8"/>
      <c r="AL1169" s="8">
        <f t="shared" si="351"/>
        <v>34.497499999999995</v>
      </c>
    </row>
    <row r="1170" spans="1:38">
      <c r="A1170" s="18">
        <v>41468</v>
      </c>
      <c r="B1170" s="19" t="s">
        <v>132</v>
      </c>
      <c r="C1170" s="12">
        <v>250.2</v>
      </c>
      <c r="D1170" s="19" t="s">
        <v>32</v>
      </c>
      <c r="E1170" s="8">
        <v>8.4106699999999996</v>
      </c>
      <c r="F1170" s="8">
        <v>83.311130000000006</v>
      </c>
      <c r="G1170" s="22">
        <v>250</v>
      </c>
      <c r="H1170" s="22">
        <v>-14</v>
      </c>
      <c r="I1170" s="10">
        <f t="shared" si="356"/>
        <v>-7.0961293843639721</v>
      </c>
      <c r="J1170" s="10">
        <f t="shared" si="357"/>
        <v>-0.12385082190466953</v>
      </c>
      <c r="K1170" s="10">
        <f t="shared" si="358"/>
        <v>21.162095610230239</v>
      </c>
      <c r="L1170" s="22">
        <v>413</v>
      </c>
      <c r="M1170" s="22" t="s">
        <v>36</v>
      </c>
      <c r="N1170" s="8" t="s">
        <v>46</v>
      </c>
      <c r="O1170" s="10" t="s">
        <v>37</v>
      </c>
      <c r="P1170" s="10" t="s">
        <v>38</v>
      </c>
      <c r="Q1170" s="11">
        <v>0.48</v>
      </c>
      <c r="R1170" s="8" t="s">
        <v>60</v>
      </c>
      <c r="S1170" s="30">
        <v>28</v>
      </c>
      <c r="T1170" s="79">
        <f t="shared" si="362"/>
        <v>6.1575360000000003E-2</v>
      </c>
      <c r="U1170" s="22">
        <v>11</v>
      </c>
      <c r="V1170" s="22">
        <v>50</v>
      </c>
      <c r="W1170" s="10">
        <f t="shared" si="352"/>
        <v>0.87266462599716477</v>
      </c>
      <c r="X1170" s="22">
        <v>6</v>
      </c>
      <c r="Y1170" s="22">
        <v>9</v>
      </c>
      <c r="Z1170" s="10">
        <f t="shared" si="353"/>
        <v>0.15707963267948966</v>
      </c>
      <c r="AA1170" s="10">
        <f t="shared" si="354"/>
        <v>9.3650956645501431</v>
      </c>
      <c r="AB1170" s="10">
        <f t="shared" si="355"/>
        <v>167.53558570360045</v>
      </c>
      <c r="AC1170" s="10">
        <f t="shared" si="348"/>
        <v>20.941948212950056</v>
      </c>
      <c r="AD1170" s="10">
        <f t="shared" si="359"/>
        <v>83.767792851800223</v>
      </c>
      <c r="AE1170" s="65"/>
      <c r="AF1170" s="10">
        <f t="shared" si="360"/>
        <v>359.08332877700337</v>
      </c>
      <c r="AG1170" s="8">
        <f t="shared" si="349"/>
        <v>70.021249111515658</v>
      </c>
      <c r="AH1170" s="10">
        <f t="shared" si="350"/>
        <v>179.54166438850169</v>
      </c>
      <c r="AI1170" s="63"/>
      <c r="AJ1170" s="10">
        <f t="shared" si="361"/>
        <v>406.77299999999997</v>
      </c>
      <c r="AK1170" s="8"/>
      <c r="AL1170" s="8">
        <f t="shared" si="351"/>
        <v>203.38649999999998</v>
      </c>
    </row>
    <row r="1171" spans="1:38">
      <c r="A1171" s="18">
        <v>41468</v>
      </c>
      <c r="B1171" s="19" t="s">
        <v>132</v>
      </c>
      <c r="C1171" s="12">
        <v>250.2</v>
      </c>
      <c r="D1171" s="19" t="s">
        <v>32</v>
      </c>
      <c r="E1171" s="8">
        <v>8.4106699999999996</v>
      </c>
      <c r="F1171" s="8">
        <v>83.311130000000006</v>
      </c>
      <c r="G1171" s="22">
        <v>250</v>
      </c>
      <c r="H1171" s="22">
        <v>-14</v>
      </c>
      <c r="I1171" s="10">
        <f t="shared" si="356"/>
        <v>-7.0961293843639721</v>
      </c>
      <c r="J1171" s="10">
        <f t="shared" si="357"/>
        <v>-0.12385082190466953</v>
      </c>
      <c r="K1171" s="10">
        <f t="shared" si="358"/>
        <v>21.162095610230239</v>
      </c>
      <c r="L1171" s="22">
        <v>415</v>
      </c>
      <c r="M1171" s="31" t="s">
        <v>231</v>
      </c>
      <c r="N1171" s="8" t="s">
        <v>171</v>
      </c>
      <c r="O1171" s="33" t="s">
        <v>99</v>
      </c>
      <c r="P1171" s="33" t="s">
        <v>99</v>
      </c>
      <c r="Q1171" s="7">
        <v>0.57999999999999996</v>
      </c>
      <c r="R1171" s="7" t="s">
        <v>103</v>
      </c>
      <c r="S1171" s="30">
        <v>14.5</v>
      </c>
      <c r="T1171" s="79">
        <f t="shared" si="362"/>
        <v>1.6513035000000002E-2</v>
      </c>
      <c r="U1171" s="22">
        <v>12</v>
      </c>
      <c r="V1171" s="22">
        <v>59</v>
      </c>
      <c r="W1171" s="10">
        <f t="shared" si="352"/>
        <v>1.0297442586766545</v>
      </c>
      <c r="X1171" s="22">
        <v>6</v>
      </c>
      <c r="Y1171" s="22">
        <v>9</v>
      </c>
      <c r="Z1171" s="10">
        <f t="shared" si="353"/>
        <v>0.15707963267948966</v>
      </c>
      <c r="AA1171" s="10">
        <f t="shared" si="354"/>
        <v>11.224614398666732</v>
      </c>
      <c r="AB1171" s="10">
        <f t="shared" si="355"/>
        <v>68.867929166841833</v>
      </c>
      <c r="AC1171" s="10">
        <f t="shared" si="348"/>
        <v>8.6084911458552291</v>
      </c>
      <c r="AD1171" s="10">
        <f t="shared" si="359"/>
        <v>34.433964583420916</v>
      </c>
      <c r="AE1171" s="65"/>
      <c r="AF1171" s="10">
        <f t="shared" si="360"/>
        <v>85.970291822598611</v>
      </c>
      <c r="AG1171" s="8">
        <f t="shared" si="349"/>
        <v>16.764206905406731</v>
      </c>
      <c r="AH1171" s="10">
        <f t="shared" si="350"/>
        <v>42.985145911299306</v>
      </c>
      <c r="AI1171" s="63"/>
      <c r="AJ1171" s="10">
        <f t="shared" si="361"/>
        <v>76.063500000000005</v>
      </c>
      <c r="AK1171" s="8"/>
      <c r="AL1171" s="8">
        <f t="shared" si="351"/>
        <v>38.031750000000002</v>
      </c>
    </row>
    <row r="1172" spans="1:38">
      <c r="A1172" s="18">
        <v>41468</v>
      </c>
      <c r="B1172" s="19" t="s">
        <v>132</v>
      </c>
      <c r="C1172" s="12">
        <v>250.2</v>
      </c>
      <c r="D1172" s="19" t="s">
        <v>32</v>
      </c>
      <c r="E1172" s="8">
        <v>8.4106699999999996</v>
      </c>
      <c r="F1172" s="8">
        <v>83.311130000000006</v>
      </c>
      <c r="G1172" s="22">
        <v>250</v>
      </c>
      <c r="H1172" s="22">
        <v>-14</v>
      </c>
      <c r="I1172" s="10">
        <f t="shared" si="356"/>
        <v>-7.0961293843639721</v>
      </c>
      <c r="J1172" s="10">
        <f t="shared" si="357"/>
        <v>-0.12385082190466953</v>
      </c>
      <c r="K1172" s="10">
        <f t="shared" si="358"/>
        <v>21.162095610230239</v>
      </c>
      <c r="L1172" s="22">
        <v>440</v>
      </c>
      <c r="M1172" s="31" t="s">
        <v>231</v>
      </c>
      <c r="N1172" s="8" t="s">
        <v>171</v>
      </c>
      <c r="O1172" s="33" t="s">
        <v>99</v>
      </c>
      <c r="P1172" s="33" t="s">
        <v>99</v>
      </c>
      <c r="Q1172" s="7">
        <v>0.57999999999999996</v>
      </c>
      <c r="R1172" s="7" t="s">
        <v>103</v>
      </c>
      <c r="S1172" s="30">
        <v>26.6</v>
      </c>
      <c r="T1172" s="79">
        <f t="shared" si="362"/>
        <v>5.5571762400000009E-2</v>
      </c>
      <c r="U1172" s="22">
        <v>14</v>
      </c>
      <c r="V1172" s="22">
        <v>51</v>
      </c>
      <c r="W1172" s="10">
        <f t="shared" si="352"/>
        <v>0.89011791851710809</v>
      </c>
      <c r="X1172" s="22">
        <v>7</v>
      </c>
      <c r="Y1172" s="22">
        <v>5</v>
      </c>
      <c r="Z1172" s="10">
        <f t="shared" si="353"/>
        <v>8.7266462599716474E-2</v>
      </c>
      <c r="AA1172" s="10">
        <f t="shared" si="354"/>
        <v>11.4901336596312</v>
      </c>
      <c r="AB1172" s="10">
        <f t="shared" si="355"/>
        <v>220.27595252309433</v>
      </c>
      <c r="AC1172" s="10">
        <f t="shared" si="348"/>
        <v>27.534494065386792</v>
      </c>
      <c r="AD1172" s="10">
        <f t="shared" si="359"/>
        <v>110.13797626154717</v>
      </c>
      <c r="AE1172" s="65"/>
      <c r="AF1172" s="10">
        <f t="shared" si="360"/>
        <v>383.10017528550679</v>
      </c>
      <c r="AG1172" s="8">
        <f t="shared" si="349"/>
        <v>74.704534180673832</v>
      </c>
      <c r="AH1172" s="10">
        <f t="shared" si="350"/>
        <v>191.5500876427534</v>
      </c>
      <c r="AI1172" s="63"/>
      <c r="AJ1172" s="10">
        <f t="shared" si="361"/>
        <v>359.94160000000005</v>
      </c>
      <c r="AK1172" s="8"/>
      <c r="AL1172" s="8">
        <f t="shared" si="351"/>
        <v>179.97080000000003</v>
      </c>
    </row>
    <row r="1173" spans="1:38">
      <c r="A1173" s="18">
        <v>41468</v>
      </c>
      <c r="B1173" s="19" t="s">
        <v>132</v>
      </c>
      <c r="C1173" s="12">
        <v>250.2</v>
      </c>
      <c r="D1173" s="19" t="s">
        <v>32</v>
      </c>
      <c r="E1173" s="8">
        <v>8.4106699999999996</v>
      </c>
      <c r="F1173" s="8">
        <v>83.311130000000006</v>
      </c>
      <c r="G1173" s="22">
        <v>250</v>
      </c>
      <c r="H1173" s="22">
        <v>-14</v>
      </c>
      <c r="I1173" s="10">
        <f t="shared" si="356"/>
        <v>-7.0961293843639721</v>
      </c>
      <c r="J1173" s="10">
        <f t="shared" si="357"/>
        <v>-0.12385082190466953</v>
      </c>
      <c r="K1173" s="10">
        <f t="shared" si="358"/>
        <v>21.162095610230239</v>
      </c>
      <c r="L1173" s="22">
        <v>435</v>
      </c>
      <c r="M1173" s="22" t="s">
        <v>36</v>
      </c>
      <c r="N1173" s="8" t="s">
        <v>46</v>
      </c>
      <c r="O1173" s="10" t="s">
        <v>37</v>
      </c>
      <c r="P1173" s="10" t="s">
        <v>38</v>
      </c>
      <c r="Q1173" s="11">
        <v>0.48</v>
      </c>
      <c r="R1173" s="8" t="s">
        <v>60</v>
      </c>
      <c r="S1173" s="12">
        <f>AVERAGE(18,23)</f>
        <v>20.5</v>
      </c>
      <c r="T1173" s="79">
        <f t="shared" si="362"/>
        <v>3.3006435000000001E-2</v>
      </c>
      <c r="U1173" s="22">
        <v>12</v>
      </c>
      <c r="V1173" s="22">
        <v>50</v>
      </c>
      <c r="W1173" s="10">
        <f t="shared" si="352"/>
        <v>0.87266462599716477</v>
      </c>
      <c r="X1173" s="22">
        <v>6</v>
      </c>
      <c r="Y1173" s="22">
        <v>11</v>
      </c>
      <c r="Z1173" s="10">
        <f t="shared" si="353"/>
        <v>0.19198621771937624</v>
      </c>
      <c r="AA1173" s="10">
        <f t="shared" si="354"/>
        <v>10.337387289687005</v>
      </c>
      <c r="AB1173" s="10">
        <f t="shared" si="355"/>
        <v>102.29911658483553</v>
      </c>
      <c r="AC1173" s="10">
        <f t="shared" si="348"/>
        <v>12.787389573104441</v>
      </c>
      <c r="AD1173" s="10">
        <f t="shared" si="359"/>
        <v>51.149558292417765</v>
      </c>
      <c r="AE1173" s="65"/>
      <c r="AF1173" s="10">
        <f t="shared" si="360"/>
        <v>167.60735295770556</v>
      </c>
      <c r="AG1173" s="8">
        <f t="shared" si="349"/>
        <v>32.683433826752584</v>
      </c>
      <c r="AH1173" s="10">
        <f t="shared" si="350"/>
        <v>83.803676478852779</v>
      </c>
      <c r="AI1173" s="63"/>
      <c r="AJ1173" s="10">
        <f t="shared" si="361"/>
        <v>189.74549999999999</v>
      </c>
      <c r="AK1173" s="8"/>
      <c r="AL1173" s="8">
        <f t="shared" si="351"/>
        <v>94.872749999999996</v>
      </c>
    </row>
    <row r="1174" spans="1:38">
      <c r="A1174" s="18">
        <v>41468</v>
      </c>
      <c r="B1174" s="19" t="s">
        <v>132</v>
      </c>
      <c r="C1174" s="12">
        <v>250.2</v>
      </c>
      <c r="D1174" s="19" t="s">
        <v>32</v>
      </c>
      <c r="E1174" s="8">
        <v>8.4106699999999996</v>
      </c>
      <c r="F1174" s="8">
        <v>83.311130000000006</v>
      </c>
      <c r="G1174" s="22">
        <v>250</v>
      </c>
      <c r="H1174" s="22">
        <v>-14</v>
      </c>
      <c r="I1174" s="10">
        <f t="shared" si="356"/>
        <v>-7.0961293843639721</v>
      </c>
      <c r="J1174" s="10">
        <f t="shared" si="357"/>
        <v>-0.12385082190466953</v>
      </c>
      <c r="K1174" s="10">
        <f t="shared" si="358"/>
        <v>21.162095610230239</v>
      </c>
      <c r="L1174" s="22">
        <v>439</v>
      </c>
      <c r="M1174" s="22" t="s">
        <v>131</v>
      </c>
      <c r="N1174" s="8" t="s">
        <v>81</v>
      </c>
      <c r="O1174" s="10" t="s">
        <v>164</v>
      </c>
      <c r="P1174" s="50" t="s">
        <v>165</v>
      </c>
      <c r="Q1174" s="23">
        <v>0.56000000000000005</v>
      </c>
      <c r="R1174" s="22" t="s">
        <v>166</v>
      </c>
      <c r="S1174" s="30">
        <v>11.5</v>
      </c>
      <c r="T1174" s="79">
        <f t="shared" si="362"/>
        <v>1.0386915E-2</v>
      </c>
      <c r="U1174" s="22">
        <v>10</v>
      </c>
      <c r="V1174" s="22">
        <v>66</v>
      </c>
      <c r="W1174" s="10">
        <f t="shared" si="352"/>
        <v>1.1519173063162575</v>
      </c>
      <c r="X1174" s="22">
        <v>6</v>
      </c>
      <c r="Y1174" s="22">
        <v>9</v>
      </c>
      <c r="Z1174" s="10">
        <f t="shared" si="353"/>
        <v>0.15707963267948966</v>
      </c>
      <c r="AA1174" s="10">
        <f t="shared" si="354"/>
        <v>10.074061366667394</v>
      </c>
      <c r="AB1174" s="10">
        <f t="shared" si="355"/>
        <v>38.929849345133654</v>
      </c>
      <c r="AC1174" s="10">
        <f t="shared" si="348"/>
        <v>4.8662311681417068</v>
      </c>
      <c r="AD1174" s="10">
        <f t="shared" si="359"/>
        <v>19.464924672566827</v>
      </c>
      <c r="AE1174" s="65"/>
      <c r="AF1174" s="10">
        <f t="shared" si="360"/>
        <v>46.637929249203069</v>
      </c>
      <c r="AG1174" s="8">
        <f t="shared" si="349"/>
        <v>9.0943962035945987</v>
      </c>
      <c r="AH1174" s="10">
        <f t="shared" si="350"/>
        <v>23.318964624601534</v>
      </c>
      <c r="AI1174" s="63"/>
      <c r="AJ1174" s="10">
        <f t="shared" si="361"/>
        <v>39.202499999999986</v>
      </c>
      <c r="AK1174" s="8"/>
      <c r="AL1174" s="8">
        <f t="shared" si="351"/>
        <v>19.601249999999993</v>
      </c>
    </row>
    <row r="1175" spans="1:38">
      <c r="A1175" s="18">
        <v>41468</v>
      </c>
      <c r="B1175" s="19" t="s">
        <v>132</v>
      </c>
      <c r="C1175" s="12">
        <v>250.2</v>
      </c>
      <c r="D1175" s="19" t="s">
        <v>32</v>
      </c>
      <c r="E1175" s="8">
        <v>8.4106699999999996</v>
      </c>
      <c r="F1175" s="8">
        <v>83.311130000000006</v>
      </c>
      <c r="G1175" s="22">
        <v>250</v>
      </c>
      <c r="H1175" s="22">
        <v>-14</v>
      </c>
      <c r="I1175" s="10">
        <f t="shared" si="356"/>
        <v>-7.0961293843639721</v>
      </c>
      <c r="J1175" s="10">
        <f t="shared" si="357"/>
        <v>-0.12385082190466953</v>
      </c>
      <c r="K1175" s="10">
        <f t="shared" si="358"/>
        <v>21.162095610230239</v>
      </c>
      <c r="L1175" s="22">
        <v>474</v>
      </c>
      <c r="M1175" s="22" t="s">
        <v>133</v>
      </c>
      <c r="N1175" s="8" t="s">
        <v>198</v>
      </c>
      <c r="O1175" s="58" t="s">
        <v>199</v>
      </c>
      <c r="P1175" s="10" t="s">
        <v>200</v>
      </c>
      <c r="Q1175" s="22">
        <v>0.57999999999999996</v>
      </c>
      <c r="R1175" s="22" t="s">
        <v>190</v>
      </c>
      <c r="S1175" s="30">
        <v>7</v>
      </c>
      <c r="T1175" s="79">
        <f t="shared" si="362"/>
        <v>3.8484600000000002E-3</v>
      </c>
      <c r="U1175" s="22">
        <v>7</v>
      </c>
      <c r="V1175" s="22">
        <v>57</v>
      </c>
      <c r="W1175" s="10">
        <f t="shared" si="352"/>
        <v>0.99483767363676789</v>
      </c>
      <c r="X1175" s="22">
        <v>5</v>
      </c>
      <c r="Y1175" s="22">
        <v>11</v>
      </c>
      <c r="Z1175" s="10">
        <f t="shared" si="353"/>
        <v>0.19198621771937624</v>
      </c>
      <c r="AA1175" s="10">
        <f t="shared" si="354"/>
        <v>6.8247389525006916</v>
      </c>
      <c r="AB1175" s="10">
        <f t="shared" si="355"/>
        <v>10.972592027401504</v>
      </c>
      <c r="AC1175" s="10">
        <f t="shared" si="348"/>
        <v>1.371574003425188</v>
      </c>
      <c r="AD1175" s="10">
        <f t="shared" si="359"/>
        <v>5.4862960137007519</v>
      </c>
      <c r="AE1175" s="65"/>
      <c r="AF1175" s="10">
        <f t="shared" si="360"/>
        <v>14.096751983193448</v>
      </c>
      <c r="AG1175" s="8">
        <f t="shared" si="349"/>
        <v>2.7488666367227226</v>
      </c>
      <c r="AH1175" s="10">
        <f t="shared" si="350"/>
        <v>7.0483759915967239</v>
      </c>
      <c r="AI1175" s="63"/>
      <c r="AJ1175" s="10">
        <f t="shared" si="361"/>
        <v>8.8859999999999992</v>
      </c>
      <c r="AK1175" s="8"/>
      <c r="AL1175" s="8">
        <f t="shared" si="351"/>
        <v>4.4429999999999996</v>
      </c>
    </row>
    <row r="1176" spans="1:38">
      <c r="A1176" s="18">
        <v>41468</v>
      </c>
      <c r="B1176" s="19" t="s">
        <v>132</v>
      </c>
      <c r="C1176" s="12">
        <v>250.2</v>
      </c>
      <c r="D1176" s="19" t="s">
        <v>32</v>
      </c>
      <c r="E1176" s="8">
        <v>8.4106699999999996</v>
      </c>
      <c r="F1176" s="8">
        <v>83.311130000000006</v>
      </c>
      <c r="G1176" s="22">
        <v>250</v>
      </c>
      <c r="H1176" s="22">
        <v>-14</v>
      </c>
      <c r="I1176" s="10">
        <f t="shared" si="356"/>
        <v>-7.0961293843639721</v>
      </c>
      <c r="J1176" s="10">
        <f t="shared" si="357"/>
        <v>-0.12385082190466953</v>
      </c>
      <c r="K1176" s="10">
        <f t="shared" si="358"/>
        <v>21.162095610230239</v>
      </c>
      <c r="L1176" s="22">
        <v>472</v>
      </c>
      <c r="M1176" s="22" t="s">
        <v>131</v>
      </c>
      <c r="N1176" s="8" t="s">
        <v>81</v>
      </c>
      <c r="O1176" s="10" t="s">
        <v>164</v>
      </c>
      <c r="P1176" s="50" t="s">
        <v>165</v>
      </c>
      <c r="Q1176" s="23">
        <v>0.56000000000000005</v>
      </c>
      <c r="R1176" s="22" t="s">
        <v>166</v>
      </c>
      <c r="S1176" s="30">
        <v>8</v>
      </c>
      <c r="T1176" s="79">
        <f t="shared" si="362"/>
        <v>5.0265600000000002E-3</v>
      </c>
      <c r="U1176" s="22">
        <v>12</v>
      </c>
      <c r="V1176" s="22">
        <v>51</v>
      </c>
      <c r="W1176" s="10">
        <f t="shared" si="352"/>
        <v>0.89011791851710809</v>
      </c>
      <c r="X1176" s="22">
        <v>7</v>
      </c>
      <c r="Y1176" s="22">
        <v>11</v>
      </c>
      <c r="Z1176" s="10">
        <f t="shared" si="353"/>
        <v>0.19198621771937624</v>
      </c>
      <c r="AA1176" s="10">
        <f t="shared" si="354"/>
        <v>10.661414505119465</v>
      </c>
      <c r="AB1176" s="10">
        <f t="shared" si="355"/>
        <v>20.754562407889342</v>
      </c>
      <c r="AC1176" s="10">
        <f t="shared" si="348"/>
        <v>2.5943203009861677</v>
      </c>
      <c r="AD1176" s="10">
        <f t="shared" si="359"/>
        <v>10.377281203944671</v>
      </c>
      <c r="AE1176" s="65"/>
      <c r="AF1176" s="10">
        <f t="shared" si="360"/>
        <v>18.932763101723765</v>
      </c>
      <c r="AG1176" s="8">
        <f t="shared" si="349"/>
        <v>3.6918888048361342</v>
      </c>
      <c r="AH1176" s="10">
        <f t="shared" si="350"/>
        <v>9.4663815508618825</v>
      </c>
      <c r="AI1176" s="63"/>
      <c r="AJ1176" s="10">
        <f t="shared" si="361"/>
        <v>13.033000000000001</v>
      </c>
      <c r="AK1176" s="8"/>
      <c r="AL1176" s="8">
        <f t="shared" si="351"/>
        <v>6.5165000000000006</v>
      </c>
    </row>
    <row r="1177" spans="1:38">
      <c r="A1177" s="18">
        <v>41468</v>
      </c>
      <c r="B1177" s="19" t="s">
        <v>132</v>
      </c>
      <c r="C1177" s="12">
        <v>250.2</v>
      </c>
      <c r="D1177" s="19" t="s">
        <v>32</v>
      </c>
      <c r="E1177" s="8">
        <v>8.4106699999999996</v>
      </c>
      <c r="F1177" s="8">
        <v>83.311130000000006</v>
      </c>
      <c r="G1177" s="22">
        <v>250</v>
      </c>
      <c r="H1177" s="22">
        <v>-14</v>
      </c>
      <c r="I1177" s="10">
        <f t="shared" si="356"/>
        <v>-7.0961293843639721</v>
      </c>
      <c r="J1177" s="10">
        <f t="shared" si="357"/>
        <v>-0.12385082190466953</v>
      </c>
      <c r="K1177" s="10">
        <f t="shared" si="358"/>
        <v>21.162095610230239</v>
      </c>
      <c r="L1177" s="22">
        <v>414</v>
      </c>
      <c r="M1177" s="22" t="s">
        <v>54</v>
      </c>
      <c r="N1177" s="8" t="s">
        <v>55</v>
      </c>
      <c r="O1177" s="10" t="s">
        <v>56</v>
      </c>
      <c r="P1177" s="10" t="s">
        <v>57</v>
      </c>
      <c r="Q1177" s="11">
        <v>0.315</v>
      </c>
      <c r="R1177" s="12" t="s">
        <v>66</v>
      </c>
      <c r="S1177" s="30">
        <v>6.7</v>
      </c>
      <c r="T1177" s="79">
        <f t="shared" si="362"/>
        <v>3.5256606000000001E-3</v>
      </c>
      <c r="U1177" s="22">
        <v>10</v>
      </c>
      <c r="V1177" s="22">
        <v>59</v>
      </c>
      <c r="W1177" s="10">
        <f t="shared" si="352"/>
        <v>1.0297442586766545</v>
      </c>
      <c r="X1177" s="22">
        <v>6</v>
      </c>
      <c r="Y1177" s="22">
        <v>16</v>
      </c>
      <c r="Z1177" s="10">
        <f t="shared" si="353"/>
        <v>0.27925268031909273</v>
      </c>
      <c r="AA1177" s="10">
        <f t="shared" si="354"/>
        <v>10.225497141923119</v>
      </c>
      <c r="AB1177" s="10">
        <f t="shared" si="355"/>
        <v>8.3252567631475536</v>
      </c>
      <c r="AC1177" s="10">
        <f t="shared" si="348"/>
        <v>1.0406570953934442</v>
      </c>
      <c r="AD1177" s="10">
        <f t="shared" si="359"/>
        <v>4.1626283815737768</v>
      </c>
      <c r="AE1177" s="65"/>
      <c r="AF1177" s="10">
        <f t="shared" si="360"/>
        <v>6.8725758748840953</v>
      </c>
      <c r="AG1177" s="8">
        <f t="shared" si="349"/>
        <v>1.3401522956023986</v>
      </c>
      <c r="AH1177" s="10">
        <f t="shared" si="350"/>
        <v>3.4362879374420476</v>
      </c>
      <c r="AI1177" s="63"/>
      <c r="AJ1177" s="10">
        <f t="shared" si="361"/>
        <v>7.9304999999999986</v>
      </c>
      <c r="AK1177" s="8"/>
      <c r="AL1177" s="8">
        <f t="shared" si="351"/>
        <v>3.9652499999999993</v>
      </c>
    </row>
    <row r="1178" spans="1:38">
      <c r="A1178" s="18">
        <v>41468</v>
      </c>
      <c r="B1178" s="19" t="s">
        <v>132</v>
      </c>
      <c r="C1178" s="12">
        <v>250.2</v>
      </c>
      <c r="D1178" s="19" t="s">
        <v>32</v>
      </c>
      <c r="E1178" s="8">
        <v>8.4106699999999996</v>
      </c>
      <c r="F1178" s="8">
        <v>83.311130000000006</v>
      </c>
      <c r="G1178" s="22">
        <v>250</v>
      </c>
      <c r="H1178" s="22">
        <v>-14</v>
      </c>
      <c r="I1178" s="10">
        <f t="shared" si="356"/>
        <v>-7.0961293843639721</v>
      </c>
      <c r="J1178" s="10">
        <f t="shared" si="357"/>
        <v>-0.12385082190466953</v>
      </c>
      <c r="K1178" s="10">
        <f t="shared" si="358"/>
        <v>21.162095610230239</v>
      </c>
      <c r="L1178" s="22">
        <v>468</v>
      </c>
      <c r="M1178" s="22" t="s">
        <v>95</v>
      </c>
      <c r="N1178" s="7" t="s">
        <v>109</v>
      </c>
      <c r="O1178" s="57" t="s">
        <v>110</v>
      </c>
      <c r="P1178" s="33" t="s">
        <v>246</v>
      </c>
      <c r="Q1178" s="22">
        <v>0.64</v>
      </c>
      <c r="R1178" s="22" t="s">
        <v>190</v>
      </c>
      <c r="S1178" s="30">
        <v>7.5</v>
      </c>
      <c r="T1178" s="79">
        <f t="shared" si="362"/>
        <v>4.4178749999999999E-3</v>
      </c>
      <c r="U1178" s="22">
        <v>10</v>
      </c>
      <c r="V1178" s="22">
        <v>60</v>
      </c>
      <c r="W1178" s="10">
        <f t="shared" si="352"/>
        <v>1.0471975511965976</v>
      </c>
      <c r="X1178" s="22">
        <v>6</v>
      </c>
      <c r="Y1178" s="22">
        <v>11</v>
      </c>
      <c r="Z1178" s="10">
        <f t="shared" si="353"/>
        <v>0.19198621771937624</v>
      </c>
      <c r="AA1178" s="10">
        <f t="shared" si="354"/>
        <v>9.8051080101036536</v>
      </c>
      <c r="AB1178" s="10">
        <f t="shared" si="355"/>
        <v>19.264214758416031</v>
      </c>
      <c r="AC1178" s="10">
        <f t="shared" si="348"/>
        <v>2.4080268448020039</v>
      </c>
      <c r="AD1178" s="10">
        <f t="shared" si="359"/>
        <v>9.6321073792080156</v>
      </c>
      <c r="AE1178" s="65"/>
      <c r="AF1178" s="10">
        <f t="shared" si="360"/>
        <v>18.444084876050074</v>
      </c>
      <c r="AG1178" s="8">
        <f t="shared" si="349"/>
        <v>3.5965965508297644</v>
      </c>
      <c r="AH1178" s="10">
        <f t="shared" si="350"/>
        <v>9.2220424380250368</v>
      </c>
      <c r="AI1178" s="63"/>
      <c r="AJ1178" s="10">
        <f t="shared" si="361"/>
        <v>10.7745</v>
      </c>
      <c r="AK1178" s="8"/>
      <c r="AL1178" s="8">
        <f t="shared" si="351"/>
        <v>5.3872499999999999</v>
      </c>
    </row>
    <row r="1179" spans="1:38">
      <c r="A1179" s="18">
        <v>41468</v>
      </c>
      <c r="B1179" s="19" t="s">
        <v>132</v>
      </c>
      <c r="C1179" s="12">
        <v>250.2</v>
      </c>
      <c r="D1179" s="19" t="s">
        <v>32</v>
      </c>
      <c r="E1179" s="8">
        <v>8.4106699999999996</v>
      </c>
      <c r="F1179" s="8">
        <v>83.311130000000006</v>
      </c>
      <c r="G1179" s="22">
        <v>250</v>
      </c>
      <c r="H1179" s="22">
        <v>-14</v>
      </c>
      <c r="I1179" s="10">
        <f t="shared" si="356"/>
        <v>-7.0961293843639721</v>
      </c>
      <c r="J1179" s="10">
        <f t="shared" si="357"/>
        <v>-0.12385082190466953</v>
      </c>
      <c r="K1179" s="10">
        <f t="shared" si="358"/>
        <v>21.162095610230239</v>
      </c>
      <c r="L1179" s="22">
        <v>410</v>
      </c>
      <c r="M1179" s="22" t="s">
        <v>36</v>
      </c>
      <c r="N1179" s="8" t="s">
        <v>46</v>
      </c>
      <c r="O1179" s="10" t="s">
        <v>37</v>
      </c>
      <c r="P1179" s="10" t="s">
        <v>38</v>
      </c>
      <c r="Q1179" s="11">
        <v>0.48</v>
      </c>
      <c r="R1179" s="8" t="s">
        <v>60</v>
      </c>
      <c r="S1179" s="30">
        <v>32</v>
      </c>
      <c r="T1179" s="79">
        <f t="shared" si="362"/>
        <v>8.0424960000000004E-2</v>
      </c>
      <c r="U1179" s="22">
        <v>8</v>
      </c>
      <c r="V1179" s="22">
        <v>50</v>
      </c>
      <c r="W1179" s="10">
        <f t="shared" si="352"/>
        <v>0.87266462599716477</v>
      </c>
      <c r="X1179" s="22">
        <v>6</v>
      </c>
      <c r="Y1179" s="22">
        <v>10</v>
      </c>
      <c r="Z1179" s="10">
        <f t="shared" si="353"/>
        <v>0.17453292519943295</v>
      </c>
      <c r="AA1179" s="10">
        <f t="shared" si="354"/>
        <v>7.1702446109534064</v>
      </c>
      <c r="AB1179" s="10">
        <f t="shared" si="355"/>
        <v>167.53763366445898</v>
      </c>
      <c r="AC1179" s="10">
        <f t="shared" si="348"/>
        <v>20.942204208057372</v>
      </c>
      <c r="AD1179" s="10">
        <f t="shared" si="359"/>
        <v>83.76881683222949</v>
      </c>
      <c r="AE1179" s="65"/>
      <c r="AF1179" s="10">
        <f t="shared" si="360"/>
        <v>495.60694817428441</v>
      </c>
      <c r="AG1179" s="8">
        <f t="shared" si="349"/>
        <v>96.64335489398546</v>
      </c>
      <c r="AH1179" s="10">
        <f t="shared" si="350"/>
        <v>247.80347408714221</v>
      </c>
      <c r="AI1179" s="63"/>
      <c r="AJ1179" s="10">
        <f t="shared" si="361"/>
        <v>556.56099999999992</v>
      </c>
      <c r="AK1179" s="8"/>
      <c r="AL1179" s="8">
        <f t="shared" si="351"/>
        <v>278.28049999999996</v>
      </c>
    </row>
    <row r="1180" spans="1:38">
      <c r="A1180" s="18">
        <v>41468</v>
      </c>
      <c r="B1180" s="19" t="s">
        <v>132</v>
      </c>
      <c r="C1180" s="12">
        <v>250.2</v>
      </c>
      <c r="D1180" s="19" t="s">
        <v>32</v>
      </c>
      <c r="E1180" s="8">
        <v>8.4106699999999996</v>
      </c>
      <c r="F1180" s="8">
        <v>83.311130000000006</v>
      </c>
      <c r="G1180" s="22">
        <v>250</v>
      </c>
      <c r="H1180" s="22">
        <v>-14</v>
      </c>
      <c r="I1180" s="10">
        <f t="shared" si="356"/>
        <v>-7.0961293843639721</v>
      </c>
      <c r="J1180" s="10">
        <f t="shared" si="357"/>
        <v>-0.12385082190466953</v>
      </c>
      <c r="K1180" s="10">
        <f t="shared" si="358"/>
        <v>21.162095610230239</v>
      </c>
      <c r="L1180" s="22">
        <v>431</v>
      </c>
      <c r="M1180" s="22" t="s">
        <v>36</v>
      </c>
      <c r="N1180" s="8" t="s">
        <v>46</v>
      </c>
      <c r="O1180" s="10" t="s">
        <v>37</v>
      </c>
      <c r="P1180" s="10" t="s">
        <v>38</v>
      </c>
      <c r="Q1180" s="11">
        <v>0.48</v>
      </c>
      <c r="R1180" s="8" t="s">
        <v>60</v>
      </c>
      <c r="S1180" s="30">
        <v>20</v>
      </c>
      <c r="T1180" s="79">
        <f t="shared" si="362"/>
        <v>3.1415999999999999E-2</v>
      </c>
      <c r="U1180" s="22">
        <v>9</v>
      </c>
      <c r="V1180" s="22">
        <v>59</v>
      </c>
      <c r="W1180" s="10">
        <f t="shared" si="352"/>
        <v>1.0297442586766545</v>
      </c>
      <c r="X1180" s="22">
        <v>5</v>
      </c>
      <c r="Y1180" s="22">
        <v>14</v>
      </c>
      <c r="Z1180" s="10">
        <f t="shared" si="353"/>
        <v>0.24434609527920614</v>
      </c>
      <c r="AA1180" s="10">
        <f t="shared" si="354"/>
        <v>8.9241151843173494</v>
      </c>
      <c r="AB1180" s="10">
        <f t="shared" si="355"/>
        <v>85.054272320699909</v>
      </c>
      <c r="AC1180" s="10">
        <f t="shared" si="348"/>
        <v>10.631784040087489</v>
      </c>
      <c r="AD1180" s="10">
        <f t="shared" si="359"/>
        <v>42.527136160349954</v>
      </c>
      <c r="AE1180" s="65"/>
      <c r="AF1180" s="10">
        <f t="shared" si="360"/>
        <v>157.71936778711219</v>
      </c>
      <c r="AG1180" s="8">
        <f t="shared" si="349"/>
        <v>30.755276718486879</v>
      </c>
      <c r="AH1180" s="10">
        <f t="shared" si="350"/>
        <v>78.859683893556095</v>
      </c>
      <c r="AI1180" s="63"/>
      <c r="AJ1180" s="10">
        <f t="shared" si="361"/>
        <v>178.23699999999999</v>
      </c>
      <c r="AK1180" s="8"/>
      <c r="AL1180" s="8">
        <f t="shared" si="351"/>
        <v>89.118499999999997</v>
      </c>
    </row>
    <row r="1181" spans="1:38">
      <c r="A1181" s="18">
        <v>41468</v>
      </c>
      <c r="B1181" s="19" t="s">
        <v>132</v>
      </c>
      <c r="C1181" s="12">
        <v>250.2</v>
      </c>
      <c r="D1181" s="19" t="s">
        <v>32</v>
      </c>
      <c r="E1181" s="8">
        <v>8.4106699999999996</v>
      </c>
      <c r="F1181" s="8">
        <v>83.311130000000006</v>
      </c>
      <c r="G1181" s="22">
        <v>250</v>
      </c>
      <c r="H1181" s="22">
        <v>-14</v>
      </c>
      <c r="I1181" s="10">
        <f t="shared" si="356"/>
        <v>-7.0961293843639721</v>
      </c>
      <c r="J1181" s="10">
        <f t="shared" si="357"/>
        <v>-0.12385082190466953</v>
      </c>
      <c r="K1181" s="10">
        <f t="shared" si="358"/>
        <v>21.162095610230239</v>
      </c>
      <c r="L1181" s="22">
        <v>466</v>
      </c>
      <c r="M1181" s="22" t="s">
        <v>78</v>
      </c>
      <c r="N1181" s="7" t="s">
        <v>87</v>
      </c>
      <c r="O1181" s="33" t="s">
        <v>88</v>
      </c>
      <c r="P1181" s="33" t="s">
        <v>89</v>
      </c>
      <c r="Q1181" s="38">
        <v>0.64</v>
      </c>
      <c r="R1181" s="7" t="s">
        <v>90</v>
      </c>
      <c r="S1181" s="30">
        <v>9</v>
      </c>
      <c r="T1181" s="79">
        <f t="shared" si="362"/>
        <v>6.3617400000000003E-3</v>
      </c>
      <c r="U1181" s="22">
        <v>10</v>
      </c>
      <c r="V1181" s="22">
        <v>58</v>
      </c>
      <c r="W1181" s="10">
        <f t="shared" si="352"/>
        <v>1.0122909661567112</v>
      </c>
      <c r="X1181" s="22">
        <v>5</v>
      </c>
      <c r="Y1181" s="22">
        <v>12</v>
      </c>
      <c r="Z1181" s="10">
        <f t="shared" si="353"/>
        <v>0.20943951023931956</v>
      </c>
      <c r="AA1181" s="10">
        <f t="shared" si="354"/>
        <v>9.5200394156530557</v>
      </c>
      <c r="AB1181" s="10">
        <f t="shared" si="355"/>
        <v>26.397769735748003</v>
      </c>
      <c r="AC1181" s="10">
        <f t="shared" si="348"/>
        <v>3.2997212169685004</v>
      </c>
      <c r="AD1181" s="10">
        <f t="shared" si="359"/>
        <v>13.198884867874002</v>
      </c>
      <c r="AE1181" s="65"/>
      <c r="AF1181" s="10">
        <f t="shared" si="360"/>
        <v>28.976741119030031</v>
      </c>
      <c r="AG1181" s="8">
        <f t="shared" si="349"/>
        <v>5.6504645182108559</v>
      </c>
      <c r="AH1181" s="10">
        <f t="shared" si="350"/>
        <v>14.488370559515015</v>
      </c>
      <c r="AI1181" s="63"/>
      <c r="AJ1181" s="10">
        <f t="shared" si="361"/>
        <v>18.659999999999997</v>
      </c>
      <c r="AK1181" s="8"/>
      <c r="AL1181" s="8">
        <f t="shared" si="351"/>
        <v>9.3299999999999983</v>
      </c>
    </row>
    <row r="1182" spans="1:38">
      <c r="A1182" s="18">
        <v>41468</v>
      </c>
      <c r="B1182" s="19" t="s">
        <v>132</v>
      </c>
      <c r="C1182" s="12">
        <v>250.2</v>
      </c>
      <c r="D1182" s="19" t="s">
        <v>32</v>
      </c>
      <c r="E1182" s="8">
        <v>8.4106699999999996</v>
      </c>
      <c r="F1182" s="8">
        <v>83.311130000000006</v>
      </c>
      <c r="G1182" s="22">
        <v>250</v>
      </c>
      <c r="H1182" s="22">
        <v>-14</v>
      </c>
      <c r="I1182" s="10">
        <f t="shared" si="356"/>
        <v>-7.0961293843639721</v>
      </c>
      <c r="J1182" s="10">
        <f t="shared" si="357"/>
        <v>-0.12385082190466953</v>
      </c>
      <c r="K1182" s="10">
        <f t="shared" si="358"/>
        <v>21.162095610230239</v>
      </c>
      <c r="L1182" s="22">
        <v>469</v>
      </c>
      <c r="M1182" s="22" t="s">
        <v>131</v>
      </c>
      <c r="N1182" s="8" t="s">
        <v>81</v>
      </c>
      <c r="O1182" s="10" t="s">
        <v>164</v>
      </c>
      <c r="P1182" s="50" t="s">
        <v>165</v>
      </c>
      <c r="Q1182" s="23">
        <v>0.56000000000000005</v>
      </c>
      <c r="R1182" s="22" t="s">
        <v>166</v>
      </c>
      <c r="S1182" s="30">
        <v>9</v>
      </c>
      <c r="T1182" s="79">
        <f t="shared" si="362"/>
        <v>6.3617400000000003E-3</v>
      </c>
      <c r="U1182" s="22">
        <v>9</v>
      </c>
      <c r="V1182" s="22">
        <v>48</v>
      </c>
      <c r="W1182" s="10">
        <f t="shared" si="352"/>
        <v>0.83775804095727824</v>
      </c>
      <c r="X1182" s="22">
        <v>6</v>
      </c>
      <c r="Y1182" s="22">
        <v>10</v>
      </c>
      <c r="Z1182" s="10">
        <f t="shared" si="353"/>
        <v>0.17453292519943295</v>
      </c>
      <c r="AA1182" s="10">
        <f t="shared" si="354"/>
        <v>7.7301924952981302</v>
      </c>
      <c r="AB1182" s="10">
        <f t="shared" si="355"/>
        <v>19.144025963729415</v>
      </c>
      <c r="AC1182" s="10">
        <f t="shared" si="348"/>
        <v>2.3930032454661769</v>
      </c>
      <c r="AD1182" s="10">
        <f t="shared" si="359"/>
        <v>9.5720129818647077</v>
      </c>
      <c r="AE1182" s="65"/>
      <c r="AF1182" s="10">
        <f t="shared" si="360"/>
        <v>25.35464847915128</v>
      </c>
      <c r="AG1182" s="8">
        <f t="shared" si="349"/>
        <v>4.9441564534344993</v>
      </c>
      <c r="AH1182" s="10">
        <f t="shared" si="350"/>
        <v>12.67732423957564</v>
      </c>
      <c r="AI1182" s="63"/>
      <c r="AJ1182" s="10">
        <f t="shared" si="361"/>
        <v>18.659999999999997</v>
      </c>
      <c r="AK1182" s="8"/>
      <c r="AL1182" s="8">
        <f t="shared" si="351"/>
        <v>9.3299999999999983</v>
      </c>
    </row>
    <row r="1183" spans="1:38">
      <c r="A1183" s="18">
        <v>41468</v>
      </c>
      <c r="B1183" s="19" t="s">
        <v>132</v>
      </c>
      <c r="C1183" s="12">
        <v>250.2</v>
      </c>
      <c r="D1183" s="19" t="s">
        <v>32</v>
      </c>
      <c r="E1183" s="8">
        <v>8.4106699999999996</v>
      </c>
      <c r="F1183" s="8">
        <v>83.311130000000006</v>
      </c>
      <c r="G1183" s="22">
        <v>250</v>
      </c>
      <c r="H1183" s="22">
        <v>-14</v>
      </c>
      <c r="I1183" s="10">
        <f t="shared" si="356"/>
        <v>-7.0961293843639721</v>
      </c>
      <c r="J1183" s="10">
        <f t="shared" si="357"/>
        <v>-0.12385082190466953</v>
      </c>
      <c r="K1183" s="10">
        <f t="shared" si="358"/>
        <v>21.162095610230239</v>
      </c>
      <c r="L1183" s="22">
        <v>399</v>
      </c>
      <c r="M1183" s="31" t="s">
        <v>231</v>
      </c>
      <c r="N1183" s="8" t="s">
        <v>171</v>
      </c>
      <c r="O1183" s="33" t="s">
        <v>99</v>
      </c>
      <c r="P1183" s="33" t="s">
        <v>99</v>
      </c>
      <c r="Q1183" s="7">
        <v>0.57999999999999996</v>
      </c>
      <c r="R1183" s="7" t="s">
        <v>103</v>
      </c>
      <c r="S1183" s="30">
        <v>11.3</v>
      </c>
      <c r="T1183" s="79">
        <f t="shared" si="362"/>
        <v>1.0028772600000001E-2</v>
      </c>
      <c r="U1183" s="22">
        <v>9</v>
      </c>
      <c r="V1183" s="22">
        <v>56</v>
      </c>
      <c r="W1183" s="10">
        <f t="shared" si="352"/>
        <v>0.97738438111682457</v>
      </c>
      <c r="X1183" s="22">
        <v>5</v>
      </c>
      <c r="Y1183" s="22">
        <v>9</v>
      </c>
      <c r="Z1183" s="10">
        <f t="shared" si="353"/>
        <v>0.15707963267948966</v>
      </c>
      <c r="AA1183" s="10">
        <f t="shared" si="354"/>
        <v>8.24351047819653</v>
      </c>
      <c r="AB1183" s="10">
        <f t="shared" si="355"/>
        <v>32.24162865059531</v>
      </c>
      <c r="AC1183" s="10">
        <f t="shared" si="348"/>
        <v>4.0302035813244137</v>
      </c>
      <c r="AD1183" s="10">
        <f t="shared" si="359"/>
        <v>16.120814325297655</v>
      </c>
      <c r="AE1183" s="65"/>
      <c r="AF1183" s="10">
        <f t="shared" si="360"/>
        <v>46.240260134860733</v>
      </c>
      <c r="AG1183" s="8">
        <f t="shared" si="349"/>
        <v>9.016850726297843</v>
      </c>
      <c r="AH1183" s="10">
        <f t="shared" si="350"/>
        <v>23.120130067430367</v>
      </c>
      <c r="AI1183" s="63"/>
      <c r="AJ1183" s="10">
        <f t="shared" si="361"/>
        <v>37.218699999999998</v>
      </c>
      <c r="AK1183" s="8"/>
      <c r="AL1183" s="8">
        <f t="shared" si="351"/>
        <v>18.609349999999999</v>
      </c>
    </row>
    <row r="1184" spans="1:38">
      <c r="A1184" s="18">
        <v>41468</v>
      </c>
      <c r="B1184" s="19" t="s">
        <v>132</v>
      </c>
      <c r="C1184" s="12">
        <v>250.2</v>
      </c>
      <c r="D1184" s="19" t="s">
        <v>32</v>
      </c>
      <c r="E1184" s="8">
        <v>8.4106699999999996</v>
      </c>
      <c r="F1184" s="8">
        <v>83.311130000000006</v>
      </c>
      <c r="G1184" s="22">
        <v>250</v>
      </c>
      <c r="H1184" s="22">
        <v>-14</v>
      </c>
      <c r="I1184" s="10">
        <f t="shared" si="356"/>
        <v>-7.0961293843639721</v>
      </c>
      <c r="J1184" s="10">
        <f t="shared" si="357"/>
        <v>-0.12385082190466953</v>
      </c>
      <c r="K1184" s="10">
        <f t="shared" si="358"/>
        <v>21.162095610230239</v>
      </c>
      <c r="L1184" s="22">
        <v>483</v>
      </c>
      <c r="M1184" s="22" t="s">
        <v>131</v>
      </c>
      <c r="N1184" s="8" t="s">
        <v>81</v>
      </c>
      <c r="O1184" s="10" t="s">
        <v>164</v>
      </c>
      <c r="P1184" s="50" t="s">
        <v>165</v>
      </c>
      <c r="Q1184" s="23">
        <v>0.56000000000000005</v>
      </c>
      <c r="R1184" s="22" t="s">
        <v>166</v>
      </c>
      <c r="S1184" s="30">
        <v>8.1999999999999993</v>
      </c>
      <c r="T1184" s="79">
        <f t="shared" si="362"/>
        <v>5.2810295999999998E-3</v>
      </c>
      <c r="U1184" s="22">
        <v>10</v>
      </c>
      <c r="V1184" s="22">
        <v>59</v>
      </c>
      <c r="W1184" s="10">
        <f t="shared" si="352"/>
        <v>1.0297442586766545</v>
      </c>
      <c r="X1184" s="22">
        <v>5</v>
      </c>
      <c r="Y1184" s="22">
        <v>13</v>
      </c>
      <c r="Z1184" s="10">
        <f t="shared" si="353"/>
        <v>0.22689280275926285</v>
      </c>
      <c r="AA1184" s="10">
        <f t="shared" si="354"/>
        <v>9.6964282787404485</v>
      </c>
      <c r="AB1184" s="10">
        <f t="shared" si="355"/>
        <v>19.885823994012682</v>
      </c>
      <c r="AC1184" s="10">
        <f t="shared" si="348"/>
        <v>2.4857279992515853</v>
      </c>
      <c r="AD1184" s="10">
        <f t="shared" si="359"/>
        <v>9.9429119970063411</v>
      </c>
      <c r="AE1184" s="65"/>
      <c r="AF1184" s="10">
        <f t="shared" si="360"/>
        <v>20.12697285514594</v>
      </c>
      <c r="AG1184" s="8">
        <f t="shared" si="349"/>
        <v>3.9247597067534583</v>
      </c>
      <c r="AH1184" s="10">
        <f t="shared" si="350"/>
        <v>10.06348642757297</v>
      </c>
      <c r="AI1184" s="63"/>
      <c r="AJ1184" s="10">
        <f t="shared" si="361"/>
        <v>14.040000000000006</v>
      </c>
      <c r="AK1184" s="8"/>
      <c r="AL1184" s="8">
        <f t="shared" si="351"/>
        <v>7.0200000000000031</v>
      </c>
    </row>
    <row r="1185" spans="1:38">
      <c r="A1185" s="18">
        <v>41468</v>
      </c>
      <c r="B1185" s="19" t="s">
        <v>132</v>
      </c>
      <c r="C1185" s="12">
        <v>250.2</v>
      </c>
      <c r="D1185" s="19" t="s">
        <v>32</v>
      </c>
      <c r="E1185" s="8">
        <v>8.4106699999999996</v>
      </c>
      <c r="F1185" s="8">
        <v>83.311130000000006</v>
      </c>
      <c r="G1185" s="22">
        <v>250</v>
      </c>
      <c r="H1185" s="22">
        <v>-14</v>
      </c>
      <c r="I1185" s="10">
        <f t="shared" si="356"/>
        <v>-7.0961293843639721</v>
      </c>
      <c r="J1185" s="10">
        <f t="shared" si="357"/>
        <v>-0.12385082190466953</v>
      </c>
      <c r="K1185" s="10">
        <f t="shared" si="358"/>
        <v>21.162095610230239</v>
      </c>
      <c r="L1185" s="22">
        <v>401</v>
      </c>
      <c r="M1185" s="22" t="s">
        <v>36</v>
      </c>
      <c r="N1185" s="8" t="s">
        <v>46</v>
      </c>
      <c r="O1185" s="10" t="s">
        <v>37</v>
      </c>
      <c r="P1185" s="10" t="s">
        <v>38</v>
      </c>
      <c r="Q1185" s="11">
        <v>0.48</v>
      </c>
      <c r="R1185" s="8" t="s">
        <v>60</v>
      </c>
      <c r="S1185" s="30">
        <v>26.5</v>
      </c>
      <c r="T1185" s="79">
        <f t="shared" si="362"/>
        <v>5.5154715E-2</v>
      </c>
      <c r="U1185" s="22">
        <v>11</v>
      </c>
      <c r="V1185" s="22">
        <v>51</v>
      </c>
      <c r="W1185" s="10">
        <f t="shared" si="352"/>
        <v>0.89011791851710809</v>
      </c>
      <c r="X1185" s="22">
        <v>5</v>
      </c>
      <c r="Y1185" s="22">
        <v>10</v>
      </c>
      <c r="Z1185" s="10">
        <f t="shared" si="353"/>
        <v>0.17453292519943295</v>
      </c>
      <c r="AA1185" s="10">
        <f t="shared" si="354"/>
        <v>9.416846464361333</v>
      </c>
      <c r="AB1185" s="10">
        <f t="shared" si="355"/>
        <v>151.84548658846444</v>
      </c>
      <c r="AC1185" s="10">
        <f t="shared" si="348"/>
        <v>18.980685823558055</v>
      </c>
      <c r="AD1185" s="10">
        <f t="shared" si="359"/>
        <v>75.92274329423222</v>
      </c>
      <c r="AE1185" s="65"/>
      <c r="AF1185" s="10">
        <f t="shared" si="360"/>
        <v>314.15852999678032</v>
      </c>
      <c r="AG1185" s="8">
        <f t="shared" si="349"/>
        <v>61.260913349372167</v>
      </c>
      <c r="AH1185" s="10">
        <f t="shared" si="350"/>
        <v>157.07926499839016</v>
      </c>
      <c r="AI1185" s="63"/>
      <c r="AJ1185" s="10">
        <f t="shared" si="361"/>
        <v>356.70749999999998</v>
      </c>
      <c r="AK1185" s="8"/>
      <c r="AL1185" s="8">
        <f t="shared" si="351"/>
        <v>178.35374999999999</v>
      </c>
    </row>
    <row r="1186" spans="1:38">
      <c r="A1186" s="18">
        <v>41468</v>
      </c>
      <c r="B1186" s="19" t="s">
        <v>132</v>
      </c>
      <c r="C1186" s="12">
        <v>250.2</v>
      </c>
      <c r="D1186" s="19" t="s">
        <v>32</v>
      </c>
      <c r="E1186" s="8">
        <v>8.4106699999999996</v>
      </c>
      <c r="F1186" s="8">
        <v>83.311130000000006</v>
      </c>
      <c r="G1186" s="22">
        <v>250</v>
      </c>
      <c r="H1186" s="22">
        <v>-14</v>
      </c>
      <c r="I1186" s="10">
        <f t="shared" si="356"/>
        <v>-7.0961293843639721</v>
      </c>
      <c r="J1186" s="10">
        <f t="shared" si="357"/>
        <v>-0.12385082190466953</v>
      </c>
      <c r="K1186" s="10">
        <f t="shared" si="358"/>
        <v>21.162095610230239</v>
      </c>
      <c r="L1186" s="22">
        <v>419</v>
      </c>
      <c r="M1186" s="31" t="s">
        <v>231</v>
      </c>
      <c r="N1186" s="8" t="s">
        <v>171</v>
      </c>
      <c r="O1186" s="33" t="s">
        <v>99</v>
      </c>
      <c r="P1186" s="33" t="s">
        <v>99</v>
      </c>
      <c r="Q1186" s="7">
        <v>0.57999999999999996</v>
      </c>
      <c r="R1186" s="7" t="s">
        <v>103</v>
      </c>
      <c r="S1186" s="12">
        <v>10.3</v>
      </c>
      <c r="T1186" s="79">
        <f t="shared" si="362"/>
        <v>8.3323086000000011E-3</v>
      </c>
      <c r="U1186" s="8">
        <v>11</v>
      </c>
      <c r="V1186" s="8">
        <v>44</v>
      </c>
      <c r="W1186" s="10">
        <f t="shared" ref="W1186:W1187" si="363">RADIANS(V1186)</f>
        <v>0.76794487087750496</v>
      </c>
      <c r="X1186" s="22">
        <v>6</v>
      </c>
      <c r="Y1186" s="22">
        <v>11</v>
      </c>
      <c r="Z1186" s="10">
        <f t="shared" ref="Z1186:Z1187" si="364">RADIANS(Y1186)</f>
        <v>0.19198621771937624</v>
      </c>
      <c r="AA1186" s="10">
        <f t="shared" ref="AA1186:AA1187" si="365">(SIN(W1186)*U1186)+(SIN(Z1186)*X1186)</f>
        <v>8.7860960473082379</v>
      </c>
      <c r="AB1186" s="10">
        <f t="shared" ref="AB1186:AB1187" si="366">0.0776*(Q1186*S1186^2*AA1186)^0.94</f>
        <v>28.759822902017824</v>
      </c>
      <c r="AC1186" s="10">
        <f t="shared" si="348"/>
        <v>3.594977862752228</v>
      </c>
      <c r="AD1186" s="10">
        <f t="shared" si="359"/>
        <v>14.379911451008912</v>
      </c>
      <c r="AE1186" s="65"/>
      <c r="AF1186" s="10">
        <f t="shared" si="360"/>
        <v>36.720698683752296</v>
      </c>
      <c r="AG1186" s="8">
        <f t="shared" si="349"/>
        <v>7.1605362433316984</v>
      </c>
      <c r="AH1186" s="10">
        <f t="shared" si="350"/>
        <v>18.360349341876148</v>
      </c>
      <c r="AI1186" s="63"/>
      <c r="AJ1186" s="10">
        <f t="shared" si="361"/>
        <v>28.187699999999992</v>
      </c>
      <c r="AK1186" s="8"/>
      <c r="AL1186" s="8">
        <f t="shared" si="351"/>
        <v>14.093849999999996</v>
      </c>
    </row>
    <row r="1187" spans="1:38">
      <c r="A1187" s="18">
        <v>41468</v>
      </c>
      <c r="B1187" s="19" t="s">
        <v>132</v>
      </c>
      <c r="C1187" s="12">
        <v>250.2</v>
      </c>
      <c r="D1187" s="19" t="s">
        <v>32</v>
      </c>
      <c r="E1187" s="8">
        <v>8.4106699999999996</v>
      </c>
      <c r="F1187" s="8">
        <v>83.311130000000006</v>
      </c>
      <c r="G1187" s="22">
        <v>250</v>
      </c>
      <c r="H1187" s="22">
        <v>-14</v>
      </c>
      <c r="I1187" s="10">
        <f t="shared" si="356"/>
        <v>-7.0961293843639721</v>
      </c>
      <c r="J1187" s="10">
        <f t="shared" si="357"/>
        <v>-0.12385082190466953</v>
      </c>
      <c r="K1187" s="10">
        <f t="shared" si="358"/>
        <v>21.162095610230239</v>
      </c>
      <c r="L1187" s="22">
        <v>478</v>
      </c>
      <c r="M1187" s="49" t="s">
        <v>97</v>
      </c>
      <c r="N1187" s="22" t="s">
        <v>99</v>
      </c>
      <c r="O1187" s="10" t="s">
        <v>99</v>
      </c>
      <c r="P1187" s="10" t="s">
        <v>99</v>
      </c>
      <c r="Q1187" s="22">
        <v>0.57999999999999996</v>
      </c>
      <c r="R1187" s="22" t="s">
        <v>103</v>
      </c>
      <c r="S1187" s="12">
        <v>9.1</v>
      </c>
      <c r="T1187" s="79">
        <f t="shared" si="362"/>
        <v>6.5038973999999991E-3</v>
      </c>
      <c r="U1187" s="8">
        <v>10</v>
      </c>
      <c r="V1187" s="8">
        <v>55</v>
      </c>
      <c r="W1187" s="10">
        <f t="shared" si="363"/>
        <v>0.95993108859688125</v>
      </c>
      <c r="X1187" s="22">
        <v>6</v>
      </c>
      <c r="Y1187" s="22">
        <v>9</v>
      </c>
      <c r="Z1187" s="10">
        <f t="shared" si="364"/>
        <v>0.15707963267948966</v>
      </c>
      <c r="AA1187" s="10">
        <f t="shared" si="365"/>
        <v>9.1301272331313026</v>
      </c>
      <c r="AB1187" s="10">
        <f t="shared" si="366"/>
        <v>23.622729268267591</v>
      </c>
      <c r="AC1187" s="10">
        <f t="shared" si="348"/>
        <v>2.9528411585334489</v>
      </c>
      <c r="AD1187" s="10">
        <f t="shared" si="359"/>
        <v>11.811364634133795</v>
      </c>
      <c r="AE1187" s="65"/>
      <c r="AF1187" s="10">
        <f t="shared" si="360"/>
        <v>26.990611896327032</v>
      </c>
      <c r="AG1187" s="8">
        <f t="shared" si="349"/>
        <v>5.2631693197837714</v>
      </c>
      <c r="AH1187" s="10">
        <f t="shared" si="350"/>
        <v>13.495305948163516</v>
      </c>
      <c r="AI1187" s="63"/>
      <c r="AJ1187" s="10">
        <f t="shared" si="361"/>
        <v>19.304099999999984</v>
      </c>
      <c r="AK1187" s="8"/>
      <c r="AL1187" s="8">
        <f t="shared" si="351"/>
        <v>9.652049999999992</v>
      </c>
    </row>
    <row r="1188" spans="1:38">
      <c r="A1188" s="18">
        <v>41480</v>
      </c>
      <c r="B1188" s="19" t="s">
        <v>141</v>
      </c>
      <c r="C1188" s="12">
        <v>300.10000000000002</v>
      </c>
      <c r="D1188" s="9" t="s">
        <v>32</v>
      </c>
      <c r="E1188" s="8">
        <v>8.4108099999999997</v>
      </c>
      <c r="F1188" s="8">
        <v>83.31138</v>
      </c>
      <c r="G1188" s="22">
        <v>300</v>
      </c>
      <c r="H1188" s="22">
        <v>12</v>
      </c>
      <c r="I1188" s="10">
        <f t="shared" ref="I1188:I1219" si="367">1/TAN(H1188/100)</f>
        <v>8.2932948805945319</v>
      </c>
      <c r="J1188" s="10">
        <f t="shared" ref="J1188:J1219" si="368">RADIANS(I1188)</f>
        <v>0.14474530150516457</v>
      </c>
      <c r="K1188" s="10">
        <f t="shared" ref="K1188:K1219" si="369">21/COS(J1188)</f>
        <v>21.221924545521965</v>
      </c>
      <c r="L1188" s="22">
        <v>939</v>
      </c>
      <c r="M1188" s="31" t="s">
        <v>231</v>
      </c>
      <c r="N1188" s="8" t="s">
        <v>171</v>
      </c>
      <c r="O1188" s="33" t="s">
        <v>99</v>
      </c>
      <c r="P1188" s="33" t="s">
        <v>99</v>
      </c>
      <c r="Q1188" s="7">
        <v>0.57999999999999996</v>
      </c>
      <c r="R1188" s="7" t="s">
        <v>103</v>
      </c>
      <c r="S1188" s="12">
        <v>32.5</v>
      </c>
      <c r="T1188" s="79">
        <f t="shared" si="362"/>
        <v>8.2957875E-2</v>
      </c>
      <c r="U1188" s="22">
        <v>10</v>
      </c>
      <c r="V1188" s="22">
        <v>70</v>
      </c>
      <c r="W1188" s="10">
        <f t="shared" ref="W1188:W1219" si="370">RADIANS(V1188)</f>
        <v>1.2217304763960306</v>
      </c>
      <c r="X1188" s="22">
        <v>6</v>
      </c>
      <c r="Y1188" s="22">
        <v>13</v>
      </c>
      <c r="Z1188" s="10">
        <f t="shared" ref="Z1188:Z1219" si="371">RADIANS(Y1188)</f>
        <v>0.22689280275926285</v>
      </c>
      <c r="AA1188" s="10">
        <f t="shared" ref="AA1188:AA1219" si="372">(SIN(W1188)*U1188)+(SIN(Z1188)*X1188)</f>
        <v>10.746632533922273</v>
      </c>
      <c r="AB1188" s="10">
        <f t="shared" ref="AB1188:AB1219" si="373">0.0776*(Q1188*S1188^2*AA1188)^0.94</f>
        <v>301.45383205026911</v>
      </c>
      <c r="AC1188" s="10">
        <f t="shared" si="348"/>
        <v>37.681729006283639</v>
      </c>
      <c r="AD1188" s="10">
        <f t="shared" si="359"/>
        <v>150.72691602513456</v>
      </c>
      <c r="AE1188" s="65"/>
      <c r="AF1188" s="10">
        <f t="shared" si="360"/>
        <v>621.57071108145851</v>
      </c>
      <c r="AG1188" s="8">
        <f t="shared" si="349"/>
        <v>121.20628866088441</v>
      </c>
      <c r="AH1188" s="10">
        <f t="shared" si="350"/>
        <v>310.78535554072926</v>
      </c>
      <c r="AI1188" s="63"/>
      <c r="AJ1188" s="10">
        <f t="shared" si="361"/>
        <v>576.94949999999994</v>
      </c>
      <c r="AK1188" s="8"/>
      <c r="AL1188" s="8">
        <f t="shared" si="351"/>
        <v>288.47474999999997</v>
      </c>
    </row>
    <row r="1189" spans="1:38">
      <c r="A1189" s="18">
        <v>41480</v>
      </c>
      <c r="B1189" s="19" t="s">
        <v>141</v>
      </c>
      <c r="C1189" s="12">
        <v>300.10000000000002</v>
      </c>
      <c r="D1189" s="19" t="s">
        <v>32</v>
      </c>
      <c r="E1189" s="8">
        <v>8.4108099999999997</v>
      </c>
      <c r="F1189" s="8">
        <v>83.31138</v>
      </c>
      <c r="G1189" s="22">
        <v>300</v>
      </c>
      <c r="H1189" s="22">
        <v>12</v>
      </c>
      <c r="I1189" s="10">
        <f t="shared" si="367"/>
        <v>8.2932948805945319</v>
      </c>
      <c r="J1189" s="10">
        <f t="shared" si="368"/>
        <v>0.14474530150516457</v>
      </c>
      <c r="K1189" s="10">
        <f t="shared" si="369"/>
        <v>21.221924545521965</v>
      </c>
      <c r="L1189" s="22">
        <v>888</v>
      </c>
      <c r="M1189" s="31" t="s">
        <v>231</v>
      </c>
      <c r="N1189" s="8" t="s">
        <v>171</v>
      </c>
      <c r="O1189" s="33" t="s">
        <v>99</v>
      </c>
      <c r="P1189" s="33" t="s">
        <v>99</v>
      </c>
      <c r="Q1189" s="7">
        <v>0.57999999999999996</v>
      </c>
      <c r="R1189" s="7" t="s">
        <v>103</v>
      </c>
      <c r="S1189" s="31">
        <v>9</v>
      </c>
      <c r="T1189" s="79">
        <f t="shared" si="362"/>
        <v>6.3617400000000003E-3</v>
      </c>
      <c r="U1189" s="22">
        <v>10</v>
      </c>
      <c r="V1189" s="22">
        <v>55</v>
      </c>
      <c r="W1189" s="10">
        <f t="shared" si="370"/>
        <v>0.95993108859688125</v>
      </c>
      <c r="X1189" s="22">
        <v>5</v>
      </c>
      <c r="Y1189" s="22">
        <v>11</v>
      </c>
      <c r="Z1189" s="10">
        <f t="shared" si="371"/>
        <v>0.19198621771937624</v>
      </c>
      <c r="AA1189" s="10">
        <f t="shared" si="372"/>
        <v>9.145565419772641</v>
      </c>
      <c r="AB1189" s="10">
        <f t="shared" si="373"/>
        <v>23.173833375913684</v>
      </c>
      <c r="AC1189" s="10">
        <f t="shared" si="348"/>
        <v>2.8967291719892105</v>
      </c>
      <c r="AD1189" s="10">
        <f t="shared" si="359"/>
        <v>11.586916687956842</v>
      </c>
      <c r="AE1189" s="65"/>
      <c r="AF1189" s="10">
        <f t="shared" si="360"/>
        <v>26.260171639120962</v>
      </c>
      <c r="AG1189" s="8">
        <f t="shared" si="349"/>
        <v>5.120733469628588</v>
      </c>
      <c r="AH1189" s="10">
        <f t="shared" si="350"/>
        <v>13.130085819560481</v>
      </c>
      <c r="AI1189" s="63"/>
      <c r="AJ1189" s="10">
        <f t="shared" si="361"/>
        <v>18.659999999999997</v>
      </c>
      <c r="AK1189" s="8"/>
      <c r="AL1189" s="8">
        <f t="shared" si="351"/>
        <v>9.3299999999999983</v>
      </c>
    </row>
    <row r="1190" spans="1:38">
      <c r="A1190" s="18">
        <v>41480</v>
      </c>
      <c r="B1190" s="19" t="s">
        <v>141</v>
      </c>
      <c r="C1190" s="12">
        <v>300.10000000000002</v>
      </c>
      <c r="D1190" s="19" t="s">
        <v>32</v>
      </c>
      <c r="E1190" s="8">
        <v>8.4108099999999997</v>
      </c>
      <c r="F1190" s="8">
        <v>83.31138</v>
      </c>
      <c r="G1190" s="22">
        <v>300</v>
      </c>
      <c r="H1190" s="22">
        <v>12</v>
      </c>
      <c r="I1190" s="10">
        <f t="shared" si="367"/>
        <v>8.2932948805945319</v>
      </c>
      <c r="J1190" s="10">
        <f t="shared" si="368"/>
        <v>0.14474530150516457</v>
      </c>
      <c r="K1190" s="10">
        <f t="shared" si="369"/>
        <v>21.221924545521965</v>
      </c>
      <c r="L1190" s="22">
        <v>897</v>
      </c>
      <c r="M1190" s="31" t="s">
        <v>231</v>
      </c>
      <c r="N1190" s="8" t="s">
        <v>171</v>
      </c>
      <c r="O1190" s="33" t="s">
        <v>99</v>
      </c>
      <c r="P1190" s="33" t="s">
        <v>99</v>
      </c>
      <c r="Q1190" s="7">
        <v>0.57999999999999996</v>
      </c>
      <c r="R1190" s="7" t="s">
        <v>103</v>
      </c>
      <c r="S1190" s="31">
        <v>15.7</v>
      </c>
      <c r="T1190" s="79">
        <f t="shared" si="362"/>
        <v>1.9359324599999998E-2</v>
      </c>
      <c r="U1190" s="22">
        <v>13</v>
      </c>
      <c r="V1190" s="22">
        <v>65</v>
      </c>
      <c r="W1190" s="10">
        <f t="shared" si="370"/>
        <v>1.1344640137963142</v>
      </c>
      <c r="X1190" s="22">
        <v>6</v>
      </c>
      <c r="Y1190" s="22">
        <v>4</v>
      </c>
      <c r="Z1190" s="10">
        <f t="shared" si="371"/>
        <v>6.9813170079773182E-2</v>
      </c>
      <c r="AA1190" s="10">
        <f t="shared" si="372"/>
        <v>12.200540073941202</v>
      </c>
      <c r="AB1190" s="10">
        <f t="shared" si="373"/>
        <v>86.491154490736065</v>
      </c>
      <c r="AC1190" s="10">
        <f t="shared" si="348"/>
        <v>10.811394311342008</v>
      </c>
      <c r="AD1190" s="10">
        <f t="shared" si="359"/>
        <v>43.245577245368032</v>
      </c>
      <c r="AE1190" s="65"/>
      <c r="AF1190" s="10">
        <f t="shared" si="360"/>
        <v>104.73150308863723</v>
      </c>
      <c r="AG1190" s="8">
        <f t="shared" si="349"/>
        <v>20.422643102284258</v>
      </c>
      <c r="AH1190" s="10">
        <f t="shared" si="350"/>
        <v>52.365751544318613</v>
      </c>
      <c r="AI1190" s="63"/>
      <c r="AJ1190" s="10">
        <f t="shared" si="361"/>
        <v>94.53749999999998</v>
      </c>
      <c r="AK1190" s="8"/>
      <c r="AL1190" s="8">
        <f t="shared" si="351"/>
        <v>47.26874999999999</v>
      </c>
    </row>
    <row r="1191" spans="1:38">
      <c r="A1191" s="18">
        <v>41480</v>
      </c>
      <c r="B1191" s="19" t="s">
        <v>141</v>
      </c>
      <c r="C1191" s="12">
        <v>300.10000000000002</v>
      </c>
      <c r="D1191" s="19" t="s">
        <v>32</v>
      </c>
      <c r="E1191" s="8">
        <v>8.4108099999999997</v>
      </c>
      <c r="F1191" s="8">
        <v>83.31138</v>
      </c>
      <c r="G1191" s="22">
        <v>300</v>
      </c>
      <c r="H1191" s="22">
        <v>12</v>
      </c>
      <c r="I1191" s="10">
        <f t="shared" si="367"/>
        <v>8.2932948805945319</v>
      </c>
      <c r="J1191" s="10">
        <f t="shared" si="368"/>
        <v>0.14474530150516457</v>
      </c>
      <c r="K1191" s="10">
        <f t="shared" si="369"/>
        <v>21.221924545521965</v>
      </c>
      <c r="L1191" s="22">
        <v>860</v>
      </c>
      <c r="M1191" s="22" t="s">
        <v>131</v>
      </c>
      <c r="N1191" s="8" t="s">
        <v>81</v>
      </c>
      <c r="O1191" s="10" t="s">
        <v>164</v>
      </c>
      <c r="P1191" s="50" t="s">
        <v>165</v>
      </c>
      <c r="Q1191" s="23">
        <v>0.56000000000000005</v>
      </c>
      <c r="R1191" s="22" t="s">
        <v>166</v>
      </c>
      <c r="S1191" s="31">
        <v>17.899999999999999</v>
      </c>
      <c r="T1191" s="79">
        <f t="shared" si="362"/>
        <v>2.5165001399999998E-2</v>
      </c>
      <c r="U1191" s="22">
        <v>14</v>
      </c>
      <c r="V1191" s="22">
        <v>60</v>
      </c>
      <c r="W1191" s="10">
        <f t="shared" si="370"/>
        <v>1.0471975511965976</v>
      </c>
      <c r="X1191" s="22">
        <v>8</v>
      </c>
      <c r="Y1191" s="22">
        <v>2</v>
      </c>
      <c r="Z1191" s="10">
        <f t="shared" si="371"/>
        <v>3.4906585039886591E-2</v>
      </c>
      <c r="AA1191" s="10">
        <f t="shared" si="372"/>
        <v>12.403551626602148</v>
      </c>
      <c r="AB1191" s="10">
        <f t="shared" si="373"/>
        <v>108.75655942868381</v>
      </c>
      <c r="AC1191" s="10">
        <f t="shared" si="348"/>
        <v>13.594569928585477</v>
      </c>
      <c r="AD1191" s="10">
        <f t="shared" si="359"/>
        <v>54.378279714341907</v>
      </c>
      <c r="AE1191" s="65"/>
      <c r="AF1191" s="10">
        <f t="shared" si="360"/>
        <v>139.93036788888429</v>
      </c>
      <c r="AG1191" s="8">
        <f t="shared" si="349"/>
        <v>27.286421738332439</v>
      </c>
      <c r="AH1191" s="10">
        <f t="shared" si="350"/>
        <v>69.965183944442146</v>
      </c>
      <c r="AI1191" s="63"/>
      <c r="AJ1191" s="10">
        <f t="shared" si="361"/>
        <v>133.94169999999997</v>
      </c>
      <c r="AK1191" s="8"/>
      <c r="AL1191" s="8">
        <f t="shared" si="351"/>
        <v>66.970849999999984</v>
      </c>
    </row>
    <row r="1192" spans="1:38">
      <c r="A1192" s="18">
        <v>41480</v>
      </c>
      <c r="B1192" s="19" t="s">
        <v>141</v>
      </c>
      <c r="C1192" s="12">
        <v>300.10000000000002</v>
      </c>
      <c r="D1192" s="19" t="s">
        <v>32</v>
      </c>
      <c r="E1192" s="8">
        <v>8.4108099999999997</v>
      </c>
      <c r="F1192" s="8">
        <v>83.31138</v>
      </c>
      <c r="G1192" s="22">
        <v>300</v>
      </c>
      <c r="H1192" s="22">
        <v>12</v>
      </c>
      <c r="I1192" s="10">
        <f t="shared" si="367"/>
        <v>8.2932948805945319</v>
      </c>
      <c r="J1192" s="10">
        <f t="shared" si="368"/>
        <v>0.14474530150516457</v>
      </c>
      <c r="K1192" s="10">
        <f t="shared" si="369"/>
        <v>21.221924545521965</v>
      </c>
      <c r="L1192" s="22">
        <v>977</v>
      </c>
      <c r="M1192" s="22" t="s">
        <v>39</v>
      </c>
      <c r="N1192" s="7" t="s">
        <v>69</v>
      </c>
      <c r="O1192" s="33" t="s">
        <v>65</v>
      </c>
      <c r="P1192" s="33" t="s">
        <v>70</v>
      </c>
      <c r="Q1192" s="7">
        <v>0.37</v>
      </c>
      <c r="R1192" s="7" t="s">
        <v>71</v>
      </c>
      <c r="S1192" s="31">
        <v>8</v>
      </c>
      <c r="T1192" s="79">
        <f t="shared" si="362"/>
        <v>5.0265600000000002E-3</v>
      </c>
      <c r="U1192" s="22">
        <v>11</v>
      </c>
      <c r="V1192" s="22">
        <v>45</v>
      </c>
      <c r="W1192" s="10">
        <f t="shared" si="370"/>
        <v>0.78539816339744828</v>
      </c>
      <c r="X1192" s="22">
        <v>8</v>
      </c>
      <c r="Y1192" s="22">
        <v>0</v>
      </c>
      <c r="Z1192" s="10">
        <f t="shared" si="371"/>
        <v>0</v>
      </c>
      <c r="AA1192" s="10">
        <f t="shared" si="372"/>
        <v>7.7781745930520216</v>
      </c>
      <c r="AB1192" s="10">
        <f t="shared" si="373"/>
        <v>10.45214782922954</v>
      </c>
      <c r="AC1192" s="10">
        <f t="shared" si="348"/>
        <v>1.3065184786536925</v>
      </c>
      <c r="AD1192" s="10">
        <f t="shared" si="359"/>
        <v>5.2260739146147701</v>
      </c>
      <c r="AE1192" s="65"/>
      <c r="AF1192" s="10">
        <f t="shared" si="360"/>
        <v>12.509147049353199</v>
      </c>
      <c r="AG1192" s="8">
        <f t="shared" si="349"/>
        <v>2.4392836746238737</v>
      </c>
      <c r="AH1192" s="10">
        <f t="shared" si="350"/>
        <v>6.2545735246765997</v>
      </c>
      <c r="AI1192" s="63"/>
      <c r="AJ1192" s="10">
        <f t="shared" si="361"/>
        <v>13.033000000000001</v>
      </c>
      <c r="AK1192" s="8"/>
      <c r="AL1192" s="8">
        <f t="shared" si="351"/>
        <v>6.5165000000000006</v>
      </c>
    </row>
    <row r="1193" spans="1:38">
      <c r="A1193" s="18">
        <v>41480</v>
      </c>
      <c r="B1193" s="19" t="s">
        <v>141</v>
      </c>
      <c r="C1193" s="12">
        <v>300.10000000000002</v>
      </c>
      <c r="D1193" s="19" t="s">
        <v>32</v>
      </c>
      <c r="E1193" s="8">
        <v>8.4108099999999997</v>
      </c>
      <c r="F1193" s="8">
        <v>83.31138</v>
      </c>
      <c r="G1193" s="22">
        <v>300</v>
      </c>
      <c r="H1193" s="22">
        <v>12</v>
      </c>
      <c r="I1193" s="10">
        <f t="shared" si="367"/>
        <v>8.2932948805945319</v>
      </c>
      <c r="J1193" s="10">
        <f t="shared" si="368"/>
        <v>0.14474530150516457</v>
      </c>
      <c r="K1193" s="10">
        <f t="shared" si="369"/>
        <v>21.221924545521965</v>
      </c>
      <c r="L1193" s="22">
        <v>837</v>
      </c>
      <c r="M1193" s="22" t="s">
        <v>36</v>
      </c>
      <c r="N1193" s="8" t="s">
        <v>46</v>
      </c>
      <c r="O1193" s="10" t="s">
        <v>37</v>
      </c>
      <c r="P1193" s="10" t="s">
        <v>38</v>
      </c>
      <c r="Q1193" s="11">
        <v>0.48</v>
      </c>
      <c r="R1193" s="8" t="s">
        <v>60</v>
      </c>
      <c r="S1193" s="31">
        <v>18.7</v>
      </c>
      <c r="T1193" s="79">
        <f t="shared" si="362"/>
        <v>2.74646526E-2</v>
      </c>
      <c r="U1193" s="22">
        <v>10</v>
      </c>
      <c r="V1193" s="22">
        <v>52</v>
      </c>
      <c r="W1193" s="10">
        <f t="shared" si="370"/>
        <v>0.90757121103705141</v>
      </c>
      <c r="X1193" s="22">
        <v>6</v>
      </c>
      <c r="Y1193" s="22">
        <v>0</v>
      </c>
      <c r="Z1193" s="10">
        <f t="shared" si="371"/>
        <v>0</v>
      </c>
      <c r="AA1193" s="10">
        <f t="shared" si="372"/>
        <v>7.8801075360672197</v>
      </c>
      <c r="AB1193" s="10">
        <f t="shared" si="373"/>
        <v>66.685424509503775</v>
      </c>
      <c r="AC1193" s="10">
        <f t="shared" si="348"/>
        <v>8.3356780636879719</v>
      </c>
      <c r="AD1193" s="10">
        <f t="shared" si="359"/>
        <v>33.342712254751888</v>
      </c>
      <c r="AE1193" s="65"/>
      <c r="AF1193" s="10">
        <f t="shared" si="360"/>
        <v>133.62516237397509</v>
      </c>
      <c r="AG1193" s="8">
        <f t="shared" si="349"/>
        <v>26.056906662925144</v>
      </c>
      <c r="AH1193" s="10">
        <f t="shared" si="350"/>
        <v>66.812581186987543</v>
      </c>
      <c r="AI1193" s="63"/>
      <c r="AJ1193" s="10">
        <f t="shared" si="361"/>
        <v>150.04650000000001</v>
      </c>
      <c r="AK1193" s="8"/>
      <c r="AL1193" s="8">
        <f t="shared" si="351"/>
        <v>75.023250000000004</v>
      </c>
    </row>
    <row r="1194" spans="1:38">
      <c r="A1194" s="18">
        <v>41480</v>
      </c>
      <c r="B1194" s="19" t="s">
        <v>141</v>
      </c>
      <c r="C1194" s="12">
        <v>300.10000000000002</v>
      </c>
      <c r="D1194" s="19" t="s">
        <v>32</v>
      </c>
      <c r="E1194" s="8">
        <v>8.4108099999999997</v>
      </c>
      <c r="F1194" s="8">
        <v>83.31138</v>
      </c>
      <c r="G1194" s="22">
        <v>300</v>
      </c>
      <c r="H1194" s="22">
        <v>12</v>
      </c>
      <c r="I1194" s="10">
        <f t="shared" si="367"/>
        <v>8.2932948805945319</v>
      </c>
      <c r="J1194" s="10">
        <f t="shared" si="368"/>
        <v>0.14474530150516457</v>
      </c>
      <c r="K1194" s="10">
        <f t="shared" si="369"/>
        <v>21.221924545521965</v>
      </c>
      <c r="L1194" s="22">
        <v>992</v>
      </c>
      <c r="M1194" s="22" t="s">
        <v>131</v>
      </c>
      <c r="N1194" s="8" t="s">
        <v>81</v>
      </c>
      <c r="O1194" s="10" t="s">
        <v>164</v>
      </c>
      <c r="P1194" s="50" t="s">
        <v>165</v>
      </c>
      <c r="Q1194" s="23">
        <v>0.56000000000000005</v>
      </c>
      <c r="R1194" s="22" t="s">
        <v>166</v>
      </c>
      <c r="S1194" s="31">
        <v>19.3</v>
      </c>
      <c r="T1194" s="79">
        <f t="shared" si="362"/>
        <v>2.9255364600000004E-2</v>
      </c>
      <c r="U1194" s="22">
        <v>16</v>
      </c>
      <c r="V1194" s="22">
        <v>70</v>
      </c>
      <c r="W1194" s="10">
        <f t="shared" si="370"/>
        <v>1.2217304763960306</v>
      </c>
      <c r="X1194" s="22">
        <v>6</v>
      </c>
      <c r="Y1194" s="22">
        <v>6</v>
      </c>
      <c r="Z1194" s="10">
        <f t="shared" si="371"/>
        <v>0.10471975511965978</v>
      </c>
      <c r="AA1194" s="10">
        <f t="shared" si="372"/>
        <v>15.662252712180454</v>
      </c>
      <c r="AB1194" s="10">
        <f t="shared" si="373"/>
        <v>156.0160150655727</v>
      </c>
      <c r="AC1194" s="10">
        <f t="shared" si="348"/>
        <v>19.502001883196588</v>
      </c>
      <c r="AD1194" s="10">
        <f t="shared" si="359"/>
        <v>78.008007532786351</v>
      </c>
      <c r="AE1194" s="65"/>
      <c r="AF1194" s="10">
        <f t="shared" si="360"/>
        <v>168.53393381981221</v>
      </c>
      <c r="AG1194" s="8">
        <f t="shared" si="349"/>
        <v>32.864117094863381</v>
      </c>
      <c r="AH1194" s="10">
        <f t="shared" si="350"/>
        <v>84.266966909906103</v>
      </c>
      <c r="AI1194" s="63"/>
      <c r="AJ1194" s="10">
        <f t="shared" si="361"/>
        <v>162.7467</v>
      </c>
      <c r="AK1194" s="8"/>
      <c r="AL1194" s="8">
        <f t="shared" si="351"/>
        <v>81.373350000000002</v>
      </c>
    </row>
    <row r="1195" spans="1:38">
      <c r="A1195" s="18">
        <v>41480</v>
      </c>
      <c r="B1195" s="19" t="s">
        <v>141</v>
      </c>
      <c r="C1195" s="12">
        <v>300.10000000000002</v>
      </c>
      <c r="D1195" s="19" t="s">
        <v>32</v>
      </c>
      <c r="E1195" s="8">
        <v>8.4108099999999997</v>
      </c>
      <c r="F1195" s="8">
        <v>83.31138</v>
      </c>
      <c r="G1195" s="22">
        <v>300</v>
      </c>
      <c r="H1195" s="22">
        <v>12</v>
      </c>
      <c r="I1195" s="10">
        <f t="shared" si="367"/>
        <v>8.2932948805945319</v>
      </c>
      <c r="J1195" s="10">
        <f t="shared" si="368"/>
        <v>0.14474530150516457</v>
      </c>
      <c r="K1195" s="10">
        <f t="shared" si="369"/>
        <v>21.221924545521965</v>
      </c>
      <c r="L1195" s="22">
        <v>859</v>
      </c>
      <c r="M1195" s="22" t="s">
        <v>131</v>
      </c>
      <c r="N1195" s="8" t="s">
        <v>81</v>
      </c>
      <c r="O1195" s="10" t="s">
        <v>164</v>
      </c>
      <c r="P1195" s="50" t="s">
        <v>165</v>
      </c>
      <c r="Q1195" s="23">
        <v>0.56000000000000005</v>
      </c>
      <c r="R1195" s="22" t="s">
        <v>166</v>
      </c>
      <c r="S1195" s="31">
        <v>17.5</v>
      </c>
      <c r="T1195" s="79">
        <f t="shared" si="362"/>
        <v>2.4052875000000001E-2</v>
      </c>
      <c r="U1195" s="22">
        <v>13</v>
      </c>
      <c r="V1195" s="22">
        <v>65</v>
      </c>
      <c r="W1195" s="10">
        <f t="shared" si="370"/>
        <v>1.1344640137963142</v>
      </c>
      <c r="X1195" s="22">
        <v>6</v>
      </c>
      <c r="Y1195" s="22">
        <v>12</v>
      </c>
      <c r="Z1195" s="10">
        <f t="shared" si="371"/>
        <v>0.20943951023931956</v>
      </c>
      <c r="AA1195" s="10">
        <f t="shared" si="372"/>
        <v>13.029471376383006</v>
      </c>
      <c r="AB1195" s="10">
        <f t="shared" si="373"/>
        <v>109.16946614589112</v>
      </c>
      <c r="AC1195" s="10">
        <f t="shared" ref="AC1195:AC1248" si="374">AB1195*0.125</f>
        <v>13.64618326823639</v>
      </c>
      <c r="AD1195" s="10">
        <f t="shared" si="359"/>
        <v>54.584733072945561</v>
      </c>
      <c r="AE1195" s="65"/>
      <c r="AF1195" s="10">
        <f t="shared" si="360"/>
        <v>132.32260059643335</v>
      </c>
      <c r="AG1195" s="8">
        <f t="shared" ref="AG1195:AG1248" si="375">AF1195*0.195</f>
        <v>25.802907116304503</v>
      </c>
      <c r="AH1195" s="10">
        <f t="shared" ref="AH1195:AH1248" si="376">AF1195/2</f>
        <v>66.161300298216673</v>
      </c>
      <c r="AI1195" s="63"/>
      <c r="AJ1195" s="10">
        <f t="shared" si="361"/>
        <v>126.24449999999999</v>
      </c>
      <c r="AK1195" s="8"/>
      <c r="AL1195" s="8">
        <f t="shared" ref="AL1195:AL1248" si="377">AJ1195/2</f>
        <v>63.122249999999994</v>
      </c>
    </row>
    <row r="1196" spans="1:38">
      <c r="A1196" s="18">
        <v>41480</v>
      </c>
      <c r="B1196" s="19" t="s">
        <v>141</v>
      </c>
      <c r="C1196" s="12">
        <v>300.10000000000002</v>
      </c>
      <c r="D1196" s="19" t="s">
        <v>32</v>
      </c>
      <c r="E1196" s="8">
        <v>8.4108099999999997</v>
      </c>
      <c r="F1196" s="8">
        <v>83.31138</v>
      </c>
      <c r="G1196" s="22">
        <v>300</v>
      </c>
      <c r="H1196" s="22">
        <v>12</v>
      </c>
      <c r="I1196" s="10">
        <f t="shared" si="367"/>
        <v>8.2932948805945319</v>
      </c>
      <c r="J1196" s="10">
        <f t="shared" si="368"/>
        <v>0.14474530150516457</v>
      </c>
      <c r="K1196" s="10">
        <f t="shared" si="369"/>
        <v>21.221924545521965</v>
      </c>
      <c r="L1196" s="22">
        <v>840</v>
      </c>
      <c r="M1196" s="22" t="s">
        <v>131</v>
      </c>
      <c r="N1196" s="8" t="s">
        <v>81</v>
      </c>
      <c r="O1196" s="10" t="s">
        <v>164</v>
      </c>
      <c r="P1196" s="50" t="s">
        <v>165</v>
      </c>
      <c r="Q1196" s="23">
        <v>0.56000000000000005</v>
      </c>
      <c r="R1196" s="22" t="s">
        <v>166</v>
      </c>
      <c r="S1196" s="31">
        <v>17.5</v>
      </c>
      <c r="T1196" s="79">
        <f t="shared" si="362"/>
        <v>2.4052875000000001E-2</v>
      </c>
      <c r="U1196" s="22">
        <v>13</v>
      </c>
      <c r="V1196" s="22">
        <v>65</v>
      </c>
      <c r="W1196" s="10">
        <f t="shared" si="370"/>
        <v>1.1344640137963142</v>
      </c>
      <c r="X1196" s="22">
        <v>6</v>
      </c>
      <c r="Y1196" s="22">
        <v>12</v>
      </c>
      <c r="Z1196" s="10">
        <f t="shared" si="371"/>
        <v>0.20943951023931956</v>
      </c>
      <c r="AA1196" s="10">
        <f t="shared" si="372"/>
        <v>13.029471376383006</v>
      </c>
      <c r="AB1196" s="10">
        <f t="shared" si="373"/>
        <v>109.16946614589112</v>
      </c>
      <c r="AC1196" s="10">
        <f t="shared" si="374"/>
        <v>13.64618326823639</v>
      </c>
      <c r="AD1196" s="10">
        <f t="shared" si="359"/>
        <v>54.584733072945561</v>
      </c>
      <c r="AE1196" s="65"/>
      <c r="AF1196" s="10">
        <f t="shared" si="360"/>
        <v>132.32260059643335</v>
      </c>
      <c r="AG1196" s="8">
        <f t="shared" si="375"/>
        <v>25.802907116304503</v>
      </c>
      <c r="AH1196" s="10">
        <f t="shared" si="376"/>
        <v>66.161300298216673</v>
      </c>
      <c r="AI1196" s="63"/>
      <c r="AJ1196" s="10">
        <f t="shared" si="361"/>
        <v>126.24449999999999</v>
      </c>
      <c r="AK1196" s="8"/>
      <c r="AL1196" s="8">
        <f t="shared" si="377"/>
        <v>63.122249999999994</v>
      </c>
    </row>
    <row r="1197" spans="1:38">
      <c r="A1197" s="18">
        <v>41480</v>
      </c>
      <c r="B1197" s="19" t="s">
        <v>141</v>
      </c>
      <c r="C1197" s="12">
        <v>300.10000000000002</v>
      </c>
      <c r="D1197" s="19" t="s">
        <v>32</v>
      </c>
      <c r="E1197" s="8">
        <v>8.4108099999999997</v>
      </c>
      <c r="F1197" s="8">
        <v>83.31138</v>
      </c>
      <c r="G1197" s="22">
        <v>300</v>
      </c>
      <c r="H1197" s="22">
        <v>12</v>
      </c>
      <c r="I1197" s="10">
        <f t="shared" si="367"/>
        <v>8.2932948805945319</v>
      </c>
      <c r="J1197" s="10">
        <f t="shared" si="368"/>
        <v>0.14474530150516457</v>
      </c>
      <c r="K1197" s="10">
        <f t="shared" si="369"/>
        <v>21.221924545521965</v>
      </c>
      <c r="L1197" s="22">
        <v>862</v>
      </c>
      <c r="M1197" s="22" t="s">
        <v>252</v>
      </c>
      <c r="N1197" s="8" t="s">
        <v>198</v>
      </c>
      <c r="O1197" s="10" t="s">
        <v>226</v>
      </c>
      <c r="P1197" s="10" t="s">
        <v>227</v>
      </c>
      <c r="Q1197" s="22">
        <v>0.54</v>
      </c>
      <c r="R1197" s="22" t="s">
        <v>190</v>
      </c>
      <c r="S1197" s="30">
        <v>6</v>
      </c>
      <c r="T1197" s="79">
        <f t="shared" si="362"/>
        <v>2.8274400000000001E-3</v>
      </c>
      <c r="U1197" s="22">
        <v>8</v>
      </c>
      <c r="V1197" s="22">
        <v>45</v>
      </c>
      <c r="W1197" s="10">
        <f t="shared" si="370"/>
        <v>0.78539816339744828</v>
      </c>
      <c r="X1197" s="22">
        <v>6</v>
      </c>
      <c r="Y1197" s="22">
        <v>8</v>
      </c>
      <c r="Z1197" s="10">
        <f t="shared" si="371"/>
        <v>0.13962634015954636</v>
      </c>
      <c r="AA1197" s="10">
        <f t="shared" si="372"/>
        <v>6.4918928552527726</v>
      </c>
      <c r="AB1197" s="10">
        <f t="shared" si="373"/>
        <v>7.3259722463303119</v>
      </c>
      <c r="AC1197" s="10">
        <f t="shared" si="374"/>
        <v>0.91574653079128898</v>
      </c>
      <c r="AD1197" s="10">
        <f t="shared" si="359"/>
        <v>3.6629861231651559</v>
      </c>
      <c r="AE1197" s="65"/>
      <c r="AF1197" s="10">
        <f t="shared" si="360"/>
        <v>8.9837023610594713</v>
      </c>
      <c r="AG1197" s="8">
        <f t="shared" si="375"/>
        <v>1.751821960406597</v>
      </c>
      <c r="AH1197" s="10">
        <f t="shared" si="376"/>
        <v>4.4918511805297356</v>
      </c>
      <c r="AI1197" s="63"/>
      <c r="AJ1197" s="10">
        <f t="shared" si="361"/>
        <v>6.2189999999999976</v>
      </c>
      <c r="AK1197" s="8"/>
      <c r="AL1197" s="8">
        <f t="shared" si="377"/>
        <v>3.1094999999999988</v>
      </c>
    </row>
    <row r="1198" spans="1:38">
      <c r="A1198" s="18">
        <v>41480</v>
      </c>
      <c r="B1198" s="19" t="s">
        <v>141</v>
      </c>
      <c r="C1198" s="12">
        <v>300.10000000000002</v>
      </c>
      <c r="D1198" s="19" t="s">
        <v>32</v>
      </c>
      <c r="E1198" s="8">
        <v>8.4108099999999997</v>
      </c>
      <c r="F1198" s="8">
        <v>83.31138</v>
      </c>
      <c r="G1198" s="22">
        <v>300</v>
      </c>
      <c r="H1198" s="22">
        <v>12</v>
      </c>
      <c r="I1198" s="10">
        <f t="shared" si="367"/>
        <v>8.2932948805945319</v>
      </c>
      <c r="J1198" s="10">
        <f t="shared" si="368"/>
        <v>0.14474530150516457</v>
      </c>
      <c r="K1198" s="10">
        <f t="shared" si="369"/>
        <v>21.221924545521965</v>
      </c>
      <c r="L1198" s="22">
        <v>933</v>
      </c>
      <c r="M1198" s="22" t="s">
        <v>131</v>
      </c>
      <c r="N1198" s="8" t="s">
        <v>81</v>
      </c>
      <c r="O1198" s="10" t="s">
        <v>164</v>
      </c>
      <c r="P1198" s="50" t="s">
        <v>165</v>
      </c>
      <c r="Q1198" s="23">
        <v>0.56000000000000005</v>
      </c>
      <c r="R1198" s="22" t="s">
        <v>166</v>
      </c>
      <c r="S1198" s="31">
        <v>18.2</v>
      </c>
      <c r="T1198" s="79">
        <f t="shared" si="362"/>
        <v>2.6015589599999996E-2</v>
      </c>
      <c r="U1198" s="22">
        <v>12</v>
      </c>
      <c r="V1198" s="22">
        <v>65</v>
      </c>
      <c r="W1198" s="10">
        <f t="shared" si="370"/>
        <v>1.1344640137963142</v>
      </c>
      <c r="X1198" s="22">
        <v>6</v>
      </c>
      <c r="Y1198" s="22">
        <v>8</v>
      </c>
      <c r="Z1198" s="10">
        <f t="shared" si="371"/>
        <v>0.13962634015954636</v>
      </c>
      <c r="AA1198" s="10">
        <f t="shared" si="372"/>
        <v>11.710732050200191</v>
      </c>
      <c r="AB1198" s="10">
        <f t="shared" si="373"/>
        <v>106.30695473248835</v>
      </c>
      <c r="AC1198" s="10">
        <f t="shared" si="374"/>
        <v>13.288369341561044</v>
      </c>
      <c r="AD1198" s="10">
        <f t="shared" si="359"/>
        <v>53.153477366244175</v>
      </c>
      <c r="AE1198" s="65"/>
      <c r="AF1198" s="10">
        <f t="shared" si="360"/>
        <v>145.79976291502248</v>
      </c>
      <c r="AG1198" s="8">
        <f t="shared" si="375"/>
        <v>28.430953768429386</v>
      </c>
      <c r="AH1198" s="10">
        <f t="shared" si="376"/>
        <v>72.899881457511242</v>
      </c>
      <c r="AI1198" s="63"/>
      <c r="AJ1198" s="10">
        <f t="shared" si="361"/>
        <v>139.86999999999995</v>
      </c>
      <c r="AK1198" s="8"/>
      <c r="AL1198" s="8">
        <f t="shared" si="377"/>
        <v>69.934999999999974</v>
      </c>
    </row>
    <row r="1199" spans="1:38">
      <c r="A1199" s="18">
        <v>41480</v>
      </c>
      <c r="B1199" s="19" t="s">
        <v>141</v>
      </c>
      <c r="C1199" s="12">
        <v>300.10000000000002</v>
      </c>
      <c r="D1199" s="19" t="s">
        <v>32</v>
      </c>
      <c r="E1199" s="8">
        <v>8.4108099999999997</v>
      </c>
      <c r="F1199" s="8">
        <v>83.31138</v>
      </c>
      <c r="G1199" s="22">
        <v>300</v>
      </c>
      <c r="H1199" s="22">
        <v>12</v>
      </c>
      <c r="I1199" s="10">
        <f t="shared" si="367"/>
        <v>8.2932948805945319</v>
      </c>
      <c r="J1199" s="10">
        <f t="shared" si="368"/>
        <v>0.14474530150516457</v>
      </c>
      <c r="K1199" s="10">
        <f t="shared" si="369"/>
        <v>21.221924545521965</v>
      </c>
      <c r="L1199" s="22">
        <v>842</v>
      </c>
      <c r="M1199" s="22" t="s">
        <v>131</v>
      </c>
      <c r="N1199" s="8" t="s">
        <v>81</v>
      </c>
      <c r="O1199" s="10" t="s">
        <v>164</v>
      </c>
      <c r="P1199" s="50" t="s">
        <v>165</v>
      </c>
      <c r="Q1199" s="23">
        <v>0.56000000000000005</v>
      </c>
      <c r="R1199" s="22" t="s">
        <v>166</v>
      </c>
      <c r="S1199" s="30">
        <v>7</v>
      </c>
      <c r="T1199" s="79">
        <f t="shared" si="362"/>
        <v>3.8484600000000002E-3</v>
      </c>
      <c r="U1199" s="22">
        <v>6</v>
      </c>
      <c r="V1199" s="22">
        <v>35</v>
      </c>
      <c r="W1199" s="10">
        <f t="shared" si="370"/>
        <v>0.6108652381980153</v>
      </c>
      <c r="X1199" s="22">
        <v>5</v>
      </c>
      <c r="Y1199" s="22">
        <v>15</v>
      </c>
      <c r="Z1199" s="10">
        <f t="shared" si="371"/>
        <v>0.26179938779914941</v>
      </c>
      <c r="AA1199" s="10">
        <f t="shared" si="372"/>
        <v>4.73555384361888</v>
      </c>
      <c r="AB1199" s="10">
        <f t="shared" si="373"/>
        <v>7.5299365045891813</v>
      </c>
      <c r="AC1199" s="10">
        <f t="shared" si="374"/>
        <v>0.94124206307364766</v>
      </c>
      <c r="AD1199" s="10">
        <f t="shared" si="359"/>
        <v>3.7649682522945906</v>
      </c>
      <c r="AE1199" s="65"/>
      <c r="AF1199" s="10">
        <f t="shared" si="360"/>
        <v>13.610657087221263</v>
      </c>
      <c r="AG1199" s="8">
        <f t="shared" si="375"/>
        <v>2.6540781320081464</v>
      </c>
      <c r="AH1199" s="10">
        <f t="shared" si="376"/>
        <v>6.8053285436106314</v>
      </c>
      <c r="AI1199" s="63"/>
      <c r="AJ1199" s="10">
        <f t="shared" si="361"/>
        <v>8.8859999999999992</v>
      </c>
      <c r="AK1199" s="8"/>
      <c r="AL1199" s="8">
        <f t="shared" si="377"/>
        <v>4.4429999999999996</v>
      </c>
    </row>
    <row r="1200" spans="1:38">
      <c r="A1200" s="18">
        <v>41480</v>
      </c>
      <c r="B1200" s="19" t="s">
        <v>141</v>
      </c>
      <c r="C1200" s="12">
        <v>300.10000000000002</v>
      </c>
      <c r="D1200" s="19" t="s">
        <v>32</v>
      </c>
      <c r="E1200" s="8">
        <v>8.4108099999999997</v>
      </c>
      <c r="F1200" s="8">
        <v>83.31138</v>
      </c>
      <c r="G1200" s="22">
        <v>300</v>
      </c>
      <c r="H1200" s="22">
        <v>12</v>
      </c>
      <c r="I1200" s="10">
        <f t="shared" si="367"/>
        <v>8.2932948805945319</v>
      </c>
      <c r="J1200" s="10">
        <f t="shared" si="368"/>
        <v>0.14474530150516457</v>
      </c>
      <c r="K1200" s="10">
        <f t="shared" si="369"/>
        <v>21.221924545521965</v>
      </c>
      <c r="L1200" s="22">
        <v>848</v>
      </c>
      <c r="M1200" s="22" t="s">
        <v>131</v>
      </c>
      <c r="N1200" s="8" t="s">
        <v>81</v>
      </c>
      <c r="O1200" s="10" t="s">
        <v>164</v>
      </c>
      <c r="P1200" s="50" t="s">
        <v>165</v>
      </c>
      <c r="Q1200" s="23">
        <v>0.56000000000000005</v>
      </c>
      <c r="R1200" s="22" t="s">
        <v>166</v>
      </c>
      <c r="S1200" s="31">
        <v>8.8000000000000007</v>
      </c>
      <c r="T1200" s="79">
        <f t="shared" si="362"/>
        <v>6.0821376000000016E-3</v>
      </c>
      <c r="U1200" s="22">
        <v>8</v>
      </c>
      <c r="V1200" s="22">
        <v>62</v>
      </c>
      <c r="W1200" s="10">
        <f t="shared" si="370"/>
        <v>1.0821041362364843</v>
      </c>
      <c r="X1200" s="22">
        <v>5</v>
      </c>
      <c r="Y1200" s="22">
        <v>15</v>
      </c>
      <c r="Z1200" s="10">
        <f t="shared" si="371"/>
        <v>0.26179938779914941</v>
      </c>
      <c r="AA1200" s="10">
        <f t="shared" si="372"/>
        <v>8.3576759683840187</v>
      </c>
      <c r="AB1200" s="10">
        <f t="shared" si="373"/>
        <v>19.74905356899944</v>
      </c>
      <c r="AC1200" s="10">
        <f t="shared" si="374"/>
        <v>2.4686316961249299</v>
      </c>
      <c r="AD1200" s="10">
        <f t="shared" si="359"/>
        <v>9.8745267844997198</v>
      </c>
      <c r="AE1200" s="65"/>
      <c r="AF1200" s="10">
        <f t="shared" si="360"/>
        <v>23.979055583698972</v>
      </c>
      <c r="AG1200" s="8">
        <f t="shared" si="375"/>
        <v>4.6759158388212994</v>
      </c>
      <c r="AH1200" s="10">
        <f t="shared" si="376"/>
        <v>11.989527791849486</v>
      </c>
      <c r="AI1200" s="63"/>
      <c r="AJ1200" s="10">
        <f t="shared" si="361"/>
        <v>17.416199999999996</v>
      </c>
      <c r="AK1200" s="8"/>
      <c r="AL1200" s="8">
        <f t="shared" si="377"/>
        <v>8.7080999999999982</v>
      </c>
    </row>
    <row r="1201" spans="1:38">
      <c r="A1201" s="18">
        <v>41480</v>
      </c>
      <c r="B1201" s="19" t="s">
        <v>141</v>
      </c>
      <c r="C1201" s="12">
        <v>300.10000000000002</v>
      </c>
      <c r="D1201" s="19" t="s">
        <v>32</v>
      </c>
      <c r="E1201" s="8">
        <v>8.4108099999999997</v>
      </c>
      <c r="F1201" s="8">
        <v>83.31138</v>
      </c>
      <c r="G1201" s="22">
        <v>300</v>
      </c>
      <c r="H1201" s="22">
        <v>12</v>
      </c>
      <c r="I1201" s="10">
        <f t="shared" si="367"/>
        <v>8.2932948805945319</v>
      </c>
      <c r="J1201" s="10">
        <f t="shared" si="368"/>
        <v>0.14474530150516457</v>
      </c>
      <c r="K1201" s="10">
        <f t="shared" si="369"/>
        <v>21.221924545521965</v>
      </c>
      <c r="L1201" s="22">
        <v>841</v>
      </c>
      <c r="M1201" s="22" t="s">
        <v>131</v>
      </c>
      <c r="N1201" s="8" t="s">
        <v>81</v>
      </c>
      <c r="O1201" s="10" t="s">
        <v>164</v>
      </c>
      <c r="P1201" s="50" t="s">
        <v>165</v>
      </c>
      <c r="Q1201" s="23">
        <v>0.56000000000000005</v>
      </c>
      <c r="R1201" s="22" t="s">
        <v>166</v>
      </c>
      <c r="S1201" s="30">
        <v>16</v>
      </c>
      <c r="T1201" s="79">
        <f t="shared" si="362"/>
        <v>2.0106240000000001E-2</v>
      </c>
      <c r="U1201" s="22">
        <v>15</v>
      </c>
      <c r="V1201" s="22">
        <v>72</v>
      </c>
      <c r="W1201" s="10">
        <f t="shared" si="370"/>
        <v>1.2566370614359172</v>
      </c>
      <c r="X1201" s="22">
        <v>6</v>
      </c>
      <c r="Y1201" s="22">
        <v>6</v>
      </c>
      <c r="Z1201" s="10">
        <f t="shared" si="371"/>
        <v>0.10471975511965978</v>
      </c>
      <c r="AA1201" s="10">
        <f t="shared" si="372"/>
        <v>14.893018524033224</v>
      </c>
      <c r="AB1201" s="10">
        <f t="shared" si="373"/>
        <v>104.59424754495014</v>
      </c>
      <c r="AC1201" s="10">
        <f t="shared" si="374"/>
        <v>13.074280943118767</v>
      </c>
      <c r="AD1201" s="10">
        <f t="shared" si="359"/>
        <v>52.297123772475068</v>
      </c>
      <c r="AE1201" s="65"/>
      <c r="AF1201" s="10">
        <f t="shared" si="360"/>
        <v>105.98059621096799</v>
      </c>
      <c r="AG1201" s="8">
        <f t="shared" si="375"/>
        <v>20.666216261138757</v>
      </c>
      <c r="AH1201" s="10">
        <f t="shared" si="376"/>
        <v>52.990298105483994</v>
      </c>
      <c r="AI1201" s="63"/>
      <c r="AJ1201" s="10">
        <f t="shared" si="361"/>
        <v>99.48899999999999</v>
      </c>
      <c r="AK1201" s="8"/>
      <c r="AL1201" s="8">
        <f t="shared" si="377"/>
        <v>49.744499999999995</v>
      </c>
    </row>
    <row r="1202" spans="1:38">
      <c r="A1202" s="18">
        <v>41480</v>
      </c>
      <c r="B1202" s="19" t="s">
        <v>141</v>
      </c>
      <c r="C1202" s="12">
        <v>300.10000000000002</v>
      </c>
      <c r="D1202" s="19" t="s">
        <v>32</v>
      </c>
      <c r="E1202" s="8">
        <v>8.4108099999999997</v>
      </c>
      <c r="F1202" s="8">
        <v>83.31138</v>
      </c>
      <c r="G1202" s="22">
        <v>300</v>
      </c>
      <c r="H1202" s="22">
        <v>12</v>
      </c>
      <c r="I1202" s="10">
        <f t="shared" si="367"/>
        <v>8.2932948805945319</v>
      </c>
      <c r="J1202" s="10">
        <f t="shared" si="368"/>
        <v>0.14474530150516457</v>
      </c>
      <c r="K1202" s="10">
        <f t="shared" si="369"/>
        <v>21.221924545521965</v>
      </c>
      <c r="L1202" s="22">
        <v>981</v>
      </c>
      <c r="M1202" s="22" t="s">
        <v>36</v>
      </c>
      <c r="N1202" s="8" t="s">
        <v>46</v>
      </c>
      <c r="O1202" s="10" t="s">
        <v>37</v>
      </c>
      <c r="P1202" s="10" t="s">
        <v>38</v>
      </c>
      <c r="Q1202" s="11">
        <v>0.48</v>
      </c>
      <c r="R1202" s="8" t="s">
        <v>60</v>
      </c>
      <c r="S1202" s="30">
        <v>21</v>
      </c>
      <c r="T1202" s="79">
        <f t="shared" si="362"/>
        <v>3.4636140000000003E-2</v>
      </c>
      <c r="U1202" s="22">
        <v>7</v>
      </c>
      <c r="V1202" s="22">
        <v>48</v>
      </c>
      <c r="W1202" s="10">
        <f t="shared" si="370"/>
        <v>0.83775804095727824</v>
      </c>
      <c r="X1202" s="22">
        <v>6</v>
      </c>
      <c r="Y1202" s="22">
        <v>5</v>
      </c>
      <c r="Z1202" s="10">
        <f t="shared" si="371"/>
        <v>8.7266462599716474E-2</v>
      </c>
      <c r="AA1202" s="10">
        <f t="shared" si="372"/>
        <v>5.7249482348277088</v>
      </c>
      <c r="AB1202" s="10">
        <f t="shared" si="373"/>
        <v>61.419464944461211</v>
      </c>
      <c r="AC1202" s="10">
        <f t="shared" si="374"/>
        <v>7.6774331180576514</v>
      </c>
      <c r="AD1202" s="10">
        <f t="shared" si="359"/>
        <v>30.709732472230606</v>
      </c>
      <c r="AE1202" s="65"/>
      <c r="AF1202" s="10">
        <f t="shared" si="360"/>
        <v>177.84448358046754</v>
      </c>
      <c r="AG1202" s="8">
        <f t="shared" si="375"/>
        <v>34.679674298191173</v>
      </c>
      <c r="AH1202" s="10">
        <f t="shared" si="376"/>
        <v>88.92224179023377</v>
      </c>
      <c r="AI1202" s="63"/>
      <c r="AJ1202" s="10">
        <f t="shared" si="361"/>
        <v>201.62399999999997</v>
      </c>
      <c r="AK1202" s="8"/>
      <c r="AL1202" s="8">
        <f t="shared" si="377"/>
        <v>100.81199999999998</v>
      </c>
    </row>
    <row r="1203" spans="1:38">
      <c r="A1203" s="18">
        <v>41480</v>
      </c>
      <c r="B1203" s="19" t="s">
        <v>141</v>
      </c>
      <c r="C1203" s="12">
        <v>300.10000000000002</v>
      </c>
      <c r="D1203" s="19" t="s">
        <v>32</v>
      </c>
      <c r="E1203" s="8">
        <v>8.4108099999999997</v>
      </c>
      <c r="F1203" s="8">
        <v>83.31138</v>
      </c>
      <c r="G1203" s="22">
        <v>300</v>
      </c>
      <c r="H1203" s="22">
        <v>12</v>
      </c>
      <c r="I1203" s="10">
        <f t="shared" si="367"/>
        <v>8.2932948805945319</v>
      </c>
      <c r="J1203" s="10">
        <f t="shared" si="368"/>
        <v>0.14474530150516457</v>
      </c>
      <c r="K1203" s="10">
        <f t="shared" si="369"/>
        <v>21.221924545521965</v>
      </c>
      <c r="L1203" s="22">
        <v>847</v>
      </c>
      <c r="M1203" s="22" t="s">
        <v>39</v>
      </c>
      <c r="N1203" s="7" t="s">
        <v>69</v>
      </c>
      <c r="O1203" s="33" t="s">
        <v>65</v>
      </c>
      <c r="P1203" s="33" t="s">
        <v>70</v>
      </c>
      <c r="Q1203" s="7">
        <v>0.37</v>
      </c>
      <c r="R1203" s="7" t="s">
        <v>71</v>
      </c>
      <c r="S1203" s="30">
        <v>9.5</v>
      </c>
      <c r="T1203" s="79">
        <f t="shared" si="362"/>
        <v>7.088235E-3</v>
      </c>
      <c r="U1203" s="22">
        <v>12</v>
      </c>
      <c r="V1203" s="22">
        <v>59</v>
      </c>
      <c r="W1203" s="10">
        <f t="shared" si="370"/>
        <v>1.0297442586766545</v>
      </c>
      <c r="X1203" s="22">
        <v>6</v>
      </c>
      <c r="Y1203" s="22">
        <v>15</v>
      </c>
      <c r="Z1203" s="10">
        <f t="shared" si="371"/>
        <v>0.26179938779914941</v>
      </c>
      <c r="AA1203" s="10">
        <f t="shared" si="372"/>
        <v>11.838921879040472</v>
      </c>
      <c r="AB1203" s="10">
        <f t="shared" si="373"/>
        <v>21.429159893758918</v>
      </c>
      <c r="AC1203" s="10">
        <f t="shared" si="374"/>
        <v>2.6786449867198647</v>
      </c>
      <c r="AD1203" s="10">
        <f t="shared" si="359"/>
        <v>10.714579946879459</v>
      </c>
      <c r="AE1203" s="65"/>
      <c r="AF1203" s="10">
        <f t="shared" si="360"/>
        <v>19.15987915500568</v>
      </c>
      <c r="AG1203" s="8">
        <f t="shared" si="375"/>
        <v>3.7361764352261075</v>
      </c>
      <c r="AH1203" s="10">
        <f t="shared" si="376"/>
        <v>9.5799395775028398</v>
      </c>
      <c r="AI1203" s="63"/>
      <c r="AJ1203" s="10">
        <f t="shared" si="361"/>
        <v>22.028499999999994</v>
      </c>
      <c r="AK1203" s="8"/>
      <c r="AL1203" s="8">
        <f t="shared" si="377"/>
        <v>11.014249999999997</v>
      </c>
    </row>
    <row r="1204" spans="1:38">
      <c r="A1204" s="18">
        <v>41480</v>
      </c>
      <c r="B1204" s="19" t="s">
        <v>141</v>
      </c>
      <c r="C1204" s="12">
        <v>300.10000000000002</v>
      </c>
      <c r="D1204" s="19" t="s">
        <v>32</v>
      </c>
      <c r="E1204" s="8">
        <v>8.4108099999999997</v>
      </c>
      <c r="F1204" s="8">
        <v>83.31138</v>
      </c>
      <c r="G1204" s="22">
        <v>300</v>
      </c>
      <c r="H1204" s="22">
        <v>12</v>
      </c>
      <c r="I1204" s="10">
        <f t="shared" si="367"/>
        <v>8.2932948805945319</v>
      </c>
      <c r="J1204" s="10">
        <f t="shared" si="368"/>
        <v>0.14474530150516457</v>
      </c>
      <c r="K1204" s="10">
        <f t="shared" si="369"/>
        <v>21.221924545521965</v>
      </c>
      <c r="L1204" s="22">
        <v>938</v>
      </c>
      <c r="M1204" s="22" t="s">
        <v>131</v>
      </c>
      <c r="N1204" s="8" t="s">
        <v>81</v>
      </c>
      <c r="O1204" s="10" t="s">
        <v>164</v>
      </c>
      <c r="P1204" s="50" t="s">
        <v>165</v>
      </c>
      <c r="Q1204" s="23">
        <v>0.56000000000000005</v>
      </c>
      <c r="R1204" s="22" t="s">
        <v>166</v>
      </c>
      <c r="S1204" s="30">
        <v>14.1</v>
      </c>
      <c r="T1204" s="79">
        <f t="shared" si="362"/>
        <v>1.5614537400000001E-2</v>
      </c>
      <c r="U1204" s="22">
        <v>12</v>
      </c>
      <c r="V1204" s="22">
        <v>70</v>
      </c>
      <c r="W1204" s="10">
        <f t="shared" si="370"/>
        <v>1.2217304763960306</v>
      </c>
      <c r="X1204" s="22">
        <v>6</v>
      </c>
      <c r="Y1204" s="22">
        <v>6</v>
      </c>
      <c r="Z1204" s="10">
        <f t="shared" si="371"/>
        <v>0.10471975511965978</v>
      </c>
      <c r="AA1204" s="10">
        <f t="shared" si="372"/>
        <v>11.90348222903682</v>
      </c>
      <c r="AB1204" s="10">
        <f t="shared" si="373"/>
        <v>66.807309917318733</v>
      </c>
      <c r="AC1204" s="10">
        <f t="shared" si="374"/>
        <v>8.3509137396648416</v>
      </c>
      <c r="AD1204" s="10">
        <f t="shared" si="359"/>
        <v>33.403654958659367</v>
      </c>
      <c r="AE1204" s="65"/>
      <c r="AF1204" s="10">
        <f t="shared" si="360"/>
        <v>77.432166372580994</v>
      </c>
      <c r="AG1204" s="8">
        <f t="shared" si="375"/>
        <v>15.099272442653294</v>
      </c>
      <c r="AH1204" s="10">
        <f t="shared" si="376"/>
        <v>38.716083186290497</v>
      </c>
      <c r="AI1204" s="63"/>
      <c r="AJ1204" s="10">
        <f t="shared" si="361"/>
        <v>70.379100000000008</v>
      </c>
      <c r="AK1204" s="8"/>
      <c r="AL1204" s="8">
        <f t="shared" si="377"/>
        <v>35.189550000000004</v>
      </c>
    </row>
    <row r="1205" spans="1:38">
      <c r="A1205" s="18">
        <v>41480</v>
      </c>
      <c r="B1205" s="19" t="s">
        <v>141</v>
      </c>
      <c r="C1205" s="12">
        <v>300.10000000000002</v>
      </c>
      <c r="D1205" s="19" t="s">
        <v>32</v>
      </c>
      <c r="E1205" s="8">
        <v>8.4108099999999997</v>
      </c>
      <c r="F1205" s="8">
        <v>83.31138</v>
      </c>
      <c r="G1205" s="22">
        <v>300</v>
      </c>
      <c r="H1205" s="22">
        <v>12</v>
      </c>
      <c r="I1205" s="10">
        <f t="shared" si="367"/>
        <v>8.2932948805945319</v>
      </c>
      <c r="J1205" s="10">
        <f t="shared" si="368"/>
        <v>0.14474530150516457</v>
      </c>
      <c r="K1205" s="10">
        <f t="shared" si="369"/>
        <v>21.221924545521965</v>
      </c>
      <c r="L1205" s="22">
        <v>889</v>
      </c>
      <c r="M1205" s="22" t="s">
        <v>39</v>
      </c>
      <c r="N1205" s="7" t="s">
        <v>69</v>
      </c>
      <c r="O1205" s="33" t="s">
        <v>65</v>
      </c>
      <c r="P1205" s="33" t="s">
        <v>70</v>
      </c>
      <c r="Q1205" s="7">
        <v>0.37</v>
      </c>
      <c r="R1205" s="7" t="s">
        <v>71</v>
      </c>
      <c r="S1205" s="30">
        <v>10.5</v>
      </c>
      <c r="T1205" s="79">
        <f t="shared" si="362"/>
        <v>8.6590350000000007E-3</v>
      </c>
      <c r="U1205" s="22">
        <v>12</v>
      </c>
      <c r="V1205" s="22">
        <v>75</v>
      </c>
      <c r="W1205" s="10">
        <f t="shared" si="370"/>
        <v>1.3089969389957472</v>
      </c>
      <c r="X1205" s="22">
        <v>6</v>
      </c>
      <c r="Y1205" s="22">
        <v>6</v>
      </c>
      <c r="Z1205" s="10">
        <f t="shared" si="371"/>
        <v>0.10471975511965978</v>
      </c>
      <c r="AA1205" s="10">
        <f t="shared" si="372"/>
        <v>12.218280695074741</v>
      </c>
      <c r="AB1205" s="10">
        <f t="shared" si="373"/>
        <v>26.643833826401991</v>
      </c>
      <c r="AC1205" s="10">
        <f t="shared" si="374"/>
        <v>3.3304792283002489</v>
      </c>
      <c r="AD1205" s="10">
        <f t="shared" si="359"/>
        <v>13.321916913200996</v>
      </c>
      <c r="AE1205" s="65"/>
      <c r="AF1205" s="10">
        <f t="shared" si="360"/>
        <v>24.572985921641621</v>
      </c>
      <c r="AG1205" s="8">
        <f t="shared" si="375"/>
        <v>4.7917322547201167</v>
      </c>
      <c r="AH1205" s="10">
        <f t="shared" si="376"/>
        <v>12.28649296082081</v>
      </c>
      <c r="AI1205" s="63"/>
      <c r="AJ1205" s="10">
        <f t="shared" si="361"/>
        <v>29.875499999999988</v>
      </c>
      <c r="AK1205" s="8"/>
      <c r="AL1205" s="8">
        <f t="shared" si="377"/>
        <v>14.937749999999994</v>
      </c>
    </row>
    <row r="1206" spans="1:38">
      <c r="A1206" s="18">
        <v>41480</v>
      </c>
      <c r="B1206" s="19" t="s">
        <v>141</v>
      </c>
      <c r="C1206" s="12">
        <v>300.10000000000002</v>
      </c>
      <c r="D1206" s="19" t="s">
        <v>32</v>
      </c>
      <c r="E1206" s="8">
        <v>8.4108099999999997</v>
      </c>
      <c r="F1206" s="8">
        <v>83.31138</v>
      </c>
      <c r="G1206" s="22">
        <v>300</v>
      </c>
      <c r="H1206" s="22">
        <v>12</v>
      </c>
      <c r="I1206" s="10">
        <f t="shared" si="367"/>
        <v>8.2932948805945319</v>
      </c>
      <c r="J1206" s="10">
        <f t="shared" si="368"/>
        <v>0.14474530150516457</v>
      </c>
      <c r="K1206" s="10">
        <f t="shared" si="369"/>
        <v>21.221924545521965</v>
      </c>
      <c r="L1206" s="22">
        <v>857</v>
      </c>
      <c r="M1206" s="22" t="s">
        <v>36</v>
      </c>
      <c r="N1206" s="8" t="s">
        <v>46</v>
      </c>
      <c r="O1206" s="10" t="s">
        <v>37</v>
      </c>
      <c r="P1206" s="10" t="s">
        <v>38</v>
      </c>
      <c r="Q1206" s="11">
        <v>0.48</v>
      </c>
      <c r="R1206" s="8" t="s">
        <v>60</v>
      </c>
      <c r="S1206" s="30">
        <v>26.2</v>
      </c>
      <c r="T1206" s="79">
        <f t="shared" si="362"/>
        <v>5.3912997599999998E-2</v>
      </c>
      <c r="U1206" s="22">
        <v>9</v>
      </c>
      <c r="V1206" s="22">
        <v>65</v>
      </c>
      <c r="W1206" s="10">
        <f t="shared" si="370"/>
        <v>1.1344640137963142</v>
      </c>
      <c r="X1206" s="22">
        <v>6</v>
      </c>
      <c r="Y1206" s="22">
        <v>5</v>
      </c>
      <c r="Z1206" s="10">
        <f t="shared" si="371"/>
        <v>8.7266462599716474E-2</v>
      </c>
      <c r="AA1206" s="10">
        <f t="shared" si="372"/>
        <v>8.6797045398157984</v>
      </c>
      <c r="AB1206" s="10">
        <f t="shared" si="373"/>
        <v>137.66690774157104</v>
      </c>
      <c r="AC1206" s="10">
        <f t="shared" si="374"/>
        <v>17.20836346769638</v>
      </c>
      <c r="AD1206" s="10">
        <f t="shared" si="359"/>
        <v>68.833453870785519</v>
      </c>
      <c r="AE1206" s="65"/>
      <c r="AF1206" s="10">
        <f t="shared" si="360"/>
        <v>305.5785039255627</v>
      </c>
      <c r="AG1206" s="8">
        <f t="shared" si="375"/>
        <v>59.587808265484732</v>
      </c>
      <c r="AH1206" s="10">
        <f t="shared" si="376"/>
        <v>152.78925196278135</v>
      </c>
      <c r="AI1206" s="63"/>
      <c r="AJ1206" s="10">
        <f t="shared" si="361"/>
        <v>347.09399999999994</v>
      </c>
      <c r="AK1206" s="8"/>
      <c r="AL1206" s="8">
        <f t="shared" si="377"/>
        <v>173.54699999999997</v>
      </c>
    </row>
    <row r="1207" spans="1:38">
      <c r="A1207" s="18">
        <v>41480</v>
      </c>
      <c r="B1207" s="19" t="s">
        <v>141</v>
      </c>
      <c r="C1207" s="12">
        <v>300.10000000000002</v>
      </c>
      <c r="D1207" s="19" t="s">
        <v>32</v>
      </c>
      <c r="E1207" s="8">
        <v>8.4108099999999997</v>
      </c>
      <c r="F1207" s="8">
        <v>83.31138</v>
      </c>
      <c r="G1207" s="22">
        <v>300</v>
      </c>
      <c r="H1207" s="22">
        <v>12</v>
      </c>
      <c r="I1207" s="10">
        <f t="shared" si="367"/>
        <v>8.2932948805945319</v>
      </c>
      <c r="J1207" s="10">
        <f t="shared" si="368"/>
        <v>0.14474530150516457</v>
      </c>
      <c r="K1207" s="10">
        <f t="shared" si="369"/>
        <v>21.221924545521965</v>
      </c>
      <c r="L1207" s="22">
        <v>883</v>
      </c>
      <c r="M1207" s="31" t="s">
        <v>231</v>
      </c>
      <c r="N1207" s="8" t="s">
        <v>171</v>
      </c>
      <c r="O1207" s="33" t="s">
        <v>99</v>
      </c>
      <c r="P1207" s="33" t="s">
        <v>99</v>
      </c>
      <c r="Q1207" s="7">
        <v>0.57999999999999996</v>
      </c>
      <c r="R1207" s="7" t="s">
        <v>103</v>
      </c>
      <c r="S1207" s="30">
        <v>13.1</v>
      </c>
      <c r="T1207" s="79">
        <f t="shared" si="362"/>
        <v>1.34782494E-2</v>
      </c>
      <c r="U1207" s="22">
        <v>10</v>
      </c>
      <c r="V1207" s="22">
        <v>65</v>
      </c>
      <c r="W1207" s="10">
        <f t="shared" si="370"/>
        <v>1.1344640137963142</v>
      </c>
      <c r="X1207" s="22">
        <v>6</v>
      </c>
      <c r="Y1207" s="22">
        <v>5</v>
      </c>
      <c r="Z1207" s="10">
        <f t="shared" si="371"/>
        <v>8.7266462599716474E-2</v>
      </c>
      <c r="AA1207" s="10">
        <f t="shared" si="372"/>
        <v>9.5860123268524475</v>
      </c>
      <c r="AB1207" s="10">
        <f t="shared" si="373"/>
        <v>49.056185473793143</v>
      </c>
      <c r="AC1207" s="10">
        <f t="shared" si="374"/>
        <v>6.1320231842241428</v>
      </c>
      <c r="AD1207" s="10">
        <f t="shared" si="359"/>
        <v>24.528092736896571</v>
      </c>
      <c r="AE1207" s="65"/>
      <c r="AF1207" s="10">
        <f t="shared" si="360"/>
        <v>66.792987649854325</v>
      </c>
      <c r="AG1207" s="8">
        <f t="shared" si="375"/>
        <v>13.024632591721593</v>
      </c>
      <c r="AH1207" s="10">
        <f t="shared" si="376"/>
        <v>33.396493824927163</v>
      </c>
      <c r="AI1207" s="63"/>
      <c r="AJ1207" s="10">
        <f t="shared" si="361"/>
        <v>57.204099999999983</v>
      </c>
      <c r="AK1207" s="8"/>
      <c r="AL1207" s="8">
        <f t="shared" si="377"/>
        <v>28.602049999999991</v>
      </c>
    </row>
    <row r="1208" spans="1:38">
      <c r="A1208" s="18">
        <v>41480</v>
      </c>
      <c r="B1208" s="19" t="s">
        <v>141</v>
      </c>
      <c r="C1208" s="12">
        <v>300.10000000000002</v>
      </c>
      <c r="D1208" s="19" t="s">
        <v>32</v>
      </c>
      <c r="E1208" s="8">
        <v>8.4108099999999997</v>
      </c>
      <c r="F1208" s="8">
        <v>83.31138</v>
      </c>
      <c r="G1208" s="22">
        <v>300</v>
      </c>
      <c r="H1208" s="22">
        <v>12</v>
      </c>
      <c r="I1208" s="10">
        <f t="shared" si="367"/>
        <v>8.2932948805945319</v>
      </c>
      <c r="J1208" s="10">
        <f t="shared" si="368"/>
        <v>0.14474530150516457</v>
      </c>
      <c r="K1208" s="10">
        <f t="shared" si="369"/>
        <v>21.221924545521965</v>
      </c>
      <c r="L1208" s="22">
        <v>855</v>
      </c>
      <c r="M1208" s="31" t="s">
        <v>231</v>
      </c>
      <c r="N1208" s="8" t="s">
        <v>171</v>
      </c>
      <c r="O1208" s="33" t="s">
        <v>99</v>
      </c>
      <c r="P1208" s="33" t="s">
        <v>99</v>
      </c>
      <c r="Q1208" s="7">
        <v>0.57999999999999996</v>
      </c>
      <c r="R1208" s="7" t="s">
        <v>103</v>
      </c>
      <c r="S1208" s="30">
        <v>13.5</v>
      </c>
      <c r="T1208" s="79">
        <f t="shared" si="362"/>
        <v>1.4313915E-2</v>
      </c>
      <c r="U1208" s="22">
        <v>10</v>
      </c>
      <c r="V1208" s="22">
        <v>61</v>
      </c>
      <c r="W1208" s="10">
        <f t="shared" si="370"/>
        <v>1.064650843716541</v>
      </c>
      <c r="X1208" s="22">
        <v>6</v>
      </c>
      <c r="Y1208" s="22">
        <v>5</v>
      </c>
      <c r="Z1208" s="10">
        <f t="shared" si="371"/>
        <v>8.7266462599716474E-2</v>
      </c>
      <c r="AA1208" s="10">
        <f t="shared" si="372"/>
        <v>9.2691315278799067</v>
      </c>
      <c r="AB1208" s="10">
        <f t="shared" si="373"/>
        <v>50.295394861786924</v>
      </c>
      <c r="AC1208" s="10">
        <f t="shared" si="374"/>
        <v>6.2869243577233656</v>
      </c>
      <c r="AD1208" s="10">
        <f t="shared" si="359"/>
        <v>25.147697430893462</v>
      </c>
      <c r="AE1208" s="65"/>
      <c r="AF1208" s="10">
        <f t="shared" si="360"/>
        <v>71.980491061685584</v>
      </c>
      <c r="AG1208" s="8">
        <f t="shared" si="375"/>
        <v>14.03619575702869</v>
      </c>
      <c r="AH1208" s="10">
        <f t="shared" si="376"/>
        <v>35.990245530842792</v>
      </c>
      <c r="AI1208" s="63"/>
      <c r="AJ1208" s="10">
        <f t="shared" si="361"/>
        <v>62.296500000000009</v>
      </c>
      <c r="AK1208" s="8"/>
      <c r="AL1208" s="8">
        <f t="shared" si="377"/>
        <v>31.148250000000004</v>
      </c>
    </row>
    <row r="1209" spans="1:38">
      <c r="A1209" s="18">
        <v>41480</v>
      </c>
      <c r="B1209" s="19" t="s">
        <v>141</v>
      </c>
      <c r="C1209" s="12">
        <v>300.10000000000002</v>
      </c>
      <c r="D1209" s="19" t="s">
        <v>32</v>
      </c>
      <c r="E1209" s="8">
        <v>8.4108099999999997</v>
      </c>
      <c r="F1209" s="8">
        <v>83.31138</v>
      </c>
      <c r="G1209" s="22">
        <v>300</v>
      </c>
      <c r="H1209" s="22">
        <v>12</v>
      </c>
      <c r="I1209" s="10">
        <f t="shared" si="367"/>
        <v>8.2932948805945319</v>
      </c>
      <c r="J1209" s="10">
        <f t="shared" si="368"/>
        <v>0.14474530150516457</v>
      </c>
      <c r="K1209" s="10">
        <f t="shared" si="369"/>
        <v>21.221924545521965</v>
      </c>
      <c r="L1209" s="22">
        <v>867</v>
      </c>
      <c r="M1209" s="31" t="s">
        <v>231</v>
      </c>
      <c r="N1209" s="8" t="s">
        <v>171</v>
      </c>
      <c r="O1209" s="33" t="s">
        <v>99</v>
      </c>
      <c r="P1209" s="33" t="s">
        <v>99</v>
      </c>
      <c r="Q1209" s="7">
        <v>0.57999999999999996</v>
      </c>
      <c r="R1209" s="7" t="s">
        <v>103</v>
      </c>
      <c r="S1209" s="30">
        <v>7.3</v>
      </c>
      <c r="T1209" s="79">
        <f t="shared" si="362"/>
        <v>4.1853966000000003E-3</v>
      </c>
      <c r="U1209" s="22">
        <v>8</v>
      </c>
      <c r="V1209" s="22">
        <v>60</v>
      </c>
      <c r="W1209" s="10">
        <f t="shared" si="370"/>
        <v>1.0471975511965976</v>
      </c>
      <c r="X1209" s="22">
        <v>5</v>
      </c>
      <c r="Y1209" s="22">
        <v>5</v>
      </c>
      <c r="Z1209" s="10">
        <f t="shared" si="371"/>
        <v>8.7266462599716474E-2</v>
      </c>
      <c r="AA1209" s="10">
        <f t="shared" si="372"/>
        <v>7.3639819440137995</v>
      </c>
      <c r="AB1209" s="10">
        <f t="shared" si="373"/>
        <v>12.753135214809781</v>
      </c>
      <c r="AC1209" s="10">
        <f t="shared" si="374"/>
        <v>1.5941419018512226</v>
      </c>
      <c r="AD1209" s="10">
        <f t="shared" si="359"/>
        <v>6.3765676074048905</v>
      </c>
      <c r="AE1209" s="65"/>
      <c r="AF1209" s="10">
        <f t="shared" si="360"/>
        <v>15.635101145853818</v>
      </c>
      <c r="AG1209" s="8">
        <f t="shared" si="375"/>
        <v>3.0488447234414946</v>
      </c>
      <c r="AH1209" s="10">
        <f t="shared" si="376"/>
        <v>7.8175505729269092</v>
      </c>
      <c r="AI1209" s="63"/>
      <c r="AJ1209" s="10">
        <f t="shared" si="361"/>
        <v>9.974699999999995</v>
      </c>
      <c r="AK1209" s="8"/>
      <c r="AL1209" s="8">
        <f t="shared" si="377"/>
        <v>4.9873499999999975</v>
      </c>
    </row>
    <row r="1210" spans="1:38">
      <c r="A1210" s="18">
        <v>41480</v>
      </c>
      <c r="B1210" s="19" t="s">
        <v>141</v>
      </c>
      <c r="C1210" s="12">
        <v>300.10000000000002</v>
      </c>
      <c r="D1210" s="19" t="s">
        <v>32</v>
      </c>
      <c r="E1210" s="8">
        <v>8.4108099999999997</v>
      </c>
      <c r="F1210" s="8">
        <v>83.31138</v>
      </c>
      <c r="G1210" s="22">
        <v>300</v>
      </c>
      <c r="H1210" s="22">
        <v>12</v>
      </c>
      <c r="I1210" s="10">
        <f t="shared" si="367"/>
        <v>8.2932948805945319</v>
      </c>
      <c r="J1210" s="10">
        <f t="shared" si="368"/>
        <v>0.14474530150516457</v>
      </c>
      <c r="K1210" s="10">
        <f t="shared" si="369"/>
        <v>21.221924545521965</v>
      </c>
      <c r="L1210" s="22">
        <v>869</v>
      </c>
      <c r="M1210" s="22" t="s">
        <v>54</v>
      </c>
      <c r="N1210" s="8" t="s">
        <v>55</v>
      </c>
      <c r="O1210" s="10" t="s">
        <v>56</v>
      </c>
      <c r="P1210" s="10" t="s">
        <v>57</v>
      </c>
      <c r="Q1210" s="11">
        <v>0.315</v>
      </c>
      <c r="R1210" s="12" t="s">
        <v>66</v>
      </c>
      <c r="S1210" s="30">
        <v>12.5</v>
      </c>
      <c r="T1210" s="79">
        <f t="shared" si="362"/>
        <v>1.2271875E-2</v>
      </c>
      <c r="U1210" s="22">
        <v>9</v>
      </c>
      <c r="V1210" s="22">
        <v>66</v>
      </c>
      <c r="W1210" s="10">
        <f t="shared" si="370"/>
        <v>1.1519173063162575</v>
      </c>
      <c r="X1210" s="22">
        <v>5</v>
      </c>
      <c r="Y1210" s="22">
        <v>4</v>
      </c>
      <c r="Z1210" s="10">
        <f t="shared" si="371"/>
        <v>6.9813170079773182E-2</v>
      </c>
      <c r="AA1210" s="10">
        <f t="shared" si="372"/>
        <v>8.5706914875040354</v>
      </c>
      <c r="AB1210" s="10">
        <f t="shared" si="373"/>
        <v>22.777149742085982</v>
      </c>
      <c r="AC1210" s="10">
        <f t="shared" si="374"/>
        <v>2.8471437177607477</v>
      </c>
      <c r="AD1210" s="10">
        <f t="shared" si="359"/>
        <v>11.388574871042991</v>
      </c>
      <c r="AE1210" s="65"/>
      <c r="AF1210" s="10">
        <f t="shared" si="360"/>
        <v>32.282264153949185</v>
      </c>
      <c r="AG1210" s="8">
        <f t="shared" si="375"/>
        <v>6.2950415100200914</v>
      </c>
      <c r="AH1210" s="10">
        <f t="shared" si="376"/>
        <v>16.141132076974593</v>
      </c>
      <c r="AI1210" s="63"/>
      <c r="AJ1210" s="10">
        <f t="shared" si="361"/>
        <v>50.009499999999989</v>
      </c>
      <c r="AK1210" s="8"/>
      <c r="AL1210" s="8">
        <f t="shared" si="377"/>
        <v>25.004749999999994</v>
      </c>
    </row>
    <row r="1211" spans="1:38">
      <c r="A1211" s="18">
        <v>41480</v>
      </c>
      <c r="B1211" s="19" t="s">
        <v>141</v>
      </c>
      <c r="C1211" s="12">
        <v>300.10000000000002</v>
      </c>
      <c r="D1211" s="19" t="s">
        <v>32</v>
      </c>
      <c r="E1211" s="8">
        <v>8.4108099999999997</v>
      </c>
      <c r="F1211" s="8">
        <v>83.31138</v>
      </c>
      <c r="G1211" s="22">
        <v>300</v>
      </c>
      <c r="H1211" s="22">
        <v>12</v>
      </c>
      <c r="I1211" s="10">
        <f t="shared" si="367"/>
        <v>8.2932948805945319</v>
      </c>
      <c r="J1211" s="10">
        <f t="shared" si="368"/>
        <v>0.14474530150516457</v>
      </c>
      <c r="K1211" s="10">
        <f t="shared" si="369"/>
        <v>21.221924545521965</v>
      </c>
      <c r="L1211" s="22">
        <v>868</v>
      </c>
      <c r="M1211" s="22" t="s">
        <v>36</v>
      </c>
      <c r="N1211" s="8" t="s">
        <v>46</v>
      </c>
      <c r="O1211" s="10" t="s">
        <v>37</v>
      </c>
      <c r="P1211" s="10" t="s">
        <v>38</v>
      </c>
      <c r="Q1211" s="11">
        <v>0.48</v>
      </c>
      <c r="R1211" s="8" t="s">
        <v>60</v>
      </c>
      <c r="S1211" s="30">
        <v>24.6</v>
      </c>
      <c r="T1211" s="79">
        <f t="shared" si="362"/>
        <v>4.7529266400000006E-2</v>
      </c>
      <c r="U1211" s="22">
        <v>10</v>
      </c>
      <c r="V1211" s="22">
        <v>57</v>
      </c>
      <c r="W1211" s="10">
        <f t="shared" si="370"/>
        <v>0.99483767363676789</v>
      </c>
      <c r="X1211" s="22">
        <v>5</v>
      </c>
      <c r="Y1211" s="22">
        <v>4</v>
      </c>
      <c r="Z1211" s="10">
        <f t="shared" si="371"/>
        <v>6.9813170079773182E-2</v>
      </c>
      <c r="AA1211" s="10">
        <f t="shared" si="372"/>
        <v>8.7354880481748687</v>
      </c>
      <c r="AB1211" s="10">
        <f t="shared" si="373"/>
        <v>123.02586554056455</v>
      </c>
      <c r="AC1211" s="10">
        <f t="shared" si="374"/>
        <v>15.378233192570569</v>
      </c>
      <c r="AD1211" s="10">
        <f t="shared" si="359"/>
        <v>61.512932770282276</v>
      </c>
      <c r="AE1211" s="65"/>
      <c r="AF1211" s="10">
        <f t="shared" si="360"/>
        <v>262.07616775523076</v>
      </c>
      <c r="AG1211" s="8">
        <f t="shared" si="375"/>
        <v>51.104852712270002</v>
      </c>
      <c r="AH1211" s="10">
        <f t="shared" si="376"/>
        <v>131.03808387761538</v>
      </c>
      <c r="AI1211" s="63"/>
      <c r="AJ1211" s="10">
        <f t="shared" si="361"/>
        <v>298.07160000000005</v>
      </c>
      <c r="AK1211" s="8"/>
      <c r="AL1211" s="8">
        <f t="shared" si="377"/>
        <v>149.03580000000002</v>
      </c>
    </row>
    <row r="1212" spans="1:38">
      <c r="A1212" s="18">
        <v>41480</v>
      </c>
      <c r="B1212" s="19" t="s">
        <v>141</v>
      </c>
      <c r="C1212" s="12">
        <v>300.10000000000002</v>
      </c>
      <c r="D1212" s="19" t="s">
        <v>32</v>
      </c>
      <c r="E1212" s="8">
        <v>8.4108099999999997</v>
      </c>
      <c r="F1212" s="8">
        <v>83.31138</v>
      </c>
      <c r="G1212" s="22">
        <v>300</v>
      </c>
      <c r="H1212" s="22">
        <v>12</v>
      </c>
      <c r="I1212" s="10">
        <f t="shared" si="367"/>
        <v>8.2932948805945319</v>
      </c>
      <c r="J1212" s="10">
        <f t="shared" si="368"/>
        <v>0.14474530150516457</v>
      </c>
      <c r="K1212" s="10">
        <f t="shared" si="369"/>
        <v>21.221924545521965</v>
      </c>
      <c r="L1212" s="22">
        <v>839</v>
      </c>
      <c r="M1212" s="31" t="s">
        <v>231</v>
      </c>
      <c r="N1212" s="8" t="s">
        <v>171</v>
      </c>
      <c r="O1212" s="33" t="s">
        <v>99</v>
      </c>
      <c r="P1212" s="33" t="s">
        <v>99</v>
      </c>
      <c r="Q1212" s="7">
        <v>0.57999999999999996</v>
      </c>
      <c r="R1212" s="7" t="s">
        <v>103</v>
      </c>
      <c r="S1212" s="30">
        <v>13</v>
      </c>
      <c r="T1212" s="79">
        <f t="shared" si="362"/>
        <v>1.327326E-2</v>
      </c>
      <c r="U1212" s="22">
        <v>9</v>
      </c>
      <c r="V1212" s="22">
        <v>49</v>
      </c>
      <c r="W1212" s="10">
        <f t="shared" si="370"/>
        <v>0.85521133347722145</v>
      </c>
      <c r="X1212" s="22">
        <v>5</v>
      </c>
      <c r="Y1212" s="22">
        <v>3</v>
      </c>
      <c r="Z1212" s="10">
        <f t="shared" si="371"/>
        <v>5.235987755982989E-2</v>
      </c>
      <c r="AA1212" s="10">
        <f t="shared" si="372"/>
        <v>7.0540660032196678</v>
      </c>
      <c r="AB1212" s="10">
        <f t="shared" si="373"/>
        <v>36.243546309964827</v>
      </c>
      <c r="AC1212" s="10">
        <f t="shared" si="374"/>
        <v>4.5304432887456034</v>
      </c>
      <c r="AD1212" s="10">
        <f t="shared" si="359"/>
        <v>18.121773154982414</v>
      </c>
      <c r="AE1212" s="65"/>
      <c r="AF1212" s="10">
        <f t="shared" si="360"/>
        <v>65.532023173665422</v>
      </c>
      <c r="AG1212" s="8">
        <f t="shared" si="375"/>
        <v>12.778744518864757</v>
      </c>
      <c r="AH1212" s="10">
        <f t="shared" si="376"/>
        <v>32.766011586832711</v>
      </c>
      <c r="AI1212" s="63"/>
      <c r="AJ1212" s="10">
        <f t="shared" si="361"/>
        <v>55.967999999999989</v>
      </c>
      <c r="AK1212" s="8"/>
      <c r="AL1212" s="8">
        <f t="shared" si="377"/>
        <v>27.983999999999995</v>
      </c>
    </row>
    <row r="1213" spans="1:38">
      <c r="A1213" s="18">
        <v>41480</v>
      </c>
      <c r="B1213" s="19" t="s">
        <v>141</v>
      </c>
      <c r="C1213" s="12">
        <v>300.10000000000002</v>
      </c>
      <c r="D1213" s="19" t="s">
        <v>32</v>
      </c>
      <c r="E1213" s="8">
        <v>8.4108099999999997</v>
      </c>
      <c r="F1213" s="8">
        <v>83.31138</v>
      </c>
      <c r="G1213" s="22">
        <v>300</v>
      </c>
      <c r="H1213" s="22">
        <v>12</v>
      </c>
      <c r="I1213" s="10">
        <f t="shared" si="367"/>
        <v>8.2932948805945319</v>
      </c>
      <c r="J1213" s="10">
        <f t="shared" si="368"/>
        <v>0.14474530150516457</v>
      </c>
      <c r="K1213" s="10">
        <f t="shared" si="369"/>
        <v>21.221924545521965</v>
      </c>
      <c r="L1213" s="22">
        <v>870</v>
      </c>
      <c r="M1213" s="22" t="s">
        <v>131</v>
      </c>
      <c r="N1213" s="8" t="s">
        <v>81</v>
      </c>
      <c r="O1213" s="10" t="s">
        <v>164</v>
      </c>
      <c r="P1213" s="50" t="s">
        <v>165</v>
      </c>
      <c r="Q1213" s="23">
        <v>0.56000000000000005</v>
      </c>
      <c r="R1213" s="22" t="s">
        <v>166</v>
      </c>
      <c r="S1213" s="30">
        <v>13.5</v>
      </c>
      <c r="T1213" s="79">
        <f t="shared" si="362"/>
        <v>1.4313915E-2</v>
      </c>
      <c r="U1213" s="22">
        <v>9</v>
      </c>
      <c r="V1213" s="22">
        <v>60</v>
      </c>
      <c r="W1213" s="10">
        <f t="shared" si="370"/>
        <v>1.0471975511965976</v>
      </c>
      <c r="X1213" s="22">
        <v>6</v>
      </c>
      <c r="Y1213" s="22">
        <v>20</v>
      </c>
      <c r="Z1213" s="10">
        <f t="shared" si="371"/>
        <v>0.3490658503988659</v>
      </c>
      <c r="AA1213" s="10">
        <f t="shared" si="372"/>
        <v>9.8463494940139604</v>
      </c>
      <c r="AB1213" s="10">
        <f t="shared" si="373"/>
        <v>51.506813580186801</v>
      </c>
      <c r="AC1213" s="10">
        <f t="shared" si="374"/>
        <v>6.4383516975233501</v>
      </c>
      <c r="AD1213" s="10">
        <f t="shared" si="359"/>
        <v>25.753406790093401</v>
      </c>
      <c r="AE1213" s="65"/>
      <c r="AF1213" s="10">
        <f t="shared" si="360"/>
        <v>69.49840516300678</v>
      </c>
      <c r="AG1213" s="8">
        <f t="shared" si="375"/>
        <v>13.552189006786323</v>
      </c>
      <c r="AH1213" s="10">
        <f t="shared" si="376"/>
        <v>34.74920258150339</v>
      </c>
      <c r="AI1213" s="63"/>
      <c r="AJ1213" s="10">
        <f t="shared" si="361"/>
        <v>62.296500000000009</v>
      </c>
      <c r="AK1213" s="8"/>
      <c r="AL1213" s="8">
        <f t="shared" si="377"/>
        <v>31.148250000000004</v>
      </c>
    </row>
    <row r="1214" spans="1:38">
      <c r="A1214" s="18">
        <v>41480</v>
      </c>
      <c r="B1214" s="19" t="s">
        <v>141</v>
      </c>
      <c r="C1214" s="12">
        <v>300.10000000000002</v>
      </c>
      <c r="D1214" s="19" t="s">
        <v>32</v>
      </c>
      <c r="E1214" s="8">
        <v>8.4108099999999997</v>
      </c>
      <c r="F1214" s="8">
        <v>83.31138</v>
      </c>
      <c r="G1214" s="22">
        <v>300</v>
      </c>
      <c r="H1214" s="22">
        <v>12</v>
      </c>
      <c r="I1214" s="10">
        <f t="shared" si="367"/>
        <v>8.2932948805945319</v>
      </c>
      <c r="J1214" s="10">
        <f t="shared" si="368"/>
        <v>0.14474530150516457</v>
      </c>
      <c r="K1214" s="10">
        <f t="shared" si="369"/>
        <v>21.221924545521965</v>
      </c>
      <c r="L1214" s="22">
        <v>885</v>
      </c>
      <c r="M1214" s="22" t="s">
        <v>139</v>
      </c>
      <c r="N1214" s="7" t="s">
        <v>251</v>
      </c>
      <c r="O1214" s="33" t="s">
        <v>99</v>
      </c>
      <c r="P1214" s="33" t="s">
        <v>99</v>
      </c>
      <c r="Q1214" s="7">
        <v>0.57999999999999996</v>
      </c>
      <c r="R1214" s="7" t="s">
        <v>103</v>
      </c>
      <c r="S1214" s="30">
        <v>8.9</v>
      </c>
      <c r="T1214" s="79">
        <f t="shared" si="362"/>
        <v>6.2211534000000011E-3</v>
      </c>
      <c r="U1214" s="22">
        <v>12</v>
      </c>
      <c r="V1214" s="22">
        <v>55</v>
      </c>
      <c r="W1214" s="10">
        <f t="shared" si="370"/>
        <v>0.95993108859688125</v>
      </c>
      <c r="X1214" s="22">
        <v>6</v>
      </c>
      <c r="Y1214" s="22">
        <v>18</v>
      </c>
      <c r="Z1214" s="10">
        <f t="shared" si="371"/>
        <v>0.31415926535897931</v>
      </c>
      <c r="AA1214" s="10">
        <f t="shared" si="372"/>
        <v>11.683926497717586</v>
      </c>
      <c r="AB1214" s="10">
        <f t="shared" si="373"/>
        <v>28.567401258259174</v>
      </c>
      <c r="AC1214" s="10">
        <f t="shared" si="374"/>
        <v>3.5709251572823968</v>
      </c>
      <c r="AD1214" s="10">
        <f t="shared" si="359"/>
        <v>14.283700629129587</v>
      </c>
      <c r="AE1214" s="65"/>
      <c r="AF1214" s="10">
        <f t="shared" si="360"/>
        <v>25.541806213252922</v>
      </c>
      <c r="AG1214" s="8">
        <f t="shared" si="375"/>
        <v>4.9806522115843199</v>
      </c>
      <c r="AH1214" s="10">
        <f t="shared" si="376"/>
        <v>12.770903106626461</v>
      </c>
      <c r="AI1214" s="63"/>
      <c r="AJ1214" s="10">
        <f t="shared" si="361"/>
        <v>18.03070000000001</v>
      </c>
      <c r="AK1214" s="8"/>
      <c r="AL1214" s="8">
        <f t="shared" si="377"/>
        <v>9.0153500000000051</v>
      </c>
    </row>
    <row r="1215" spans="1:38">
      <c r="A1215" s="18">
        <v>41480</v>
      </c>
      <c r="B1215" s="19" t="s">
        <v>141</v>
      </c>
      <c r="C1215" s="12">
        <v>300.10000000000002</v>
      </c>
      <c r="D1215" s="19" t="s">
        <v>32</v>
      </c>
      <c r="E1215" s="8">
        <v>8.4108099999999997</v>
      </c>
      <c r="F1215" s="8">
        <v>83.31138</v>
      </c>
      <c r="G1215" s="22">
        <v>300</v>
      </c>
      <c r="H1215" s="22">
        <v>12</v>
      </c>
      <c r="I1215" s="10">
        <f t="shared" si="367"/>
        <v>8.2932948805945319</v>
      </c>
      <c r="J1215" s="10">
        <f t="shared" si="368"/>
        <v>0.14474530150516457</v>
      </c>
      <c r="K1215" s="10">
        <f t="shared" si="369"/>
        <v>21.221924545521965</v>
      </c>
      <c r="L1215" s="22">
        <v>896</v>
      </c>
      <c r="M1215" s="22" t="s">
        <v>131</v>
      </c>
      <c r="N1215" s="8" t="s">
        <v>81</v>
      </c>
      <c r="O1215" s="10" t="s">
        <v>164</v>
      </c>
      <c r="P1215" s="50" t="s">
        <v>165</v>
      </c>
      <c r="Q1215" s="23">
        <v>0.56000000000000005</v>
      </c>
      <c r="R1215" s="22" t="s">
        <v>166</v>
      </c>
      <c r="S1215" s="30">
        <v>9.5</v>
      </c>
      <c r="T1215" s="79">
        <f t="shared" si="362"/>
        <v>7.088235E-3</v>
      </c>
      <c r="U1215" s="22">
        <v>11</v>
      </c>
      <c r="V1215" s="22">
        <v>60</v>
      </c>
      <c r="W1215" s="10">
        <f t="shared" si="370"/>
        <v>1.0471975511965976</v>
      </c>
      <c r="X1215" s="22">
        <v>6</v>
      </c>
      <c r="Y1215" s="22">
        <v>22</v>
      </c>
      <c r="Z1215" s="10">
        <f t="shared" si="371"/>
        <v>0.38397243543875248</v>
      </c>
      <c r="AA1215" s="10">
        <f t="shared" si="372"/>
        <v>11.773919002124297</v>
      </c>
      <c r="AB1215" s="10">
        <f t="shared" si="373"/>
        <v>31.473469894071062</v>
      </c>
      <c r="AC1215" s="10">
        <f t="shared" si="374"/>
        <v>3.9341837367588828</v>
      </c>
      <c r="AD1215" s="10">
        <f t="shared" si="359"/>
        <v>15.736734947035531</v>
      </c>
      <c r="AE1215" s="65"/>
      <c r="AF1215" s="10">
        <f t="shared" si="360"/>
        <v>28.998736018386978</v>
      </c>
      <c r="AG1215" s="8">
        <f t="shared" si="375"/>
        <v>5.6547535235854607</v>
      </c>
      <c r="AH1215" s="10">
        <f t="shared" si="376"/>
        <v>14.499368009193489</v>
      </c>
      <c r="AI1215" s="63"/>
      <c r="AJ1215" s="10">
        <f t="shared" si="361"/>
        <v>22.028499999999994</v>
      </c>
      <c r="AK1215" s="8"/>
      <c r="AL1215" s="8">
        <f t="shared" si="377"/>
        <v>11.014249999999997</v>
      </c>
    </row>
    <row r="1216" spans="1:38">
      <c r="A1216" s="18">
        <v>41480</v>
      </c>
      <c r="B1216" s="19" t="s">
        <v>141</v>
      </c>
      <c r="C1216" s="12">
        <v>300.10000000000002</v>
      </c>
      <c r="D1216" s="19" t="s">
        <v>32</v>
      </c>
      <c r="E1216" s="8">
        <v>8.4108099999999997</v>
      </c>
      <c r="F1216" s="8">
        <v>83.31138</v>
      </c>
      <c r="G1216" s="22">
        <v>300</v>
      </c>
      <c r="H1216" s="22">
        <v>12</v>
      </c>
      <c r="I1216" s="10">
        <f t="shared" si="367"/>
        <v>8.2932948805945319</v>
      </c>
      <c r="J1216" s="10">
        <f t="shared" si="368"/>
        <v>0.14474530150516457</v>
      </c>
      <c r="K1216" s="10">
        <f t="shared" si="369"/>
        <v>21.221924545521965</v>
      </c>
      <c r="L1216" s="22">
        <v>895</v>
      </c>
      <c r="M1216" s="31" t="s">
        <v>231</v>
      </c>
      <c r="N1216" s="8" t="s">
        <v>171</v>
      </c>
      <c r="O1216" s="33" t="s">
        <v>99</v>
      </c>
      <c r="P1216" s="33" t="s">
        <v>99</v>
      </c>
      <c r="Q1216" s="7">
        <v>0.57999999999999996</v>
      </c>
      <c r="R1216" s="7" t="s">
        <v>103</v>
      </c>
      <c r="S1216" s="30">
        <v>15</v>
      </c>
      <c r="T1216" s="79">
        <f t="shared" si="362"/>
        <v>1.76715E-2</v>
      </c>
      <c r="U1216" s="22">
        <v>6</v>
      </c>
      <c r="V1216" s="22">
        <v>50</v>
      </c>
      <c r="W1216" s="10">
        <f t="shared" si="370"/>
        <v>0.87266462599716477</v>
      </c>
      <c r="X1216" s="22">
        <v>6</v>
      </c>
      <c r="Y1216" s="22">
        <v>21</v>
      </c>
      <c r="Z1216" s="10">
        <f t="shared" si="371"/>
        <v>0.36651914291880922</v>
      </c>
      <c r="AA1216" s="10">
        <f t="shared" si="372"/>
        <v>6.7464743559856704</v>
      </c>
      <c r="AB1216" s="10">
        <f t="shared" si="373"/>
        <v>45.484964878291812</v>
      </c>
      <c r="AC1216" s="10">
        <f t="shared" si="374"/>
        <v>5.6856206097864765</v>
      </c>
      <c r="AD1216" s="10">
        <f t="shared" si="359"/>
        <v>22.742482439145906</v>
      </c>
      <c r="AE1216" s="65"/>
      <c r="AF1216" s="10">
        <f t="shared" si="360"/>
        <v>93.522295301326949</v>
      </c>
      <c r="AG1216" s="8">
        <f t="shared" si="375"/>
        <v>18.236847583758756</v>
      </c>
      <c r="AH1216" s="10">
        <f t="shared" si="376"/>
        <v>46.761147650663474</v>
      </c>
      <c r="AI1216" s="63"/>
      <c r="AJ1216" s="10">
        <f t="shared" si="361"/>
        <v>83.501999999999995</v>
      </c>
      <c r="AK1216" s="8"/>
      <c r="AL1216" s="8">
        <f t="shared" si="377"/>
        <v>41.750999999999998</v>
      </c>
    </row>
    <row r="1217" spans="1:38">
      <c r="A1217" s="18">
        <v>41481</v>
      </c>
      <c r="B1217" s="19" t="s">
        <v>141</v>
      </c>
      <c r="C1217" s="12">
        <v>300.10000000000002</v>
      </c>
      <c r="D1217" s="19" t="s">
        <v>32</v>
      </c>
      <c r="E1217" s="8">
        <v>8.4108099999999997</v>
      </c>
      <c r="F1217" s="8">
        <v>83.31138</v>
      </c>
      <c r="G1217" s="22">
        <v>300</v>
      </c>
      <c r="H1217" s="22">
        <v>12</v>
      </c>
      <c r="I1217" s="10">
        <f t="shared" si="367"/>
        <v>8.2932948805945319</v>
      </c>
      <c r="J1217" s="10">
        <f t="shared" si="368"/>
        <v>0.14474530150516457</v>
      </c>
      <c r="K1217" s="10">
        <f t="shared" si="369"/>
        <v>21.221924545521965</v>
      </c>
      <c r="L1217" s="22">
        <v>964</v>
      </c>
      <c r="M1217" s="22" t="s">
        <v>36</v>
      </c>
      <c r="N1217" s="8" t="s">
        <v>46</v>
      </c>
      <c r="O1217" s="10" t="s">
        <v>37</v>
      </c>
      <c r="P1217" s="10" t="s">
        <v>38</v>
      </c>
      <c r="Q1217" s="11">
        <v>0.48</v>
      </c>
      <c r="R1217" s="8" t="s">
        <v>60</v>
      </c>
      <c r="S1217" s="30">
        <v>23.7</v>
      </c>
      <c r="T1217" s="79">
        <f t="shared" si="362"/>
        <v>4.4115132599999995E-2</v>
      </c>
      <c r="U1217" s="22">
        <v>7</v>
      </c>
      <c r="V1217" s="22">
        <v>60</v>
      </c>
      <c r="W1217" s="10">
        <f t="shared" si="370"/>
        <v>1.0471975511965976</v>
      </c>
      <c r="X1217" s="22">
        <v>6</v>
      </c>
      <c r="Y1217" s="22">
        <v>21</v>
      </c>
      <c r="Z1217" s="10">
        <f t="shared" si="371"/>
        <v>0.36651914291880922</v>
      </c>
      <c r="AA1217" s="10">
        <f t="shared" si="372"/>
        <v>8.2123855237628725</v>
      </c>
      <c r="AB1217" s="10">
        <f t="shared" si="373"/>
        <v>108.23221436611571</v>
      </c>
      <c r="AC1217" s="10">
        <f t="shared" si="374"/>
        <v>13.529026795764464</v>
      </c>
      <c r="AD1217" s="10">
        <f t="shared" si="359"/>
        <v>54.116107183057856</v>
      </c>
      <c r="AE1217" s="65"/>
      <c r="AF1217" s="10">
        <f t="shared" si="360"/>
        <v>239.26251911683499</v>
      </c>
      <c r="AG1217" s="8">
        <f t="shared" si="375"/>
        <v>46.656191227782827</v>
      </c>
      <c r="AH1217" s="10">
        <f t="shared" si="376"/>
        <v>119.6312595584175</v>
      </c>
      <c r="AI1217" s="63"/>
      <c r="AJ1217" s="10">
        <f t="shared" si="361"/>
        <v>272.16149999999993</v>
      </c>
      <c r="AK1217" s="8"/>
      <c r="AL1217" s="8">
        <f t="shared" si="377"/>
        <v>136.08074999999997</v>
      </c>
    </row>
    <row r="1218" spans="1:38">
      <c r="A1218" s="18">
        <v>41481</v>
      </c>
      <c r="B1218" s="19" t="s">
        <v>141</v>
      </c>
      <c r="C1218" s="12">
        <v>300.10000000000002</v>
      </c>
      <c r="D1218" s="19" t="s">
        <v>32</v>
      </c>
      <c r="E1218" s="8">
        <v>8.4108099999999997</v>
      </c>
      <c r="F1218" s="8">
        <v>83.31138</v>
      </c>
      <c r="G1218" s="22">
        <v>300</v>
      </c>
      <c r="H1218" s="22">
        <v>12</v>
      </c>
      <c r="I1218" s="10">
        <f t="shared" si="367"/>
        <v>8.2932948805945319</v>
      </c>
      <c r="J1218" s="10">
        <f t="shared" si="368"/>
        <v>0.14474530150516457</v>
      </c>
      <c r="K1218" s="10">
        <f t="shared" si="369"/>
        <v>21.221924545521965</v>
      </c>
      <c r="L1218" s="22">
        <v>982</v>
      </c>
      <c r="M1218" s="22" t="s">
        <v>96</v>
      </c>
      <c r="N1218" s="8" t="s">
        <v>69</v>
      </c>
      <c r="O1218" s="58" t="s">
        <v>65</v>
      </c>
      <c r="P1218" s="10" t="s">
        <v>102</v>
      </c>
      <c r="Q1218" s="22">
        <v>0.48</v>
      </c>
      <c r="R1218" s="22" t="s">
        <v>190</v>
      </c>
      <c r="S1218" s="30">
        <v>8.6</v>
      </c>
      <c r="T1218" s="79">
        <f t="shared" si="362"/>
        <v>5.8088183999999996E-3</v>
      </c>
      <c r="U1218" s="22">
        <v>8</v>
      </c>
      <c r="V1218" s="22">
        <v>48</v>
      </c>
      <c r="W1218" s="10">
        <f t="shared" si="370"/>
        <v>0.83775804095727824</v>
      </c>
      <c r="X1218" s="22">
        <v>6</v>
      </c>
      <c r="Y1218" s="22">
        <v>21</v>
      </c>
      <c r="Z1218" s="10">
        <f t="shared" si="371"/>
        <v>0.36651914291880922</v>
      </c>
      <c r="AA1218" s="10">
        <f t="shared" si="372"/>
        <v>8.0953663010909551</v>
      </c>
      <c r="AB1218" s="10">
        <f t="shared" si="373"/>
        <v>15.879173247612163</v>
      </c>
      <c r="AC1218" s="10">
        <f t="shared" si="374"/>
        <v>1.9848966559515204</v>
      </c>
      <c r="AD1218" s="10">
        <f t="shared" si="359"/>
        <v>7.9395866238060817</v>
      </c>
      <c r="AE1218" s="65"/>
      <c r="AF1218" s="10">
        <f t="shared" si="360"/>
        <v>19.413934417493799</v>
      </c>
      <c r="AG1218" s="8">
        <f t="shared" si="375"/>
        <v>3.7857172114112907</v>
      </c>
      <c r="AH1218" s="10">
        <f t="shared" si="376"/>
        <v>9.7069672087468994</v>
      </c>
      <c r="AI1218" s="63"/>
      <c r="AJ1218" s="10">
        <f t="shared" si="361"/>
        <v>16.231599999999993</v>
      </c>
      <c r="AK1218" s="8"/>
      <c r="AL1218" s="8">
        <f t="shared" si="377"/>
        <v>8.1157999999999966</v>
      </c>
    </row>
    <row r="1219" spans="1:38">
      <c r="A1219" s="18">
        <v>41481</v>
      </c>
      <c r="B1219" s="19" t="s">
        <v>141</v>
      </c>
      <c r="C1219" s="12">
        <v>300.10000000000002</v>
      </c>
      <c r="D1219" s="19" t="s">
        <v>32</v>
      </c>
      <c r="E1219" s="8">
        <v>8.4108099999999997</v>
      </c>
      <c r="F1219" s="8">
        <v>83.31138</v>
      </c>
      <c r="G1219" s="22">
        <v>300</v>
      </c>
      <c r="H1219" s="22">
        <v>12</v>
      </c>
      <c r="I1219" s="10">
        <f t="shared" si="367"/>
        <v>8.2932948805945319</v>
      </c>
      <c r="J1219" s="10">
        <f t="shared" si="368"/>
        <v>0.14474530150516457</v>
      </c>
      <c r="K1219" s="10">
        <f t="shared" si="369"/>
        <v>21.221924545521965</v>
      </c>
      <c r="L1219" s="22">
        <v>1001</v>
      </c>
      <c r="M1219" s="31" t="s">
        <v>231</v>
      </c>
      <c r="N1219" s="8" t="s">
        <v>171</v>
      </c>
      <c r="O1219" s="33" t="s">
        <v>99</v>
      </c>
      <c r="P1219" s="33" t="s">
        <v>99</v>
      </c>
      <c r="Q1219" s="7">
        <v>0.57999999999999996</v>
      </c>
      <c r="R1219" s="7" t="s">
        <v>103</v>
      </c>
      <c r="S1219" s="30">
        <v>10.1</v>
      </c>
      <c r="T1219" s="79">
        <f t="shared" si="362"/>
        <v>8.0118654000000001E-3</v>
      </c>
      <c r="U1219" s="22">
        <v>8</v>
      </c>
      <c r="V1219" s="22">
        <v>52</v>
      </c>
      <c r="W1219" s="10">
        <f t="shared" si="370"/>
        <v>0.90757121103705141</v>
      </c>
      <c r="X1219" s="22">
        <v>6</v>
      </c>
      <c r="Y1219" s="22">
        <v>19</v>
      </c>
      <c r="Z1219" s="10">
        <f t="shared" si="371"/>
        <v>0.33161255787892263</v>
      </c>
      <c r="AA1219" s="10">
        <f t="shared" si="372"/>
        <v>8.2574949555967159</v>
      </c>
      <c r="AB1219" s="10">
        <f t="shared" si="373"/>
        <v>26.148431072305847</v>
      </c>
      <c r="AC1219" s="10">
        <f t="shared" si="374"/>
        <v>3.2685538840382309</v>
      </c>
      <c r="AD1219" s="10">
        <f t="shared" si="359"/>
        <v>13.074215536152924</v>
      </c>
      <c r="AE1219" s="65"/>
      <c r="AF1219" s="10">
        <f t="shared" si="360"/>
        <v>34.973070967432839</v>
      </c>
      <c r="AG1219" s="8">
        <f t="shared" si="375"/>
        <v>6.8197488386494038</v>
      </c>
      <c r="AH1219" s="10">
        <f t="shared" si="376"/>
        <v>17.48653548371642</v>
      </c>
      <c r="AI1219" s="63"/>
      <c r="AJ1219" s="10">
        <f t="shared" si="361"/>
        <v>26.559099999999987</v>
      </c>
      <c r="AK1219" s="8"/>
      <c r="AL1219" s="8">
        <f t="shared" si="377"/>
        <v>13.279549999999993</v>
      </c>
    </row>
    <row r="1220" spans="1:38">
      <c r="A1220" s="18">
        <v>41481</v>
      </c>
      <c r="B1220" s="19" t="s">
        <v>141</v>
      </c>
      <c r="C1220" s="12">
        <v>300.10000000000002</v>
      </c>
      <c r="D1220" s="19" t="s">
        <v>32</v>
      </c>
      <c r="E1220" s="8">
        <v>8.4108099999999997</v>
      </c>
      <c r="F1220" s="8">
        <v>83.31138</v>
      </c>
      <c r="G1220" s="22">
        <v>300</v>
      </c>
      <c r="H1220" s="22">
        <v>12</v>
      </c>
      <c r="I1220" s="10">
        <f t="shared" ref="I1220:I1248" si="378">1/TAN(H1220/100)</f>
        <v>8.2932948805945319</v>
      </c>
      <c r="J1220" s="10">
        <f t="shared" ref="J1220:J1248" si="379">RADIANS(I1220)</f>
        <v>0.14474530150516457</v>
      </c>
      <c r="K1220" s="10">
        <f t="shared" ref="K1220:K1248" si="380">21/COS(J1220)</f>
        <v>21.221924545521965</v>
      </c>
      <c r="L1220" s="22">
        <v>1006</v>
      </c>
      <c r="M1220" s="31" t="s">
        <v>231</v>
      </c>
      <c r="N1220" s="8" t="s">
        <v>171</v>
      </c>
      <c r="O1220" s="33" t="s">
        <v>99</v>
      </c>
      <c r="P1220" s="33" t="s">
        <v>99</v>
      </c>
      <c r="Q1220" s="7">
        <v>0.57999999999999996</v>
      </c>
      <c r="R1220" s="7" t="s">
        <v>103</v>
      </c>
      <c r="S1220" s="30">
        <v>7</v>
      </c>
      <c r="T1220" s="79">
        <f t="shared" si="362"/>
        <v>3.8484600000000002E-3</v>
      </c>
      <c r="U1220" s="22">
        <v>7</v>
      </c>
      <c r="V1220" s="22">
        <v>55</v>
      </c>
      <c r="W1220" s="10">
        <f t="shared" ref="W1220:W1248" si="381">RADIANS(V1220)</f>
        <v>0.95993108859688125</v>
      </c>
      <c r="X1220" s="22">
        <v>5</v>
      </c>
      <c r="Y1220" s="22">
        <v>22</v>
      </c>
      <c r="Z1220" s="10">
        <f t="shared" ref="Z1220:Z1248" si="382">RADIANS(Y1220)</f>
        <v>0.38397243543875248</v>
      </c>
      <c r="AA1220" s="10">
        <f t="shared" ref="AA1220:AA1248" si="383">(SIN(W1220)*U1220)+(SIN(Z1220)*X1220)</f>
        <v>7.6070972771025023</v>
      </c>
      <c r="AB1220" s="10">
        <f t="shared" ref="AB1220:AB1248" si="384">0.0776*(Q1220*S1220^2*AA1220)^0.94</f>
        <v>12.151060470049389</v>
      </c>
      <c r="AC1220" s="10">
        <f t="shared" si="374"/>
        <v>1.5188825587561736</v>
      </c>
      <c r="AD1220" s="10">
        <f t="shared" si="359"/>
        <v>6.0755302350246945</v>
      </c>
      <c r="AE1220" s="65"/>
      <c r="AF1220" s="10">
        <f t="shared" si="360"/>
        <v>14.096751983193448</v>
      </c>
      <c r="AG1220" s="8">
        <f t="shared" si="375"/>
        <v>2.7488666367227226</v>
      </c>
      <c r="AH1220" s="10">
        <f t="shared" si="376"/>
        <v>7.0483759915967239</v>
      </c>
      <c r="AI1220" s="63"/>
      <c r="AJ1220" s="10">
        <f t="shared" si="361"/>
        <v>8.8859999999999992</v>
      </c>
      <c r="AK1220" s="8"/>
      <c r="AL1220" s="8">
        <f t="shared" si="377"/>
        <v>4.4429999999999996</v>
      </c>
    </row>
    <row r="1221" spans="1:38">
      <c r="A1221" s="18">
        <v>41481</v>
      </c>
      <c r="B1221" s="19" t="s">
        <v>141</v>
      </c>
      <c r="C1221" s="12">
        <v>300.10000000000002</v>
      </c>
      <c r="D1221" s="19" t="s">
        <v>32</v>
      </c>
      <c r="E1221" s="8">
        <v>8.4108099999999997</v>
      </c>
      <c r="F1221" s="8">
        <v>83.31138</v>
      </c>
      <c r="G1221" s="22">
        <v>300</v>
      </c>
      <c r="H1221" s="22">
        <v>12</v>
      </c>
      <c r="I1221" s="10">
        <f t="shared" si="378"/>
        <v>8.2932948805945319</v>
      </c>
      <c r="J1221" s="10">
        <f t="shared" si="379"/>
        <v>0.14474530150516457</v>
      </c>
      <c r="K1221" s="10">
        <f t="shared" si="380"/>
        <v>21.221924545521965</v>
      </c>
      <c r="L1221" s="22">
        <v>887</v>
      </c>
      <c r="M1221" s="31" t="s">
        <v>231</v>
      </c>
      <c r="N1221" s="8" t="s">
        <v>171</v>
      </c>
      <c r="O1221" s="33" t="s">
        <v>99</v>
      </c>
      <c r="P1221" s="33" t="s">
        <v>99</v>
      </c>
      <c r="Q1221" s="7">
        <v>0.57999999999999996</v>
      </c>
      <c r="R1221" s="7" t="s">
        <v>103</v>
      </c>
      <c r="S1221" s="30">
        <v>26.7</v>
      </c>
      <c r="T1221" s="79">
        <f t="shared" si="362"/>
        <v>5.59903806E-2</v>
      </c>
      <c r="U1221" s="22">
        <v>10</v>
      </c>
      <c r="V1221" s="22">
        <v>68</v>
      </c>
      <c r="W1221" s="10">
        <f t="shared" si="381"/>
        <v>1.1868238913561442</v>
      </c>
      <c r="X1221" s="22">
        <v>5</v>
      </c>
      <c r="Y1221" s="22">
        <v>20</v>
      </c>
      <c r="Z1221" s="10">
        <f t="shared" si="382"/>
        <v>0.3490658503988659</v>
      </c>
      <c r="AA1221" s="10">
        <f t="shared" si="383"/>
        <v>10.981939262296217</v>
      </c>
      <c r="AB1221" s="10">
        <f t="shared" si="384"/>
        <v>212.60011825634953</v>
      </c>
      <c r="AC1221" s="10">
        <f t="shared" si="374"/>
        <v>26.575014782043691</v>
      </c>
      <c r="AD1221" s="10">
        <f t="shared" si="359"/>
        <v>106.30005912817477</v>
      </c>
      <c r="AE1221" s="65"/>
      <c r="AF1221" s="10">
        <f t="shared" si="360"/>
        <v>386.61020576347863</v>
      </c>
      <c r="AG1221" s="8">
        <f t="shared" si="375"/>
        <v>75.38899012387833</v>
      </c>
      <c r="AH1221" s="10">
        <f t="shared" si="376"/>
        <v>193.30510288173932</v>
      </c>
      <c r="AI1221" s="63"/>
      <c r="AJ1221" s="10">
        <f t="shared" si="361"/>
        <v>363.19049999999993</v>
      </c>
      <c r="AK1221" s="8"/>
      <c r="AL1221" s="8">
        <f t="shared" si="377"/>
        <v>181.59524999999996</v>
      </c>
    </row>
    <row r="1222" spans="1:38">
      <c r="A1222" s="18">
        <v>41481</v>
      </c>
      <c r="B1222" s="19" t="s">
        <v>141</v>
      </c>
      <c r="C1222" s="12">
        <v>300.10000000000002</v>
      </c>
      <c r="D1222" s="19" t="s">
        <v>32</v>
      </c>
      <c r="E1222" s="8">
        <v>8.4108099999999997</v>
      </c>
      <c r="F1222" s="8">
        <v>83.31138</v>
      </c>
      <c r="G1222" s="22">
        <v>300</v>
      </c>
      <c r="H1222" s="22">
        <v>12</v>
      </c>
      <c r="I1222" s="10">
        <f t="shared" si="378"/>
        <v>8.2932948805945319</v>
      </c>
      <c r="J1222" s="10">
        <f t="shared" si="379"/>
        <v>0.14474530150516457</v>
      </c>
      <c r="K1222" s="10">
        <f t="shared" si="380"/>
        <v>21.221924545521965</v>
      </c>
      <c r="L1222" s="22">
        <v>990</v>
      </c>
      <c r="M1222" s="31" t="s">
        <v>231</v>
      </c>
      <c r="N1222" s="8" t="s">
        <v>171</v>
      </c>
      <c r="O1222" s="33" t="s">
        <v>99</v>
      </c>
      <c r="P1222" s="33" t="s">
        <v>99</v>
      </c>
      <c r="Q1222" s="7">
        <v>0.57999999999999996</v>
      </c>
      <c r="R1222" s="7" t="s">
        <v>103</v>
      </c>
      <c r="S1222" s="30">
        <v>6.2</v>
      </c>
      <c r="T1222" s="79">
        <f t="shared" si="362"/>
        <v>3.0190776000000004E-3</v>
      </c>
      <c r="U1222" s="22">
        <v>6</v>
      </c>
      <c r="V1222" s="22">
        <v>42</v>
      </c>
      <c r="W1222" s="10">
        <f t="shared" si="381"/>
        <v>0.73303828583761843</v>
      </c>
      <c r="X1222" s="22">
        <v>5</v>
      </c>
      <c r="Y1222" s="22">
        <v>20</v>
      </c>
      <c r="Z1222" s="10">
        <f t="shared" si="382"/>
        <v>0.3490658503988659</v>
      </c>
      <c r="AA1222" s="10">
        <f t="shared" si="383"/>
        <v>5.7248843547814925</v>
      </c>
      <c r="AB1222" s="10">
        <f t="shared" si="384"/>
        <v>7.4042508953271655</v>
      </c>
      <c r="AC1222" s="10">
        <f t="shared" si="374"/>
        <v>0.92553136191589569</v>
      </c>
      <c r="AD1222" s="10">
        <f t="shared" si="359"/>
        <v>3.7021254476635828</v>
      </c>
      <c r="AE1222" s="65"/>
      <c r="AF1222" s="10">
        <f t="shared" si="360"/>
        <v>10.457328721807214</v>
      </c>
      <c r="AG1222" s="8">
        <f t="shared" si="375"/>
        <v>2.0391791007524067</v>
      </c>
      <c r="AH1222" s="10">
        <f t="shared" si="376"/>
        <v>5.2286643609036068</v>
      </c>
      <c r="AI1222" s="63"/>
      <c r="AJ1222" s="10">
        <f t="shared" si="361"/>
        <v>6.6340000000000003</v>
      </c>
      <c r="AK1222" s="8"/>
      <c r="AL1222" s="8">
        <f t="shared" si="377"/>
        <v>3.3170000000000002</v>
      </c>
    </row>
    <row r="1223" spans="1:38">
      <c r="A1223" s="18">
        <v>41481</v>
      </c>
      <c r="B1223" s="19" t="s">
        <v>141</v>
      </c>
      <c r="C1223" s="12">
        <v>300.10000000000002</v>
      </c>
      <c r="D1223" s="19" t="s">
        <v>32</v>
      </c>
      <c r="E1223" s="8">
        <v>8.4108099999999997</v>
      </c>
      <c r="F1223" s="8">
        <v>83.31138</v>
      </c>
      <c r="G1223" s="22">
        <v>300</v>
      </c>
      <c r="H1223" s="22">
        <v>12</v>
      </c>
      <c r="I1223" s="10">
        <f t="shared" si="378"/>
        <v>8.2932948805945319</v>
      </c>
      <c r="J1223" s="10">
        <f t="shared" si="379"/>
        <v>0.14474530150516457</v>
      </c>
      <c r="K1223" s="10">
        <f t="shared" si="380"/>
        <v>21.221924545521965</v>
      </c>
      <c r="L1223" s="22">
        <v>965</v>
      </c>
      <c r="M1223" s="22" t="s">
        <v>36</v>
      </c>
      <c r="N1223" s="8" t="s">
        <v>46</v>
      </c>
      <c r="O1223" s="10" t="s">
        <v>37</v>
      </c>
      <c r="P1223" s="10" t="s">
        <v>38</v>
      </c>
      <c r="Q1223" s="11">
        <v>0.48</v>
      </c>
      <c r="R1223" s="8" t="s">
        <v>60</v>
      </c>
      <c r="S1223" s="30">
        <v>31.9</v>
      </c>
      <c r="T1223" s="79">
        <f t="shared" si="362"/>
        <v>7.9923089399999994E-2</v>
      </c>
      <c r="U1223" s="22">
        <v>8</v>
      </c>
      <c r="V1223" s="22">
        <v>55</v>
      </c>
      <c r="W1223" s="10">
        <f t="shared" si="381"/>
        <v>0.95993108859688125</v>
      </c>
      <c r="X1223" s="22">
        <v>6</v>
      </c>
      <c r="Y1223" s="22">
        <v>20</v>
      </c>
      <c r="Z1223" s="10">
        <f t="shared" si="382"/>
        <v>0.3490658503988659</v>
      </c>
      <c r="AA1223" s="10">
        <f t="shared" si="383"/>
        <v>8.6053372142659477</v>
      </c>
      <c r="AB1223" s="10">
        <f t="shared" si="384"/>
        <v>197.71371134813401</v>
      </c>
      <c r="AC1223" s="10">
        <f t="shared" si="374"/>
        <v>24.714213918516752</v>
      </c>
      <c r="AD1223" s="10">
        <f t="shared" ref="AD1223:AD1248" si="385">AB1223/2</f>
        <v>98.856855674067006</v>
      </c>
      <c r="AE1223" s="65"/>
      <c r="AF1223" s="10">
        <f t="shared" ref="AF1223:AF1248" si="386">Q1223*EXP(-1.239+1.98*LN(S1223)+0.207*(LN(S1223))^2-0.0281*(LN(S1223))^3)</f>
        <v>491.89413442009612</v>
      </c>
      <c r="AG1223" s="8">
        <f t="shared" si="375"/>
        <v>95.919356211918753</v>
      </c>
      <c r="AH1223" s="10">
        <f t="shared" si="376"/>
        <v>245.94706721004806</v>
      </c>
      <c r="AI1223" s="63"/>
      <c r="AJ1223" s="10">
        <f t="shared" ref="AJ1223:AJ1248" si="387">21.297-6.953*S1223+0.74*(S1223^2)</f>
        <v>552.52769999999998</v>
      </c>
      <c r="AK1223" s="8"/>
      <c r="AL1223" s="8">
        <f t="shared" si="377"/>
        <v>276.26384999999999</v>
      </c>
    </row>
    <row r="1224" spans="1:38">
      <c r="A1224" s="18">
        <v>41481</v>
      </c>
      <c r="B1224" s="19" t="s">
        <v>141</v>
      </c>
      <c r="C1224" s="12">
        <v>300.10000000000002</v>
      </c>
      <c r="D1224" s="19" t="s">
        <v>32</v>
      </c>
      <c r="E1224" s="8">
        <v>8.4108099999999997</v>
      </c>
      <c r="F1224" s="8">
        <v>83.31138</v>
      </c>
      <c r="G1224" s="22">
        <v>300</v>
      </c>
      <c r="H1224" s="22">
        <v>12</v>
      </c>
      <c r="I1224" s="10">
        <f t="shared" si="378"/>
        <v>8.2932948805945319</v>
      </c>
      <c r="J1224" s="10">
        <f t="shared" si="379"/>
        <v>0.14474530150516457</v>
      </c>
      <c r="K1224" s="10">
        <f t="shared" si="380"/>
        <v>21.221924545521965</v>
      </c>
      <c r="L1224" s="22">
        <v>1002</v>
      </c>
      <c r="M1224" s="22" t="s">
        <v>39</v>
      </c>
      <c r="N1224" s="7" t="s">
        <v>69</v>
      </c>
      <c r="O1224" s="33" t="s">
        <v>65</v>
      </c>
      <c r="P1224" s="33" t="s">
        <v>70</v>
      </c>
      <c r="Q1224" s="7">
        <v>0.37</v>
      </c>
      <c r="R1224" s="7" t="s">
        <v>71</v>
      </c>
      <c r="S1224" s="30">
        <v>23.7</v>
      </c>
      <c r="T1224" s="79">
        <f t="shared" ref="T1224:T1248" si="388">0.00007854*S1224^2</f>
        <v>4.4115132599999995E-2</v>
      </c>
      <c r="U1224" s="22">
        <v>13</v>
      </c>
      <c r="V1224" s="22">
        <v>62</v>
      </c>
      <c r="W1224" s="10">
        <f t="shared" si="381"/>
        <v>1.0821041362364843</v>
      </c>
      <c r="X1224" s="22">
        <v>6</v>
      </c>
      <c r="Y1224" s="22">
        <v>19</v>
      </c>
      <c r="Z1224" s="10">
        <f t="shared" si="382"/>
        <v>0.33161255787892263</v>
      </c>
      <c r="AA1224" s="10">
        <f t="shared" si="383"/>
        <v>13.43172763390899</v>
      </c>
      <c r="AB1224" s="10">
        <f t="shared" si="384"/>
        <v>134.56812352207436</v>
      </c>
      <c r="AC1224" s="10">
        <f t="shared" si="374"/>
        <v>16.821015440259295</v>
      </c>
      <c r="AD1224" s="10">
        <f t="shared" si="385"/>
        <v>67.284061761037179</v>
      </c>
      <c r="AE1224" s="65"/>
      <c r="AF1224" s="10">
        <f t="shared" si="386"/>
        <v>184.43152515256031</v>
      </c>
      <c r="AG1224" s="8">
        <f t="shared" si="375"/>
        <v>35.964147404749262</v>
      </c>
      <c r="AH1224" s="10">
        <f t="shared" si="376"/>
        <v>92.215762576280156</v>
      </c>
      <c r="AI1224" s="63"/>
      <c r="AJ1224" s="10">
        <f t="shared" si="387"/>
        <v>272.16149999999993</v>
      </c>
      <c r="AK1224" s="8"/>
      <c r="AL1224" s="8">
        <f t="shared" si="377"/>
        <v>136.08074999999997</v>
      </c>
    </row>
    <row r="1225" spans="1:38">
      <c r="A1225" s="18">
        <v>41481</v>
      </c>
      <c r="B1225" s="19" t="s">
        <v>141</v>
      </c>
      <c r="C1225" s="12">
        <v>300.10000000000002</v>
      </c>
      <c r="D1225" s="19" t="s">
        <v>32</v>
      </c>
      <c r="E1225" s="8">
        <v>8.4108099999999997</v>
      </c>
      <c r="F1225" s="8">
        <v>83.31138</v>
      </c>
      <c r="G1225" s="22">
        <v>300</v>
      </c>
      <c r="H1225" s="22">
        <v>12</v>
      </c>
      <c r="I1225" s="10">
        <f t="shared" si="378"/>
        <v>8.2932948805945319</v>
      </c>
      <c r="J1225" s="10">
        <f t="shared" si="379"/>
        <v>0.14474530150516457</v>
      </c>
      <c r="K1225" s="10">
        <f t="shared" si="380"/>
        <v>21.221924545521965</v>
      </c>
      <c r="L1225" s="22">
        <v>983</v>
      </c>
      <c r="M1225" s="22" t="s">
        <v>131</v>
      </c>
      <c r="N1225" s="8" t="s">
        <v>81</v>
      </c>
      <c r="O1225" s="10" t="s">
        <v>164</v>
      </c>
      <c r="P1225" s="50" t="s">
        <v>165</v>
      </c>
      <c r="Q1225" s="23">
        <v>0.56000000000000005</v>
      </c>
      <c r="R1225" s="22" t="s">
        <v>166</v>
      </c>
      <c r="S1225" s="30">
        <v>7.3</v>
      </c>
      <c r="T1225" s="79">
        <f t="shared" si="388"/>
        <v>4.1853966000000003E-3</v>
      </c>
      <c r="U1225" s="22">
        <v>10</v>
      </c>
      <c r="V1225" s="22">
        <v>56</v>
      </c>
      <c r="W1225" s="10">
        <f t="shared" si="381"/>
        <v>0.97738438111682457</v>
      </c>
      <c r="X1225" s="22">
        <v>6</v>
      </c>
      <c r="Y1225" s="22">
        <v>10</v>
      </c>
      <c r="Z1225" s="10">
        <f t="shared" si="382"/>
        <v>0.17453292519943295</v>
      </c>
      <c r="AA1225" s="10">
        <f t="shared" si="383"/>
        <v>9.3322647915519994</v>
      </c>
      <c r="AB1225" s="10">
        <f t="shared" si="384"/>
        <v>15.416765742851247</v>
      </c>
      <c r="AC1225" s="10">
        <f t="shared" si="374"/>
        <v>1.9270957178564059</v>
      </c>
      <c r="AD1225" s="10">
        <f t="shared" si="385"/>
        <v>7.7083828714256235</v>
      </c>
      <c r="AE1225" s="65"/>
      <c r="AF1225" s="10">
        <f t="shared" si="386"/>
        <v>15.095959727031275</v>
      </c>
      <c r="AG1225" s="8">
        <f t="shared" si="375"/>
        <v>2.9437121467710985</v>
      </c>
      <c r="AH1225" s="10">
        <f t="shared" si="376"/>
        <v>7.5479798635156374</v>
      </c>
      <c r="AI1225" s="63"/>
      <c r="AJ1225" s="10">
        <f t="shared" si="387"/>
        <v>9.974699999999995</v>
      </c>
      <c r="AK1225" s="8"/>
      <c r="AL1225" s="8">
        <f t="shared" si="377"/>
        <v>4.9873499999999975</v>
      </c>
    </row>
    <row r="1226" spans="1:38">
      <c r="A1226" s="18">
        <v>41481</v>
      </c>
      <c r="B1226" s="19" t="s">
        <v>141</v>
      </c>
      <c r="C1226" s="12">
        <v>300.10000000000002</v>
      </c>
      <c r="D1226" s="19" t="s">
        <v>32</v>
      </c>
      <c r="E1226" s="8">
        <v>8.4108099999999997</v>
      </c>
      <c r="F1226" s="8">
        <v>83.31138</v>
      </c>
      <c r="G1226" s="22">
        <v>300</v>
      </c>
      <c r="H1226" s="22">
        <v>12</v>
      </c>
      <c r="I1226" s="10">
        <f t="shared" si="378"/>
        <v>8.2932948805945319</v>
      </c>
      <c r="J1226" s="10">
        <f t="shared" si="379"/>
        <v>0.14474530150516457</v>
      </c>
      <c r="K1226" s="10">
        <f t="shared" si="380"/>
        <v>21.221924545521965</v>
      </c>
      <c r="L1226" s="22">
        <v>948</v>
      </c>
      <c r="M1226" s="22" t="s">
        <v>131</v>
      </c>
      <c r="N1226" s="8" t="s">
        <v>81</v>
      </c>
      <c r="O1226" s="10" t="s">
        <v>164</v>
      </c>
      <c r="P1226" s="50" t="s">
        <v>165</v>
      </c>
      <c r="Q1226" s="23">
        <v>0.56000000000000005</v>
      </c>
      <c r="R1226" s="22" t="s">
        <v>166</v>
      </c>
      <c r="S1226" s="30">
        <v>9.1</v>
      </c>
      <c r="T1226" s="79">
        <f t="shared" si="388"/>
        <v>6.5038973999999991E-3</v>
      </c>
      <c r="U1226" s="22">
        <v>7</v>
      </c>
      <c r="V1226" s="22">
        <v>60</v>
      </c>
      <c r="W1226" s="10">
        <f t="shared" si="381"/>
        <v>1.0471975511965976</v>
      </c>
      <c r="X1226" s="22">
        <v>6</v>
      </c>
      <c r="Y1226" s="22">
        <v>10</v>
      </c>
      <c r="Z1226" s="10">
        <f t="shared" si="382"/>
        <v>0.17453292519943295</v>
      </c>
      <c r="AA1226" s="10">
        <f t="shared" si="383"/>
        <v>7.1040668924926527</v>
      </c>
      <c r="AB1226" s="10">
        <f t="shared" si="384"/>
        <v>18.0539777886389</v>
      </c>
      <c r="AC1226" s="10">
        <f t="shared" si="374"/>
        <v>2.2567472235798625</v>
      </c>
      <c r="AD1226" s="10">
        <f t="shared" si="385"/>
        <v>9.0269888943194498</v>
      </c>
      <c r="AE1226" s="65"/>
      <c r="AF1226" s="10">
        <f t="shared" si="386"/>
        <v>26.059901141281276</v>
      </c>
      <c r="AG1226" s="8">
        <f t="shared" si="375"/>
        <v>5.0816807225498488</v>
      </c>
      <c r="AH1226" s="10">
        <f t="shared" si="376"/>
        <v>13.029950570640638</v>
      </c>
      <c r="AI1226" s="63"/>
      <c r="AJ1226" s="10">
        <f t="shared" si="387"/>
        <v>19.304099999999984</v>
      </c>
      <c r="AK1226" s="8"/>
      <c r="AL1226" s="8">
        <f t="shared" si="377"/>
        <v>9.652049999999992</v>
      </c>
    </row>
    <row r="1227" spans="1:38">
      <c r="A1227" s="18">
        <v>41481</v>
      </c>
      <c r="B1227" s="19" t="s">
        <v>141</v>
      </c>
      <c r="C1227" s="12">
        <v>300.10000000000002</v>
      </c>
      <c r="D1227" s="19" t="s">
        <v>32</v>
      </c>
      <c r="E1227" s="8">
        <v>8.4108099999999997</v>
      </c>
      <c r="F1227" s="8">
        <v>83.31138</v>
      </c>
      <c r="G1227" s="22">
        <v>300</v>
      </c>
      <c r="H1227" s="22">
        <v>12</v>
      </c>
      <c r="I1227" s="10">
        <f t="shared" si="378"/>
        <v>8.2932948805945319</v>
      </c>
      <c r="J1227" s="10">
        <f t="shared" si="379"/>
        <v>0.14474530150516457</v>
      </c>
      <c r="K1227" s="10">
        <f t="shared" si="380"/>
        <v>21.221924545521965</v>
      </c>
      <c r="L1227" s="22">
        <v>914</v>
      </c>
      <c r="M1227" s="22" t="s">
        <v>107</v>
      </c>
      <c r="N1227" s="22" t="s">
        <v>63</v>
      </c>
      <c r="O1227" s="10" t="s">
        <v>108</v>
      </c>
      <c r="P1227" s="15" t="s">
        <v>92</v>
      </c>
      <c r="Q1227" s="8">
        <v>0.57999999999999996</v>
      </c>
      <c r="R1227" s="22" t="s">
        <v>190</v>
      </c>
      <c r="S1227" s="30">
        <v>11.2</v>
      </c>
      <c r="T1227" s="79">
        <f t="shared" si="388"/>
        <v>9.8520575999999985E-3</v>
      </c>
      <c r="U1227" s="22">
        <v>10</v>
      </c>
      <c r="V1227" s="22">
        <v>70</v>
      </c>
      <c r="W1227" s="10">
        <f t="shared" si="381"/>
        <v>1.2217304763960306</v>
      </c>
      <c r="X1227" s="22">
        <v>6</v>
      </c>
      <c r="Y1227" s="22">
        <v>10</v>
      </c>
      <c r="Z1227" s="10">
        <f t="shared" si="382"/>
        <v>0.17453292519943295</v>
      </c>
      <c r="AA1227" s="10">
        <f t="shared" si="383"/>
        <v>10.438815273860666</v>
      </c>
      <c r="AB1227" s="10">
        <f t="shared" si="384"/>
        <v>39.586404444676617</v>
      </c>
      <c r="AC1227" s="10">
        <f t="shared" si="374"/>
        <v>4.9483005555845772</v>
      </c>
      <c r="AD1227" s="10">
        <f t="shared" si="385"/>
        <v>19.793202222338309</v>
      </c>
      <c r="AE1227" s="65"/>
      <c r="AF1227" s="10">
        <f t="shared" si="386"/>
        <v>45.228774404724177</v>
      </c>
      <c r="AG1227" s="8">
        <f t="shared" si="375"/>
        <v>8.8196110089212141</v>
      </c>
      <c r="AH1227" s="10">
        <f t="shared" si="376"/>
        <v>22.614387202362089</v>
      </c>
      <c r="AI1227" s="63"/>
      <c r="AJ1227" s="10">
        <f t="shared" si="387"/>
        <v>36.248999999999981</v>
      </c>
      <c r="AK1227" s="8"/>
      <c r="AL1227" s="8">
        <f t="shared" si="377"/>
        <v>18.124499999999991</v>
      </c>
    </row>
    <row r="1228" spans="1:38">
      <c r="A1228" s="18">
        <v>41481</v>
      </c>
      <c r="B1228" s="19" t="s">
        <v>141</v>
      </c>
      <c r="C1228" s="12">
        <v>300.10000000000002</v>
      </c>
      <c r="D1228" s="19" t="s">
        <v>32</v>
      </c>
      <c r="E1228" s="8">
        <v>8.4108099999999997</v>
      </c>
      <c r="F1228" s="8">
        <v>83.31138</v>
      </c>
      <c r="G1228" s="22">
        <v>300</v>
      </c>
      <c r="H1228" s="22">
        <v>12</v>
      </c>
      <c r="I1228" s="10">
        <f t="shared" si="378"/>
        <v>8.2932948805945319</v>
      </c>
      <c r="J1228" s="10">
        <f t="shared" si="379"/>
        <v>0.14474530150516457</v>
      </c>
      <c r="K1228" s="10">
        <f t="shared" si="380"/>
        <v>21.221924545521965</v>
      </c>
      <c r="L1228" s="22">
        <v>1007</v>
      </c>
      <c r="M1228" s="22" t="s">
        <v>107</v>
      </c>
      <c r="N1228" s="22" t="s">
        <v>63</v>
      </c>
      <c r="O1228" s="10" t="s">
        <v>108</v>
      </c>
      <c r="P1228" s="15" t="s">
        <v>92</v>
      </c>
      <c r="Q1228" s="8">
        <v>0.57999999999999996</v>
      </c>
      <c r="R1228" s="22" t="s">
        <v>190</v>
      </c>
      <c r="S1228" s="30">
        <v>11.5</v>
      </c>
      <c r="T1228" s="79">
        <f t="shared" si="388"/>
        <v>1.0386915E-2</v>
      </c>
      <c r="U1228" s="22">
        <v>8</v>
      </c>
      <c r="V1228" s="22">
        <v>50</v>
      </c>
      <c r="W1228" s="10">
        <f t="shared" si="381"/>
        <v>0.87266462599716477</v>
      </c>
      <c r="X1228" s="22">
        <v>6</v>
      </c>
      <c r="Y1228" s="22">
        <v>10</v>
      </c>
      <c r="Z1228" s="10">
        <f t="shared" si="382"/>
        <v>0.17453292519943295</v>
      </c>
      <c r="AA1228" s="10">
        <f t="shared" si="383"/>
        <v>7.1702446109534064</v>
      </c>
      <c r="AB1228" s="10">
        <f t="shared" si="384"/>
        <v>29.2279199032401</v>
      </c>
      <c r="AC1228" s="10">
        <f t="shared" si="374"/>
        <v>3.6534899879050124</v>
      </c>
      <c r="AD1228" s="10">
        <f t="shared" si="385"/>
        <v>14.61395995162005</v>
      </c>
      <c r="AE1228" s="65"/>
      <c r="AF1228" s="10">
        <f t="shared" si="386"/>
        <v>48.303569579531739</v>
      </c>
      <c r="AG1228" s="8">
        <f t="shared" si="375"/>
        <v>9.4191960680086897</v>
      </c>
      <c r="AH1228" s="10">
        <f t="shared" si="376"/>
        <v>24.15178478976587</v>
      </c>
      <c r="AI1228" s="63"/>
      <c r="AJ1228" s="10">
        <f t="shared" si="387"/>
        <v>39.202499999999986</v>
      </c>
      <c r="AK1228" s="8"/>
      <c r="AL1228" s="8">
        <f t="shared" si="377"/>
        <v>19.601249999999993</v>
      </c>
    </row>
    <row r="1229" spans="1:38">
      <c r="A1229" s="18">
        <v>41481</v>
      </c>
      <c r="B1229" s="19" t="s">
        <v>141</v>
      </c>
      <c r="C1229" s="12">
        <v>300.10000000000002</v>
      </c>
      <c r="D1229" s="19" t="s">
        <v>32</v>
      </c>
      <c r="E1229" s="8">
        <v>8.4108099999999997</v>
      </c>
      <c r="F1229" s="8">
        <v>83.31138</v>
      </c>
      <c r="G1229" s="22">
        <v>300</v>
      </c>
      <c r="H1229" s="22">
        <v>12</v>
      </c>
      <c r="I1229" s="10">
        <f t="shared" si="378"/>
        <v>8.2932948805945319</v>
      </c>
      <c r="J1229" s="10">
        <f t="shared" si="379"/>
        <v>0.14474530150516457</v>
      </c>
      <c r="K1229" s="10">
        <f t="shared" si="380"/>
        <v>21.221924545521965</v>
      </c>
      <c r="L1229" s="22">
        <v>1014</v>
      </c>
      <c r="M1229" s="22" t="s">
        <v>160</v>
      </c>
      <c r="N1229" s="7" t="s">
        <v>232</v>
      </c>
      <c r="O1229" s="33" t="s">
        <v>233</v>
      </c>
      <c r="P1229" s="33" t="s">
        <v>62</v>
      </c>
      <c r="Q1229" s="7">
        <v>0.48</v>
      </c>
      <c r="R1229" s="7" t="s">
        <v>234</v>
      </c>
      <c r="S1229" s="30">
        <v>25.9</v>
      </c>
      <c r="T1229" s="79">
        <f t="shared" si="388"/>
        <v>5.2685417399999997E-2</v>
      </c>
      <c r="U1229" s="22">
        <v>11</v>
      </c>
      <c r="V1229" s="22">
        <v>57</v>
      </c>
      <c r="W1229" s="10">
        <f t="shared" si="381"/>
        <v>0.99483767363676789</v>
      </c>
      <c r="X1229" s="22">
        <v>6</v>
      </c>
      <c r="Y1229" s="22">
        <v>10</v>
      </c>
      <c r="Z1229" s="10">
        <f t="shared" si="382"/>
        <v>0.17453292519943295</v>
      </c>
      <c r="AA1229" s="10">
        <f t="shared" si="383"/>
        <v>10.267265313401246</v>
      </c>
      <c r="AB1229" s="10">
        <f t="shared" si="384"/>
        <v>157.7609593005368</v>
      </c>
      <c r="AC1229" s="10">
        <f t="shared" si="374"/>
        <v>19.7201199125671</v>
      </c>
      <c r="AD1229" s="10">
        <f t="shared" si="385"/>
        <v>78.880479650268398</v>
      </c>
      <c r="AE1229" s="65"/>
      <c r="AF1229" s="10">
        <f t="shared" si="386"/>
        <v>297.13268149235688</v>
      </c>
      <c r="AG1229" s="8">
        <f t="shared" si="375"/>
        <v>57.94087289100959</v>
      </c>
      <c r="AH1229" s="10">
        <f t="shared" si="376"/>
        <v>148.56634074617844</v>
      </c>
      <c r="AI1229" s="63"/>
      <c r="AJ1229" s="10">
        <f t="shared" si="387"/>
        <v>337.61369999999999</v>
      </c>
      <c r="AK1229" s="8"/>
      <c r="AL1229" s="8">
        <f t="shared" si="377"/>
        <v>168.80685</v>
      </c>
    </row>
    <row r="1230" spans="1:38">
      <c r="A1230" s="18">
        <v>41481</v>
      </c>
      <c r="B1230" s="19" t="s">
        <v>141</v>
      </c>
      <c r="C1230" s="12">
        <v>300.10000000000002</v>
      </c>
      <c r="D1230" s="19" t="s">
        <v>32</v>
      </c>
      <c r="E1230" s="8">
        <v>8.4108099999999997</v>
      </c>
      <c r="F1230" s="8">
        <v>83.31138</v>
      </c>
      <c r="G1230" s="22">
        <v>300</v>
      </c>
      <c r="H1230" s="22">
        <v>12</v>
      </c>
      <c r="I1230" s="10">
        <f t="shared" si="378"/>
        <v>8.2932948805945319</v>
      </c>
      <c r="J1230" s="10">
        <f t="shared" si="379"/>
        <v>0.14474530150516457</v>
      </c>
      <c r="K1230" s="10">
        <f t="shared" si="380"/>
        <v>21.221924545521965</v>
      </c>
      <c r="L1230" s="22">
        <v>1010</v>
      </c>
      <c r="M1230" s="22" t="s">
        <v>160</v>
      </c>
      <c r="N1230" s="7" t="s">
        <v>232</v>
      </c>
      <c r="O1230" s="33" t="s">
        <v>233</v>
      </c>
      <c r="P1230" s="33" t="s">
        <v>62</v>
      </c>
      <c r="Q1230" s="7">
        <v>0.48</v>
      </c>
      <c r="R1230" s="7" t="s">
        <v>234</v>
      </c>
      <c r="S1230" s="30">
        <v>28.5</v>
      </c>
      <c r="T1230" s="79">
        <f t="shared" si="388"/>
        <v>6.3794114999999998E-2</v>
      </c>
      <c r="U1230" s="22">
        <v>11</v>
      </c>
      <c r="V1230" s="22">
        <v>62</v>
      </c>
      <c r="W1230" s="10">
        <f t="shared" si="381"/>
        <v>1.0821041362364843</v>
      </c>
      <c r="X1230" s="22">
        <v>6</v>
      </c>
      <c r="Y1230" s="22">
        <v>10</v>
      </c>
      <c r="Z1230" s="10">
        <f t="shared" si="382"/>
        <v>0.17453292519943295</v>
      </c>
      <c r="AA1230" s="10">
        <f t="shared" si="383"/>
        <v>10.754312587449778</v>
      </c>
      <c r="AB1230" s="10">
        <f t="shared" si="384"/>
        <v>197.2534089691508</v>
      </c>
      <c r="AC1230" s="10">
        <f t="shared" si="374"/>
        <v>24.65667612114385</v>
      </c>
      <c r="AD1230" s="10">
        <f t="shared" si="385"/>
        <v>98.626704484575399</v>
      </c>
      <c r="AE1230" s="65"/>
      <c r="AF1230" s="10">
        <f t="shared" si="386"/>
        <v>374.81257350957083</v>
      </c>
      <c r="AG1230" s="8">
        <f t="shared" si="375"/>
        <v>73.08845183436631</v>
      </c>
      <c r="AH1230" s="10">
        <f t="shared" si="376"/>
        <v>187.40628675478541</v>
      </c>
      <c r="AI1230" s="63"/>
      <c r="AJ1230" s="10">
        <f t="shared" si="387"/>
        <v>424.2014999999999</v>
      </c>
      <c r="AK1230" s="8"/>
      <c r="AL1230" s="8">
        <f t="shared" si="377"/>
        <v>212.10074999999995</v>
      </c>
    </row>
    <row r="1231" spans="1:38">
      <c r="A1231" s="18">
        <v>41481</v>
      </c>
      <c r="B1231" s="19" t="s">
        <v>141</v>
      </c>
      <c r="C1231" s="12">
        <v>300.10000000000002</v>
      </c>
      <c r="D1231" s="19" t="s">
        <v>32</v>
      </c>
      <c r="E1231" s="8">
        <v>8.4108099999999997</v>
      </c>
      <c r="F1231" s="8">
        <v>83.31138</v>
      </c>
      <c r="G1231" s="22">
        <v>300</v>
      </c>
      <c r="H1231" s="22">
        <v>12</v>
      </c>
      <c r="I1231" s="10">
        <f t="shared" si="378"/>
        <v>8.2932948805945319</v>
      </c>
      <c r="J1231" s="10">
        <f t="shared" si="379"/>
        <v>0.14474530150516457</v>
      </c>
      <c r="K1231" s="10">
        <f t="shared" si="380"/>
        <v>21.221924545521965</v>
      </c>
      <c r="L1231" s="22">
        <v>1012</v>
      </c>
      <c r="M1231" s="22" t="s">
        <v>160</v>
      </c>
      <c r="N1231" s="7" t="s">
        <v>232</v>
      </c>
      <c r="O1231" s="33" t="s">
        <v>233</v>
      </c>
      <c r="P1231" s="33" t="s">
        <v>62</v>
      </c>
      <c r="Q1231" s="7">
        <v>0.48</v>
      </c>
      <c r="R1231" s="7" t="s">
        <v>234</v>
      </c>
      <c r="S1231" s="30">
        <v>47</v>
      </c>
      <c r="T1231" s="79">
        <f t="shared" si="388"/>
        <v>0.17349486</v>
      </c>
      <c r="U1231" s="22">
        <v>9</v>
      </c>
      <c r="V1231" s="22">
        <v>62</v>
      </c>
      <c r="W1231" s="10">
        <f t="shared" si="381"/>
        <v>1.0821041362364843</v>
      </c>
      <c r="X1231" s="22">
        <v>6</v>
      </c>
      <c r="Y1231" s="22">
        <v>10</v>
      </c>
      <c r="Z1231" s="10">
        <f t="shared" si="382"/>
        <v>0.17453292519943295</v>
      </c>
      <c r="AA1231" s="10">
        <f t="shared" si="383"/>
        <v>8.9884174017319243</v>
      </c>
      <c r="AB1231" s="10">
        <f t="shared" si="384"/>
        <v>426.81010715584154</v>
      </c>
      <c r="AC1231" s="10">
        <f t="shared" si="374"/>
        <v>53.351263394480192</v>
      </c>
      <c r="AD1231" s="10">
        <f t="shared" si="385"/>
        <v>213.40505357792077</v>
      </c>
      <c r="AE1231" s="65"/>
      <c r="AF1231" s="10">
        <f t="shared" si="386"/>
        <v>1230.3564951758074</v>
      </c>
      <c r="AG1231" s="8">
        <f t="shared" si="375"/>
        <v>239.91951655928244</v>
      </c>
      <c r="AH1231" s="10">
        <f t="shared" si="376"/>
        <v>615.17824758790368</v>
      </c>
      <c r="AI1231" s="63"/>
      <c r="AJ1231" s="10">
        <f t="shared" si="387"/>
        <v>1329.1660000000002</v>
      </c>
      <c r="AK1231" s="8"/>
      <c r="AL1231" s="8">
        <f t="shared" si="377"/>
        <v>664.58300000000008</v>
      </c>
    </row>
    <row r="1232" spans="1:38">
      <c r="A1232" s="18">
        <v>41481</v>
      </c>
      <c r="B1232" s="19" t="s">
        <v>141</v>
      </c>
      <c r="C1232" s="12">
        <v>300.10000000000002</v>
      </c>
      <c r="D1232" s="19" t="s">
        <v>32</v>
      </c>
      <c r="E1232" s="8">
        <v>8.4108099999999997</v>
      </c>
      <c r="F1232" s="8">
        <v>83.31138</v>
      </c>
      <c r="G1232" s="22">
        <v>300</v>
      </c>
      <c r="H1232" s="22">
        <v>12</v>
      </c>
      <c r="I1232" s="10">
        <f t="shared" si="378"/>
        <v>8.2932948805945319</v>
      </c>
      <c r="J1232" s="10">
        <f t="shared" si="379"/>
        <v>0.14474530150516457</v>
      </c>
      <c r="K1232" s="10">
        <f t="shared" si="380"/>
        <v>21.221924545521965</v>
      </c>
      <c r="L1232" s="22">
        <v>954</v>
      </c>
      <c r="M1232" s="22" t="s">
        <v>131</v>
      </c>
      <c r="N1232" s="8" t="s">
        <v>81</v>
      </c>
      <c r="O1232" s="10" t="s">
        <v>164</v>
      </c>
      <c r="P1232" s="50" t="s">
        <v>165</v>
      </c>
      <c r="Q1232" s="23">
        <v>0.56000000000000005</v>
      </c>
      <c r="R1232" s="22" t="s">
        <v>166</v>
      </c>
      <c r="S1232" s="30">
        <v>8.5</v>
      </c>
      <c r="T1232" s="79">
        <f t="shared" si="388"/>
        <v>5.6745150000000006E-3</v>
      </c>
      <c r="U1232" s="22">
        <v>12</v>
      </c>
      <c r="V1232" s="22">
        <v>45</v>
      </c>
      <c r="W1232" s="10">
        <f t="shared" si="381"/>
        <v>0.78539816339744828</v>
      </c>
      <c r="X1232" s="22">
        <v>7</v>
      </c>
      <c r="Y1232" s="22">
        <v>19</v>
      </c>
      <c r="Z1232" s="10">
        <f t="shared" si="382"/>
        <v>0.33161255787892263</v>
      </c>
      <c r="AA1232" s="10">
        <f t="shared" si="383"/>
        <v>10.764258455438666</v>
      </c>
      <c r="AB1232" s="10">
        <f t="shared" si="384"/>
        <v>23.470974241883088</v>
      </c>
      <c r="AC1232" s="10">
        <f t="shared" si="374"/>
        <v>2.933871780235386</v>
      </c>
      <c r="AD1232" s="10">
        <f t="shared" si="385"/>
        <v>11.735487120941544</v>
      </c>
      <c r="AE1232" s="65"/>
      <c r="AF1232" s="10">
        <f t="shared" si="386"/>
        <v>22.001994697125191</v>
      </c>
      <c r="AG1232" s="8">
        <f t="shared" si="375"/>
        <v>4.2903889659394121</v>
      </c>
      <c r="AH1232" s="10">
        <f t="shared" si="376"/>
        <v>11.000997348562596</v>
      </c>
      <c r="AI1232" s="63"/>
      <c r="AJ1232" s="10">
        <f t="shared" si="387"/>
        <v>15.661499999999997</v>
      </c>
      <c r="AK1232" s="8"/>
      <c r="AL1232" s="8">
        <f t="shared" si="377"/>
        <v>7.8307499999999983</v>
      </c>
    </row>
    <row r="1233" spans="1:38">
      <c r="A1233" s="18">
        <v>41481</v>
      </c>
      <c r="B1233" s="19" t="s">
        <v>141</v>
      </c>
      <c r="C1233" s="12">
        <v>300.10000000000002</v>
      </c>
      <c r="D1233" s="19" t="s">
        <v>32</v>
      </c>
      <c r="E1233" s="8">
        <v>8.4108099999999997</v>
      </c>
      <c r="F1233" s="8">
        <v>83.31138</v>
      </c>
      <c r="G1233" s="22">
        <v>300</v>
      </c>
      <c r="H1233" s="22">
        <v>12</v>
      </c>
      <c r="I1233" s="10">
        <f t="shared" si="378"/>
        <v>8.2932948805945319</v>
      </c>
      <c r="J1233" s="10">
        <f t="shared" si="379"/>
        <v>0.14474530150516457</v>
      </c>
      <c r="K1233" s="10">
        <f t="shared" si="380"/>
        <v>21.221924545521965</v>
      </c>
      <c r="L1233" s="22">
        <v>927</v>
      </c>
      <c r="M1233" s="31" t="s">
        <v>231</v>
      </c>
      <c r="N1233" s="8" t="s">
        <v>171</v>
      </c>
      <c r="O1233" s="33" t="s">
        <v>99</v>
      </c>
      <c r="P1233" s="33" t="s">
        <v>99</v>
      </c>
      <c r="Q1233" s="7">
        <v>0.57999999999999996</v>
      </c>
      <c r="R1233" s="7" t="s">
        <v>103</v>
      </c>
      <c r="S1233" s="30">
        <v>9.8000000000000007</v>
      </c>
      <c r="T1233" s="79">
        <f t="shared" si="388"/>
        <v>7.5429816000000018E-3</v>
      </c>
      <c r="U1233" s="22">
        <v>9</v>
      </c>
      <c r="V1233" s="22">
        <v>50</v>
      </c>
      <c r="W1233" s="10">
        <f t="shared" si="381"/>
        <v>0.87266462599716477</v>
      </c>
      <c r="X1233" s="22">
        <v>6</v>
      </c>
      <c r="Y1233" s="22">
        <v>19</v>
      </c>
      <c r="Z1233" s="10">
        <f t="shared" si="382"/>
        <v>0.33161255787892263</v>
      </c>
      <c r="AA1233" s="10">
        <f t="shared" si="383"/>
        <v>8.8478089148137418</v>
      </c>
      <c r="AB1233" s="10">
        <f t="shared" si="384"/>
        <v>26.364203067009342</v>
      </c>
      <c r="AC1233" s="10">
        <f t="shared" si="374"/>
        <v>3.2955253833761677</v>
      </c>
      <c r="AD1233" s="10">
        <f t="shared" si="385"/>
        <v>13.182101533504671</v>
      </c>
      <c r="AE1233" s="65"/>
      <c r="AF1233" s="10">
        <f t="shared" si="386"/>
        <v>32.447146397361479</v>
      </c>
      <c r="AG1233" s="8">
        <f t="shared" si="375"/>
        <v>6.3271935474854883</v>
      </c>
      <c r="AH1233" s="10">
        <f t="shared" si="376"/>
        <v>16.223573198680739</v>
      </c>
      <c r="AI1233" s="63"/>
      <c r="AJ1233" s="10">
        <f t="shared" si="387"/>
        <v>24.227199999999996</v>
      </c>
      <c r="AK1233" s="8"/>
      <c r="AL1233" s="8">
        <f t="shared" si="377"/>
        <v>12.113599999999998</v>
      </c>
    </row>
    <row r="1234" spans="1:38">
      <c r="A1234" s="18">
        <v>41481</v>
      </c>
      <c r="B1234" s="19" t="s">
        <v>141</v>
      </c>
      <c r="C1234" s="12">
        <v>300.10000000000002</v>
      </c>
      <c r="D1234" s="19" t="s">
        <v>32</v>
      </c>
      <c r="E1234" s="8">
        <v>8.4108099999999997</v>
      </c>
      <c r="F1234" s="8">
        <v>83.31138</v>
      </c>
      <c r="G1234" s="22">
        <v>300</v>
      </c>
      <c r="H1234" s="22">
        <v>12</v>
      </c>
      <c r="I1234" s="10">
        <f t="shared" si="378"/>
        <v>8.2932948805945319</v>
      </c>
      <c r="J1234" s="10">
        <f t="shared" si="379"/>
        <v>0.14474530150516457</v>
      </c>
      <c r="K1234" s="10">
        <f t="shared" si="380"/>
        <v>21.221924545521965</v>
      </c>
      <c r="L1234" s="22">
        <v>836</v>
      </c>
      <c r="M1234" s="22" t="s">
        <v>36</v>
      </c>
      <c r="N1234" s="8" t="s">
        <v>46</v>
      </c>
      <c r="O1234" s="10" t="s">
        <v>37</v>
      </c>
      <c r="P1234" s="10" t="s">
        <v>38</v>
      </c>
      <c r="Q1234" s="11">
        <v>0.48</v>
      </c>
      <c r="R1234" s="8" t="s">
        <v>60</v>
      </c>
      <c r="S1234" s="30">
        <v>7.3</v>
      </c>
      <c r="T1234" s="79">
        <f t="shared" si="388"/>
        <v>4.1853966000000003E-3</v>
      </c>
      <c r="U1234" s="22">
        <v>11</v>
      </c>
      <c r="V1234" s="22">
        <v>63</v>
      </c>
      <c r="W1234" s="10">
        <f t="shared" si="381"/>
        <v>1.0995574287564276</v>
      </c>
      <c r="X1234" s="22">
        <v>6</v>
      </c>
      <c r="Y1234" s="22">
        <v>3</v>
      </c>
      <c r="Z1234" s="10">
        <f t="shared" si="382"/>
        <v>5.235987755982989E-2</v>
      </c>
      <c r="AA1234" s="10">
        <f t="shared" si="383"/>
        <v>10.115087503529708</v>
      </c>
      <c r="AB1234" s="10">
        <f t="shared" si="384"/>
        <v>14.386227600978874</v>
      </c>
      <c r="AC1234" s="10">
        <f t="shared" si="374"/>
        <v>1.7982784501223592</v>
      </c>
      <c r="AD1234" s="10">
        <f t="shared" si="385"/>
        <v>7.1931138004894368</v>
      </c>
      <c r="AE1234" s="65"/>
      <c r="AF1234" s="10">
        <f t="shared" si="386"/>
        <v>12.939394051741091</v>
      </c>
      <c r="AG1234" s="8">
        <f t="shared" si="375"/>
        <v>2.5231818400895127</v>
      </c>
      <c r="AH1234" s="10">
        <f t="shared" si="376"/>
        <v>6.4696970258705457</v>
      </c>
      <c r="AI1234" s="63"/>
      <c r="AJ1234" s="10">
        <f t="shared" si="387"/>
        <v>9.974699999999995</v>
      </c>
      <c r="AK1234" s="8"/>
      <c r="AL1234" s="8">
        <f t="shared" si="377"/>
        <v>4.9873499999999975</v>
      </c>
    </row>
    <row r="1235" spans="1:38">
      <c r="A1235" s="18">
        <v>41481</v>
      </c>
      <c r="B1235" s="19" t="s">
        <v>141</v>
      </c>
      <c r="C1235" s="12">
        <v>300.10000000000002</v>
      </c>
      <c r="D1235" s="19" t="s">
        <v>32</v>
      </c>
      <c r="E1235" s="8">
        <v>8.4108099999999997</v>
      </c>
      <c r="F1235" s="8">
        <v>83.31138</v>
      </c>
      <c r="G1235" s="22">
        <v>300</v>
      </c>
      <c r="H1235" s="22">
        <v>12</v>
      </c>
      <c r="I1235" s="10">
        <f t="shared" si="378"/>
        <v>8.2932948805945319</v>
      </c>
      <c r="J1235" s="10">
        <f t="shared" si="379"/>
        <v>0.14474530150516457</v>
      </c>
      <c r="K1235" s="10">
        <f t="shared" si="380"/>
        <v>21.221924545521965</v>
      </c>
      <c r="L1235" s="22">
        <v>844</v>
      </c>
      <c r="M1235" s="22" t="s">
        <v>131</v>
      </c>
      <c r="N1235" s="8" t="s">
        <v>81</v>
      </c>
      <c r="O1235" s="10" t="s">
        <v>164</v>
      </c>
      <c r="P1235" s="50" t="s">
        <v>165</v>
      </c>
      <c r="Q1235" s="23">
        <v>0.56000000000000005</v>
      </c>
      <c r="R1235" s="22" t="s">
        <v>166</v>
      </c>
      <c r="S1235" s="30">
        <v>13.2</v>
      </c>
      <c r="T1235" s="79">
        <f t="shared" si="388"/>
        <v>1.3684809599999999E-2</v>
      </c>
      <c r="U1235" s="22">
        <v>10</v>
      </c>
      <c r="V1235" s="22">
        <v>67</v>
      </c>
      <c r="W1235" s="10">
        <f t="shared" si="381"/>
        <v>1.1693705988362009</v>
      </c>
      <c r="X1235" s="22">
        <v>5</v>
      </c>
      <c r="Y1235" s="22">
        <v>7</v>
      </c>
      <c r="Z1235" s="10">
        <f t="shared" si="382"/>
        <v>0.12217304763960307</v>
      </c>
      <c r="AA1235" s="10">
        <f t="shared" si="383"/>
        <v>9.81439525155014</v>
      </c>
      <c r="AB1235" s="10">
        <f t="shared" si="384"/>
        <v>49.225392631181535</v>
      </c>
      <c r="AC1235" s="10">
        <f t="shared" si="374"/>
        <v>6.1531740788976919</v>
      </c>
      <c r="AD1235" s="10">
        <f t="shared" si="385"/>
        <v>24.612696315590767</v>
      </c>
      <c r="AE1235" s="65"/>
      <c r="AF1235" s="10">
        <f t="shared" si="386"/>
        <v>65.721089379284706</v>
      </c>
      <c r="AG1235" s="8">
        <f t="shared" si="375"/>
        <v>12.815612428960518</v>
      </c>
      <c r="AH1235" s="10">
        <f t="shared" si="376"/>
        <v>32.860544689642353</v>
      </c>
      <c r="AI1235" s="63"/>
      <c r="AJ1235" s="10">
        <f t="shared" si="387"/>
        <v>58.45499999999997</v>
      </c>
      <c r="AK1235" s="8"/>
      <c r="AL1235" s="8">
        <f t="shared" si="377"/>
        <v>29.227499999999985</v>
      </c>
    </row>
    <row r="1236" spans="1:38">
      <c r="A1236" s="18">
        <v>41481</v>
      </c>
      <c r="B1236" s="19" t="s">
        <v>141</v>
      </c>
      <c r="C1236" s="12">
        <v>300.10000000000002</v>
      </c>
      <c r="D1236" s="19" t="s">
        <v>32</v>
      </c>
      <c r="E1236" s="8">
        <v>8.4108099999999997</v>
      </c>
      <c r="F1236" s="8">
        <v>83.31138</v>
      </c>
      <c r="G1236" s="22">
        <v>300</v>
      </c>
      <c r="H1236" s="22">
        <v>12</v>
      </c>
      <c r="I1236" s="10">
        <f t="shared" si="378"/>
        <v>8.2932948805945319</v>
      </c>
      <c r="J1236" s="10">
        <f t="shared" si="379"/>
        <v>0.14474530150516457</v>
      </c>
      <c r="K1236" s="10">
        <f t="shared" si="380"/>
        <v>21.221924545521965</v>
      </c>
      <c r="L1236" s="22">
        <v>898</v>
      </c>
      <c r="M1236" s="22" t="s">
        <v>131</v>
      </c>
      <c r="N1236" s="8" t="s">
        <v>81</v>
      </c>
      <c r="O1236" s="10" t="s">
        <v>164</v>
      </c>
      <c r="P1236" s="50" t="s">
        <v>165</v>
      </c>
      <c r="Q1236" s="23">
        <v>0.56000000000000005</v>
      </c>
      <c r="R1236" s="22" t="s">
        <v>166</v>
      </c>
      <c r="S1236" s="30">
        <v>11.6</v>
      </c>
      <c r="T1236" s="79">
        <f t="shared" si="388"/>
        <v>1.05683424E-2</v>
      </c>
      <c r="U1236" s="22">
        <v>8</v>
      </c>
      <c r="V1236" s="22">
        <v>60</v>
      </c>
      <c r="W1236" s="10">
        <f t="shared" si="381"/>
        <v>1.0471975511965976</v>
      </c>
      <c r="X1236" s="22">
        <v>6</v>
      </c>
      <c r="Y1236" s="22">
        <v>9</v>
      </c>
      <c r="Z1236" s="10">
        <f t="shared" si="382"/>
        <v>0.15707963267948966</v>
      </c>
      <c r="AA1236" s="10">
        <f t="shared" si="383"/>
        <v>7.866810020516894</v>
      </c>
      <c r="AB1236" s="10">
        <f t="shared" si="384"/>
        <v>31.361023576184326</v>
      </c>
      <c r="AC1236" s="10">
        <f t="shared" si="374"/>
        <v>3.9201279470230408</v>
      </c>
      <c r="AD1236" s="10">
        <f t="shared" si="385"/>
        <v>15.680511788092163</v>
      </c>
      <c r="AE1236" s="65"/>
      <c r="AF1236" s="10">
        <f t="shared" si="386"/>
        <v>47.653585197748235</v>
      </c>
      <c r="AG1236" s="8">
        <f t="shared" si="375"/>
        <v>9.292449113560906</v>
      </c>
      <c r="AH1236" s="10">
        <f t="shared" si="376"/>
        <v>23.826792598874118</v>
      </c>
      <c r="AI1236" s="63"/>
      <c r="AJ1236" s="10">
        <f t="shared" si="387"/>
        <v>40.2166</v>
      </c>
      <c r="AK1236" s="8"/>
      <c r="AL1236" s="8">
        <f t="shared" si="377"/>
        <v>20.1083</v>
      </c>
    </row>
    <row r="1237" spans="1:38">
      <c r="A1237" s="18">
        <v>41481</v>
      </c>
      <c r="B1237" s="19" t="s">
        <v>141</v>
      </c>
      <c r="C1237" s="12">
        <v>300.10000000000002</v>
      </c>
      <c r="D1237" s="19" t="s">
        <v>32</v>
      </c>
      <c r="E1237" s="8">
        <v>8.4108099999999997</v>
      </c>
      <c r="F1237" s="8">
        <v>83.31138</v>
      </c>
      <c r="G1237" s="22">
        <v>300</v>
      </c>
      <c r="H1237" s="22">
        <v>12</v>
      </c>
      <c r="I1237" s="10">
        <f t="shared" si="378"/>
        <v>8.2932948805945319</v>
      </c>
      <c r="J1237" s="10">
        <f t="shared" si="379"/>
        <v>0.14474530150516457</v>
      </c>
      <c r="K1237" s="10">
        <f t="shared" si="380"/>
        <v>21.221924545521965</v>
      </c>
      <c r="L1237" s="22">
        <v>979</v>
      </c>
      <c r="M1237" s="22" t="s">
        <v>36</v>
      </c>
      <c r="N1237" s="8" t="s">
        <v>46</v>
      </c>
      <c r="O1237" s="10" t="s">
        <v>37</v>
      </c>
      <c r="P1237" s="10" t="s">
        <v>38</v>
      </c>
      <c r="Q1237" s="11">
        <v>0.48</v>
      </c>
      <c r="R1237" s="8" t="s">
        <v>60</v>
      </c>
      <c r="S1237" s="30">
        <v>14.6</v>
      </c>
      <c r="T1237" s="79">
        <f t="shared" si="388"/>
        <v>1.6741586400000001E-2</v>
      </c>
      <c r="U1237" s="22">
        <v>8</v>
      </c>
      <c r="V1237" s="22">
        <v>53</v>
      </c>
      <c r="W1237" s="10">
        <f t="shared" si="381"/>
        <v>0.92502450355699462</v>
      </c>
      <c r="X1237" s="22">
        <v>5</v>
      </c>
      <c r="Y1237" s="22">
        <v>9</v>
      </c>
      <c r="Z1237" s="10">
        <f t="shared" si="382"/>
        <v>0.15707963267948966</v>
      </c>
      <c r="AA1237" s="10">
        <f t="shared" si="383"/>
        <v>7.1712564055794967</v>
      </c>
      <c r="AB1237" s="10">
        <f t="shared" si="384"/>
        <v>38.324049199621101</v>
      </c>
      <c r="AC1237" s="10">
        <f t="shared" si="374"/>
        <v>4.7905061499526376</v>
      </c>
      <c r="AD1237" s="10">
        <f t="shared" si="385"/>
        <v>19.16202459981055</v>
      </c>
      <c r="AE1237" s="65"/>
      <c r="AF1237" s="10">
        <f t="shared" si="386"/>
        <v>72.372974396540229</v>
      </c>
      <c r="AG1237" s="8">
        <f t="shared" si="375"/>
        <v>14.112730007325345</v>
      </c>
      <c r="AH1237" s="10">
        <f t="shared" si="376"/>
        <v>36.186487198270115</v>
      </c>
      <c r="AI1237" s="63"/>
      <c r="AJ1237" s="10">
        <f t="shared" si="387"/>
        <v>77.521599999999978</v>
      </c>
      <c r="AK1237" s="8"/>
      <c r="AL1237" s="8">
        <f t="shared" si="377"/>
        <v>38.760799999999989</v>
      </c>
    </row>
    <row r="1238" spans="1:38">
      <c r="A1238" s="18">
        <v>41481</v>
      </c>
      <c r="B1238" s="19" t="s">
        <v>141</v>
      </c>
      <c r="C1238" s="12">
        <v>300.10000000000002</v>
      </c>
      <c r="D1238" s="19" t="s">
        <v>32</v>
      </c>
      <c r="E1238" s="8">
        <v>8.4108099999999997</v>
      </c>
      <c r="F1238" s="8">
        <v>83.31138</v>
      </c>
      <c r="G1238" s="22">
        <v>300</v>
      </c>
      <c r="H1238" s="22">
        <v>12</v>
      </c>
      <c r="I1238" s="10">
        <f t="shared" si="378"/>
        <v>8.2932948805945319</v>
      </c>
      <c r="J1238" s="10">
        <f t="shared" si="379"/>
        <v>0.14474530150516457</v>
      </c>
      <c r="K1238" s="10">
        <f t="shared" si="380"/>
        <v>21.221924545521965</v>
      </c>
      <c r="L1238" s="22">
        <v>928</v>
      </c>
      <c r="M1238" s="22" t="s">
        <v>131</v>
      </c>
      <c r="N1238" s="8" t="s">
        <v>81</v>
      </c>
      <c r="O1238" s="10" t="s">
        <v>164</v>
      </c>
      <c r="P1238" s="50" t="s">
        <v>165</v>
      </c>
      <c r="Q1238" s="23">
        <v>0.56000000000000005</v>
      </c>
      <c r="R1238" s="22" t="s">
        <v>166</v>
      </c>
      <c r="S1238" s="30">
        <v>15.7</v>
      </c>
      <c r="T1238" s="79">
        <f t="shared" si="388"/>
        <v>1.9359324599999998E-2</v>
      </c>
      <c r="U1238" s="22">
        <v>13</v>
      </c>
      <c r="V1238" s="22">
        <v>72</v>
      </c>
      <c r="W1238" s="10">
        <f t="shared" si="381"/>
        <v>1.2566370614359172</v>
      </c>
      <c r="X1238" s="22">
        <v>6</v>
      </c>
      <c r="Y1238" s="22">
        <v>8</v>
      </c>
      <c r="Z1238" s="10">
        <f t="shared" si="382"/>
        <v>0.13962634015954636</v>
      </c>
      <c r="AA1238" s="10">
        <f t="shared" si="383"/>
        <v>13.198773317597388</v>
      </c>
      <c r="AB1238" s="10">
        <f t="shared" si="384"/>
        <v>90.105514143001258</v>
      </c>
      <c r="AC1238" s="10">
        <f t="shared" si="374"/>
        <v>11.263189267875157</v>
      </c>
      <c r="AD1238" s="10">
        <f t="shared" si="385"/>
        <v>45.052757071500629</v>
      </c>
      <c r="AE1238" s="65"/>
      <c r="AF1238" s="10">
        <f t="shared" si="386"/>
        <v>101.12007194764976</v>
      </c>
      <c r="AG1238" s="8">
        <f t="shared" si="375"/>
        <v>19.718414029791706</v>
      </c>
      <c r="AH1238" s="10">
        <f t="shared" si="376"/>
        <v>50.560035973824881</v>
      </c>
      <c r="AI1238" s="63"/>
      <c r="AJ1238" s="10">
        <f t="shared" si="387"/>
        <v>94.53749999999998</v>
      </c>
      <c r="AK1238" s="8"/>
      <c r="AL1238" s="8">
        <f t="shared" si="377"/>
        <v>47.26874999999999</v>
      </c>
    </row>
    <row r="1239" spans="1:38">
      <c r="A1239" s="18">
        <v>41481</v>
      </c>
      <c r="B1239" s="19" t="s">
        <v>141</v>
      </c>
      <c r="C1239" s="12">
        <v>300.10000000000002</v>
      </c>
      <c r="D1239" s="19" t="s">
        <v>32</v>
      </c>
      <c r="E1239" s="8">
        <v>8.4108099999999997</v>
      </c>
      <c r="F1239" s="8">
        <v>83.31138</v>
      </c>
      <c r="G1239" s="22">
        <v>300</v>
      </c>
      <c r="H1239" s="22">
        <v>12</v>
      </c>
      <c r="I1239" s="10">
        <f t="shared" si="378"/>
        <v>8.2932948805945319</v>
      </c>
      <c r="J1239" s="10">
        <f t="shared" si="379"/>
        <v>0.14474530150516457</v>
      </c>
      <c r="K1239" s="10">
        <f t="shared" si="380"/>
        <v>21.221924545521965</v>
      </c>
      <c r="L1239" s="22">
        <v>953</v>
      </c>
      <c r="M1239" s="22" t="s">
        <v>131</v>
      </c>
      <c r="N1239" s="8" t="s">
        <v>81</v>
      </c>
      <c r="O1239" s="10" t="s">
        <v>164</v>
      </c>
      <c r="P1239" s="50" t="s">
        <v>165</v>
      </c>
      <c r="Q1239" s="23">
        <v>0.56000000000000005</v>
      </c>
      <c r="R1239" s="22" t="s">
        <v>166</v>
      </c>
      <c r="S1239" s="30">
        <v>17.7</v>
      </c>
      <c r="T1239" s="79">
        <f t="shared" si="388"/>
        <v>2.4605796599999997E-2</v>
      </c>
      <c r="U1239" s="22">
        <v>17</v>
      </c>
      <c r="V1239" s="22">
        <v>70</v>
      </c>
      <c r="W1239" s="10">
        <f t="shared" si="381"/>
        <v>1.2217304763960306</v>
      </c>
      <c r="X1239" s="22">
        <v>6</v>
      </c>
      <c r="Y1239" s="22">
        <v>7</v>
      </c>
      <c r="Z1239" s="10">
        <f t="shared" si="382"/>
        <v>0.12217304763960307</v>
      </c>
      <c r="AA1239" s="10">
        <f t="shared" si="383"/>
        <v>16.705990613791325</v>
      </c>
      <c r="AB1239" s="10">
        <f t="shared" si="384"/>
        <v>140.87959890240316</v>
      </c>
      <c r="AC1239" s="10">
        <f t="shared" si="374"/>
        <v>17.609949862800395</v>
      </c>
      <c r="AD1239" s="10">
        <f t="shared" si="385"/>
        <v>70.43979945120158</v>
      </c>
      <c r="AE1239" s="65"/>
      <c r="AF1239" s="10">
        <f t="shared" si="386"/>
        <v>136.09542904722542</v>
      </c>
      <c r="AG1239" s="8">
        <f t="shared" si="375"/>
        <v>26.538608664208958</v>
      </c>
      <c r="AH1239" s="10">
        <f t="shared" si="376"/>
        <v>68.047714523612711</v>
      </c>
      <c r="AI1239" s="63"/>
      <c r="AJ1239" s="10">
        <f t="shared" si="387"/>
        <v>130.06349999999998</v>
      </c>
      <c r="AK1239" s="8"/>
      <c r="AL1239" s="8">
        <f t="shared" si="377"/>
        <v>65.031749999999988</v>
      </c>
    </row>
    <row r="1240" spans="1:38">
      <c r="A1240" s="18">
        <v>41481</v>
      </c>
      <c r="B1240" s="19" t="s">
        <v>141</v>
      </c>
      <c r="C1240" s="12">
        <v>300.10000000000002</v>
      </c>
      <c r="D1240" s="19" t="s">
        <v>32</v>
      </c>
      <c r="E1240" s="8">
        <v>8.4108099999999997</v>
      </c>
      <c r="F1240" s="8">
        <v>83.31138</v>
      </c>
      <c r="G1240" s="22">
        <v>300</v>
      </c>
      <c r="H1240" s="22">
        <v>12</v>
      </c>
      <c r="I1240" s="10">
        <f t="shared" si="378"/>
        <v>8.2932948805945319</v>
      </c>
      <c r="J1240" s="10">
        <f t="shared" si="379"/>
        <v>0.14474530150516457</v>
      </c>
      <c r="K1240" s="10">
        <f t="shared" si="380"/>
        <v>21.221924545521965</v>
      </c>
      <c r="L1240" s="22">
        <v>999</v>
      </c>
      <c r="M1240" s="22" t="s">
        <v>131</v>
      </c>
      <c r="N1240" s="8" t="s">
        <v>81</v>
      </c>
      <c r="O1240" s="10" t="s">
        <v>164</v>
      </c>
      <c r="P1240" s="50" t="s">
        <v>165</v>
      </c>
      <c r="Q1240" s="23">
        <v>0.56000000000000005</v>
      </c>
      <c r="R1240" s="22" t="s">
        <v>166</v>
      </c>
      <c r="S1240" s="30">
        <v>13.6</v>
      </c>
      <c r="T1240" s="79">
        <f t="shared" si="388"/>
        <v>1.4526758399999999E-2</v>
      </c>
      <c r="U1240" s="22">
        <v>10</v>
      </c>
      <c r="V1240" s="22">
        <v>70</v>
      </c>
      <c r="W1240" s="10">
        <f t="shared" si="381"/>
        <v>1.2217304763960306</v>
      </c>
      <c r="X1240" s="22">
        <v>5</v>
      </c>
      <c r="Y1240" s="22">
        <v>7</v>
      </c>
      <c r="Z1240" s="10">
        <f t="shared" si="382"/>
        <v>0.12217304763960307</v>
      </c>
      <c r="AA1240" s="10">
        <f t="shared" si="383"/>
        <v>10.00627292488482</v>
      </c>
      <c r="AB1240" s="10">
        <f t="shared" si="384"/>
        <v>53.023405565473922</v>
      </c>
      <c r="AC1240" s="10">
        <f t="shared" si="374"/>
        <v>6.6279256956842403</v>
      </c>
      <c r="AD1240" s="10">
        <f t="shared" si="385"/>
        <v>26.511702782736961</v>
      </c>
      <c r="AE1240" s="65"/>
      <c r="AF1240" s="10">
        <f t="shared" si="386"/>
        <v>70.785452249191991</v>
      </c>
      <c r="AG1240" s="8">
        <f t="shared" si="375"/>
        <v>13.803163188592439</v>
      </c>
      <c r="AH1240" s="10">
        <f t="shared" si="376"/>
        <v>35.392726124595995</v>
      </c>
      <c r="AI1240" s="63"/>
      <c r="AJ1240" s="10">
        <f t="shared" si="387"/>
        <v>63.606599999999986</v>
      </c>
      <c r="AK1240" s="8"/>
      <c r="AL1240" s="8">
        <f t="shared" si="377"/>
        <v>31.803299999999993</v>
      </c>
    </row>
    <row r="1241" spans="1:38">
      <c r="A1241" s="18">
        <v>41481</v>
      </c>
      <c r="B1241" s="19" t="s">
        <v>141</v>
      </c>
      <c r="C1241" s="12">
        <v>300.10000000000002</v>
      </c>
      <c r="D1241" s="19" t="s">
        <v>32</v>
      </c>
      <c r="E1241" s="8">
        <v>8.4108099999999997</v>
      </c>
      <c r="F1241" s="8">
        <v>83.31138</v>
      </c>
      <c r="G1241" s="22">
        <v>300</v>
      </c>
      <c r="H1241" s="22">
        <v>12</v>
      </c>
      <c r="I1241" s="10">
        <f t="shared" si="378"/>
        <v>8.2932948805945319</v>
      </c>
      <c r="J1241" s="10">
        <f t="shared" si="379"/>
        <v>0.14474530150516457</v>
      </c>
      <c r="K1241" s="10">
        <f t="shared" si="380"/>
        <v>21.221924545521965</v>
      </c>
      <c r="L1241" s="22">
        <v>995</v>
      </c>
      <c r="M1241" s="22" t="s">
        <v>131</v>
      </c>
      <c r="N1241" s="8" t="s">
        <v>81</v>
      </c>
      <c r="O1241" s="10" t="s">
        <v>164</v>
      </c>
      <c r="P1241" s="50" t="s">
        <v>165</v>
      </c>
      <c r="Q1241" s="23">
        <v>0.56000000000000005</v>
      </c>
      <c r="R1241" s="22" t="s">
        <v>166</v>
      </c>
      <c r="S1241" s="30">
        <v>10.9</v>
      </c>
      <c r="T1241" s="79">
        <f t="shared" si="388"/>
        <v>9.3313374000000004E-3</v>
      </c>
      <c r="U1241" s="22">
        <v>11</v>
      </c>
      <c r="V1241" s="22">
        <v>67</v>
      </c>
      <c r="W1241" s="10">
        <f t="shared" si="381"/>
        <v>1.1693705988362009</v>
      </c>
      <c r="X1241" s="22">
        <v>8</v>
      </c>
      <c r="Y1241" s="22">
        <v>16</v>
      </c>
      <c r="Z1241" s="10">
        <f t="shared" si="382"/>
        <v>0.27925268031909273</v>
      </c>
      <c r="AA1241" s="10">
        <f t="shared" si="383"/>
        <v>12.330652234512836</v>
      </c>
      <c r="AB1241" s="10">
        <f t="shared" si="384"/>
        <v>42.564464033894573</v>
      </c>
      <c r="AC1241" s="10">
        <f t="shared" si="374"/>
        <v>5.3205580042368217</v>
      </c>
      <c r="AD1241" s="10">
        <f t="shared" si="385"/>
        <v>21.282232016947287</v>
      </c>
      <c r="AE1241" s="65"/>
      <c r="AF1241" s="10">
        <f t="shared" si="386"/>
        <v>40.816613641075698</v>
      </c>
      <c r="AG1241" s="8">
        <f t="shared" si="375"/>
        <v>7.9592396600097617</v>
      </c>
      <c r="AH1241" s="10">
        <f t="shared" si="376"/>
        <v>20.408306820537849</v>
      </c>
      <c r="AI1241" s="63"/>
      <c r="AJ1241" s="10">
        <f t="shared" si="387"/>
        <v>33.428699999999992</v>
      </c>
      <c r="AK1241" s="8"/>
      <c r="AL1241" s="8">
        <f t="shared" si="377"/>
        <v>16.714349999999996</v>
      </c>
    </row>
    <row r="1242" spans="1:38">
      <c r="A1242" s="18">
        <v>41481</v>
      </c>
      <c r="B1242" s="19" t="s">
        <v>141</v>
      </c>
      <c r="C1242" s="12">
        <v>300.10000000000002</v>
      </c>
      <c r="D1242" s="19" t="s">
        <v>32</v>
      </c>
      <c r="E1242" s="8">
        <v>8.4108099999999997</v>
      </c>
      <c r="F1242" s="8">
        <v>83.31138</v>
      </c>
      <c r="G1242" s="22">
        <v>300</v>
      </c>
      <c r="H1242" s="22">
        <v>12</v>
      </c>
      <c r="I1242" s="10">
        <f t="shared" si="378"/>
        <v>8.2932948805945319</v>
      </c>
      <c r="J1242" s="10">
        <f t="shared" si="379"/>
        <v>0.14474530150516457</v>
      </c>
      <c r="K1242" s="10">
        <f t="shared" si="380"/>
        <v>21.221924545521965</v>
      </c>
      <c r="L1242" s="22">
        <v>901</v>
      </c>
      <c r="M1242" s="22" t="s">
        <v>36</v>
      </c>
      <c r="N1242" s="8" t="s">
        <v>46</v>
      </c>
      <c r="O1242" s="10" t="s">
        <v>37</v>
      </c>
      <c r="P1242" s="10" t="s">
        <v>38</v>
      </c>
      <c r="Q1242" s="11">
        <v>0.48</v>
      </c>
      <c r="R1242" s="8" t="s">
        <v>60</v>
      </c>
      <c r="S1242" s="30">
        <v>32.299999999999997</v>
      </c>
      <c r="T1242" s="79">
        <f t="shared" si="388"/>
        <v>8.1939996599999981E-2</v>
      </c>
      <c r="U1242" s="22">
        <v>10</v>
      </c>
      <c r="V1242" s="22">
        <v>63</v>
      </c>
      <c r="W1242" s="10">
        <f t="shared" si="381"/>
        <v>1.0995574287564276</v>
      </c>
      <c r="X1242" s="22">
        <v>6</v>
      </c>
      <c r="Y1242" s="22">
        <v>19</v>
      </c>
      <c r="Z1242" s="10">
        <f t="shared" si="382"/>
        <v>0.33161255787892263</v>
      </c>
      <c r="AA1242" s="10">
        <f t="shared" si="383"/>
        <v>10.863474168626619</v>
      </c>
      <c r="AB1242" s="10">
        <f t="shared" si="384"/>
        <v>251.9647797220606</v>
      </c>
      <c r="AC1242" s="10">
        <f t="shared" si="374"/>
        <v>31.495597465257575</v>
      </c>
      <c r="AD1242" s="10">
        <f t="shared" si="385"/>
        <v>125.9823898610303</v>
      </c>
      <c r="AE1242" s="65"/>
      <c r="AF1242" s="10">
        <f t="shared" si="386"/>
        <v>506.83829363964497</v>
      </c>
      <c r="AG1242" s="8">
        <f t="shared" si="375"/>
        <v>98.833467259730767</v>
      </c>
      <c r="AH1242" s="10">
        <f t="shared" si="376"/>
        <v>253.41914681982249</v>
      </c>
      <c r="AI1242" s="63"/>
      <c r="AJ1242" s="10">
        <f t="shared" si="387"/>
        <v>568.74969999999985</v>
      </c>
      <c r="AK1242" s="8"/>
      <c r="AL1242" s="8">
        <f t="shared" si="377"/>
        <v>284.37484999999992</v>
      </c>
    </row>
    <row r="1243" spans="1:38">
      <c r="A1243" s="18">
        <v>41481</v>
      </c>
      <c r="B1243" s="19" t="s">
        <v>141</v>
      </c>
      <c r="C1243" s="12">
        <v>300.10000000000002</v>
      </c>
      <c r="D1243" s="19" t="s">
        <v>32</v>
      </c>
      <c r="E1243" s="8">
        <v>8.4108099999999997</v>
      </c>
      <c r="F1243" s="8">
        <v>83.31138</v>
      </c>
      <c r="G1243" s="22">
        <v>300</v>
      </c>
      <c r="H1243" s="22">
        <v>12</v>
      </c>
      <c r="I1243" s="10">
        <f t="shared" si="378"/>
        <v>8.2932948805945319</v>
      </c>
      <c r="J1243" s="10">
        <f t="shared" si="379"/>
        <v>0.14474530150516457</v>
      </c>
      <c r="K1243" s="10">
        <f t="shared" si="380"/>
        <v>21.221924545521965</v>
      </c>
      <c r="L1243" s="22">
        <v>916</v>
      </c>
      <c r="M1243" s="22" t="s">
        <v>96</v>
      </c>
      <c r="N1243" s="8" t="s">
        <v>69</v>
      </c>
      <c r="O1243" s="58" t="s">
        <v>65</v>
      </c>
      <c r="P1243" s="10" t="s">
        <v>102</v>
      </c>
      <c r="Q1243" s="22">
        <v>0.48</v>
      </c>
      <c r="R1243" s="22" t="s">
        <v>190</v>
      </c>
      <c r="S1243" s="30">
        <v>25.9</v>
      </c>
      <c r="T1243" s="79">
        <f t="shared" si="388"/>
        <v>5.2685417399999997E-2</v>
      </c>
      <c r="U1243" s="22">
        <v>21</v>
      </c>
      <c r="V1243" s="22">
        <v>73</v>
      </c>
      <c r="W1243" s="10">
        <f t="shared" si="381"/>
        <v>1.2740903539558606</v>
      </c>
      <c r="X1243" s="22">
        <v>6</v>
      </c>
      <c r="Y1243" s="22">
        <v>18</v>
      </c>
      <c r="Z1243" s="10">
        <f t="shared" si="382"/>
        <v>0.31415926535897931</v>
      </c>
      <c r="AA1243" s="10">
        <f t="shared" si="383"/>
        <v>21.936501841473426</v>
      </c>
      <c r="AB1243" s="10">
        <f t="shared" si="384"/>
        <v>322.05449967763968</v>
      </c>
      <c r="AC1243" s="10">
        <f t="shared" si="374"/>
        <v>40.25681245970496</v>
      </c>
      <c r="AD1243" s="10">
        <f t="shared" si="385"/>
        <v>161.02724983881984</v>
      </c>
      <c r="AE1243" s="65"/>
      <c r="AF1243" s="10">
        <f t="shared" si="386"/>
        <v>297.13268149235688</v>
      </c>
      <c r="AG1243" s="8">
        <f t="shared" si="375"/>
        <v>57.94087289100959</v>
      </c>
      <c r="AH1243" s="10">
        <f t="shared" si="376"/>
        <v>148.56634074617844</v>
      </c>
      <c r="AI1243" s="63"/>
      <c r="AJ1243" s="10">
        <f t="shared" si="387"/>
        <v>337.61369999999999</v>
      </c>
      <c r="AK1243" s="8"/>
      <c r="AL1243" s="8">
        <f t="shared" si="377"/>
        <v>168.80685</v>
      </c>
    </row>
    <row r="1244" spans="1:38">
      <c r="A1244" s="18">
        <v>41481</v>
      </c>
      <c r="B1244" s="19" t="s">
        <v>141</v>
      </c>
      <c r="C1244" s="12">
        <v>300.10000000000002</v>
      </c>
      <c r="D1244" s="19" t="s">
        <v>32</v>
      </c>
      <c r="E1244" s="8">
        <v>8.4108099999999997</v>
      </c>
      <c r="F1244" s="8">
        <v>83.31138</v>
      </c>
      <c r="G1244" s="22">
        <v>300</v>
      </c>
      <c r="H1244" s="22">
        <v>12</v>
      </c>
      <c r="I1244" s="10">
        <f t="shared" si="378"/>
        <v>8.2932948805945319</v>
      </c>
      <c r="J1244" s="10">
        <f t="shared" si="379"/>
        <v>0.14474530150516457</v>
      </c>
      <c r="K1244" s="10">
        <f t="shared" si="380"/>
        <v>21.221924545521965</v>
      </c>
      <c r="L1244" s="22">
        <v>918</v>
      </c>
      <c r="M1244" s="22" t="s">
        <v>135</v>
      </c>
      <c r="N1244" s="22" t="s">
        <v>180</v>
      </c>
      <c r="O1244" s="10" t="s">
        <v>217</v>
      </c>
      <c r="P1244" s="10" t="s">
        <v>221</v>
      </c>
      <c r="Q1244" s="24">
        <v>0.38</v>
      </c>
      <c r="R1244" s="31" t="s">
        <v>190</v>
      </c>
      <c r="S1244" s="30">
        <v>5.7</v>
      </c>
      <c r="T1244" s="79">
        <f t="shared" si="388"/>
        <v>2.5517646000000004E-3</v>
      </c>
      <c r="U1244" s="22">
        <v>7</v>
      </c>
      <c r="V1244" s="22">
        <v>35</v>
      </c>
      <c r="W1244" s="10">
        <f t="shared" si="381"/>
        <v>0.6108652381980153</v>
      </c>
      <c r="X1244" s="22">
        <v>6</v>
      </c>
      <c r="Y1244" s="22">
        <v>18</v>
      </c>
      <c r="Z1244" s="10">
        <f t="shared" si="382"/>
        <v>0.31415926535897931</v>
      </c>
      <c r="AA1244" s="10">
        <f t="shared" si="383"/>
        <v>5.8691370207070062</v>
      </c>
      <c r="AB1244" s="10">
        <f t="shared" si="384"/>
        <v>4.3487338056695588</v>
      </c>
      <c r="AC1244" s="10">
        <f t="shared" si="374"/>
        <v>0.54359172570869485</v>
      </c>
      <c r="AD1244" s="10">
        <f t="shared" si="385"/>
        <v>2.1743669028347794</v>
      </c>
      <c r="AE1244" s="65"/>
      <c r="AF1244" s="10">
        <f t="shared" si="386"/>
        <v>5.575809853952471</v>
      </c>
      <c r="AG1244" s="8">
        <f t="shared" si="375"/>
        <v>1.0872829215207318</v>
      </c>
      <c r="AH1244" s="10">
        <f t="shared" si="376"/>
        <v>2.7879049269762355</v>
      </c>
      <c r="AI1244" s="63"/>
      <c r="AJ1244" s="10">
        <f t="shared" si="387"/>
        <v>5.7074999999999996</v>
      </c>
      <c r="AK1244" s="8"/>
      <c r="AL1244" s="8">
        <f t="shared" si="377"/>
        <v>2.8537499999999998</v>
      </c>
    </row>
    <row r="1245" spans="1:38">
      <c r="A1245" s="18">
        <v>41481</v>
      </c>
      <c r="B1245" s="19" t="s">
        <v>141</v>
      </c>
      <c r="C1245" s="12">
        <v>300.10000000000002</v>
      </c>
      <c r="D1245" s="19" t="s">
        <v>32</v>
      </c>
      <c r="E1245" s="8">
        <v>8.4108099999999997</v>
      </c>
      <c r="F1245" s="8">
        <v>83.31138</v>
      </c>
      <c r="G1245" s="22">
        <v>300</v>
      </c>
      <c r="H1245" s="22">
        <v>12</v>
      </c>
      <c r="I1245" s="10">
        <f t="shared" si="378"/>
        <v>8.2932948805945319</v>
      </c>
      <c r="J1245" s="10">
        <f t="shared" si="379"/>
        <v>0.14474530150516457</v>
      </c>
      <c r="K1245" s="10">
        <f t="shared" si="380"/>
        <v>21.221924545521965</v>
      </c>
      <c r="L1245" s="22">
        <v>1008</v>
      </c>
      <c r="M1245" s="22" t="s">
        <v>36</v>
      </c>
      <c r="N1245" s="8" t="s">
        <v>46</v>
      </c>
      <c r="O1245" s="10" t="s">
        <v>37</v>
      </c>
      <c r="P1245" s="10" t="s">
        <v>38</v>
      </c>
      <c r="Q1245" s="11">
        <v>0.48</v>
      </c>
      <c r="R1245" s="8" t="s">
        <v>60</v>
      </c>
      <c r="S1245" s="30">
        <v>25.3</v>
      </c>
      <c r="T1245" s="79">
        <f t="shared" si="388"/>
        <v>5.0272668600000008E-2</v>
      </c>
      <c r="U1245" s="22">
        <v>10</v>
      </c>
      <c r="V1245" s="22">
        <v>60</v>
      </c>
      <c r="W1245" s="10">
        <f t="shared" si="381"/>
        <v>1.0471975511965976</v>
      </c>
      <c r="X1245" s="22">
        <v>6</v>
      </c>
      <c r="Y1245" s="22">
        <v>13</v>
      </c>
      <c r="Z1245" s="10">
        <f t="shared" si="382"/>
        <v>0.22689280275926285</v>
      </c>
      <c r="AA1245" s="10">
        <f t="shared" si="383"/>
        <v>10.009960363907576</v>
      </c>
      <c r="AB1245" s="10">
        <f t="shared" si="384"/>
        <v>147.40135660285895</v>
      </c>
      <c r="AC1245" s="10">
        <f t="shared" si="374"/>
        <v>18.425169575357369</v>
      </c>
      <c r="AD1245" s="10">
        <f t="shared" si="385"/>
        <v>73.700678301429477</v>
      </c>
      <c r="AE1245" s="65"/>
      <c r="AF1245" s="10">
        <f t="shared" si="386"/>
        <v>280.64223603506468</v>
      </c>
      <c r="AG1245" s="8">
        <f t="shared" si="375"/>
        <v>54.725236026837614</v>
      </c>
      <c r="AH1245" s="10">
        <f t="shared" si="376"/>
        <v>140.32111801753234</v>
      </c>
      <c r="AI1245" s="63"/>
      <c r="AJ1245" s="10">
        <f t="shared" si="387"/>
        <v>319.05269999999996</v>
      </c>
      <c r="AK1245" s="8"/>
      <c r="AL1245" s="8">
        <f t="shared" si="377"/>
        <v>159.52634999999998</v>
      </c>
    </row>
    <row r="1246" spans="1:38">
      <c r="A1246" s="18">
        <v>41481</v>
      </c>
      <c r="B1246" s="19" t="s">
        <v>141</v>
      </c>
      <c r="C1246" s="12">
        <v>300.10000000000002</v>
      </c>
      <c r="D1246" s="19" t="s">
        <v>32</v>
      </c>
      <c r="E1246" s="8">
        <v>8.4108099999999997</v>
      </c>
      <c r="F1246" s="8">
        <v>83.31138</v>
      </c>
      <c r="G1246" s="22">
        <v>300</v>
      </c>
      <c r="H1246" s="22">
        <v>12</v>
      </c>
      <c r="I1246" s="10">
        <f t="shared" si="378"/>
        <v>8.2932948805945319</v>
      </c>
      <c r="J1246" s="10">
        <f t="shared" si="379"/>
        <v>0.14474530150516457</v>
      </c>
      <c r="K1246" s="10">
        <f t="shared" si="380"/>
        <v>21.221924545521965</v>
      </c>
      <c r="L1246" s="22">
        <v>951</v>
      </c>
      <c r="M1246" s="7" t="s">
        <v>122</v>
      </c>
      <c r="N1246" s="7" t="s">
        <v>123</v>
      </c>
      <c r="O1246" s="33" t="s">
        <v>99</v>
      </c>
      <c r="P1246" s="33" t="s">
        <v>99</v>
      </c>
      <c r="Q1246" s="7">
        <v>0.69</v>
      </c>
      <c r="R1246" s="7" t="s">
        <v>190</v>
      </c>
      <c r="S1246" s="30">
        <v>7</v>
      </c>
      <c r="T1246" s="79">
        <f t="shared" si="388"/>
        <v>3.8484600000000002E-3</v>
      </c>
      <c r="U1246" s="22">
        <v>6</v>
      </c>
      <c r="V1246" s="22">
        <v>31</v>
      </c>
      <c r="W1246" s="10">
        <f t="shared" si="381"/>
        <v>0.54105206811824214</v>
      </c>
      <c r="X1246" s="22">
        <v>6</v>
      </c>
      <c r="Y1246" s="22">
        <v>14</v>
      </c>
      <c r="Z1246" s="10">
        <f t="shared" si="382"/>
        <v>0.24434609527920614</v>
      </c>
      <c r="AA1246" s="10">
        <f t="shared" si="383"/>
        <v>4.5417598230583316</v>
      </c>
      <c r="AB1246" s="10">
        <f t="shared" si="384"/>
        <v>8.8095737592114336</v>
      </c>
      <c r="AC1246" s="10">
        <f t="shared" si="374"/>
        <v>1.1011967199014292</v>
      </c>
      <c r="AD1246" s="10">
        <f t="shared" si="385"/>
        <v>4.4047868796057168</v>
      </c>
      <c r="AE1246" s="65"/>
      <c r="AF1246" s="10">
        <f t="shared" si="386"/>
        <v>16.77027391104048</v>
      </c>
      <c r="AG1246" s="8">
        <f t="shared" si="375"/>
        <v>3.2702034126528936</v>
      </c>
      <c r="AH1246" s="10">
        <f t="shared" si="376"/>
        <v>8.38513695552024</v>
      </c>
      <c r="AI1246" s="63"/>
      <c r="AJ1246" s="10">
        <f t="shared" si="387"/>
        <v>8.8859999999999992</v>
      </c>
      <c r="AK1246" s="8"/>
      <c r="AL1246" s="8">
        <f t="shared" si="377"/>
        <v>4.4429999999999996</v>
      </c>
    </row>
    <row r="1247" spans="1:38">
      <c r="A1247" s="18">
        <v>41481</v>
      </c>
      <c r="B1247" s="19" t="s">
        <v>141</v>
      </c>
      <c r="C1247" s="12">
        <v>300.10000000000002</v>
      </c>
      <c r="D1247" s="19" t="s">
        <v>32</v>
      </c>
      <c r="E1247" s="8">
        <v>8.4108099999999997</v>
      </c>
      <c r="F1247" s="8">
        <v>83.31138</v>
      </c>
      <c r="G1247" s="22">
        <v>300</v>
      </c>
      <c r="H1247" s="22">
        <v>12</v>
      </c>
      <c r="I1247" s="10">
        <f t="shared" si="378"/>
        <v>8.2932948805945319</v>
      </c>
      <c r="J1247" s="10">
        <f t="shared" si="379"/>
        <v>0.14474530150516457</v>
      </c>
      <c r="K1247" s="10">
        <f t="shared" si="380"/>
        <v>21.221924545521965</v>
      </c>
      <c r="L1247" s="22">
        <v>922</v>
      </c>
      <c r="M1247" s="22" t="s">
        <v>36</v>
      </c>
      <c r="N1247" s="8" t="s">
        <v>46</v>
      </c>
      <c r="O1247" s="10" t="s">
        <v>37</v>
      </c>
      <c r="P1247" s="10" t="s">
        <v>38</v>
      </c>
      <c r="Q1247" s="11">
        <v>0.48</v>
      </c>
      <c r="R1247" s="8" t="s">
        <v>60</v>
      </c>
      <c r="S1247" s="30">
        <v>23.4</v>
      </c>
      <c r="T1247" s="79">
        <f t="shared" si="388"/>
        <v>4.3005362399999997E-2</v>
      </c>
      <c r="U1247" s="22">
        <v>10</v>
      </c>
      <c r="V1247" s="22">
        <v>63</v>
      </c>
      <c r="W1247" s="10">
        <f t="shared" si="381"/>
        <v>1.0995574287564276</v>
      </c>
      <c r="X1247" s="22">
        <v>7</v>
      </c>
      <c r="Y1247" s="22">
        <v>6</v>
      </c>
      <c r="Z1247" s="10">
        <f t="shared" si="382"/>
        <v>0.10471975511965978</v>
      </c>
      <c r="AA1247" s="10">
        <f t="shared" si="383"/>
        <v>9.6417644847572532</v>
      </c>
      <c r="AB1247" s="10">
        <f t="shared" si="384"/>
        <v>122.8744039515678</v>
      </c>
      <c r="AC1247" s="10">
        <f t="shared" si="374"/>
        <v>15.359300493945975</v>
      </c>
      <c r="AD1247" s="10">
        <f t="shared" si="385"/>
        <v>61.4372019757839</v>
      </c>
      <c r="AE1247" s="65"/>
      <c r="AF1247" s="10">
        <f t="shared" si="386"/>
        <v>231.92048547485544</v>
      </c>
      <c r="AG1247" s="8">
        <f t="shared" si="375"/>
        <v>45.224494667596815</v>
      </c>
      <c r="AH1247" s="10">
        <f t="shared" si="376"/>
        <v>115.96024273742772</v>
      </c>
      <c r="AI1247" s="63"/>
      <c r="AJ1247" s="10">
        <f t="shared" si="387"/>
        <v>263.7912</v>
      </c>
      <c r="AK1247" s="8"/>
      <c r="AL1247" s="8">
        <f t="shared" si="377"/>
        <v>131.8956</v>
      </c>
    </row>
    <row r="1248" spans="1:38">
      <c r="A1248" s="18">
        <v>41481</v>
      </c>
      <c r="B1248" s="19" t="s">
        <v>141</v>
      </c>
      <c r="C1248" s="12">
        <v>300.10000000000002</v>
      </c>
      <c r="D1248" s="19" t="s">
        <v>32</v>
      </c>
      <c r="E1248" s="8">
        <v>8.4108099999999997</v>
      </c>
      <c r="F1248" s="8">
        <v>83.31138</v>
      </c>
      <c r="G1248" s="22">
        <v>300</v>
      </c>
      <c r="H1248" s="22">
        <v>12</v>
      </c>
      <c r="I1248" s="10">
        <f t="shared" si="378"/>
        <v>8.2932948805945319</v>
      </c>
      <c r="J1248" s="10">
        <f t="shared" si="379"/>
        <v>0.14474530150516457</v>
      </c>
      <c r="K1248" s="10">
        <f t="shared" si="380"/>
        <v>21.221924545521965</v>
      </c>
      <c r="L1248" s="22">
        <v>962</v>
      </c>
      <c r="M1248" s="22" t="s">
        <v>131</v>
      </c>
      <c r="N1248" s="8" t="s">
        <v>81</v>
      </c>
      <c r="O1248" s="10" t="s">
        <v>164</v>
      </c>
      <c r="P1248" s="50" t="s">
        <v>165</v>
      </c>
      <c r="Q1248" s="23">
        <v>0.56000000000000005</v>
      </c>
      <c r="R1248" s="22" t="s">
        <v>166</v>
      </c>
      <c r="S1248" s="30">
        <v>19.2</v>
      </c>
      <c r="T1248" s="79">
        <f t="shared" si="388"/>
        <v>2.8952985600000002E-2</v>
      </c>
      <c r="U1248" s="22">
        <v>16</v>
      </c>
      <c r="V1248" s="22">
        <v>70</v>
      </c>
      <c r="W1248" s="10">
        <f t="shared" si="381"/>
        <v>1.2217304763960306</v>
      </c>
      <c r="X1248" s="22">
        <v>7</v>
      </c>
      <c r="Y1248" s="22">
        <v>6</v>
      </c>
      <c r="Z1248" s="10">
        <f t="shared" si="382"/>
        <v>0.10471975511965978</v>
      </c>
      <c r="AA1248" s="10">
        <f t="shared" si="383"/>
        <v>15.766781175448108</v>
      </c>
      <c r="AB1248" s="10">
        <f t="shared" si="384"/>
        <v>155.46879567758555</v>
      </c>
      <c r="AC1248" s="10">
        <f t="shared" si="374"/>
        <v>19.433599459698193</v>
      </c>
      <c r="AD1248" s="10">
        <f t="shared" si="385"/>
        <v>77.734397838792773</v>
      </c>
      <c r="AE1248" s="65"/>
      <c r="AF1248" s="10">
        <f t="shared" si="386"/>
        <v>166.38780734628571</v>
      </c>
      <c r="AG1248" s="8">
        <f t="shared" si="375"/>
        <v>32.445622432525717</v>
      </c>
      <c r="AH1248" s="10">
        <f t="shared" si="376"/>
        <v>83.193903673142856</v>
      </c>
      <c r="AI1248" s="63"/>
      <c r="AJ1248" s="10">
        <f t="shared" si="387"/>
        <v>160.59299999999996</v>
      </c>
      <c r="AK1248" s="8"/>
      <c r="AL1248" s="8">
        <f t="shared" si="377"/>
        <v>80.29649999999998</v>
      </c>
    </row>
  </sheetData>
  <mergeCells count="6">
    <mergeCell ref="E5:F5"/>
    <mergeCell ref="AJ2:AL2"/>
    <mergeCell ref="AB4:AC4"/>
    <mergeCell ref="AF4:AG4"/>
    <mergeCell ref="AB2:AD2"/>
    <mergeCell ref="AF2:A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33"/>
  <sheetViews>
    <sheetView workbookViewId="0">
      <selection activeCell="G7" sqref="G7"/>
    </sheetView>
  </sheetViews>
  <sheetFormatPr baseColWidth="10" defaultRowHeight="16"/>
  <cols>
    <col min="1" max="1" width="7.33203125" bestFit="1" customWidth="1"/>
    <col min="2" max="2" width="14.1640625" bestFit="1" customWidth="1"/>
    <col min="3" max="3" width="11" bestFit="1" customWidth="1"/>
    <col min="4" max="4" width="16.6640625" bestFit="1" customWidth="1"/>
    <col min="5" max="5" width="16.6640625" customWidth="1"/>
    <col min="6" max="6" width="24" bestFit="1" customWidth="1"/>
    <col min="7" max="7" width="7" customWidth="1"/>
    <col min="8" max="8" width="5.1640625" customWidth="1"/>
    <col min="9" max="9" width="4.6640625" customWidth="1"/>
    <col min="10" max="10" width="6.5" customWidth="1"/>
    <col min="11" max="11" width="11.5" customWidth="1"/>
    <col min="12" max="13" width="11.1640625" customWidth="1"/>
    <col min="14" max="14" width="11.6640625" customWidth="1"/>
    <col min="15" max="15" width="22.1640625" bestFit="1" customWidth="1"/>
    <col min="16" max="16" width="3.5" customWidth="1"/>
    <col min="17" max="17" width="19.33203125" customWidth="1"/>
    <col min="18" max="19" width="19" customWidth="1"/>
    <col min="20" max="20" width="19.33203125" customWidth="1"/>
    <col min="21" max="21" width="27.5" bestFit="1" customWidth="1"/>
    <col min="22" max="22" width="3.5" customWidth="1"/>
  </cols>
  <sheetData>
    <row r="2" spans="1:24">
      <c r="D2" s="54"/>
      <c r="E2" s="54"/>
      <c r="F2" s="4" t="s">
        <v>31</v>
      </c>
      <c r="G2" s="89" t="s">
        <v>29</v>
      </c>
      <c r="H2" s="89"/>
      <c r="I2" s="89"/>
      <c r="J2" s="89"/>
    </row>
    <row r="3" spans="1:24" s="2" customFormat="1">
      <c r="A3" s="2" t="s">
        <v>0</v>
      </c>
      <c r="B3" s="2" t="s">
        <v>6</v>
      </c>
      <c r="C3" s="2" t="s">
        <v>2</v>
      </c>
      <c r="D3" s="2" t="s">
        <v>5</v>
      </c>
      <c r="E3" s="2" t="s">
        <v>28</v>
      </c>
      <c r="F3" s="2" t="s">
        <v>11</v>
      </c>
      <c r="G3" s="2" t="s">
        <v>156</v>
      </c>
      <c r="H3" s="2" t="s">
        <v>157</v>
      </c>
      <c r="I3" s="2" t="s">
        <v>158</v>
      </c>
      <c r="J3" s="2" t="s">
        <v>159</v>
      </c>
      <c r="K3" s="2" t="s">
        <v>152</v>
      </c>
      <c r="L3" s="6" t="s">
        <v>153</v>
      </c>
      <c r="M3" s="6" t="s">
        <v>154</v>
      </c>
      <c r="N3" s="2" t="s">
        <v>155</v>
      </c>
      <c r="O3" s="2" t="s">
        <v>27</v>
      </c>
      <c r="P3" s="2" t="s">
        <v>22</v>
      </c>
      <c r="Q3" s="2" t="s">
        <v>299</v>
      </c>
      <c r="R3" s="2" t="s">
        <v>300</v>
      </c>
      <c r="S3" s="2" t="s">
        <v>301</v>
      </c>
      <c r="T3" s="2" t="s">
        <v>302</v>
      </c>
      <c r="U3" s="2" t="s">
        <v>298</v>
      </c>
      <c r="V3" s="2" t="s">
        <v>22</v>
      </c>
      <c r="X3" s="2" t="s">
        <v>22</v>
      </c>
    </row>
    <row r="4" spans="1:24">
      <c r="A4" s="40">
        <v>41473</v>
      </c>
      <c r="B4" t="s">
        <v>134</v>
      </c>
      <c r="C4" s="3">
        <v>50.1</v>
      </c>
      <c r="D4">
        <v>8.4082600000000003</v>
      </c>
      <c r="E4">
        <v>83.313869999999994</v>
      </c>
      <c r="F4">
        <v>50</v>
      </c>
      <c r="G4">
        <v>13</v>
      </c>
      <c r="H4">
        <v>16</v>
      </c>
      <c r="I4">
        <v>15</v>
      </c>
      <c r="J4">
        <v>24</v>
      </c>
      <c r="K4">
        <f>1.04*G4</f>
        <v>13.52</v>
      </c>
      <c r="L4">
        <f>1.04*H4</f>
        <v>16.64</v>
      </c>
      <c r="M4">
        <f>1.04*I4</f>
        <v>15.600000000000001</v>
      </c>
      <c r="N4">
        <f>1.04*J4</f>
        <v>24.96</v>
      </c>
      <c r="O4">
        <f>AVERAGE(K4,L4,M4,N4)</f>
        <v>17.68</v>
      </c>
      <c r="P4">
        <f>STDEV(K4,L4,M4,N4)</f>
        <v>5.0236772720123382</v>
      </c>
      <c r="Q4">
        <f>100-K4</f>
        <v>86.48</v>
      </c>
      <c r="R4">
        <f>100-L4</f>
        <v>83.36</v>
      </c>
      <c r="S4">
        <f>100-M4</f>
        <v>84.4</v>
      </c>
      <c r="T4">
        <f>100-N4</f>
        <v>75.039999999999992</v>
      </c>
      <c r="U4">
        <f>AVERAGE(Q4,R4,S4,T4)</f>
        <v>82.32</v>
      </c>
      <c r="V4">
        <f>STDEV(Q4,R4,S4,T4)</f>
        <v>5.0236772720123444</v>
      </c>
      <c r="W4" s="87">
        <f>AVERAGE(U4:U13)</f>
        <v>89.39200000000001</v>
      </c>
      <c r="X4" s="87">
        <f>STDEV(U4:U13)</f>
        <v>4.8328615861734674</v>
      </c>
    </row>
    <row r="5" spans="1:24">
      <c r="A5" s="40">
        <v>41479</v>
      </c>
      <c r="B5" t="s">
        <v>134</v>
      </c>
      <c r="C5">
        <v>50.2</v>
      </c>
      <c r="D5" s="8">
        <v>8.4092300000000009</v>
      </c>
      <c r="E5" s="8">
        <v>83.314769999999996</v>
      </c>
      <c r="F5">
        <v>50</v>
      </c>
      <c r="G5">
        <v>16</v>
      </c>
      <c r="H5">
        <v>13</v>
      </c>
      <c r="I5">
        <v>22</v>
      </c>
      <c r="J5">
        <v>22</v>
      </c>
      <c r="K5">
        <f t="shared" ref="K5:K25" si="0">1.04*G5</f>
        <v>16.64</v>
      </c>
      <c r="L5">
        <f t="shared" ref="L5:L25" si="1">1.04*H5</f>
        <v>13.52</v>
      </c>
      <c r="M5">
        <f t="shared" ref="M5:M25" si="2">1.04*I5</f>
        <v>22.880000000000003</v>
      </c>
      <c r="N5">
        <f t="shared" ref="N5:N25" si="3">1.04*J5</f>
        <v>22.880000000000003</v>
      </c>
      <c r="O5">
        <f t="shared" ref="O5:O25" si="4">AVERAGE(K5,L5,M5,N5)</f>
        <v>18.980000000000004</v>
      </c>
      <c r="P5">
        <f t="shared" ref="P5:P25" si="5">STDEV(K5,L5,M5,N5)</f>
        <v>4.6799999999999935</v>
      </c>
      <c r="Q5">
        <f t="shared" ref="Q5:Q25" si="6">100-K5</f>
        <v>83.36</v>
      </c>
      <c r="R5">
        <f t="shared" ref="R5:R25" si="7">100-L5</f>
        <v>86.48</v>
      </c>
      <c r="S5">
        <f t="shared" ref="S5:S25" si="8">100-M5</f>
        <v>77.12</v>
      </c>
      <c r="T5">
        <f t="shared" ref="T5:T25" si="9">100-N5</f>
        <v>77.12</v>
      </c>
      <c r="U5">
        <f t="shared" ref="U5:U25" si="10">AVERAGE(Q5,R5,S5,T5)</f>
        <v>81.02000000000001</v>
      </c>
      <c r="V5">
        <f t="shared" ref="V5:V25" si="11">STDEV(Q5,R5,S5,T5)</f>
        <v>4.6799999999999988</v>
      </c>
      <c r="W5" s="87"/>
      <c r="X5" s="87"/>
    </row>
    <row r="6" spans="1:24">
      <c r="A6" s="40">
        <v>41479</v>
      </c>
      <c r="B6" t="s">
        <v>134</v>
      </c>
      <c r="C6">
        <v>50.3</v>
      </c>
      <c r="D6" s="8">
        <v>8.4089700000000001</v>
      </c>
      <c r="E6" s="8">
        <v>83.314689999999999</v>
      </c>
      <c r="F6">
        <v>50</v>
      </c>
      <c r="G6">
        <v>10</v>
      </c>
      <c r="H6">
        <v>14</v>
      </c>
      <c r="I6">
        <v>13</v>
      </c>
      <c r="J6">
        <v>14</v>
      </c>
      <c r="K6">
        <f t="shared" si="0"/>
        <v>10.4</v>
      </c>
      <c r="L6">
        <f t="shared" si="1"/>
        <v>14.56</v>
      </c>
      <c r="M6">
        <f t="shared" si="2"/>
        <v>13.52</v>
      </c>
      <c r="N6">
        <f t="shared" si="3"/>
        <v>14.56</v>
      </c>
      <c r="O6">
        <f t="shared" si="4"/>
        <v>13.260000000000002</v>
      </c>
      <c r="P6">
        <f t="shared" si="5"/>
        <v>1.968688226544077</v>
      </c>
      <c r="Q6">
        <f t="shared" si="6"/>
        <v>89.6</v>
      </c>
      <c r="R6">
        <f t="shared" si="7"/>
        <v>85.44</v>
      </c>
      <c r="S6">
        <f t="shared" si="8"/>
        <v>86.48</v>
      </c>
      <c r="T6">
        <f t="shared" si="9"/>
        <v>85.44</v>
      </c>
      <c r="U6">
        <f t="shared" si="10"/>
        <v>86.74</v>
      </c>
      <c r="V6">
        <f t="shared" si="11"/>
        <v>1.9686882265440928</v>
      </c>
      <c r="W6" s="87"/>
      <c r="X6" s="87"/>
    </row>
    <row r="7" spans="1:24">
      <c r="A7" s="40">
        <v>41481</v>
      </c>
      <c r="B7" t="s">
        <v>134</v>
      </c>
      <c r="C7">
        <v>50.4</v>
      </c>
      <c r="D7" s="8">
        <v>8.4083100000000002</v>
      </c>
      <c r="E7" s="8">
        <v>83.31147</v>
      </c>
      <c r="F7">
        <v>50</v>
      </c>
      <c r="G7">
        <v>13</v>
      </c>
      <c r="H7">
        <v>12</v>
      </c>
      <c r="I7">
        <v>7</v>
      </c>
      <c r="J7">
        <v>6</v>
      </c>
      <c r="K7">
        <f t="shared" si="0"/>
        <v>13.52</v>
      </c>
      <c r="L7">
        <f t="shared" si="1"/>
        <v>12.48</v>
      </c>
      <c r="M7">
        <f t="shared" si="2"/>
        <v>7.28</v>
      </c>
      <c r="N7">
        <f t="shared" si="3"/>
        <v>6.24</v>
      </c>
      <c r="O7">
        <f t="shared" si="4"/>
        <v>9.8800000000000008</v>
      </c>
      <c r="P7">
        <f t="shared" si="5"/>
        <v>3.652359967655614</v>
      </c>
      <c r="Q7">
        <f t="shared" si="6"/>
        <v>86.48</v>
      </c>
      <c r="R7">
        <f t="shared" si="7"/>
        <v>87.52</v>
      </c>
      <c r="S7">
        <f t="shared" si="8"/>
        <v>92.72</v>
      </c>
      <c r="T7">
        <f t="shared" si="9"/>
        <v>93.76</v>
      </c>
      <c r="U7">
        <f t="shared" si="10"/>
        <v>90.12</v>
      </c>
      <c r="V7">
        <f t="shared" si="11"/>
        <v>3.6523599676556175</v>
      </c>
      <c r="W7" s="87"/>
      <c r="X7" s="87"/>
    </row>
    <row r="8" spans="1:24">
      <c r="A8" s="40">
        <v>41479</v>
      </c>
      <c r="B8" t="s">
        <v>134</v>
      </c>
      <c r="C8">
        <v>50.5</v>
      </c>
      <c r="D8" s="16">
        <v>8.4093</v>
      </c>
      <c r="E8" s="8">
        <v>83.315039999999996</v>
      </c>
      <c r="F8">
        <v>50</v>
      </c>
      <c r="G8">
        <v>9</v>
      </c>
      <c r="H8">
        <v>6</v>
      </c>
      <c r="I8">
        <v>17</v>
      </c>
      <c r="J8">
        <v>12</v>
      </c>
      <c r="K8">
        <f t="shared" si="0"/>
        <v>9.36</v>
      </c>
      <c r="L8">
        <f t="shared" si="1"/>
        <v>6.24</v>
      </c>
      <c r="M8">
        <f t="shared" si="2"/>
        <v>17.68</v>
      </c>
      <c r="N8">
        <f t="shared" si="3"/>
        <v>12.48</v>
      </c>
      <c r="O8">
        <f t="shared" si="4"/>
        <v>11.440000000000001</v>
      </c>
      <c r="P8">
        <f t="shared" si="5"/>
        <v>4.8780323902163616</v>
      </c>
      <c r="Q8">
        <f t="shared" si="6"/>
        <v>90.64</v>
      </c>
      <c r="R8">
        <f t="shared" si="7"/>
        <v>93.76</v>
      </c>
      <c r="S8">
        <f t="shared" si="8"/>
        <v>82.32</v>
      </c>
      <c r="T8">
        <f t="shared" si="9"/>
        <v>87.52</v>
      </c>
      <c r="U8">
        <f t="shared" si="10"/>
        <v>88.56</v>
      </c>
      <c r="V8">
        <f t="shared" si="11"/>
        <v>4.8780323902163722</v>
      </c>
      <c r="W8" s="87"/>
      <c r="X8" s="87"/>
    </row>
    <row r="9" spans="1:24">
      <c r="A9" s="40">
        <v>41466</v>
      </c>
      <c r="B9" t="s">
        <v>125</v>
      </c>
      <c r="C9">
        <v>50.6</v>
      </c>
      <c r="D9" s="8">
        <v>8.4102899999999998</v>
      </c>
      <c r="E9" s="8">
        <v>83.314350000000005</v>
      </c>
      <c r="F9">
        <v>50</v>
      </c>
      <c r="G9">
        <v>9</v>
      </c>
      <c r="H9">
        <v>4</v>
      </c>
      <c r="I9">
        <v>6</v>
      </c>
      <c r="J9">
        <v>3</v>
      </c>
      <c r="K9">
        <f t="shared" si="0"/>
        <v>9.36</v>
      </c>
      <c r="L9">
        <f t="shared" si="1"/>
        <v>4.16</v>
      </c>
      <c r="M9">
        <f t="shared" si="2"/>
        <v>6.24</v>
      </c>
      <c r="N9">
        <f t="shared" si="3"/>
        <v>3.12</v>
      </c>
      <c r="O9">
        <f t="shared" si="4"/>
        <v>5.72</v>
      </c>
      <c r="P9">
        <f t="shared" si="5"/>
        <v>2.7515813635071749</v>
      </c>
      <c r="Q9">
        <f t="shared" si="6"/>
        <v>90.64</v>
      </c>
      <c r="R9">
        <f t="shared" si="7"/>
        <v>95.84</v>
      </c>
      <c r="S9">
        <f t="shared" si="8"/>
        <v>93.76</v>
      </c>
      <c r="T9">
        <f t="shared" si="9"/>
        <v>96.88</v>
      </c>
      <c r="U9">
        <f t="shared" si="10"/>
        <v>94.28</v>
      </c>
      <c r="V9">
        <f t="shared" si="11"/>
        <v>2.7515813635071731</v>
      </c>
      <c r="W9" s="87"/>
      <c r="X9" s="87"/>
    </row>
    <row r="10" spans="1:24" s="3" customFormat="1">
      <c r="A10" s="43">
        <v>41466</v>
      </c>
      <c r="B10" s="3" t="s">
        <v>125</v>
      </c>
      <c r="C10" s="3">
        <v>50.7</v>
      </c>
      <c r="D10" s="16">
        <v>8.4109999999999996</v>
      </c>
      <c r="E10" s="8">
        <v>83.313580000000002</v>
      </c>
      <c r="F10" s="3">
        <v>50</v>
      </c>
      <c r="G10" s="3">
        <v>15</v>
      </c>
      <c r="H10" s="3">
        <v>11</v>
      </c>
      <c r="I10" s="55">
        <v>2</v>
      </c>
      <c r="J10" s="3">
        <v>8</v>
      </c>
      <c r="K10" s="3">
        <f t="shared" si="0"/>
        <v>15.600000000000001</v>
      </c>
      <c r="L10" s="3">
        <f t="shared" si="1"/>
        <v>11.440000000000001</v>
      </c>
      <c r="M10" s="3">
        <f t="shared" si="2"/>
        <v>2.08</v>
      </c>
      <c r="N10" s="3">
        <f t="shared" si="3"/>
        <v>8.32</v>
      </c>
      <c r="O10" s="3">
        <f t="shared" si="4"/>
        <v>9.3600000000000012</v>
      </c>
      <c r="P10" s="3">
        <f t="shared" si="5"/>
        <v>5.6963145980537258</v>
      </c>
      <c r="Q10" s="3">
        <f t="shared" si="6"/>
        <v>84.4</v>
      </c>
      <c r="R10" s="3">
        <f t="shared" si="7"/>
        <v>88.56</v>
      </c>
      <c r="S10" s="3">
        <f t="shared" si="8"/>
        <v>97.92</v>
      </c>
      <c r="T10" s="3">
        <f t="shared" si="9"/>
        <v>91.68</v>
      </c>
      <c r="U10" s="3">
        <f t="shared" si="10"/>
        <v>90.64</v>
      </c>
      <c r="V10" s="3">
        <f t="shared" si="11"/>
        <v>5.6963145980537266</v>
      </c>
      <c r="W10" s="87"/>
      <c r="X10" s="87"/>
    </row>
    <row r="11" spans="1:24" s="3" customFormat="1">
      <c r="A11" s="43">
        <v>41463</v>
      </c>
      <c r="B11" s="3" t="s">
        <v>125</v>
      </c>
      <c r="C11" s="44">
        <v>50.11</v>
      </c>
      <c r="D11" s="8">
        <v>8.4113100000000003</v>
      </c>
      <c r="E11" s="8">
        <v>83.313739999999996</v>
      </c>
      <c r="F11" s="3">
        <v>50</v>
      </c>
      <c r="G11" s="3">
        <v>7</v>
      </c>
      <c r="H11" s="55">
        <v>1</v>
      </c>
      <c r="I11" s="3">
        <v>5</v>
      </c>
      <c r="J11" s="3">
        <v>4</v>
      </c>
      <c r="K11" s="3">
        <f t="shared" si="0"/>
        <v>7.28</v>
      </c>
      <c r="L11" s="3">
        <f t="shared" si="1"/>
        <v>1.04</v>
      </c>
      <c r="M11" s="3">
        <f t="shared" si="2"/>
        <v>5.2</v>
      </c>
      <c r="N11" s="3">
        <f t="shared" si="3"/>
        <v>4.16</v>
      </c>
      <c r="O11" s="3">
        <f t="shared" si="4"/>
        <v>4.42</v>
      </c>
      <c r="P11" s="3">
        <f t="shared" si="5"/>
        <v>2.6</v>
      </c>
      <c r="Q11" s="3">
        <f t="shared" si="6"/>
        <v>92.72</v>
      </c>
      <c r="R11" s="3">
        <f t="shared" si="7"/>
        <v>98.96</v>
      </c>
      <c r="S11" s="3">
        <f t="shared" si="8"/>
        <v>94.8</v>
      </c>
      <c r="T11" s="3">
        <f t="shared" si="9"/>
        <v>95.84</v>
      </c>
      <c r="U11" s="3">
        <f t="shared" si="10"/>
        <v>95.580000000000013</v>
      </c>
      <c r="V11" s="3">
        <f t="shared" si="11"/>
        <v>2.5999999999999979</v>
      </c>
      <c r="W11" s="87"/>
      <c r="X11" s="87"/>
    </row>
    <row r="12" spans="1:24">
      <c r="A12" s="40">
        <v>41466</v>
      </c>
      <c r="B12" s="3" t="s">
        <v>125</v>
      </c>
      <c r="C12">
        <v>50.9</v>
      </c>
      <c r="D12" s="8">
        <v>8.4099900000000005</v>
      </c>
      <c r="E12" s="8">
        <v>83.314719999999994</v>
      </c>
      <c r="F12" s="3">
        <v>50</v>
      </c>
      <c r="G12" s="3">
        <v>7</v>
      </c>
      <c r="H12" s="3">
        <v>10</v>
      </c>
      <c r="I12" s="3">
        <v>8</v>
      </c>
      <c r="J12" s="3">
        <v>7</v>
      </c>
      <c r="K12">
        <f t="shared" si="0"/>
        <v>7.28</v>
      </c>
      <c r="L12">
        <f t="shared" si="1"/>
        <v>10.4</v>
      </c>
      <c r="M12">
        <f t="shared" si="2"/>
        <v>8.32</v>
      </c>
      <c r="N12">
        <f t="shared" si="3"/>
        <v>7.28</v>
      </c>
      <c r="O12">
        <f t="shared" si="4"/>
        <v>8.32</v>
      </c>
      <c r="P12">
        <f t="shared" si="5"/>
        <v>1.4707821048680183</v>
      </c>
      <c r="Q12">
        <f t="shared" si="6"/>
        <v>92.72</v>
      </c>
      <c r="R12">
        <f t="shared" si="7"/>
        <v>89.6</v>
      </c>
      <c r="S12">
        <f t="shared" si="8"/>
        <v>91.68</v>
      </c>
      <c r="T12">
        <f t="shared" si="9"/>
        <v>92.72</v>
      </c>
      <c r="U12">
        <f t="shared" si="10"/>
        <v>91.68</v>
      </c>
      <c r="V12">
        <f t="shared" si="11"/>
        <v>1.470782104868021</v>
      </c>
      <c r="W12" s="87"/>
      <c r="X12" s="87"/>
    </row>
    <row r="13" spans="1:24">
      <c r="A13" s="40">
        <v>41464</v>
      </c>
      <c r="B13" t="s">
        <v>125</v>
      </c>
      <c r="C13" s="37">
        <v>50.8</v>
      </c>
      <c r="D13" s="8">
        <v>8.41099</v>
      </c>
      <c r="E13" s="8">
        <v>83.314139999999995</v>
      </c>
      <c r="F13">
        <v>50</v>
      </c>
      <c r="G13">
        <v>6</v>
      </c>
      <c r="H13">
        <v>6</v>
      </c>
      <c r="I13">
        <v>3</v>
      </c>
      <c r="J13">
        <v>12</v>
      </c>
      <c r="K13">
        <f t="shared" si="0"/>
        <v>6.24</v>
      </c>
      <c r="L13">
        <f t="shared" si="1"/>
        <v>6.24</v>
      </c>
      <c r="M13">
        <f t="shared" si="2"/>
        <v>3.12</v>
      </c>
      <c r="N13">
        <f t="shared" si="3"/>
        <v>12.48</v>
      </c>
      <c r="O13">
        <f t="shared" si="4"/>
        <v>7.0200000000000005</v>
      </c>
      <c r="P13">
        <f t="shared" si="5"/>
        <v>3.9259139063407891</v>
      </c>
      <c r="Q13">
        <f t="shared" si="6"/>
        <v>93.76</v>
      </c>
      <c r="R13">
        <f t="shared" si="7"/>
        <v>93.76</v>
      </c>
      <c r="S13">
        <f t="shared" si="8"/>
        <v>96.88</v>
      </c>
      <c r="T13">
        <f t="shared" si="9"/>
        <v>87.52</v>
      </c>
      <c r="U13">
        <f t="shared" si="10"/>
        <v>92.97999999999999</v>
      </c>
      <c r="V13">
        <f t="shared" si="11"/>
        <v>3.9259139063407908</v>
      </c>
      <c r="W13" s="87"/>
      <c r="X13" s="87"/>
    </row>
    <row r="14" spans="1:24" s="3" customFormat="1">
      <c r="A14" s="43">
        <v>41464</v>
      </c>
      <c r="B14" s="3" t="s">
        <v>125</v>
      </c>
      <c r="C14" s="3">
        <v>100.1</v>
      </c>
      <c r="D14" s="8">
        <v>8.4108499999999999</v>
      </c>
      <c r="E14" s="8">
        <v>83.313320000000004</v>
      </c>
      <c r="F14" s="3">
        <v>100</v>
      </c>
      <c r="G14" s="55">
        <v>1</v>
      </c>
      <c r="H14" s="3">
        <v>9</v>
      </c>
      <c r="I14" s="55">
        <v>1</v>
      </c>
      <c r="J14" s="55">
        <v>2</v>
      </c>
      <c r="K14" s="3">
        <f t="shared" si="0"/>
        <v>1.04</v>
      </c>
      <c r="L14" s="3">
        <f t="shared" si="1"/>
        <v>9.36</v>
      </c>
      <c r="M14" s="3">
        <f t="shared" si="2"/>
        <v>1.04</v>
      </c>
      <c r="N14" s="3">
        <f t="shared" si="3"/>
        <v>2.08</v>
      </c>
      <c r="O14" s="3">
        <f t="shared" si="4"/>
        <v>3.3799999999999994</v>
      </c>
      <c r="P14" s="3">
        <f t="shared" si="5"/>
        <v>4.0166984784355755</v>
      </c>
      <c r="Q14" s="3">
        <f t="shared" si="6"/>
        <v>98.96</v>
      </c>
      <c r="R14" s="3">
        <f t="shared" si="7"/>
        <v>90.64</v>
      </c>
      <c r="S14" s="3">
        <f t="shared" si="8"/>
        <v>98.96</v>
      </c>
      <c r="T14" s="3">
        <f t="shared" si="9"/>
        <v>97.92</v>
      </c>
      <c r="U14" s="3">
        <f t="shared" si="10"/>
        <v>96.62</v>
      </c>
      <c r="V14" s="3">
        <f t="shared" si="11"/>
        <v>4.0166984784355728</v>
      </c>
      <c r="W14" s="88">
        <f>AVERAGE(U14:U21)</f>
        <v>87.65</v>
      </c>
      <c r="X14" s="88">
        <f>STDEV(U14:U21)</f>
        <v>6.4290412526730156</v>
      </c>
    </row>
    <row r="15" spans="1:24">
      <c r="A15" s="40">
        <v>41473</v>
      </c>
      <c r="B15" s="3" t="s">
        <v>134</v>
      </c>
      <c r="C15">
        <v>100.2</v>
      </c>
      <c r="D15" s="8">
        <v>8.4089200000000002</v>
      </c>
      <c r="E15" s="8">
        <v>83.312650000000005</v>
      </c>
      <c r="F15" s="3">
        <v>100</v>
      </c>
      <c r="G15">
        <v>12</v>
      </c>
      <c r="H15" s="3">
        <v>11</v>
      </c>
      <c r="I15">
        <v>13</v>
      </c>
      <c r="J15">
        <v>17</v>
      </c>
      <c r="K15">
        <f t="shared" si="0"/>
        <v>12.48</v>
      </c>
      <c r="L15">
        <f t="shared" si="1"/>
        <v>11.440000000000001</v>
      </c>
      <c r="M15">
        <f t="shared" si="2"/>
        <v>13.52</v>
      </c>
      <c r="N15">
        <f t="shared" si="3"/>
        <v>17.68</v>
      </c>
      <c r="O15">
        <f t="shared" si="4"/>
        <v>13.78</v>
      </c>
      <c r="P15">
        <f t="shared" si="5"/>
        <v>2.7351538652636496</v>
      </c>
      <c r="Q15">
        <f t="shared" si="6"/>
        <v>87.52</v>
      </c>
      <c r="R15">
        <f t="shared" si="7"/>
        <v>88.56</v>
      </c>
      <c r="S15">
        <f t="shared" si="8"/>
        <v>86.48</v>
      </c>
      <c r="T15">
        <f t="shared" si="9"/>
        <v>82.32</v>
      </c>
      <c r="U15">
        <f t="shared" si="10"/>
        <v>86.22</v>
      </c>
      <c r="V15">
        <f t="shared" si="11"/>
        <v>2.73515386526365</v>
      </c>
      <c r="W15" s="88"/>
      <c r="X15" s="88"/>
    </row>
    <row r="16" spans="1:24">
      <c r="A16" s="40">
        <v>41487</v>
      </c>
      <c r="B16" s="3" t="s">
        <v>128</v>
      </c>
      <c r="C16">
        <v>100.3</v>
      </c>
      <c r="D16" s="8">
        <v>8.4121500000000005</v>
      </c>
      <c r="E16" s="8">
        <v>83.312619999999995</v>
      </c>
      <c r="F16" s="3">
        <v>100</v>
      </c>
      <c r="G16">
        <v>8</v>
      </c>
      <c r="H16" s="3">
        <v>4</v>
      </c>
      <c r="I16">
        <v>13</v>
      </c>
      <c r="J16">
        <v>6</v>
      </c>
      <c r="K16">
        <f t="shared" si="0"/>
        <v>8.32</v>
      </c>
      <c r="L16">
        <f t="shared" si="1"/>
        <v>4.16</v>
      </c>
      <c r="M16">
        <f t="shared" si="2"/>
        <v>13.52</v>
      </c>
      <c r="N16">
        <f t="shared" si="3"/>
        <v>6.24</v>
      </c>
      <c r="O16">
        <f t="shared" si="4"/>
        <v>8.06</v>
      </c>
      <c r="P16">
        <f t="shared" si="5"/>
        <v>4.0166984784355719</v>
      </c>
      <c r="Q16">
        <f t="shared" si="6"/>
        <v>91.68</v>
      </c>
      <c r="R16">
        <f t="shared" si="7"/>
        <v>95.84</v>
      </c>
      <c r="S16">
        <f t="shared" si="8"/>
        <v>86.48</v>
      </c>
      <c r="T16">
        <f t="shared" si="9"/>
        <v>93.76</v>
      </c>
      <c r="U16">
        <f t="shared" si="10"/>
        <v>91.94</v>
      </c>
      <c r="V16">
        <f t="shared" si="11"/>
        <v>4.0166984784355755</v>
      </c>
      <c r="W16" s="88"/>
      <c r="X16" s="88"/>
    </row>
    <row r="17" spans="1:24">
      <c r="A17" s="40">
        <v>41481</v>
      </c>
      <c r="B17" t="s">
        <v>134</v>
      </c>
      <c r="C17">
        <v>100.4</v>
      </c>
      <c r="D17" s="16">
        <v>8.4086999999999996</v>
      </c>
      <c r="E17" s="8">
        <v>83.311729999999997</v>
      </c>
      <c r="F17">
        <v>100</v>
      </c>
      <c r="G17">
        <v>9</v>
      </c>
      <c r="H17">
        <v>30</v>
      </c>
      <c r="I17">
        <v>25</v>
      </c>
      <c r="J17">
        <v>17</v>
      </c>
      <c r="K17">
        <f t="shared" si="0"/>
        <v>9.36</v>
      </c>
      <c r="L17">
        <f t="shared" si="1"/>
        <v>31.200000000000003</v>
      </c>
      <c r="M17">
        <f t="shared" si="2"/>
        <v>26</v>
      </c>
      <c r="N17">
        <f t="shared" si="3"/>
        <v>17.68</v>
      </c>
      <c r="O17">
        <f t="shared" si="4"/>
        <v>21.060000000000002</v>
      </c>
      <c r="P17">
        <f t="shared" si="5"/>
        <v>9.5836249231001602</v>
      </c>
      <c r="Q17">
        <f t="shared" si="6"/>
        <v>90.64</v>
      </c>
      <c r="R17">
        <f t="shared" si="7"/>
        <v>68.8</v>
      </c>
      <c r="S17">
        <f t="shared" si="8"/>
        <v>74</v>
      </c>
      <c r="T17">
        <f t="shared" si="9"/>
        <v>82.32</v>
      </c>
      <c r="U17">
        <f t="shared" si="10"/>
        <v>78.94</v>
      </c>
      <c r="V17">
        <f t="shared" si="11"/>
        <v>9.5836249231001602</v>
      </c>
      <c r="W17" s="88"/>
      <c r="X17" s="88"/>
    </row>
    <row r="18" spans="1:24">
      <c r="A18" s="40">
        <v>41472</v>
      </c>
      <c r="B18" t="s">
        <v>134</v>
      </c>
      <c r="C18">
        <v>100.5</v>
      </c>
      <c r="D18" s="8">
        <v>8.4087700000000005</v>
      </c>
      <c r="E18" s="8">
        <v>83.312860000000001</v>
      </c>
      <c r="F18">
        <v>100</v>
      </c>
      <c r="G18">
        <v>6</v>
      </c>
      <c r="H18">
        <v>8</v>
      </c>
      <c r="I18">
        <v>9</v>
      </c>
      <c r="J18">
        <v>6</v>
      </c>
      <c r="K18">
        <f t="shared" si="0"/>
        <v>6.24</v>
      </c>
      <c r="L18">
        <f t="shared" si="1"/>
        <v>8.32</v>
      </c>
      <c r="M18">
        <f t="shared" si="2"/>
        <v>9.36</v>
      </c>
      <c r="N18">
        <f t="shared" si="3"/>
        <v>6.24</v>
      </c>
      <c r="O18">
        <f t="shared" si="4"/>
        <v>7.5400000000000009</v>
      </c>
      <c r="P18">
        <f t="shared" si="5"/>
        <v>1.5599999999999949</v>
      </c>
      <c r="Q18">
        <f t="shared" si="6"/>
        <v>93.76</v>
      </c>
      <c r="R18">
        <f t="shared" si="7"/>
        <v>91.68</v>
      </c>
      <c r="S18">
        <f t="shared" si="8"/>
        <v>90.64</v>
      </c>
      <c r="T18">
        <f t="shared" si="9"/>
        <v>93.76</v>
      </c>
      <c r="U18">
        <f t="shared" si="10"/>
        <v>92.46</v>
      </c>
      <c r="V18">
        <f t="shared" si="11"/>
        <v>1.5600000000000014</v>
      </c>
      <c r="W18" s="88"/>
      <c r="X18" s="88"/>
    </row>
    <row r="19" spans="1:24">
      <c r="A19" s="40">
        <v>41466</v>
      </c>
      <c r="B19" t="s">
        <v>125</v>
      </c>
      <c r="C19">
        <v>100.6</v>
      </c>
      <c r="D19" s="8">
        <v>8.4103899999999996</v>
      </c>
      <c r="E19" s="8">
        <v>83.313820000000007</v>
      </c>
      <c r="F19">
        <v>100</v>
      </c>
      <c r="G19">
        <v>6</v>
      </c>
      <c r="H19">
        <v>9</v>
      </c>
      <c r="I19">
        <v>9</v>
      </c>
      <c r="J19">
        <v>11</v>
      </c>
      <c r="K19">
        <f t="shared" si="0"/>
        <v>6.24</v>
      </c>
      <c r="L19">
        <f t="shared" si="1"/>
        <v>9.36</v>
      </c>
      <c r="M19">
        <f t="shared" si="2"/>
        <v>9.36</v>
      </c>
      <c r="N19">
        <f t="shared" si="3"/>
        <v>11.440000000000001</v>
      </c>
      <c r="O19">
        <f t="shared" si="4"/>
        <v>9.1000000000000014</v>
      </c>
      <c r="P19">
        <f t="shared" si="5"/>
        <v>2.1440149253211729</v>
      </c>
      <c r="Q19">
        <f t="shared" si="6"/>
        <v>93.76</v>
      </c>
      <c r="R19">
        <f t="shared" si="7"/>
        <v>90.64</v>
      </c>
      <c r="S19">
        <f t="shared" si="8"/>
        <v>90.64</v>
      </c>
      <c r="T19">
        <f t="shared" si="9"/>
        <v>88.56</v>
      </c>
      <c r="U19">
        <f t="shared" si="10"/>
        <v>90.9</v>
      </c>
      <c r="V19">
        <f t="shared" si="11"/>
        <v>2.1440149253211849</v>
      </c>
      <c r="W19" s="88"/>
      <c r="X19" s="88"/>
    </row>
    <row r="20" spans="1:24">
      <c r="A20" s="40">
        <v>41473</v>
      </c>
      <c r="B20" t="s">
        <v>134</v>
      </c>
      <c r="C20">
        <v>100.7</v>
      </c>
      <c r="D20" s="8">
        <v>8.4085599999999996</v>
      </c>
      <c r="E20" s="16">
        <v>83.312899999999999</v>
      </c>
      <c r="F20">
        <v>100</v>
      </c>
      <c r="G20">
        <v>36</v>
      </c>
      <c r="H20">
        <v>13</v>
      </c>
      <c r="I20">
        <v>9</v>
      </c>
      <c r="J20">
        <v>22</v>
      </c>
      <c r="K20">
        <f t="shared" si="0"/>
        <v>37.44</v>
      </c>
      <c r="L20">
        <f t="shared" si="1"/>
        <v>13.52</v>
      </c>
      <c r="M20">
        <f t="shared" si="2"/>
        <v>9.36</v>
      </c>
      <c r="N20">
        <f t="shared" si="3"/>
        <v>22.880000000000003</v>
      </c>
      <c r="O20">
        <f t="shared" si="4"/>
        <v>20.799999999999997</v>
      </c>
      <c r="P20">
        <f t="shared" si="5"/>
        <v>12.451077597273802</v>
      </c>
      <c r="Q20">
        <f t="shared" si="6"/>
        <v>62.56</v>
      </c>
      <c r="R20">
        <f t="shared" si="7"/>
        <v>86.48</v>
      </c>
      <c r="S20">
        <f t="shared" si="8"/>
        <v>90.64</v>
      </c>
      <c r="T20">
        <f t="shared" si="9"/>
        <v>77.12</v>
      </c>
      <c r="U20">
        <f t="shared" si="10"/>
        <v>79.2</v>
      </c>
      <c r="V20">
        <f t="shared" si="11"/>
        <v>12.451077597273789</v>
      </c>
      <c r="W20" s="88"/>
      <c r="X20" s="88"/>
    </row>
    <row r="21" spans="1:24">
      <c r="A21" s="40">
        <v>41481</v>
      </c>
      <c r="B21" t="s">
        <v>134</v>
      </c>
      <c r="C21">
        <v>100.8</v>
      </c>
      <c r="D21" s="8">
        <v>8.4100400000000004</v>
      </c>
      <c r="E21" s="8">
        <v>83.314229999999995</v>
      </c>
      <c r="F21">
        <v>100</v>
      </c>
      <c r="G21">
        <v>15</v>
      </c>
      <c r="H21">
        <v>12</v>
      </c>
      <c r="I21">
        <v>16</v>
      </c>
      <c r="J21">
        <v>15</v>
      </c>
      <c r="K21">
        <f t="shared" si="0"/>
        <v>15.600000000000001</v>
      </c>
      <c r="L21">
        <f t="shared" si="1"/>
        <v>12.48</v>
      </c>
      <c r="M21">
        <f t="shared" si="2"/>
        <v>16.64</v>
      </c>
      <c r="N21">
        <f t="shared" si="3"/>
        <v>15.600000000000001</v>
      </c>
      <c r="O21">
        <f t="shared" si="4"/>
        <v>15.08</v>
      </c>
      <c r="P21">
        <f t="shared" si="5"/>
        <v>1.8013328398716371</v>
      </c>
      <c r="Q21">
        <f t="shared" si="6"/>
        <v>84.4</v>
      </c>
      <c r="R21">
        <f t="shared" si="7"/>
        <v>87.52</v>
      </c>
      <c r="S21">
        <f t="shared" si="8"/>
        <v>83.36</v>
      </c>
      <c r="T21">
        <f t="shared" si="9"/>
        <v>84.4</v>
      </c>
      <c r="U21">
        <f t="shared" si="10"/>
        <v>84.920000000000016</v>
      </c>
      <c r="V21">
        <f t="shared" si="11"/>
        <v>1.8013328398716297</v>
      </c>
      <c r="W21" s="88"/>
      <c r="X21" s="88"/>
    </row>
    <row r="22" spans="1:24">
      <c r="A22" s="40">
        <v>41471</v>
      </c>
      <c r="B22" t="s">
        <v>125</v>
      </c>
      <c r="C22" s="3">
        <v>150.1</v>
      </c>
      <c r="D22" s="8">
        <v>8.4091400000000007</v>
      </c>
      <c r="E22" s="8">
        <v>83.311980000000005</v>
      </c>
      <c r="F22">
        <v>150</v>
      </c>
      <c r="G22">
        <v>5</v>
      </c>
      <c r="H22">
        <v>8</v>
      </c>
      <c r="I22">
        <v>15</v>
      </c>
      <c r="J22">
        <v>15</v>
      </c>
      <c r="K22">
        <f t="shared" si="0"/>
        <v>5.2</v>
      </c>
      <c r="L22">
        <f t="shared" si="1"/>
        <v>8.32</v>
      </c>
      <c r="M22">
        <f t="shared" si="2"/>
        <v>15.600000000000001</v>
      </c>
      <c r="N22">
        <f t="shared" si="3"/>
        <v>15.600000000000001</v>
      </c>
      <c r="O22">
        <f t="shared" si="4"/>
        <v>11.18</v>
      </c>
      <c r="P22">
        <f t="shared" si="5"/>
        <v>5.2603168472377577</v>
      </c>
      <c r="Q22">
        <f t="shared" si="6"/>
        <v>94.8</v>
      </c>
      <c r="R22">
        <f t="shared" si="7"/>
        <v>91.68</v>
      </c>
      <c r="S22">
        <f t="shared" si="8"/>
        <v>84.4</v>
      </c>
      <c r="T22">
        <f t="shared" si="9"/>
        <v>84.4</v>
      </c>
      <c r="U22">
        <f t="shared" si="10"/>
        <v>88.82</v>
      </c>
      <c r="V22">
        <f t="shared" si="11"/>
        <v>5.2603168472377497</v>
      </c>
      <c r="W22" s="87">
        <f>AVERAGE(U22:U26)</f>
        <v>86.583999999999989</v>
      </c>
      <c r="X22" s="87">
        <f>STDEV(U22:U26)</f>
        <v>7.8034658966384978</v>
      </c>
    </row>
    <row r="23" spans="1:24">
      <c r="A23" s="40">
        <v>41487</v>
      </c>
      <c r="B23" t="s">
        <v>128</v>
      </c>
      <c r="C23">
        <v>150.19999999999999</v>
      </c>
      <c r="D23" s="8">
        <v>8.4116599999999995</v>
      </c>
      <c r="E23" s="8">
        <v>83.312479999999994</v>
      </c>
      <c r="F23">
        <v>150</v>
      </c>
      <c r="G23">
        <v>2</v>
      </c>
      <c r="H23">
        <v>2</v>
      </c>
      <c r="I23">
        <v>6</v>
      </c>
      <c r="J23">
        <v>5</v>
      </c>
      <c r="K23">
        <f t="shared" si="0"/>
        <v>2.08</v>
      </c>
      <c r="L23">
        <f t="shared" si="1"/>
        <v>2.08</v>
      </c>
      <c r="M23">
        <f t="shared" si="2"/>
        <v>6.24</v>
      </c>
      <c r="N23">
        <f t="shared" si="3"/>
        <v>5.2</v>
      </c>
      <c r="O23">
        <f t="shared" si="4"/>
        <v>3.9000000000000004</v>
      </c>
      <c r="P23">
        <f t="shared" si="5"/>
        <v>2.1440149253211831</v>
      </c>
      <c r="Q23">
        <f t="shared" si="6"/>
        <v>97.92</v>
      </c>
      <c r="R23">
        <f t="shared" si="7"/>
        <v>97.92</v>
      </c>
      <c r="S23">
        <f t="shared" si="8"/>
        <v>93.76</v>
      </c>
      <c r="T23">
        <f t="shared" si="9"/>
        <v>94.8</v>
      </c>
      <c r="U23">
        <f t="shared" si="10"/>
        <v>96.100000000000009</v>
      </c>
      <c r="V23">
        <f t="shared" si="11"/>
        <v>2.1440149253211831</v>
      </c>
      <c r="W23" s="87"/>
      <c r="X23" s="87"/>
    </row>
    <row r="24" spans="1:24">
      <c r="A24" s="40">
        <v>41481</v>
      </c>
      <c r="B24" t="s">
        <v>134</v>
      </c>
      <c r="C24">
        <v>150.30000000000001</v>
      </c>
      <c r="D24" s="8">
        <v>8.40916</v>
      </c>
      <c r="E24" s="16">
        <v>83.311199999999999</v>
      </c>
      <c r="F24">
        <v>150</v>
      </c>
      <c r="G24">
        <v>14</v>
      </c>
      <c r="H24">
        <v>21</v>
      </c>
      <c r="I24">
        <v>20</v>
      </c>
      <c r="J24">
        <v>26</v>
      </c>
      <c r="K24">
        <f t="shared" si="0"/>
        <v>14.56</v>
      </c>
      <c r="L24">
        <f t="shared" si="1"/>
        <v>21.84</v>
      </c>
      <c r="M24">
        <f t="shared" si="2"/>
        <v>20.8</v>
      </c>
      <c r="N24">
        <f t="shared" si="3"/>
        <v>27.04</v>
      </c>
      <c r="O24">
        <f t="shared" si="4"/>
        <v>21.060000000000002</v>
      </c>
      <c r="P24">
        <f t="shared" si="5"/>
        <v>5.121406056933961</v>
      </c>
      <c r="Q24">
        <f t="shared" si="6"/>
        <v>85.44</v>
      </c>
      <c r="R24">
        <f t="shared" si="7"/>
        <v>78.16</v>
      </c>
      <c r="S24">
        <f t="shared" si="8"/>
        <v>79.2</v>
      </c>
      <c r="T24">
        <f t="shared" si="9"/>
        <v>72.960000000000008</v>
      </c>
      <c r="U24">
        <f t="shared" si="10"/>
        <v>78.94</v>
      </c>
      <c r="V24">
        <f t="shared" si="11"/>
        <v>5.1214060569339708</v>
      </c>
      <c r="W24" s="87"/>
      <c r="X24" s="87"/>
    </row>
    <row r="25" spans="1:24">
      <c r="A25" s="40">
        <v>41487</v>
      </c>
      <c r="B25" t="s">
        <v>128</v>
      </c>
      <c r="C25">
        <v>150.4</v>
      </c>
      <c r="D25" s="8">
        <v>8.4107299999999992</v>
      </c>
      <c r="E25" s="16">
        <v>83.312600000000003</v>
      </c>
      <c r="F25">
        <v>150</v>
      </c>
      <c r="G25">
        <v>10</v>
      </c>
      <c r="H25">
        <v>12</v>
      </c>
      <c r="I25">
        <v>8</v>
      </c>
      <c r="J25">
        <v>5</v>
      </c>
      <c r="K25">
        <f t="shared" si="0"/>
        <v>10.4</v>
      </c>
      <c r="L25">
        <f t="shared" si="1"/>
        <v>12.48</v>
      </c>
      <c r="M25">
        <f t="shared" si="2"/>
        <v>8.32</v>
      </c>
      <c r="N25">
        <f t="shared" si="3"/>
        <v>5.2</v>
      </c>
      <c r="O25">
        <f t="shared" si="4"/>
        <v>9.1000000000000014</v>
      </c>
      <c r="P25">
        <f t="shared" si="5"/>
        <v>3.1055219636426088</v>
      </c>
      <c r="Q25">
        <f t="shared" si="6"/>
        <v>89.6</v>
      </c>
      <c r="R25">
        <f t="shared" si="7"/>
        <v>87.52</v>
      </c>
      <c r="S25">
        <f t="shared" si="8"/>
        <v>91.68</v>
      </c>
      <c r="T25">
        <f t="shared" si="9"/>
        <v>94.8</v>
      </c>
      <c r="U25">
        <f t="shared" si="10"/>
        <v>90.9</v>
      </c>
      <c r="V25">
        <f t="shared" si="11"/>
        <v>3.1055219636426137</v>
      </c>
      <c r="W25" s="87"/>
      <c r="X25" s="87"/>
    </row>
    <row r="26" spans="1:24">
      <c r="A26" s="40">
        <v>41471</v>
      </c>
      <c r="B26" t="s">
        <v>134</v>
      </c>
      <c r="C26">
        <v>150.5</v>
      </c>
      <c r="D26" s="8">
        <v>8.4093300000000006</v>
      </c>
      <c r="E26" s="8">
        <v>83.312430000000006</v>
      </c>
      <c r="F26">
        <v>150</v>
      </c>
      <c r="G26">
        <v>28</v>
      </c>
      <c r="H26">
        <v>20</v>
      </c>
      <c r="I26">
        <v>17</v>
      </c>
      <c r="J26">
        <v>19</v>
      </c>
      <c r="K26">
        <f t="shared" ref="K26:K33" si="12">1.04*G26</f>
        <v>29.12</v>
      </c>
      <c r="L26">
        <f t="shared" ref="L26:L33" si="13">1.04*H26</f>
        <v>20.8</v>
      </c>
      <c r="M26">
        <f t="shared" ref="M26:M33" si="14">1.04*I26</f>
        <v>17.68</v>
      </c>
      <c r="N26">
        <f t="shared" ref="N26:N33" si="15">1.04*J26</f>
        <v>19.760000000000002</v>
      </c>
      <c r="O26">
        <f t="shared" ref="O26:O33" si="16">AVERAGE(K26,L26,M26,N26)</f>
        <v>21.84</v>
      </c>
      <c r="P26">
        <f t="shared" ref="P26:P33" si="17">STDEV(K26,L26,M26,N26)</f>
        <v>5.0236772720123533</v>
      </c>
      <c r="Q26">
        <f t="shared" ref="Q26:Q33" si="18">100-K26</f>
        <v>70.88</v>
      </c>
      <c r="R26">
        <f t="shared" ref="R26:R33" si="19">100-L26</f>
        <v>79.2</v>
      </c>
      <c r="S26">
        <f t="shared" ref="S26:S33" si="20">100-M26</f>
        <v>82.32</v>
      </c>
      <c r="T26">
        <f t="shared" ref="T26:T33" si="21">100-N26</f>
        <v>80.239999999999995</v>
      </c>
      <c r="U26">
        <f t="shared" ref="U26:U33" si="22">AVERAGE(Q26,R26,S26,T26)</f>
        <v>78.16</v>
      </c>
      <c r="V26">
        <f t="shared" ref="V26:V33" si="23">STDEV(Q26,R26,S26,T26)</f>
        <v>5.023677272012339</v>
      </c>
      <c r="W26" s="87"/>
      <c r="X26" s="87"/>
    </row>
    <row r="27" spans="1:24">
      <c r="A27" s="40">
        <v>41472</v>
      </c>
      <c r="B27" t="s">
        <v>134</v>
      </c>
      <c r="C27">
        <v>200.1</v>
      </c>
      <c r="D27" s="8">
        <v>8.4097399999999993</v>
      </c>
      <c r="E27" s="8">
        <v>83.312539999999998</v>
      </c>
      <c r="F27">
        <v>200</v>
      </c>
      <c r="G27">
        <v>4</v>
      </c>
      <c r="H27">
        <v>16</v>
      </c>
      <c r="I27">
        <v>15</v>
      </c>
      <c r="J27">
        <v>16</v>
      </c>
      <c r="K27">
        <f t="shared" si="12"/>
        <v>4.16</v>
      </c>
      <c r="L27">
        <f t="shared" si="13"/>
        <v>16.64</v>
      </c>
      <c r="M27">
        <f t="shared" si="14"/>
        <v>15.600000000000001</v>
      </c>
      <c r="N27">
        <f t="shared" si="15"/>
        <v>16.64</v>
      </c>
      <c r="O27">
        <f t="shared" si="16"/>
        <v>13.260000000000002</v>
      </c>
      <c r="P27">
        <f t="shared" si="17"/>
        <v>6.0864439535742054</v>
      </c>
      <c r="Q27">
        <f t="shared" si="18"/>
        <v>95.84</v>
      </c>
      <c r="R27">
        <f t="shared" si="19"/>
        <v>83.36</v>
      </c>
      <c r="S27">
        <f t="shared" si="20"/>
        <v>84.4</v>
      </c>
      <c r="T27">
        <f t="shared" si="21"/>
        <v>83.36</v>
      </c>
      <c r="U27">
        <f t="shared" si="22"/>
        <v>86.740000000000009</v>
      </c>
      <c r="V27">
        <f t="shared" si="23"/>
        <v>6.0864439535742063</v>
      </c>
      <c r="W27" s="87">
        <f>AVERAGE(U27:U30)</f>
        <v>90.055000000000007</v>
      </c>
      <c r="X27" s="87">
        <f>STDEV(U27:U30)</f>
        <v>2.78717898002024</v>
      </c>
    </row>
    <row r="28" spans="1:24">
      <c r="A28" s="40">
        <v>41487</v>
      </c>
      <c r="B28" t="s">
        <v>128</v>
      </c>
      <c r="C28">
        <v>200.2</v>
      </c>
      <c r="D28">
        <v>8.4115099999999998</v>
      </c>
      <c r="E28">
        <v>83.311760000000007</v>
      </c>
      <c r="F28">
        <v>200</v>
      </c>
      <c r="G28">
        <v>12</v>
      </c>
      <c r="H28">
        <v>9</v>
      </c>
      <c r="I28">
        <v>7</v>
      </c>
      <c r="J28">
        <v>6</v>
      </c>
      <c r="K28">
        <f t="shared" si="12"/>
        <v>12.48</v>
      </c>
      <c r="L28">
        <f t="shared" si="13"/>
        <v>9.36</v>
      </c>
      <c r="M28">
        <f t="shared" si="14"/>
        <v>7.28</v>
      </c>
      <c r="N28">
        <f t="shared" si="15"/>
        <v>6.24</v>
      </c>
      <c r="O28">
        <f t="shared" si="16"/>
        <v>8.84</v>
      </c>
      <c r="P28">
        <f t="shared" si="17"/>
        <v>2.7515813635071766</v>
      </c>
      <c r="Q28">
        <f t="shared" si="18"/>
        <v>87.52</v>
      </c>
      <c r="R28">
        <f t="shared" si="19"/>
        <v>90.64</v>
      </c>
      <c r="S28">
        <f t="shared" si="20"/>
        <v>92.72</v>
      </c>
      <c r="T28">
        <f t="shared" si="21"/>
        <v>93.76</v>
      </c>
      <c r="U28">
        <f t="shared" si="22"/>
        <v>91.16</v>
      </c>
      <c r="V28">
        <f t="shared" si="23"/>
        <v>2.7515813635071771</v>
      </c>
      <c r="W28" s="87"/>
      <c r="X28" s="87"/>
    </row>
    <row r="29" spans="1:24">
      <c r="A29" s="40">
        <v>41471</v>
      </c>
      <c r="B29" t="s">
        <v>125</v>
      </c>
      <c r="C29">
        <v>200.3</v>
      </c>
      <c r="D29" s="8">
        <v>8.4102300000000003</v>
      </c>
      <c r="E29" s="8">
        <v>83.311319999999995</v>
      </c>
      <c r="F29">
        <v>200</v>
      </c>
      <c r="G29">
        <v>5</v>
      </c>
      <c r="H29">
        <v>19</v>
      </c>
      <c r="I29">
        <v>7</v>
      </c>
      <c r="J29">
        <v>11</v>
      </c>
      <c r="K29">
        <f t="shared" si="12"/>
        <v>5.2</v>
      </c>
      <c r="L29">
        <f t="shared" si="13"/>
        <v>19.760000000000002</v>
      </c>
      <c r="M29">
        <f t="shared" si="14"/>
        <v>7.28</v>
      </c>
      <c r="N29">
        <f t="shared" si="15"/>
        <v>11.440000000000001</v>
      </c>
      <c r="O29">
        <f t="shared" si="16"/>
        <v>10.920000000000002</v>
      </c>
      <c r="P29">
        <f t="shared" si="17"/>
        <v>6.4390475486156582</v>
      </c>
      <c r="Q29">
        <f t="shared" si="18"/>
        <v>94.8</v>
      </c>
      <c r="R29">
        <f t="shared" si="19"/>
        <v>80.239999999999995</v>
      </c>
      <c r="S29">
        <f t="shared" si="20"/>
        <v>92.72</v>
      </c>
      <c r="T29">
        <f t="shared" si="21"/>
        <v>88.56</v>
      </c>
      <c r="U29">
        <f t="shared" si="22"/>
        <v>89.08</v>
      </c>
      <c r="V29">
        <f t="shared" si="23"/>
        <v>6.4390475486156609</v>
      </c>
      <c r="W29" s="87"/>
      <c r="X29" s="87"/>
    </row>
    <row r="30" spans="1:24">
      <c r="A30" s="40">
        <v>41471</v>
      </c>
      <c r="B30" t="s">
        <v>125</v>
      </c>
      <c r="C30">
        <v>200.4</v>
      </c>
      <c r="D30" s="8">
        <v>8.4099199999999996</v>
      </c>
      <c r="E30" s="8">
        <v>83.311719999999994</v>
      </c>
      <c r="F30">
        <v>200</v>
      </c>
      <c r="G30">
        <v>7</v>
      </c>
      <c r="H30">
        <v>8</v>
      </c>
      <c r="I30">
        <v>7</v>
      </c>
      <c r="J30">
        <v>4</v>
      </c>
      <c r="K30">
        <f t="shared" si="12"/>
        <v>7.28</v>
      </c>
      <c r="L30">
        <f t="shared" si="13"/>
        <v>8.32</v>
      </c>
      <c r="M30">
        <f t="shared" si="14"/>
        <v>7.28</v>
      </c>
      <c r="N30">
        <f t="shared" si="15"/>
        <v>4.16</v>
      </c>
      <c r="O30">
        <f t="shared" si="16"/>
        <v>6.7600000000000007</v>
      </c>
      <c r="P30">
        <f t="shared" si="17"/>
        <v>1.8013328398716293</v>
      </c>
      <c r="Q30">
        <f t="shared" si="18"/>
        <v>92.72</v>
      </c>
      <c r="R30">
        <f t="shared" si="19"/>
        <v>91.68</v>
      </c>
      <c r="S30">
        <f t="shared" si="20"/>
        <v>92.72</v>
      </c>
      <c r="T30">
        <f t="shared" si="21"/>
        <v>95.84</v>
      </c>
      <c r="U30">
        <f t="shared" si="22"/>
        <v>93.240000000000009</v>
      </c>
      <c r="V30">
        <f t="shared" si="23"/>
        <v>1.8013328398716324</v>
      </c>
      <c r="W30" s="87"/>
      <c r="X30" s="87"/>
    </row>
    <row r="31" spans="1:24">
      <c r="A31" s="40">
        <v>41491</v>
      </c>
      <c r="B31" t="s">
        <v>128</v>
      </c>
      <c r="C31" s="3">
        <v>250.1</v>
      </c>
      <c r="D31" s="8">
        <v>8.4103100000000008</v>
      </c>
      <c r="E31" s="8">
        <v>83.311729999999997</v>
      </c>
      <c r="F31">
        <v>250</v>
      </c>
      <c r="G31">
        <v>7</v>
      </c>
      <c r="H31">
        <v>3</v>
      </c>
      <c r="I31">
        <v>2</v>
      </c>
      <c r="J31">
        <v>7</v>
      </c>
      <c r="K31">
        <f t="shared" si="12"/>
        <v>7.28</v>
      </c>
      <c r="L31">
        <f t="shared" si="13"/>
        <v>3.12</v>
      </c>
      <c r="M31">
        <f t="shared" si="14"/>
        <v>2.08</v>
      </c>
      <c r="N31">
        <f t="shared" si="15"/>
        <v>7.28</v>
      </c>
      <c r="O31">
        <f t="shared" si="16"/>
        <v>4.9400000000000004</v>
      </c>
      <c r="P31">
        <f t="shared" si="17"/>
        <v>2.735153865263646</v>
      </c>
      <c r="Q31">
        <f t="shared" si="18"/>
        <v>92.72</v>
      </c>
      <c r="R31">
        <f t="shared" si="19"/>
        <v>96.88</v>
      </c>
      <c r="S31">
        <f t="shared" si="20"/>
        <v>97.92</v>
      </c>
      <c r="T31">
        <f t="shared" si="21"/>
        <v>92.72</v>
      </c>
      <c r="U31">
        <f t="shared" si="22"/>
        <v>95.06</v>
      </c>
      <c r="V31">
        <f t="shared" si="23"/>
        <v>2.7351538652636469</v>
      </c>
      <c r="W31" s="87">
        <f>AVERAGE(U31:U32)</f>
        <v>91.289999999999992</v>
      </c>
      <c r="X31" s="87">
        <f>STDEV(U31:U32)</f>
        <v>5.3315851301465722</v>
      </c>
    </row>
    <row r="32" spans="1:24">
      <c r="A32" s="40">
        <v>41468</v>
      </c>
      <c r="B32" t="s">
        <v>134</v>
      </c>
      <c r="C32">
        <v>250.2</v>
      </c>
      <c r="D32" s="8">
        <v>8.4106699999999996</v>
      </c>
      <c r="E32" s="8">
        <v>83.311130000000006</v>
      </c>
      <c r="F32">
        <v>250</v>
      </c>
      <c r="G32">
        <v>11</v>
      </c>
      <c r="H32">
        <v>10</v>
      </c>
      <c r="I32">
        <v>10</v>
      </c>
      <c r="J32">
        <v>17</v>
      </c>
      <c r="K32">
        <f t="shared" si="12"/>
        <v>11.440000000000001</v>
      </c>
      <c r="L32">
        <f t="shared" si="13"/>
        <v>10.4</v>
      </c>
      <c r="M32">
        <f t="shared" si="14"/>
        <v>10.4</v>
      </c>
      <c r="N32">
        <f t="shared" si="15"/>
        <v>17.68</v>
      </c>
      <c r="O32">
        <f t="shared" si="16"/>
        <v>12.48</v>
      </c>
      <c r="P32">
        <f t="shared" si="17"/>
        <v>3.501161711965521</v>
      </c>
      <c r="Q32">
        <f t="shared" si="18"/>
        <v>88.56</v>
      </c>
      <c r="R32">
        <f t="shared" si="19"/>
        <v>89.6</v>
      </c>
      <c r="S32">
        <f t="shared" si="20"/>
        <v>89.6</v>
      </c>
      <c r="T32">
        <f t="shared" si="21"/>
        <v>82.32</v>
      </c>
      <c r="U32">
        <f t="shared" si="22"/>
        <v>87.52</v>
      </c>
      <c r="V32">
        <f t="shared" si="23"/>
        <v>3.5011617119655218</v>
      </c>
      <c r="W32" s="87"/>
      <c r="X32" s="87"/>
    </row>
    <row r="33" spans="1:24">
      <c r="A33" s="40">
        <v>41481</v>
      </c>
      <c r="B33" t="s">
        <v>134</v>
      </c>
      <c r="C33">
        <v>300.10000000000002</v>
      </c>
      <c r="D33" s="8">
        <v>8.4108099999999997</v>
      </c>
      <c r="E33" s="8">
        <v>83.31138</v>
      </c>
      <c r="F33">
        <v>300</v>
      </c>
      <c r="G33">
        <v>19</v>
      </c>
      <c r="H33">
        <v>12</v>
      </c>
      <c r="I33">
        <v>10</v>
      </c>
      <c r="J33">
        <v>14</v>
      </c>
      <c r="K33">
        <f t="shared" si="12"/>
        <v>19.760000000000002</v>
      </c>
      <c r="L33">
        <f t="shared" si="13"/>
        <v>12.48</v>
      </c>
      <c r="M33">
        <f t="shared" si="14"/>
        <v>10.4</v>
      </c>
      <c r="N33">
        <f t="shared" si="15"/>
        <v>14.56</v>
      </c>
      <c r="O33">
        <f t="shared" si="16"/>
        <v>14.3</v>
      </c>
      <c r="P33">
        <f t="shared" si="17"/>
        <v>4.0166984784355764</v>
      </c>
      <c r="Q33">
        <f t="shared" si="18"/>
        <v>80.239999999999995</v>
      </c>
      <c r="R33">
        <f t="shared" si="19"/>
        <v>87.52</v>
      </c>
      <c r="S33">
        <f t="shared" si="20"/>
        <v>89.6</v>
      </c>
      <c r="T33">
        <f t="shared" si="21"/>
        <v>85.44</v>
      </c>
      <c r="U33">
        <f t="shared" si="22"/>
        <v>85.7</v>
      </c>
      <c r="V33">
        <f t="shared" si="23"/>
        <v>4.0166984784355755</v>
      </c>
      <c r="W33" s="5">
        <f>AVERAGE(U33)</f>
        <v>85.7</v>
      </c>
      <c r="X33" s="5">
        <v>0</v>
      </c>
    </row>
  </sheetData>
  <mergeCells count="11">
    <mergeCell ref="G2:J2"/>
    <mergeCell ref="W4:W13"/>
    <mergeCell ref="W14:W21"/>
    <mergeCell ref="W22:W26"/>
    <mergeCell ref="W27:W30"/>
    <mergeCell ref="W31:W32"/>
    <mergeCell ref="X4:X13"/>
    <mergeCell ref="X14:X21"/>
    <mergeCell ref="X22:X26"/>
    <mergeCell ref="X27:X30"/>
    <mergeCell ref="X31:X3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69"/>
  <sheetViews>
    <sheetView workbookViewId="0">
      <pane xSplit="2" ySplit="4" topLeftCell="C136" activePane="bottomRight" state="frozen"/>
      <selection pane="topRight" activeCell="C1" sqref="C1"/>
      <selection pane="bottomLeft" activeCell="A5" sqref="A5"/>
      <selection pane="bottomRight" activeCell="I139" sqref="I139:M139"/>
    </sheetView>
  </sheetViews>
  <sheetFormatPr baseColWidth="10" defaultRowHeight="16"/>
  <cols>
    <col min="1" max="1" width="13.5" customWidth="1"/>
    <col min="2" max="2" width="15.1640625" customWidth="1"/>
    <col min="3" max="4" width="25.5" bestFit="1" customWidth="1"/>
    <col min="5" max="5" width="33.6640625" bestFit="1" customWidth="1"/>
    <col min="6" max="6" width="24.33203125" customWidth="1"/>
    <col min="7" max="7" width="25.5" bestFit="1" customWidth="1"/>
    <col min="8" max="8" width="20" customWidth="1"/>
    <col min="9" max="9" width="22.1640625" bestFit="1" customWidth="1"/>
    <col min="10" max="10" width="25.1640625" bestFit="1" customWidth="1"/>
    <col min="11" max="11" width="25.33203125" bestFit="1" customWidth="1"/>
    <col min="12" max="12" width="22.6640625" customWidth="1"/>
    <col min="13" max="14" width="25.83203125" bestFit="1" customWidth="1"/>
    <col min="15" max="17" width="2.1640625" customWidth="1"/>
    <col min="18" max="26" width="3.1640625" customWidth="1"/>
  </cols>
  <sheetData>
    <row r="3" spans="1:14">
      <c r="C3" s="70" t="s">
        <v>266</v>
      </c>
    </row>
    <row r="4" spans="1:14">
      <c r="A4" s="70" t="s">
        <v>2</v>
      </c>
      <c r="B4" s="70" t="s">
        <v>3</v>
      </c>
      <c r="C4" t="s">
        <v>287</v>
      </c>
      <c r="D4" t="s">
        <v>288</v>
      </c>
      <c r="E4" s="67" t="s">
        <v>271</v>
      </c>
      <c r="F4" t="s">
        <v>270</v>
      </c>
      <c r="G4" t="s">
        <v>272</v>
      </c>
      <c r="H4" s="67" t="s">
        <v>267</v>
      </c>
      <c r="I4" s="77" t="s">
        <v>273</v>
      </c>
      <c r="J4" s="77" t="s">
        <v>278</v>
      </c>
      <c r="K4" s="77" t="s">
        <v>275</v>
      </c>
      <c r="L4" s="77" t="s">
        <v>274</v>
      </c>
      <c r="M4" s="77" t="s">
        <v>276</v>
      </c>
    </row>
    <row r="5" spans="1:14">
      <c r="A5" s="74">
        <v>50.1</v>
      </c>
      <c r="B5" s="74"/>
      <c r="C5" s="75">
        <v>8.4082600000000003</v>
      </c>
      <c r="D5" s="75">
        <v>83.313869999999966</v>
      </c>
      <c r="E5" s="75">
        <v>50</v>
      </c>
      <c r="F5" s="75">
        <v>25</v>
      </c>
      <c r="G5" s="75">
        <v>21.04915254581487</v>
      </c>
      <c r="H5" s="75">
        <v>43</v>
      </c>
      <c r="I5" s="75">
        <v>4557.4042380590863</v>
      </c>
      <c r="J5" s="75">
        <v>13.248268133892692</v>
      </c>
      <c r="K5" s="75">
        <v>105.98614507114154</v>
      </c>
      <c r="L5" s="75">
        <v>2278.7021190295432</v>
      </c>
      <c r="M5" s="75">
        <v>52.993072535570768</v>
      </c>
    </row>
    <row r="6" spans="1:14">
      <c r="B6" s="74" t="s">
        <v>280</v>
      </c>
      <c r="C6" s="71">
        <v>8.4082600000000003</v>
      </c>
      <c r="D6" s="71">
        <v>83.31386999999998</v>
      </c>
      <c r="E6" s="75">
        <v>50</v>
      </c>
      <c r="F6" s="71">
        <v>25</v>
      </c>
      <c r="G6" s="71">
        <v>21.049152545814852</v>
      </c>
      <c r="H6" s="75">
        <v>13</v>
      </c>
      <c r="I6" s="75">
        <v>154.1759699509856</v>
      </c>
      <c r="J6" s="75">
        <v>1.4824612495287077</v>
      </c>
      <c r="K6" s="75">
        <v>11.859689996229662</v>
      </c>
      <c r="L6" s="75">
        <v>77.087984975492802</v>
      </c>
      <c r="M6" s="75">
        <v>5.9298449981148309</v>
      </c>
    </row>
    <row r="7" spans="1:14">
      <c r="B7" s="74" t="s">
        <v>281</v>
      </c>
      <c r="C7" s="71">
        <v>8.4082600000000003</v>
      </c>
      <c r="D7" s="71">
        <v>83.313869999999994</v>
      </c>
      <c r="E7" s="75">
        <v>50</v>
      </c>
      <c r="F7" s="71">
        <v>25</v>
      </c>
      <c r="G7" s="71">
        <v>21.049152545814849</v>
      </c>
      <c r="H7" s="75">
        <v>7</v>
      </c>
      <c r="I7" s="75">
        <v>389.9133735635429</v>
      </c>
      <c r="J7" s="75">
        <v>6.9627388136346946</v>
      </c>
      <c r="K7" s="75">
        <v>55.701910509077557</v>
      </c>
      <c r="L7" s="75">
        <v>194.95668678177145</v>
      </c>
      <c r="M7" s="75">
        <v>27.850955254538778</v>
      </c>
    </row>
    <row r="8" spans="1:14">
      <c r="B8" s="74" t="s">
        <v>282</v>
      </c>
      <c r="C8" s="71">
        <v>8.4082600000000021</v>
      </c>
      <c r="D8" s="71">
        <v>83.31386999999998</v>
      </c>
      <c r="E8" s="75">
        <v>50</v>
      </c>
      <c r="F8" s="71">
        <v>25</v>
      </c>
      <c r="G8" s="71">
        <v>21.049152545814859</v>
      </c>
      <c r="H8" s="75">
        <v>20</v>
      </c>
      <c r="I8" s="75">
        <v>3402.4589191823261</v>
      </c>
      <c r="J8" s="75">
        <v>21.265368244889537</v>
      </c>
      <c r="K8" s="75">
        <v>170.12294595911629</v>
      </c>
      <c r="L8" s="75">
        <v>1701.229459591163</v>
      </c>
      <c r="M8" s="75">
        <v>85.061472979558147</v>
      </c>
    </row>
    <row r="9" spans="1:14">
      <c r="B9" s="74" t="s">
        <v>283</v>
      </c>
      <c r="C9" s="71">
        <v>8.4082600000000003</v>
      </c>
      <c r="D9" s="71">
        <v>83.313869999999994</v>
      </c>
      <c r="E9" s="75">
        <v>50</v>
      </c>
      <c r="F9" s="71">
        <v>25</v>
      </c>
      <c r="G9" s="71">
        <v>21.049152545814849</v>
      </c>
      <c r="H9" s="75">
        <v>3</v>
      </c>
      <c r="I9" s="75">
        <v>610.85597536223224</v>
      </c>
      <c r="J9" s="75">
        <v>25.452332306759676</v>
      </c>
      <c r="K9" s="75">
        <v>203.6186584540774</v>
      </c>
      <c r="L9" s="75">
        <v>305.42798768111612</v>
      </c>
      <c r="M9" s="75">
        <v>101.8093292270387</v>
      </c>
    </row>
    <row r="10" spans="1:14">
      <c r="A10" s="74">
        <v>50.2</v>
      </c>
      <c r="C10" s="75">
        <v>8.4092299999999902</v>
      </c>
      <c r="D10" s="75">
        <v>83.314769999999967</v>
      </c>
      <c r="E10" s="75">
        <v>50</v>
      </c>
      <c r="F10" s="75">
        <v>25</v>
      </c>
      <c r="G10" s="75">
        <v>21.04915254581487</v>
      </c>
      <c r="H10" s="75">
        <v>69</v>
      </c>
      <c r="I10" s="75">
        <v>5189.4471522481072</v>
      </c>
      <c r="J10" s="75">
        <v>9.401172377261064</v>
      </c>
      <c r="K10" s="75">
        <v>75.209379018088512</v>
      </c>
      <c r="L10" s="75">
        <v>2594.7235761240536</v>
      </c>
      <c r="M10" s="75">
        <v>37.604689509044256</v>
      </c>
    </row>
    <row r="11" spans="1:14" s="74" customFormat="1">
      <c r="B11" s="74" t="s">
        <v>279</v>
      </c>
      <c r="C11" s="76">
        <v>8.4092300000000009</v>
      </c>
      <c r="D11" s="76">
        <v>83.314769999999996</v>
      </c>
      <c r="E11" s="75">
        <v>50</v>
      </c>
      <c r="F11" s="76">
        <v>25</v>
      </c>
      <c r="G11" s="76">
        <v>21.049152545814849</v>
      </c>
      <c r="H11" s="75">
        <v>6</v>
      </c>
      <c r="I11" s="75">
        <v>55.69561575330394</v>
      </c>
      <c r="J11" s="75">
        <v>1.1603253281938322</v>
      </c>
      <c r="K11" s="75">
        <v>9.2826026255506573</v>
      </c>
      <c r="L11" s="75">
        <v>27.84780787665197</v>
      </c>
      <c r="M11" s="75">
        <v>4.6413013127753286</v>
      </c>
      <c r="N11"/>
    </row>
    <row r="12" spans="1:14" s="39" customFormat="1">
      <c r="A12" s="74"/>
      <c r="B12" s="74" t="s">
        <v>280</v>
      </c>
      <c r="C12" s="76">
        <v>8.4092300000000062</v>
      </c>
      <c r="D12" s="76">
        <v>83.314769999999967</v>
      </c>
      <c r="E12" s="75">
        <v>50</v>
      </c>
      <c r="F12" s="76">
        <v>25</v>
      </c>
      <c r="G12" s="76">
        <v>21.049152545814863</v>
      </c>
      <c r="H12" s="75">
        <v>25</v>
      </c>
      <c r="I12" s="75">
        <v>653.30113371895061</v>
      </c>
      <c r="J12" s="75">
        <v>3.2665056685947529</v>
      </c>
      <c r="K12" s="75">
        <v>26.132045348758023</v>
      </c>
      <c r="L12" s="75">
        <v>326.6505668594753</v>
      </c>
      <c r="M12" s="75">
        <v>13.066022674379012</v>
      </c>
      <c r="N12"/>
    </row>
    <row r="13" spans="1:14" s="39" customFormat="1">
      <c r="A13" s="74"/>
      <c r="B13" s="74" t="s">
        <v>281</v>
      </c>
      <c r="C13" s="76">
        <v>8.4092300000000044</v>
      </c>
      <c r="D13" s="76">
        <v>83.314769999999982</v>
      </c>
      <c r="E13" s="75">
        <v>50</v>
      </c>
      <c r="F13" s="76">
        <v>25</v>
      </c>
      <c r="G13" s="76">
        <v>21.049152545814859</v>
      </c>
      <c r="H13" s="75">
        <v>20</v>
      </c>
      <c r="I13" s="75">
        <v>809.20522784610478</v>
      </c>
      <c r="J13" s="75">
        <v>5.0575326740381552</v>
      </c>
      <c r="K13" s="75">
        <v>40.460261392305242</v>
      </c>
      <c r="L13" s="75">
        <v>404.60261392305239</v>
      </c>
      <c r="M13" s="75">
        <v>20.230130696152621</v>
      </c>
      <c r="N13"/>
    </row>
    <row r="14" spans="1:14" s="39" customFormat="1">
      <c r="A14" s="74"/>
      <c r="B14" s="74" t="s">
        <v>282</v>
      </c>
      <c r="C14" s="76">
        <v>8.4092300000000044</v>
      </c>
      <c r="D14" s="76">
        <v>83.314769999999982</v>
      </c>
      <c r="E14" s="75">
        <v>50</v>
      </c>
      <c r="F14" s="76">
        <v>25</v>
      </c>
      <c r="G14" s="76">
        <v>21.049152545814856</v>
      </c>
      <c r="H14" s="75">
        <v>15</v>
      </c>
      <c r="I14" s="75">
        <v>2350.8420114652981</v>
      </c>
      <c r="J14" s="75">
        <v>19.590350095544149</v>
      </c>
      <c r="K14" s="75">
        <v>156.7228007643532</v>
      </c>
      <c r="L14" s="75">
        <v>1175.4210057326491</v>
      </c>
      <c r="M14" s="75">
        <v>78.361400382176598</v>
      </c>
      <c r="N14"/>
    </row>
    <row r="15" spans="1:14" s="39" customFormat="1">
      <c r="A15" s="74"/>
      <c r="B15" s="74" t="s">
        <v>283</v>
      </c>
      <c r="C15" s="76">
        <v>8.4092300000000009</v>
      </c>
      <c r="D15" s="76">
        <v>83.314769999999996</v>
      </c>
      <c r="E15" s="75">
        <v>50</v>
      </c>
      <c r="F15" s="76">
        <v>25</v>
      </c>
      <c r="G15" s="76">
        <v>21.049152545814849</v>
      </c>
      <c r="H15" s="75">
        <v>3</v>
      </c>
      <c r="I15" s="75">
        <v>1320.4031634644496</v>
      </c>
      <c r="J15" s="75">
        <v>55.016798477685398</v>
      </c>
      <c r="K15" s="75">
        <v>440.13438782148319</v>
      </c>
      <c r="L15" s="75">
        <v>660.20158173222478</v>
      </c>
      <c r="M15" s="75">
        <v>220.06719391074159</v>
      </c>
      <c r="N15"/>
    </row>
    <row r="16" spans="1:14" s="39" customFormat="1">
      <c r="A16" s="74">
        <v>50.3</v>
      </c>
      <c r="B16"/>
      <c r="C16" s="75">
        <v>8.4089700000000036</v>
      </c>
      <c r="D16" s="75">
        <v>83.314690000000027</v>
      </c>
      <c r="E16" s="75">
        <v>50</v>
      </c>
      <c r="F16" s="75">
        <v>33</v>
      </c>
      <c r="G16" s="75">
        <v>21.02729165642894</v>
      </c>
      <c r="H16" s="75">
        <v>36</v>
      </c>
      <c r="I16" s="75">
        <v>4728.8306817644061</v>
      </c>
      <c r="J16" s="75">
        <v>16.419550978348632</v>
      </c>
      <c r="K16" s="75">
        <v>131.35640782678905</v>
      </c>
      <c r="L16" s="75">
        <v>2364.4153408822031</v>
      </c>
      <c r="M16" s="75">
        <v>65.678203913394526</v>
      </c>
      <c r="N16"/>
    </row>
    <row r="17" spans="1:14" s="74" customFormat="1">
      <c r="B17" s="74" t="s">
        <v>279</v>
      </c>
      <c r="C17" s="76">
        <v>8.4089700000000001</v>
      </c>
      <c r="D17" s="76">
        <v>83.314689999999999</v>
      </c>
      <c r="E17" s="75">
        <v>50</v>
      </c>
      <c r="F17" s="76">
        <v>33</v>
      </c>
      <c r="G17" s="76">
        <v>21.02729165642895</v>
      </c>
      <c r="H17" s="75">
        <v>1</v>
      </c>
      <c r="I17" s="75">
        <v>13.12200492859944</v>
      </c>
      <c r="J17" s="75">
        <v>1.6402506160749299</v>
      </c>
      <c r="K17" s="75">
        <v>13.12200492859944</v>
      </c>
      <c r="L17" s="75">
        <v>6.5610024642997198</v>
      </c>
      <c r="M17" s="75">
        <v>6.5610024642997198</v>
      </c>
      <c r="N17"/>
    </row>
    <row r="18" spans="1:14" s="39" customFormat="1">
      <c r="A18" s="74"/>
      <c r="B18" s="74" t="s">
        <v>280</v>
      </c>
      <c r="C18" s="76">
        <v>8.4089699999999983</v>
      </c>
      <c r="D18" s="76">
        <v>83.314690000000013</v>
      </c>
      <c r="E18" s="75">
        <v>50</v>
      </c>
      <c r="F18" s="76">
        <v>33</v>
      </c>
      <c r="G18" s="76">
        <v>21.027291656428954</v>
      </c>
      <c r="H18" s="75">
        <v>12</v>
      </c>
      <c r="I18" s="75">
        <v>137.07068347949291</v>
      </c>
      <c r="J18" s="75">
        <v>1.4278196195780513</v>
      </c>
      <c r="K18" s="75">
        <v>11.42255695662441</v>
      </c>
      <c r="L18" s="75">
        <v>68.535341739746457</v>
      </c>
      <c r="M18" s="75">
        <v>5.711278478312205</v>
      </c>
      <c r="N18"/>
    </row>
    <row r="19" spans="1:14" s="39" customFormat="1">
      <c r="A19" s="74"/>
      <c r="B19" s="74" t="s">
        <v>281</v>
      </c>
      <c r="C19" s="76">
        <v>8.4089699999999983</v>
      </c>
      <c r="D19" s="76">
        <v>83.314689999999999</v>
      </c>
      <c r="E19" s="75">
        <v>50</v>
      </c>
      <c r="F19" s="76">
        <v>33</v>
      </c>
      <c r="G19" s="76">
        <v>21.027291656428954</v>
      </c>
      <c r="H19" s="75">
        <v>9</v>
      </c>
      <c r="I19" s="75">
        <v>526.49329917737555</v>
      </c>
      <c r="J19" s="75">
        <v>7.3124069330191048</v>
      </c>
      <c r="K19" s="75">
        <v>58.499255464152839</v>
      </c>
      <c r="L19" s="75">
        <v>263.24664958868777</v>
      </c>
      <c r="M19" s="75">
        <v>29.249627732076419</v>
      </c>
      <c r="N19"/>
    </row>
    <row r="20" spans="1:14" s="39" customFormat="1">
      <c r="A20" s="74"/>
      <c r="B20" s="74" t="s">
        <v>282</v>
      </c>
      <c r="C20" s="76">
        <v>8.4089699999999983</v>
      </c>
      <c r="D20" s="76">
        <v>83.314689999999999</v>
      </c>
      <c r="E20" s="75">
        <v>50</v>
      </c>
      <c r="F20" s="76">
        <v>33</v>
      </c>
      <c r="G20" s="76">
        <v>21.027291656428954</v>
      </c>
      <c r="H20" s="75">
        <v>8</v>
      </c>
      <c r="I20" s="75">
        <v>1839.2147391686328</v>
      </c>
      <c r="J20" s="75">
        <v>28.737730299509888</v>
      </c>
      <c r="K20" s="75">
        <v>229.9018423960791</v>
      </c>
      <c r="L20" s="75">
        <v>919.60736958431642</v>
      </c>
      <c r="M20" s="75">
        <v>114.95092119803955</v>
      </c>
      <c r="N20"/>
    </row>
    <row r="21" spans="1:14" s="39" customFormat="1">
      <c r="A21" s="74"/>
      <c r="B21" s="74" t="s">
        <v>283</v>
      </c>
      <c r="C21" s="76">
        <v>8.4089699999999983</v>
      </c>
      <c r="D21" s="76">
        <v>83.314689999999999</v>
      </c>
      <c r="E21" s="75">
        <v>50</v>
      </c>
      <c r="F21" s="76">
        <v>33</v>
      </c>
      <c r="G21" s="76">
        <v>21.027291656428954</v>
      </c>
      <c r="H21" s="75">
        <v>6</v>
      </c>
      <c r="I21" s="75">
        <v>2212.929955010306</v>
      </c>
      <c r="J21" s="75">
        <v>46.102707396048039</v>
      </c>
      <c r="K21" s="75">
        <v>368.82165916838431</v>
      </c>
      <c r="L21" s="75">
        <v>1106.464977505153</v>
      </c>
      <c r="M21" s="75">
        <v>184.41082958419216</v>
      </c>
      <c r="N21"/>
    </row>
    <row r="22" spans="1:14" s="39" customFormat="1">
      <c r="A22" s="74">
        <v>50.4</v>
      </c>
      <c r="B22"/>
      <c r="C22" s="75">
        <v>8.4083100000000091</v>
      </c>
      <c r="D22" s="75">
        <v>83.311470000000071</v>
      </c>
      <c r="E22" s="75">
        <v>50</v>
      </c>
      <c r="F22" s="75">
        <v>-10</v>
      </c>
      <c r="G22" s="75">
        <v>21.321773754370071</v>
      </c>
      <c r="H22" s="75">
        <v>46</v>
      </c>
      <c r="I22" s="75">
        <v>2178.5975831738442</v>
      </c>
      <c r="J22" s="75">
        <v>5.9201021281897939</v>
      </c>
      <c r="K22" s="75">
        <v>47.360817025518351</v>
      </c>
      <c r="L22" s="75">
        <v>1089.2987915869221</v>
      </c>
      <c r="M22" s="75">
        <v>23.680408512759175</v>
      </c>
      <c r="N22"/>
    </row>
    <row r="23" spans="1:14" s="74" customFormat="1">
      <c r="B23" s="74" t="s">
        <v>279</v>
      </c>
      <c r="C23" s="76">
        <v>8.4083100000000002</v>
      </c>
      <c r="D23" s="76">
        <v>83.31147</v>
      </c>
      <c r="E23" s="75">
        <v>50</v>
      </c>
      <c r="F23" s="76">
        <v>-10</v>
      </c>
      <c r="G23" s="76">
        <v>21.321773754370099</v>
      </c>
      <c r="H23" s="75">
        <v>2</v>
      </c>
      <c r="I23" s="75">
        <v>27.941762002399436</v>
      </c>
      <c r="J23" s="75">
        <v>1.7463601251499647</v>
      </c>
      <c r="K23" s="75">
        <v>13.970881001199718</v>
      </c>
      <c r="L23" s="75">
        <v>13.970881001199718</v>
      </c>
      <c r="M23" s="75">
        <v>6.985440500599859</v>
      </c>
      <c r="N23"/>
    </row>
    <row r="24" spans="1:14" s="39" customFormat="1">
      <c r="A24" s="74"/>
      <c r="B24" s="74" t="s">
        <v>280</v>
      </c>
      <c r="C24" s="76">
        <v>8.4083100000000019</v>
      </c>
      <c r="D24" s="76">
        <v>83.311470000000057</v>
      </c>
      <c r="E24" s="75">
        <v>50</v>
      </c>
      <c r="F24" s="76">
        <v>-10</v>
      </c>
      <c r="G24" s="76">
        <v>21.321773754370081</v>
      </c>
      <c r="H24" s="75">
        <v>34</v>
      </c>
      <c r="I24" s="75">
        <v>1005.9130322847533</v>
      </c>
      <c r="J24" s="75">
        <v>3.6982096775174753</v>
      </c>
      <c r="K24" s="75">
        <v>29.585677420139803</v>
      </c>
      <c r="L24" s="75">
        <v>502.95651614237664</v>
      </c>
      <c r="M24" s="75">
        <v>14.792838710069901</v>
      </c>
      <c r="N24"/>
    </row>
    <row r="25" spans="1:14" s="39" customFormat="1">
      <c r="A25" s="74"/>
      <c r="B25" s="74" t="s">
        <v>281</v>
      </c>
      <c r="C25" s="76">
        <v>8.4083100000000002</v>
      </c>
      <c r="D25" s="76">
        <v>83.31147</v>
      </c>
      <c r="E25" s="75">
        <v>50</v>
      </c>
      <c r="F25" s="76">
        <v>-10</v>
      </c>
      <c r="G25" s="76">
        <v>21.321773754370099</v>
      </c>
      <c r="H25" s="75">
        <v>8</v>
      </c>
      <c r="I25" s="75">
        <v>621.14913892493553</v>
      </c>
      <c r="J25" s="75">
        <v>9.7054552957021176</v>
      </c>
      <c r="K25" s="75">
        <v>77.643642365616941</v>
      </c>
      <c r="L25" s="75">
        <v>310.57456946246776</v>
      </c>
      <c r="M25" s="75">
        <v>38.82182118280847</v>
      </c>
      <c r="N25"/>
    </row>
    <row r="26" spans="1:14" s="39" customFormat="1">
      <c r="A26" s="74"/>
      <c r="B26" s="74" t="s">
        <v>282</v>
      </c>
      <c r="C26" s="76">
        <v>8.4083100000000002</v>
      </c>
      <c r="D26" s="76">
        <v>83.31147</v>
      </c>
      <c r="E26" s="75">
        <v>50</v>
      </c>
      <c r="F26" s="76">
        <v>-10</v>
      </c>
      <c r="G26" s="76">
        <v>21.321773754370099</v>
      </c>
      <c r="H26" s="75">
        <v>1</v>
      </c>
      <c r="I26" s="75">
        <v>88.339391671017609</v>
      </c>
      <c r="J26" s="75">
        <v>11.042423958877201</v>
      </c>
      <c r="K26" s="75">
        <v>88.339391671017609</v>
      </c>
      <c r="L26" s="75">
        <v>44.169695835508804</v>
      </c>
      <c r="M26" s="75">
        <v>44.169695835508804</v>
      </c>
      <c r="N26"/>
    </row>
    <row r="27" spans="1:14" s="39" customFormat="1">
      <c r="A27" s="74"/>
      <c r="B27" s="74" t="s">
        <v>283</v>
      </c>
      <c r="C27" s="76">
        <v>8.4083100000000002</v>
      </c>
      <c r="D27" s="76">
        <v>83.31147</v>
      </c>
      <c r="E27" s="75">
        <v>50</v>
      </c>
      <c r="F27" s="76">
        <v>-10</v>
      </c>
      <c r="G27" s="76">
        <v>21.321773754370099</v>
      </c>
      <c r="H27" s="75">
        <v>1</v>
      </c>
      <c r="I27" s="75">
        <v>435.25425829073822</v>
      </c>
      <c r="J27" s="75">
        <v>54.406782286342278</v>
      </c>
      <c r="K27" s="75">
        <v>435.25425829073822</v>
      </c>
      <c r="L27" s="75">
        <v>217.62712914536911</v>
      </c>
      <c r="M27" s="75">
        <v>217.62712914536911</v>
      </c>
      <c r="N27"/>
    </row>
    <row r="28" spans="1:14" s="39" customFormat="1">
      <c r="A28" s="74">
        <v>50.5</v>
      </c>
      <c r="B28"/>
      <c r="C28" s="75">
        <v>8.4092999999999929</v>
      </c>
      <c r="D28" s="75">
        <v>83.315039999999968</v>
      </c>
      <c r="E28" s="75">
        <v>50</v>
      </c>
      <c r="F28" s="75">
        <v>-13</v>
      </c>
      <c r="G28" s="75">
        <v>21.188530377780268</v>
      </c>
      <c r="H28" s="75">
        <v>42</v>
      </c>
      <c r="I28" s="75">
        <v>4155.3006434213221</v>
      </c>
      <c r="J28" s="75">
        <v>12.366966200658696</v>
      </c>
      <c r="K28" s="75">
        <v>98.935729605269572</v>
      </c>
      <c r="L28" s="75">
        <v>2077.650321710661</v>
      </c>
      <c r="M28" s="75">
        <v>49.467864802634786</v>
      </c>
      <c r="N28"/>
    </row>
    <row r="29" spans="1:14" s="74" customFormat="1">
      <c r="B29" s="74" t="s">
        <v>279</v>
      </c>
      <c r="C29" s="76">
        <v>8.4093</v>
      </c>
      <c r="D29" s="76">
        <v>83.315039999999996</v>
      </c>
      <c r="E29" s="75">
        <v>50</v>
      </c>
      <c r="F29" s="76">
        <v>-13</v>
      </c>
      <c r="G29" s="76">
        <v>21.188530377780278</v>
      </c>
      <c r="H29" s="75">
        <v>5</v>
      </c>
      <c r="I29" s="75">
        <v>100.91986576282137</v>
      </c>
      <c r="J29" s="75">
        <v>2.5229966440705343</v>
      </c>
      <c r="K29" s="75">
        <v>20.183973152564274</v>
      </c>
      <c r="L29" s="75">
        <v>50.459932881410687</v>
      </c>
      <c r="M29" s="75">
        <v>10.091986576282137</v>
      </c>
      <c r="N29"/>
    </row>
    <row r="30" spans="1:14" s="39" customFormat="1">
      <c r="A30" s="74"/>
      <c r="B30" s="74" t="s">
        <v>280</v>
      </c>
      <c r="C30" s="76">
        <v>8.4093</v>
      </c>
      <c r="D30" s="76">
        <v>83.315039999999982</v>
      </c>
      <c r="E30" s="75">
        <v>50</v>
      </c>
      <c r="F30" s="76">
        <v>-13</v>
      </c>
      <c r="G30" s="76">
        <v>21.188530377780275</v>
      </c>
      <c r="H30" s="75">
        <v>13</v>
      </c>
      <c r="I30" s="75">
        <v>365.99075274465594</v>
      </c>
      <c r="J30" s="75">
        <v>3.5191418533139993</v>
      </c>
      <c r="K30" s="75">
        <v>28.153134826511995</v>
      </c>
      <c r="L30" s="75">
        <v>182.99537637232797</v>
      </c>
      <c r="M30" s="75">
        <v>14.076567413255997</v>
      </c>
      <c r="N30"/>
    </row>
    <row r="31" spans="1:14" s="39" customFormat="1">
      <c r="A31" s="74"/>
      <c r="B31" s="74" t="s">
        <v>281</v>
      </c>
      <c r="C31" s="76">
        <v>8.4093</v>
      </c>
      <c r="D31" s="76">
        <v>83.315039999999982</v>
      </c>
      <c r="E31" s="75">
        <v>50</v>
      </c>
      <c r="F31" s="76">
        <v>-13</v>
      </c>
      <c r="G31" s="76">
        <v>21.188530377780278</v>
      </c>
      <c r="H31" s="75">
        <v>15</v>
      </c>
      <c r="I31" s="75">
        <v>1772.3336124666519</v>
      </c>
      <c r="J31" s="75">
        <v>14.769446770555431</v>
      </c>
      <c r="K31" s="75">
        <v>118.15557416444345</v>
      </c>
      <c r="L31" s="75">
        <v>886.16680623332593</v>
      </c>
      <c r="M31" s="75">
        <v>59.077787082221725</v>
      </c>
      <c r="N31"/>
    </row>
    <row r="32" spans="1:14" s="39" customFormat="1">
      <c r="A32" s="74"/>
      <c r="B32" s="74" t="s">
        <v>282</v>
      </c>
      <c r="C32" s="76">
        <v>8.4093</v>
      </c>
      <c r="D32" s="76">
        <v>83.315039999999996</v>
      </c>
      <c r="E32" s="75">
        <v>50</v>
      </c>
      <c r="F32" s="76">
        <v>-13</v>
      </c>
      <c r="G32" s="76">
        <v>21.188530377780278</v>
      </c>
      <c r="H32" s="75">
        <v>6</v>
      </c>
      <c r="I32" s="75">
        <v>870.10593828704577</v>
      </c>
      <c r="J32" s="75">
        <v>18.127207047646788</v>
      </c>
      <c r="K32" s="75">
        <v>145.01765638117431</v>
      </c>
      <c r="L32" s="75">
        <v>435.05296914352289</v>
      </c>
      <c r="M32" s="75">
        <v>72.508828190587153</v>
      </c>
      <c r="N32"/>
    </row>
    <row r="33" spans="1:14" s="39" customFormat="1">
      <c r="A33" s="74"/>
      <c r="B33" s="74" t="s">
        <v>283</v>
      </c>
      <c r="C33" s="76">
        <v>8.4093</v>
      </c>
      <c r="D33" s="76">
        <v>83.315039999999996</v>
      </c>
      <c r="E33" s="75">
        <v>50</v>
      </c>
      <c r="F33" s="76">
        <v>-13</v>
      </c>
      <c r="G33" s="76">
        <v>21.188530377780278</v>
      </c>
      <c r="H33" s="75">
        <v>3</v>
      </c>
      <c r="I33" s="75">
        <v>1045.9504741601475</v>
      </c>
      <c r="J33" s="75">
        <v>43.58126975667281</v>
      </c>
      <c r="K33" s="75">
        <v>348.65015805338248</v>
      </c>
      <c r="L33" s="75">
        <v>522.97523708007373</v>
      </c>
      <c r="M33" s="75">
        <v>174.32507902669124</v>
      </c>
      <c r="N33"/>
    </row>
    <row r="34" spans="1:14" s="39" customFormat="1">
      <c r="A34" s="74">
        <v>50.6</v>
      </c>
      <c r="B34"/>
      <c r="C34" s="75">
        <v>8.4102899999999945</v>
      </c>
      <c r="D34" s="75">
        <v>83.314350000000076</v>
      </c>
      <c r="E34" s="75">
        <v>50</v>
      </c>
      <c r="F34" s="75">
        <v>5.5</v>
      </c>
      <c r="G34" s="75">
        <v>21</v>
      </c>
      <c r="H34" s="75">
        <v>42</v>
      </c>
      <c r="I34" s="75">
        <v>2146.9140798595895</v>
      </c>
      <c r="J34" s="75">
        <v>6.3896252376773495</v>
      </c>
      <c r="K34" s="75">
        <v>51.117001901418796</v>
      </c>
      <c r="L34" s="75">
        <v>1073.4570399297947</v>
      </c>
      <c r="M34" s="75">
        <v>25.558500950709398</v>
      </c>
      <c r="N34"/>
    </row>
    <row r="35" spans="1:14" s="74" customFormat="1">
      <c r="B35" s="74" t="s">
        <v>279</v>
      </c>
      <c r="C35" s="76">
        <v>8.4102899999999998</v>
      </c>
      <c r="D35" s="76">
        <v>83.314350000000005</v>
      </c>
      <c r="E35" s="75">
        <v>50</v>
      </c>
      <c r="F35" s="76">
        <v>5.5</v>
      </c>
      <c r="G35" s="76">
        <v>21</v>
      </c>
      <c r="H35" s="75">
        <v>4</v>
      </c>
      <c r="I35" s="75">
        <v>53.307575761500594</v>
      </c>
      <c r="J35" s="75">
        <v>1.6658617425468936</v>
      </c>
      <c r="K35" s="75">
        <v>13.326893940375149</v>
      </c>
      <c r="L35" s="75">
        <v>26.653787880750297</v>
      </c>
      <c r="M35" s="75">
        <v>6.6634469701875743</v>
      </c>
      <c r="N35"/>
    </row>
    <row r="36" spans="1:14" s="39" customFormat="1">
      <c r="A36" s="74"/>
      <c r="B36" s="74" t="s">
        <v>280</v>
      </c>
      <c r="C36" s="76">
        <v>8.4102900000000016</v>
      </c>
      <c r="D36" s="76">
        <v>83.314350000000047</v>
      </c>
      <c r="E36" s="75">
        <v>50</v>
      </c>
      <c r="F36" s="76">
        <v>5.5</v>
      </c>
      <c r="G36" s="76">
        <v>21</v>
      </c>
      <c r="H36" s="75">
        <v>27</v>
      </c>
      <c r="I36" s="75">
        <v>800.04116283240887</v>
      </c>
      <c r="J36" s="75">
        <v>3.7038942723722634</v>
      </c>
      <c r="K36" s="75">
        <v>29.631154178978107</v>
      </c>
      <c r="L36" s="75">
        <v>400.02058141620444</v>
      </c>
      <c r="M36" s="75">
        <v>14.815577089489054</v>
      </c>
      <c r="N36"/>
    </row>
    <row r="37" spans="1:14" s="39" customFormat="1">
      <c r="A37" s="74"/>
      <c r="B37" s="74" t="s">
        <v>281</v>
      </c>
      <c r="C37" s="76">
        <v>8.4102900000000016</v>
      </c>
      <c r="D37" s="76">
        <v>83.314350000000005</v>
      </c>
      <c r="E37" s="75">
        <v>50</v>
      </c>
      <c r="F37" s="76">
        <v>5.5</v>
      </c>
      <c r="G37" s="76">
        <v>21</v>
      </c>
      <c r="H37" s="75">
        <v>9</v>
      </c>
      <c r="I37" s="75">
        <v>642.30064343245124</v>
      </c>
      <c r="J37" s="75">
        <v>8.9208422698951555</v>
      </c>
      <c r="K37" s="75">
        <v>71.366738159161244</v>
      </c>
      <c r="L37" s="75">
        <v>321.15032171622562</v>
      </c>
      <c r="M37" s="75">
        <v>35.683369079580622</v>
      </c>
      <c r="N37"/>
    </row>
    <row r="38" spans="1:14" s="39" customFormat="1">
      <c r="A38" s="74"/>
      <c r="B38" s="74" t="s">
        <v>282</v>
      </c>
      <c r="C38" s="76">
        <v>8.4102899999999998</v>
      </c>
      <c r="D38" s="76">
        <v>83.314350000000005</v>
      </c>
      <c r="E38" s="75">
        <v>50</v>
      </c>
      <c r="F38" s="76">
        <v>5.5</v>
      </c>
      <c r="G38" s="76">
        <v>21</v>
      </c>
      <c r="H38" s="75">
        <v>2</v>
      </c>
      <c r="I38" s="75">
        <v>651.26469783322864</v>
      </c>
      <c r="J38" s="75">
        <v>40.70404361457679</v>
      </c>
      <c r="K38" s="75">
        <v>325.63234891661432</v>
      </c>
      <c r="L38" s="75">
        <v>325.63234891661432</v>
      </c>
      <c r="M38" s="75">
        <v>162.81617445830716</v>
      </c>
      <c r="N38"/>
    </row>
    <row r="39" spans="1:14" s="39" customFormat="1">
      <c r="A39" s="74">
        <v>50.7</v>
      </c>
      <c r="B39"/>
      <c r="C39" s="75">
        <v>8.4109999999999996</v>
      </c>
      <c r="D39" s="75">
        <v>83.313580000000002</v>
      </c>
      <c r="E39" s="75">
        <v>50</v>
      </c>
      <c r="F39" s="75">
        <v>-24</v>
      </c>
      <c r="G39" s="75">
        <v>21.053522721748315</v>
      </c>
      <c r="H39" s="75">
        <v>39</v>
      </c>
      <c r="I39" s="75">
        <v>4306.8324348566866</v>
      </c>
      <c r="J39" s="75">
        <v>13.80395011172015</v>
      </c>
      <c r="K39" s="75">
        <v>110.4316008937612</v>
      </c>
      <c r="L39" s="75">
        <v>2153.4162174283433</v>
      </c>
      <c r="M39" s="75">
        <v>55.2158004468806</v>
      </c>
      <c r="N39"/>
    </row>
    <row r="40" spans="1:14" s="74" customFormat="1">
      <c r="B40" s="74" t="s">
        <v>279</v>
      </c>
      <c r="C40" s="76">
        <v>8.4109999999999996</v>
      </c>
      <c r="D40" s="76">
        <v>83.313580000000002</v>
      </c>
      <c r="E40" s="75">
        <v>50</v>
      </c>
      <c r="F40" s="76">
        <v>-24</v>
      </c>
      <c r="G40" s="76">
        <v>21.053522721748294</v>
      </c>
      <c r="H40" s="75">
        <v>3</v>
      </c>
      <c r="I40" s="75">
        <v>27.853933634764722</v>
      </c>
      <c r="J40" s="75">
        <v>1.1605805681151968</v>
      </c>
      <c r="K40" s="75">
        <v>9.2846445449215746</v>
      </c>
      <c r="L40" s="75">
        <v>13.926966817382361</v>
      </c>
      <c r="M40" s="75">
        <v>4.6423222724607873</v>
      </c>
      <c r="N40"/>
    </row>
    <row r="41" spans="1:14" s="39" customFormat="1">
      <c r="A41" s="74"/>
      <c r="B41" s="74" t="s">
        <v>280</v>
      </c>
      <c r="C41" s="76">
        <v>8.4109999999999996</v>
      </c>
      <c r="D41" s="76">
        <v>83.313580000000002</v>
      </c>
      <c r="E41" s="75">
        <v>50</v>
      </c>
      <c r="F41" s="76">
        <v>-24</v>
      </c>
      <c r="G41" s="76">
        <v>21.053522721748312</v>
      </c>
      <c r="H41" s="75">
        <v>28</v>
      </c>
      <c r="I41" s="75">
        <v>762.91085434168474</v>
      </c>
      <c r="J41" s="75">
        <v>3.4058520283110925</v>
      </c>
      <c r="K41" s="75">
        <v>27.24681622648874</v>
      </c>
      <c r="L41" s="75">
        <v>381.45542717084237</v>
      </c>
      <c r="M41" s="75">
        <v>13.62340811324437</v>
      </c>
      <c r="N41"/>
    </row>
    <row r="42" spans="1:14" s="39" customFormat="1">
      <c r="A42" s="74"/>
      <c r="B42" s="74" t="s">
        <v>281</v>
      </c>
      <c r="C42" s="76">
        <v>8.4109999999999996</v>
      </c>
      <c r="D42" s="76">
        <v>83.313580000000002</v>
      </c>
      <c r="E42" s="75">
        <v>50</v>
      </c>
      <c r="F42" s="76">
        <v>-24</v>
      </c>
      <c r="G42" s="76">
        <v>21.053522721748294</v>
      </c>
      <c r="H42" s="75">
        <v>7</v>
      </c>
      <c r="I42" s="75">
        <v>1239.5322661008788</v>
      </c>
      <c r="J42" s="75">
        <v>22.134504751801408</v>
      </c>
      <c r="K42" s="75">
        <v>177.07603801441127</v>
      </c>
      <c r="L42" s="75">
        <v>619.76613305043941</v>
      </c>
      <c r="M42" s="75">
        <v>88.538019007205634</v>
      </c>
      <c r="N42"/>
    </row>
    <row r="43" spans="1:14" s="39" customFormat="1">
      <c r="A43" s="74"/>
      <c r="B43" s="74" t="s">
        <v>282</v>
      </c>
      <c r="C43" s="76">
        <v>8.4109999999999996</v>
      </c>
      <c r="D43" s="76">
        <v>83.313580000000002</v>
      </c>
      <c r="E43" s="75">
        <v>50</v>
      </c>
      <c r="F43" s="76">
        <v>-24</v>
      </c>
      <c r="G43" s="76">
        <v>21.053522721748294</v>
      </c>
      <c r="H43" s="75">
        <v>1</v>
      </c>
      <c r="I43" s="75">
        <v>2276.5353807793585</v>
      </c>
      <c r="J43" s="75">
        <v>284.56692259741982</v>
      </c>
      <c r="K43" s="75">
        <v>2276.5353807793585</v>
      </c>
      <c r="L43" s="75">
        <v>1138.2676903896793</v>
      </c>
      <c r="M43" s="75">
        <v>1138.2676903896793</v>
      </c>
      <c r="N43"/>
    </row>
    <row r="44" spans="1:14" s="39" customFormat="1">
      <c r="A44" s="74">
        <v>50.8</v>
      </c>
      <c r="B44"/>
      <c r="C44" s="75">
        <v>8.4113100000000074</v>
      </c>
      <c r="D44" s="75">
        <v>83.313740000000038</v>
      </c>
      <c r="E44" s="75">
        <v>50</v>
      </c>
      <c r="F44" s="75">
        <v>20</v>
      </c>
      <c r="G44" s="75">
        <v>21.078079490328179</v>
      </c>
      <c r="H44" s="75">
        <v>36</v>
      </c>
      <c r="I44" s="75">
        <v>2260.2263564866976</v>
      </c>
      <c r="J44" s="75">
        <v>7.8480081822454775</v>
      </c>
      <c r="K44" s="75">
        <v>62.78406545796382</v>
      </c>
      <c r="L44" s="75">
        <v>1130.1131782433488</v>
      </c>
      <c r="M44" s="75">
        <v>31.39203272898191</v>
      </c>
      <c r="N44"/>
    </row>
    <row r="45" spans="1:14" s="74" customFormat="1">
      <c r="B45" s="74" t="s">
        <v>279</v>
      </c>
      <c r="C45" s="76">
        <v>8.4113100000000003</v>
      </c>
      <c r="D45" s="76">
        <v>83.313739999999996</v>
      </c>
      <c r="E45" s="75">
        <v>50</v>
      </c>
      <c r="F45" s="76">
        <v>20</v>
      </c>
      <c r="G45" s="76">
        <v>21.078079490328182</v>
      </c>
      <c r="H45" s="75">
        <v>1</v>
      </c>
      <c r="I45" s="75">
        <v>5.7164425875437379</v>
      </c>
      <c r="J45" s="75">
        <v>0.71455532344296724</v>
      </c>
      <c r="K45" s="75">
        <v>5.7164425875437379</v>
      </c>
      <c r="L45" s="75">
        <v>2.858221293771869</v>
      </c>
      <c r="M45" s="75">
        <v>2.858221293771869</v>
      </c>
      <c r="N45"/>
    </row>
    <row r="46" spans="1:14" s="39" customFormat="1">
      <c r="A46" s="74"/>
      <c r="B46" s="74" t="s">
        <v>280</v>
      </c>
      <c r="C46" s="76">
        <v>8.4113100000000074</v>
      </c>
      <c r="D46" s="76">
        <v>83.313740000000038</v>
      </c>
      <c r="E46" s="75">
        <v>50</v>
      </c>
      <c r="F46" s="76">
        <v>20</v>
      </c>
      <c r="G46" s="76">
        <v>21.078079490328186</v>
      </c>
      <c r="H46" s="75">
        <v>29</v>
      </c>
      <c r="I46" s="75">
        <v>768.07148956886203</v>
      </c>
      <c r="J46" s="75">
        <v>3.3106529722795779</v>
      </c>
      <c r="K46" s="75">
        <v>26.485223778236623</v>
      </c>
      <c r="L46" s="75">
        <v>384.03574478443102</v>
      </c>
      <c r="M46" s="75">
        <v>13.242611889118312</v>
      </c>
      <c r="N46"/>
    </row>
    <row r="47" spans="1:14" s="39" customFormat="1">
      <c r="A47" s="74"/>
      <c r="B47" s="74" t="s">
        <v>281</v>
      </c>
      <c r="C47" s="76">
        <v>8.4113100000000003</v>
      </c>
      <c r="D47" s="76">
        <v>83.313739999999996</v>
      </c>
      <c r="E47" s="75">
        <v>50</v>
      </c>
      <c r="F47" s="76">
        <v>20</v>
      </c>
      <c r="G47" s="76">
        <v>21.078079490328182</v>
      </c>
      <c r="H47" s="75">
        <v>5</v>
      </c>
      <c r="I47" s="75">
        <v>1410.2139606736118</v>
      </c>
      <c r="J47" s="75">
        <v>35.255349016840299</v>
      </c>
      <c r="K47" s="75">
        <v>282.04279213472239</v>
      </c>
      <c r="L47" s="75">
        <v>705.10698033680592</v>
      </c>
      <c r="M47" s="75">
        <v>141.0213960673612</v>
      </c>
      <c r="N47"/>
    </row>
    <row r="48" spans="1:14" s="39" customFormat="1">
      <c r="A48" s="74"/>
      <c r="B48" s="74" t="s">
        <v>282</v>
      </c>
      <c r="C48" s="76">
        <v>8.4113100000000003</v>
      </c>
      <c r="D48" s="76">
        <v>83.313739999999996</v>
      </c>
      <c r="E48" s="75">
        <v>50</v>
      </c>
      <c r="F48" s="76">
        <v>20</v>
      </c>
      <c r="G48" s="76">
        <v>21.078079490328182</v>
      </c>
      <c r="H48" s="75">
        <v>1</v>
      </c>
      <c r="I48" s="75">
        <v>76.224463656680243</v>
      </c>
      <c r="J48" s="75">
        <v>9.5280579570850303</v>
      </c>
      <c r="K48" s="75">
        <v>76.224463656680243</v>
      </c>
      <c r="L48" s="75">
        <v>38.112231828340121</v>
      </c>
      <c r="M48" s="75">
        <v>38.112231828340121</v>
      </c>
      <c r="N48"/>
    </row>
    <row r="49" spans="1:14" s="39" customFormat="1">
      <c r="A49" s="74">
        <v>50.9</v>
      </c>
      <c r="B49"/>
      <c r="C49" s="75">
        <v>8.4099899999999952</v>
      </c>
      <c r="D49" s="75">
        <v>83.314719999999966</v>
      </c>
      <c r="E49" s="75">
        <v>50</v>
      </c>
      <c r="F49" s="75">
        <v>-15</v>
      </c>
      <c r="G49" s="75">
        <v>21.140809612582881</v>
      </c>
      <c r="H49" s="75">
        <v>38</v>
      </c>
      <c r="I49" s="75">
        <v>2903.8984638014517</v>
      </c>
      <c r="J49" s="75">
        <v>9.5522975782942492</v>
      </c>
      <c r="K49" s="75">
        <v>76.418380626353994</v>
      </c>
      <c r="L49" s="75">
        <v>1451.9492319007259</v>
      </c>
      <c r="M49" s="75">
        <v>38.209190313176997</v>
      </c>
      <c r="N49"/>
    </row>
    <row r="50" spans="1:14" s="74" customFormat="1">
      <c r="B50" s="74" t="s">
        <v>279</v>
      </c>
      <c r="C50" s="76">
        <v>8.4099900000000005</v>
      </c>
      <c r="D50" s="76">
        <v>83.314719999999994</v>
      </c>
      <c r="E50" s="75">
        <v>50</v>
      </c>
      <c r="F50" s="76">
        <v>-15</v>
      </c>
      <c r="G50" s="76">
        <v>21.140809612582899</v>
      </c>
      <c r="H50" s="75">
        <v>3</v>
      </c>
      <c r="I50" s="75">
        <v>49.633785369367075</v>
      </c>
      <c r="J50" s="75">
        <v>2.0680743903902949</v>
      </c>
      <c r="K50" s="75">
        <v>16.54459512312236</v>
      </c>
      <c r="L50" s="75">
        <v>24.816892684683538</v>
      </c>
      <c r="M50" s="75">
        <v>8.2722975615611798</v>
      </c>
      <c r="N50"/>
    </row>
    <row r="51" spans="1:14" s="39" customFormat="1">
      <c r="A51" s="74"/>
      <c r="B51" s="74" t="s">
        <v>280</v>
      </c>
      <c r="C51" s="76">
        <v>8.409989999999997</v>
      </c>
      <c r="D51" s="76">
        <v>83.314720000000008</v>
      </c>
      <c r="E51" s="75">
        <v>50</v>
      </c>
      <c r="F51" s="76">
        <v>-15</v>
      </c>
      <c r="G51" s="76">
        <v>21.140809612582888</v>
      </c>
      <c r="H51" s="75">
        <v>20</v>
      </c>
      <c r="I51" s="75">
        <v>629.54116160848696</v>
      </c>
      <c r="J51" s="75">
        <v>3.9346322600530437</v>
      </c>
      <c r="K51" s="75">
        <v>31.477058080424349</v>
      </c>
      <c r="L51" s="75">
        <v>314.77058080424348</v>
      </c>
      <c r="M51" s="75">
        <v>15.738529040212175</v>
      </c>
      <c r="N51"/>
    </row>
    <row r="52" spans="1:14" s="39" customFormat="1">
      <c r="A52" s="74"/>
      <c r="B52" s="74" t="s">
        <v>281</v>
      </c>
      <c r="C52" s="76">
        <v>8.4099900000000005</v>
      </c>
      <c r="D52" s="76">
        <v>83.31471999999998</v>
      </c>
      <c r="E52" s="75">
        <v>50</v>
      </c>
      <c r="F52" s="76">
        <v>-15</v>
      </c>
      <c r="G52" s="76">
        <v>21.140809612582899</v>
      </c>
      <c r="H52" s="75">
        <v>6</v>
      </c>
      <c r="I52" s="75">
        <v>698.8238209562295</v>
      </c>
      <c r="J52" s="75">
        <v>14.558829603254781</v>
      </c>
      <c r="K52" s="75">
        <v>116.47063682603824</v>
      </c>
      <c r="L52" s="75">
        <v>349.41191047811475</v>
      </c>
      <c r="M52" s="75">
        <v>58.235318413019122</v>
      </c>
      <c r="N52"/>
    </row>
    <row r="53" spans="1:14" s="39" customFormat="1">
      <c r="A53" s="74"/>
      <c r="B53" s="74" t="s">
        <v>282</v>
      </c>
      <c r="C53" s="76">
        <v>8.4099900000000005</v>
      </c>
      <c r="D53" s="76">
        <v>83.31471999999998</v>
      </c>
      <c r="E53" s="75">
        <v>50</v>
      </c>
      <c r="F53" s="76">
        <v>-15</v>
      </c>
      <c r="G53" s="76">
        <v>21.140809612582899</v>
      </c>
      <c r="H53" s="75">
        <v>8</v>
      </c>
      <c r="I53" s="75">
        <v>1391.2155453494111</v>
      </c>
      <c r="J53" s="75">
        <v>21.737742896084548</v>
      </c>
      <c r="K53" s="75">
        <v>173.90194316867638</v>
      </c>
      <c r="L53" s="75">
        <v>695.60777267470553</v>
      </c>
      <c r="M53" s="75">
        <v>86.950971584338191</v>
      </c>
      <c r="N53"/>
    </row>
    <row r="54" spans="1:14" s="39" customFormat="1">
      <c r="A54" s="74"/>
      <c r="B54" s="74" t="s">
        <v>283</v>
      </c>
      <c r="C54" s="76">
        <v>8.4099900000000005</v>
      </c>
      <c r="D54" s="76">
        <v>83.314719999999994</v>
      </c>
      <c r="E54" s="75">
        <v>50</v>
      </c>
      <c r="F54" s="76">
        <v>-15</v>
      </c>
      <c r="G54" s="76">
        <v>21.140809612582899</v>
      </c>
      <c r="H54" s="75">
        <v>1</v>
      </c>
      <c r="I54" s="75">
        <v>134.68415051795702</v>
      </c>
      <c r="J54" s="75">
        <v>16.835518814744628</v>
      </c>
      <c r="K54" s="75">
        <v>134.68415051795702</v>
      </c>
      <c r="L54" s="75">
        <v>67.342075258978511</v>
      </c>
      <c r="M54" s="75">
        <v>67.342075258978511</v>
      </c>
      <c r="N54"/>
    </row>
    <row r="55" spans="1:14" s="39" customFormat="1">
      <c r="A55" s="74">
        <v>100.1</v>
      </c>
      <c r="B55"/>
      <c r="C55" s="75">
        <v>8.4108499999999928</v>
      </c>
      <c r="D55" s="75">
        <v>83.313320000000118</v>
      </c>
      <c r="E55" s="75">
        <v>100</v>
      </c>
      <c r="F55" s="75">
        <v>-5</v>
      </c>
      <c r="G55" s="75">
        <v>21</v>
      </c>
      <c r="H55" s="75">
        <v>62</v>
      </c>
      <c r="I55" s="75">
        <v>5017.6911952216078</v>
      </c>
      <c r="J55" s="75">
        <v>10.116312893591951</v>
      </c>
      <c r="K55" s="75">
        <v>80.93050314873561</v>
      </c>
      <c r="L55" s="75">
        <v>2508.8455976108039</v>
      </c>
      <c r="M55" s="75">
        <v>40.465251574367805</v>
      </c>
      <c r="N55"/>
    </row>
    <row r="56" spans="1:14" s="74" customFormat="1">
      <c r="B56" s="74" t="s">
        <v>279</v>
      </c>
      <c r="C56" s="76">
        <v>8.4108499999999999</v>
      </c>
      <c r="D56" s="76">
        <v>83.313320000000004</v>
      </c>
      <c r="E56" s="75">
        <v>100</v>
      </c>
      <c r="F56" s="76">
        <v>-5</v>
      </c>
      <c r="G56" s="76">
        <v>21</v>
      </c>
      <c r="H56" s="75">
        <v>1</v>
      </c>
      <c r="I56" s="75">
        <v>13.370768663785928</v>
      </c>
      <c r="J56" s="75">
        <v>1.6713460829732409</v>
      </c>
      <c r="K56" s="75">
        <v>13.370768663785928</v>
      </c>
      <c r="L56" s="75">
        <v>6.6853843318929638</v>
      </c>
      <c r="M56" s="75">
        <v>6.6853843318929638</v>
      </c>
      <c r="N56"/>
    </row>
    <row r="57" spans="1:14" s="39" customFormat="1">
      <c r="A57" s="74"/>
      <c r="B57" s="74" t="s">
        <v>280</v>
      </c>
      <c r="C57" s="76">
        <v>8.4108500000000017</v>
      </c>
      <c r="D57" s="76">
        <v>83.31331999999999</v>
      </c>
      <c r="E57" s="75">
        <v>100</v>
      </c>
      <c r="F57" s="76">
        <v>-5</v>
      </c>
      <c r="G57" s="76">
        <v>21</v>
      </c>
      <c r="H57" s="75">
        <v>22</v>
      </c>
      <c r="I57" s="75">
        <v>1213.8999962873067</v>
      </c>
      <c r="J57" s="75">
        <v>6.8971590698142426</v>
      </c>
      <c r="K57" s="75">
        <v>55.177272558513941</v>
      </c>
      <c r="L57" s="75">
        <v>606.94999814365337</v>
      </c>
      <c r="M57" s="75">
        <v>27.588636279256971</v>
      </c>
      <c r="N57"/>
    </row>
    <row r="58" spans="1:14" s="39" customFormat="1">
      <c r="A58" s="74"/>
      <c r="B58" s="74" t="s">
        <v>281</v>
      </c>
      <c r="C58" s="76">
        <v>8.4108500000000035</v>
      </c>
      <c r="D58" s="76">
        <v>83.313320000000033</v>
      </c>
      <c r="E58" s="75">
        <v>100</v>
      </c>
      <c r="F58" s="76">
        <v>-5</v>
      </c>
      <c r="G58" s="76">
        <v>21</v>
      </c>
      <c r="H58" s="75">
        <v>31</v>
      </c>
      <c r="I58" s="75">
        <v>2779.7468534474115</v>
      </c>
      <c r="J58" s="75">
        <v>11.208656667126659</v>
      </c>
      <c r="K58" s="75">
        <v>89.669253337013274</v>
      </c>
      <c r="L58" s="75">
        <v>1389.8734267237057</v>
      </c>
      <c r="M58" s="75">
        <v>44.834626668506637</v>
      </c>
      <c r="N58"/>
    </row>
    <row r="59" spans="1:14" s="39" customFormat="1">
      <c r="A59" s="74"/>
      <c r="B59" s="74" t="s">
        <v>282</v>
      </c>
      <c r="C59" s="76">
        <v>8.4108499999999982</v>
      </c>
      <c r="D59" s="76">
        <v>83.31331999999999</v>
      </c>
      <c r="E59" s="75">
        <v>100</v>
      </c>
      <c r="F59" s="76">
        <v>-5</v>
      </c>
      <c r="G59" s="76">
        <v>21</v>
      </c>
      <c r="H59" s="75">
        <v>6</v>
      </c>
      <c r="I59" s="75">
        <v>734.08286197763562</v>
      </c>
      <c r="J59" s="75">
        <v>15.293392957867409</v>
      </c>
      <c r="K59" s="75">
        <v>122.34714366293927</v>
      </c>
      <c r="L59" s="75">
        <v>367.04143098881781</v>
      </c>
      <c r="M59" s="75">
        <v>61.173571831469637</v>
      </c>
      <c r="N59"/>
    </row>
    <row r="60" spans="1:14" s="39" customFormat="1">
      <c r="A60" s="74"/>
      <c r="B60" s="74" t="s">
        <v>283</v>
      </c>
      <c r="C60" s="76">
        <v>8.4108499999999999</v>
      </c>
      <c r="D60" s="76">
        <v>83.313320000000004</v>
      </c>
      <c r="E60" s="75">
        <v>100</v>
      </c>
      <c r="F60" s="76">
        <v>-5</v>
      </c>
      <c r="G60" s="76">
        <v>21</v>
      </c>
      <c r="H60" s="75">
        <v>1</v>
      </c>
      <c r="I60" s="75">
        <v>103.30688740379881</v>
      </c>
      <c r="J60" s="75">
        <v>12.913360925474851</v>
      </c>
      <c r="K60" s="75">
        <v>103.30688740379881</v>
      </c>
      <c r="L60" s="75">
        <v>51.653443701899405</v>
      </c>
      <c r="M60" s="75">
        <v>51.653443701899405</v>
      </c>
      <c r="N60"/>
    </row>
    <row r="61" spans="1:14" s="39" customFormat="1">
      <c r="A61" s="74"/>
      <c r="B61" s="74" t="s">
        <v>284</v>
      </c>
      <c r="C61" s="76">
        <v>8.4108499999999999</v>
      </c>
      <c r="D61" s="76">
        <v>83.313320000000004</v>
      </c>
      <c r="E61" s="75">
        <v>100</v>
      </c>
      <c r="F61" s="76">
        <v>-5</v>
      </c>
      <c r="G61" s="76">
        <v>21</v>
      </c>
      <c r="H61" s="75">
        <v>1</v>
      </c>
      <c r="I61" s="75">
        <v>173.28382744167044</v>
      </c>
      <c r="J61" s="75">
        <v>21.660478430208805</v>
      </c>
      <c r="K61" s="75">
        <v>173.28382744167044</v>
      </c>
      <c r="L61" s="75">
        <v>86.64191372083522</v>
      </c>
      <c r="M61" s="75">
        <v>86.64191372083522</v>
      </c>
      <c r="N61"/>
    </row>
    <row r="62" spans="1:14" s="39" customFormat="1">
      <c r="A62" s="74">
        <v>100.2</v>
      </c>
      <c r="B62"/>
      <c r="C62" s="75">
        <v>8.4089199999999984</v>
      </c>
      <c r="D62" s="75">
        <v>83.312649999999991</v>
      </c>
      <c r="E62" s="75">
        <v>100</v>
      </c>
      <c r="F62" s="75">
        <v>7</v>
      </c>
      <c r="G62" s="75">
        <v>21</v>
      </c>
      <c r="H62" s="75">
        <v>33</v>
      </c>
      <c r="I62" s="75">
        <v>4382.9856032010275</v>
      </c>
      <c r="J62" s="75">
        <v>16.602218193943287</v>
      </c>
      <c r="K62" s="75">
        <v>132.8177455515463</v>
      </c>
      <c r="L62" s="75">
        <v>2191.4928016005138</v>
      </c>
      <c r="M62" s="75">
        <v>66.408872775773148</v>
      </c>
      <c r="N62"/>
    </row>
    <row r="63" spans="1:14" s="74" customFormat="1">
      <c r="B63" s="74" t="s">
        <v>279</v>
      </c>
      <c r="C63" s="76">
        <v>8.4089200000000002</v>
      </c>
      <c r="D63" s="76">
        <v>83.312650000000005</v>
      </c>
      <c r="E63" s="75">
        <v>100</v>
      </c>
      <c r="F63" s="76">
        <v>7</v>
      </c>
      <c r="G63" s="76">
        <v>21</v>
      </c>
      <c r="H63" s="75">
        <v>2</v>
      </c>
      <c r="I63" s="75">
        <v>20.348419033595228</v>
      </c>
      <c r="J63" s="75">
        <v>1.2717761895997017</v>
      </c>
      <c r="K63" s="75">
        <v>10.174209516797614</v>
      </c>
      <c r="L63" s="75">
        <v>10.174209516797614</v>
      </c>
      <c r="M63" s="75">
        <v>5.0871047583988069</v>
      </c>
      <c r="N63"/>
    </row>
    <row r="64" spans="1:14" s="39" customFormat="1">
      <c r="A64" s="74"/>
      <c r="B64" s="74" t="s">
        <v>280</v>
      </c>
      <c r="C64" s="76">
        <v>8.4089199999999984</v>
      </c>
      <c r="D64" s="76">
        <v>83.312650000000019</v>
      </c>
      <c r="E64" s="75">
        <v>100</v>
      </c>
      <c r="F64" s="76">
        <v>7</v>
      </c>
      <c r="G64" s="76">
        <v>21</v>
      </c>
      <c r="H64" s="75">
        <v>19</v>
      </c>
      <c r="I64" s="75">
        <v>511.48231463545397</v>
      </c>
      <c r="J64" s="75">
        <v>3.3650152278648289</v>
      </c>
      <c r="K64" s="75">
        <v>26.920121822918631</v>
      </c>
      <c r="L64" s="75">
        <v>255.74115731772699</v>
      </c>
      <c r="M64" s="75">
        <v>13.460060911459315</v>
      </c>
      <c r="N64"/>
    </row>
    <row r="65" spans="1:14" s="39" customFormat="1">
      <c r="A65" s="74"/>
      <c r="B65" s="74" t="s">
        <v>281</v>
      </c>
      <c r="C65" s="76">
        <v>8.4089200000000002</v>
      </c>
      <c r="D65" s="76">
        <v>83.312650000000005</v>
      </c>
      <c r="E65" s="75">
        <v>100</v>
      </c>
      <c r="F65" s="76">
        <v>7</v>
      </c>
      <c r="G65" s="76">
        <v>21</v>
      </c>
      <c r="H65" s="75">
        <v>6</v>
      </c>
      <c r="I65" s="75">
        <v>405.02593467351932</v>
      </c>
      <c r="J65" s="75">
        <v>8.4380403056983191</v>
      </c>
      <c r="K65" s="75">
        <v>67.504322445586553</v>
      </c>
      <c r="L65" s="75">
        <v>202.51296733675966</v>
      </c>
      <c r="M65" s="75">
        <v>33.752161222793276</v>
      </c>
      <c r="N65"/>
    </row>
    <row r="66" spans="1:14" s="39" customFormat="1">
      <c r="A66" s="74"/>
      <c r="B66" s="74" t="s">
        <v>282</v>
      </c>
      <c r="C66" s="76">
        <v>8.4089200000000002</v>
      </c>
      <c r="D66" s="76">
        <v>83.312650000000005</v>
      </c>
      <c r="E66" s="75">
        <v>100</v>
      </c>
      <c r="F66" s="76">
        <v>7</v>
      </c>
      <c r="G66" s="76">
        <v>21</v>
      </c>
      <c r="H66" s="75">
        <v>5</v>
      </c>
      <c r="I66" s="75">
        <v>3303.0406016237976</v>
      </c>
      <c r="J66" s="75">
        <v>82.576015040594939</v>
      </c>
      <c r="K66" s="75">
        <v>660.60812032475951</v>
      </c>
      <c r="L66" s="75">
        <v>1651.5203008118988</v>
      </c>
      <c r="M66" s="75">
        <v>330.30406016237976</v>
      </c>
      <c r="N66"/>
    </row>
    <row r="67" spans="1:14" s="39" customFormat="1">
      <c r="A67" s="74"/>
      <c r="B67" s="74" t="s">
        <v>283</v>
      </c>
      <c r="C67" s="76">
        <v>8.4089200000000002</v>
      </c>
      <c r="D67" s="76">
        <v>83.312650000000005</v>
      </c>
      <c r="E67" s="75">
        <v>100</v>
      </c>
      <c r="F67" s="76">
        <v>7</v>
      </c>
      <c r="G67" s="76">
        <v>21</v>
      </c>
      <c r="H67" s="75">
        <v>1</v>
      </c>
      <c r="I67" s="75">
        <v>143.08833323466226</v>
      </c>
      <c r="J67" s="75">
        <v>17.886041654332782</v>
      </c>
      <c r="K67" s="75">
        <v>143.08833323466226</v>
      </c>
      <c r="L67" s="75">
        <v>71.544166617331129</v>
      </c>
      <c r="M67" s="75">
        <v>71.544166617331129</v>
      </c>
      <c r="N67"/>
    </row>
    <row r="68" spans="1:14" s="39" customFormat="1">
      <c r="A68" s="74">
        <v>100.3</v>
      </c>
      <c r="B68"/>
      <c r="C68" s="75">
        <v>8.4121499999999987</v>
      </c>
      <c r="D68" s="75">
        <v>83.312620000000038</v>
      </c>
      <c r="E68" s="75">
        <v>100</v>
      </c>
      <c r="F68" s="75">
        <v>10</v>
      </c>
      <c r="G68" s="75">
        <v>21</v>
      </c>
      <c r="H68" s="75">
        <v>42</v>
      </c>
      <c r="I68" s="75">
        <v>3130.1909876836926</v>
      </c>
      <c r="J68" s="75">
        <v>9.3160446062014657</v>
      </c>
      <c r="K68" s="75">
        <v>74.528356849611725</v>
      </c>
      <c r="L68" s="75">
        <v>1565.0954938418463</v>
      </c>
      <c r="M68" s="75">
        <v>37.264178424805863</v>
      </c>
      <c r="N68"/>
    </row>
    <row r="69" spans="1:14" s="74" customFormat="1">
      <c r="B69" s="74" t="s">
        <v>279</v>
      </c>
      <c r="C69" s="76">
        <v>8.4121499999999987</v>
      </c>
      <c r="D69" s="76">
        <v>83.31262000000001</v>
      </c>
      <c r="E69" s="75">
        <v>100</v>
      </c>
      <c r="F69" s="76">
        <v>10</v>
      </c>
      <c r="G69" s="76">
        <v>21</v>
      </c>
      <c r="H69" s="75">
        <v>12</v>
      </c>
      <c r="I69" s="75">
        <v>147.19590288067698</v>
      </c>
      <c r="J69" s="75">
        <v>1.533290655007052</v>
      </c>
      <c r="K69" s="75">
        <v>12.266325240056416</v>
      </c>
      <c r="L69" s="75">
        <v>73.597951440338491</v>
      </c>
      <c r="M69" s="75">
        <v>6.1331626200282079</v>
      </c>
      <c r="N69"/>
    </row>
    <row r="70" spans="1:14" s="39" customFormat="1">
      <c r="A70" s="74"/>
      <c r="B70" s="74" t="s">
        <v>280</v>
      </c>
      <c r="C70" s="76">
        <v>8.4121499999999987</v>
      </c>
      <c r="D70" s="76">
        <v>83.312619999999981</v>
      </c>
      <c r="E70" s="75">
        <v>100</v>
      </c>
      <c r="F70" s="76">
        <v>10</v>
      </c>
      <c r="G70" s="76">
        <v>21</v>
      </c>
      <c r="H70" s="75">
        <v>21</v>
      </c>
      <c r="I70" s="75">
        <v>1063.3092172755603</v>
      </c>
      <c r="J70" s="75">
        <v>6.3292215314021449</v>
      </c>
      <c r="K70" s="75">
        <v>50.63377225121716</v>
      </c>
      <c r="L70" s="75">
        <v>531.65460863778014</v>
      </c>
      <c r="M70" s="75">
        <v>25.31688612560858</v>
      </c>
      <c r="N70"/>
    </row>
    <row r="71" spans="1:14" s="39" customFormat="1">
      <c r="A71" s="74"/>
      <c r="B71" s="74" t="s">
        <v>281</v>
      </c>
      <c r="C71" s="76">
        <v>8.4121499999999987</v>
      </c>
      <c r="D71" s="76">
        <v>83.312619999999995</v>
      </c>
      <c r="E71" s="75">
        <v>100</v>
      </c>
      <c r="F71" s="76">
        <v>10</v>
      </c>
      <c r="G71" s="76">
        <v>21</v>
      </c>
      <c r="H71" s="75">
        <v>7</v>
      </c>
      <c r="I71" s="75">
        <v>1558.3904432255799</v>
      </c>
      <c r="J71" s="75">
        <v>27.828400771885356</v>
      </c>
      <c r="K71" s="75">
        <v>222.62720617508285</v>
      </c>
      <c r="L71" s="75">
        <v>779.19522161278996</v>
      </c>
      <c r="M71" s="75">
        <v>111.31360308754142</v>
      </c>
      <c r="N71"/>
    </row>
    <row r="72" spans="1:14" s="39" customFormat="1">
      <c r="A72" s="74"/>
      <c r="B72" s="74" t="s">
        <v>282</v>
      </c>
      <c r="C72" s="76">
        <v>8.4121500000000005</v>
      </c>
      <c r="D72" s="76">
        <v>83.312619999999995</v>
      </c>
      <c r="E72" s="75">
        <v>100</v>
      </c>
      <c r="F72" s="76">
        <v>10</v>
      </c>
      <c r="G72" s="76">
        <v>21</v>
      </c>
      <c r="H72" s="75">
        <v>2</v>
      </c>
      <c r="I72" s="75">
        <v>361.29542430187507</v>
      </c>
      <c r="J72" s="75">
        <v>22.580964018867192</v>
      </c>
      <c r="K72" s="75">
        <v>180.64771215093754</v>
      </c>
      <c r="L72" s="75">
        <v>180.64771215093754</v>
      </c>
      <c r="M72" s="75">
        <v>90.323856075468768</v>
      </c>
      <c r="N72"/>
    </row>
    <row r="73" spans="1:14" s="39" customFormat="1">
      <c r="A73" s="74">
        <v>100.4</v>
      </c>
      <c r="B73"/>
      <c r="C73" s="75">
        <v>8.4087000000000014</v>
      </c>
      <c r="D73" s="75">
        <v>83.311729999999955</v>
      </c>
      <c r="E73" s="75">
        <v>100</v>
      </c>
      <c r="F73" s="75">
        <v>15</v>
      </c>
      <c r="G73" s="75">
        <v>21.140809612582885</v>
      </c>
      <c r="H73" s="75">
        <v>24</v>
      </c>
      <c r="I73" s="75">
        <v>2664.6619675177708</v>
      </c>
      <c r="J73" s="75">
        <v>13.878447747488389</v>
      </c>
      <c r="K73" s="75">
        <v>111.02758197990711</v>
      </c>
      <c r="L73" s="75">
        <v>1332.3309837588854</v>
      </c>
      <c r="M73" s="75">
        <v>55.513790989953556</v>
      </c>
      <c r="N73"/>
    </row>
    <row r="74" spans="1:14" s="74" customFormat="1">
      <c r="B74" s="74" t="s">
        <v>279</v>
      </c>
      <c r="C74" s="76">
        <v>8.4086999999999996</v>
      </c>
      <c r="D74" s="76">
        <v>83.311729999999997</v>
      </c>
      <c r="E74" s="75">
        <v>100</v>
      </c>
      <c r="F74" s="76">
        <v>15</v>
      </c>
      <c r="G74" s="76">
        <v>21.140809612582899</v>
      </c>
      <c r="H74" s="75">
        <v>2</v>
      </c>
      <c r="I74" s="75">
        <v>10.283920382846489</v>
      </c>
      <c r="J74" s="75">
        <v>0.64274502392790556</v>
      </c>
      <c r="K74" s="75">
        <v>5.1419601914232445</v>
      </c>
      <c r="L74" s="75">
        <v>5.1419601914232445</v>
      </c>
      <c r="M74" s="75">
        <v>2.5709800957116222</v>
      </c>
      <c r="N74"/>
    </row>
    <row r="75" spans="1:14" s="39" customFormat="1">
      <c r="A75" s="74"/>
      <c r="B75" s="74" t="s">
        <v>280</v>
      </c>
      <c r="C75" s="76">
        <v>8.4086999999999978</v>
      </c>
      <c r="D75" s="76">
        <v>83.311729999999997</v>
      </c>
      <c r="E75" s="75">
        <v>100</v>
      </c>
      <c r="F75" s="76">
        <v>15</v>
      </c>
      <c r="G75" s="76">
        <v>21.140809612582899</v>
      </c>
      <c r="H75" s="75">
        <v>11</v>
      </c>
      <c r="I75" s="75">
        <v>201.10650644924897</v>
      </c>
      <c r="J75" s="75">
        <v>2.2853012096505565</v>
      </c>
      <c r="K75" s="75">
        <v>18.282409677204452</v>
      </c>
      <c r="L75" s="75">
        <v>100.55325322462448</v>
      </c>
      <c r="M75" s="75">
        <v>9.141204838602226</v>
      </c>
      <c r="N75"/>
    </row>
    <row r="76" spans="1:14" s="39" customFormat="1">
      <c r="A76" s="74"/>
      <c r="B76" s="74" t="s">
        <v>281</v>
      </c>
      <c r="C76" s="76">
        <v>8.4086999999999978</v>
      </c>
      <c r="D76" s="76">
        <v>83.311729999999997</v>
      </c>
      <c r="E76" s="75">
        <v>100</v>
      </c>
      <c r="F76" s="76">
        <v>15</v>
      </c>
      <c r="G76" s="76">
        <v>21.140809612582899</v>
      </c>
      <c r="H76" s="75">
        <v>9</v>
      </c>
      <c r="I76" s="75">
        <v>1317.9660237089679</v>
      </c>
      <c r="J76" s="75">
        <v>18.305083662624554</v>
      </c>
      <c r="K76" s="75">
        <v>146.44066930099643</v>
      </c>
      <c r="L76" s="75">
        <v>658.98301185448395</v>
      </c>
      <c r="M76" s="75">
        <v>73.220334650498216</v>
      </c>
      <c r="N76"/>
    </row>
    <row r="77" spans="1:14" s="39" customFormat="1">
      <c r="A77" s="74"/>
      <c r="B77" s="74" t="s">
        <v>282</v>
      </c>
      <c r="C77" s="76">
        <v>8.4086999999999996</v>
      </c>
      <c r="D77" s="76">
        <v>83.311729999999997</v>
      </c>
      <c r="E77" s="75">
        <v>100</v>
      </c>
      <c r="F77" s="76">
        <v>15</v>
      </c>
      <c r="G77" s="76">
        <v>21.140809612582899</v>
      </c>
      <c r="H77" s="75">
        <v>1</v>
      </c>
      <c r="I77" s="75">
        <v>852.23485846181961</v>
      </c>
      <c r="J77" s="75">
        <v>106.52935730772745</v>
      </c>
      <c r="K77" s="75">
        <v>852.23485846181961</v>
      </c>
      <c r="L77" s="75">
        <v>426.11742923090981</v>
      </c>
      <c r="M77" s="75">
        <v>426.11742923090981</v>
      </c>
      <c r="N77"/>
    </row>
    <row r="78" spans="1:14" s="39" customFormat="1">
      <c r="A78" s="74"/>
      <c r="B78" s="74" t="s">
        <v>283</v>
      </c>
      <c r="C78" s="76">
        <v>8.4086999999999996</v>
      </c>
      <c r="D78" s="76">
        <v>83.311729999999997</v>
      </c>
      <c r="E78" s="75">
        <v>100</v>
      </c>
      <c r="F78" s="76">
        <v>15</v>
      </c>
      <c r="G78" s="76">
        <v>21.140809612582899</v>
      </c>
      <c r="H78" s="75">
        <v>1</v>
      </c>
      <c r="I78" s="75">
        <v>283.0706585148875</v>
      </c>
      <c r="J78" s="75">
        <v>35.383832314360937</v>
      </c>
      <c r="K78" s="75">
        <v>283.0706585148875</v>
      </c>
      <c r="L78" s="75">
        <v>141.53532925744375</v>
      </c>
      <c r="M78" s="75">
        <v>141.53532925744375</v>
      </c>
      <c r="N78"/>
    </row>
    <row r="79" spans="1:14" s="39" customFormat="1">
      <c r="A79" s="74">
        <v>100.5</v>
      </c>
      <c r="B79"/>
      <c r="C79" s="75">
        <v>8.4087700000000023</v>
      </c>
      <c r="D79" s="75">
        <v>83.312860000000001</v>
      </c>
      <c r="E79" s="75">
        <v>100</v>
      </c>
      <c r="F79" s="75">
        <v>9</v>
      </c>
      <c r="G79" s="75">
        <v>21</v>
      </c>
      <c r="H79" s="75">
        <v>29</v>
      </c>
      <c r="I79" s="75">
        <v>1291.3367148140414</v>
      </c>
      <c r="J79" s="75">
        <v>5.5661065293708685</v>
      </c>
      <c r="K79" s="75">
        <v>44.528852234966948</v>
      </c>
      <c r="L79" s="75">
        <v>645.66835740702072</v>
      </c>
      <c r="M79" s="75">
        <v>22.264426117483474</v>
      </c>
      <c r="N79"/>
    </row>
    <row r="80" spans="1:14" s="74" customFormat="1">
      <c r="B80" s="74" t="s">
        <v>279</v>
      </c>
      <c r="C80" s="76">
        <v>8.4087700000000023</v>
      </c>
      <c r="D80" s="76">
        <v>83.312860000000001</v>
      </c>
      <c r="E80" s="75">
        <v>100</v>
      </c>
      <c r="F80" s="76">
        <v>9</v>
      </c>
      <c r="G80" s="76">
        <v>21</v>
      </c>
      <c r="H80" s="75">
        <v>7</v>
      </c>
      <c r="I80" s="75">
        <v>40.34014024111336</v>
      </c>
      <c r="J80" s="75">
        <v>0.72035964716273859</v>
      </c>
      <c r="K80" s="75">
        <v>5.7628771773019087</v>
      </c>
      <c r="L80" s="75">
        <v>20.17007012055668</v>
      </c>
      <c r="M80" s="75">
        <v>2.8814385886509544</v>
      </c>
      <c r="N80"/>
    </row>
    <row r="81" spans="1:14" s="39" customFormat="1">
      <c r="A81" s="74"/>
      <c r="B81" s="74" t="s">
        <v>280</v>
      </c>
      <c r="C81" s="76">
        <v>8.4087700000000023</v>
      </c>
      <c r="D81" s="76">
        <v>83.312860000000001</v>
      </c>
      <c r="E81" s="75">
        <v>100</v>
      </c>
      <c r="F81" s="76">
        <v>9</v>
      </c>
      <c r="G81" s="76">
        <v>21</v>
      </c>
      <c r="H81" s="75">
        <v>14</v>
      </c>
      <c r="I81" s="75">
        <v>145.76180535109981</v>
      </c>
      <c r="J81" s="75">
        <v>1.3014446906348198</v>
      </c>
      <c r="K81" s="75">
        <v>10.411557525078559</v>
      </c>
      <c r="L81" s="75">
        <v>72.880902675549905</v>
      </c>
      <c r="M81" s="75">
        <v>5.2057787625392793</v>
      </c>
      <c r="N81"/>
    </row>
    <row r="82" spans="1:14" s="39" customFormat="1">
      <c r="A82" s="74"/>
      <c r="B82" s="74" t="s">
        <v>281</v>
      </c>
      <c r="C82" s="76">
        <v>8.4087700000000023</v>
      </c>
      <c r="D82" s="76">
        <v>83.312860000000001</v>
      </c>
      <c r="E82" s="75">
        <v>100</v>
      </c>
      <c r="F82" s="76">
        <v>9</v>
      </c>
      <c r="G82" s="76">
        <v>21</v>
      </c>
      <c r="H82" s="75">
        <v>7</v>
      </c>
      <c r="I82" s="75">
        <v>904.49753973514771</v>
      </c>
      <c r="J82" s="75">
        <v>16.151741780984782</v>
      </c>
      <c r="K82" s="75">
        <v>129.21393424787826</v>
      </c>
      <c r="L82" s="75">
        <v>452.24876986757386</v>
      </c>
      <c r="M82" s="75">
        <v>64.606967123939128</v>
      </c>
      <c r="N82"/>
    </row>
    <row r="83" spans="1:14" s="39" customFormat="1">
      <c r="A83" s="74"/>
      <c r="B83" s="74" t="s">
        <v>282</v>
      </c>
      <c r="C83" s="76">
        <v>8.4087700000000005</v>
      </c>
      <c r="D83" s="76">
        <v>83.312860000000001</v>
      </c>
      <c r="E83" s="75">
        <v>100</v>
      </c>
      <c r="F83" s="76">
        <v>9</v>
      </c>
      <c r="G83" s="76">
        <v>21</v>
      </c>
      <c r="H83" s="75">
        <v>1</v>
      </c>
      <c r="I83" s="75">
        <v>200.73722948668046</v>
      </c>
      <c r="J83" s="75">
        <v>25.092153685835058</v>
      </c>
      <c r="K83" s="75">
        <v>200.73722948668046</v>
      </c>
      <c r="L83" s="75">
        <v>100.36861474334023</v>
      </c>
      <c r="M83" s="75">
        <v>100.36861474334023</v>
      </c>
      <c r="N83"/>
    </row>
    <row r="84" spans="1:14" s="39" customFormat="1">
      <c r="A84" s="74">
        <v>100.6</v>
      </c>
      <c r="B84"/>
      <c r="C84" s="75">
        <v>8.4103900000000049</v>
      </c>
      <c r="D84" s="75">
        <v>83.313819999999978</v>
      </c>
      <c r="E84" s="75">
        <v>100</v>
      </c>
      <c r="F84" s="75">
        <v>28</v>
      </c>
      <c r="G84" s="75">
        <v>21.038741046347472</v>
      </c>
      <c r="H84" s="75">
        <v>56</v>
      </c>
      <c r="I84" s="75">
        <v>2343.9611901684893</v>
      </c>
      <c r="J84" s="75">
        <v>5.2320562280546641</v>
      </c>
      <c r="K84" s="75">
        <v>41.856449824437313</v>
      </c>
      <c r="L84" s="75">
        <v>1171.9805950842447</v>
      </c>
      <c r="M84" s="75">
        <v>20.928224912218656</v>
      </c>
      <c r="N84"/>
    </row>
    <row r="85" spans="1:14" s="74" customFormat="1">
      <c r="B85" s="74" t="s">
        <v>279</v>
      </c>
      <c r="C85" s="76">
        <v>8.4103899999999996</v>
      </c>
      <c r="D85" s="76">
        <v>83.313820000000007</v>
      </c>
      <c r="E85" s="75">
        <v>100</v>
      </c>
      <c r="F85" s="76">
        <v>28</v>
      </c>
      <c r="G85" s="76">
        <v>21.038741046347479</v>
      </c>
      <c r="H85" s="75">
        <v>8</v>
      </c>
      <c r="I85" s="75">
        <v>93.516716601016256</v>
      </c>
      <c r="J85" s="75">
        <v>1.461198696890879</v>
      </c>
      <c r="K85" s="75">
        <v>11.689589575127032</v>
      </c>
      <c r="L85" s="75">
        <v>46.758358300508128</v>
      </c>
      <c r="M85" s="75">
        <v>5.844794787563516</v>
      </c>
      <c r="N85"/>
    </row>
    <row r="86" spans="1:14" s="39" customFormat="1">
      <c r="A86" s="74"/>
      <c r="B86" s="74" t="s">
        <v>280</v>
      </c>
      <c r="C86" s="76">
        <v>8.4103900000000049</v>
      </c>
      <c r="D86" s="76">
        <v>83.313820000000021</v>
      </c>
      <c r="E86" s="75">
        <v>100</v>
      </c>
      <c r="F86" s="76">
        <v>28</v>
      </c>
      <c r="G86" s="76">
        <v>21.038741046347472</v>
      </c>
      <c r="H86" s="75">
        <v>27</v>
      </c>
      <c r="I86" s="75">
        <v>763.58353259028308</v>
      </c>
      <c r="J86" s="75">
        <v>3.5351089471772363</v>
      </c>
      <c r="K86" s="75">
        <v>28.280871577417891</v>
      </c>
      <c r="L86" s="75">
        <v>381.79176629514154</v>
      </c>
      <c r="M86" s="75">
        <v>14.140435788708945</v>
      </c>
      <c r="N86"/>
    </row>
    <row r="87" spans="1:14" s="39" customFormat="1">
      <c r="A87" s="74"/>
      <c r="B87" s="74" t="s">
        <v>281</v>
      </c>
      <c r="C87" s="76">
        <v>8.4103900000000031</v>
      </c>
      <c r="D87" s="76">
        <v>83.313820000000021</v>
      </c>
      <c r="E87" s="75">
        <v>100</v>
      </c>
      <c r="F87" s="76">
        <v>28</v>
      </c>
      <c r="G87" s="76">
        <v>21.038741046347475</v>
      </c>
      <c r="H87" s="75">
        <v>20</v>
      </c>
      <c r="I87" s="75">
        <v>1361.8470172304155</v>
      </c>
      <c r="J87" s="75">
        <v>8.5115438576900964</v>
      </c>
      <c r="K87" s="75">
        <v>68.092350861520771</v>
      </c>
      <c r="L87" s="75">
        <v>680.92350861520777</v>
      </c>
      <c r="M87" s="75">
        <v>34.046175430760385</v>
      </c>
      <c r="N87"/>
    </row>
    <row r="88" spans="1:14" s="39" customFormat="1">
      <c r="A88" s="74"/>
      <c r="B88" s="74" t="s">
        <v>282</v>
      </c>
      <c r="C88" s="76">
        <v>8.4103899999999996</v>
      </c>
      <c r="D88" s="76">
        <v>83.313820000000007</v>
      </c>
      <c r="E88" s="75">
        <v>100</v>
      </c>
      <c r="F88" s="76">
        <v>28</v>
      </c>
      <c r="G88" s="76">
        <v>21.038741046347479</v>
      </c>
      <c r="H88" s="75">
        <v>1</v>
      </c>
      <c r="I88" s="75">
        <v>125.01392374677482</v>
      </c>
      <c r="J88" s="75">
        <v>15.626740468346853</v>
      </c>
      <c r="K88" s="75">
        <v>125.01392374677482</v>
      </c>
      <c r="L88" s="75">
        <v>62.506961873387411</v>
      </c>
      <c r="M88" s="75">
        <v>62.506961873387411</v>
      </c>
      <c r="N88"/>
    </row>
    <row r="89" spans="1:14" s="39" customFormat="1">
      <c r="A89" s="74">
        <v>100.7</v>
      </c>
      <c r="B89"/>
      <c r="C89" s="75">
        <v>8.4085599999999978</v>
      </c>
      <c r="D89" s="75">
        <v>83.312899999999971</v>
      </c>
      <c r="E89" s="75">
        <v>100</v>
      </c>
      <c r="F89" s="75">
        <v>-17</v>
      </c>
      <c r="G89" s="75">
        <v>21.109017558230896</v>
      </c>
      <c r="H89" s="75">
        <v>21</v>
      </c>
      <c r="I89" s="75">
        <v>1376.5050201730783</v>
      </c>
      <c r="J89" s="75">
        <v>8.1934822629349888</v>
      </c>
      <c r="K89" s="75">
        <v>65.547858103479911</v>
      </c>
      <c r="L89" s="75">
        <v>688.25251008653913</v>
      </c>
      <c r="M89" s="75">
        <v>32.773929051739955</v>
      </c>
      <c r="N89"/>
    </row>
    <row r="90" spans="1:14" s="74" customFormat="1">
      <c r="B90" s="74" t="s">
        <v>279</v>
      </c>
      <c r="C90" s="76">
        <v>8.4085599999999996</v>
      </c>
      <c r="D90" s="76">
        <v>83.312899999999999</v>
      </c>
      <c r="E90" s="75">
        <v>100</v>
      </c>
      <c r="F90" s="76">
        <v>-17</v>
      </c>
      <c r="G90" s="76">
        <v>21.109017558230889</v>
      </c>
      <c r="H90" s="75">
        <v>1</v>
      </c>
      <c r="I90" s="75">
        <v>13.166127871766461</v>
      </c>
      <c r="J90" s="75">
        <v>1.6457659839708076</v>
      </c>
      <c r="K90" s="75">
        <v>13.166127871766461</v>
      </c>
      <c r="L90" s="75">
        <v>6.5830639358832306</v>
      </c>
      <c r="M90" s="75">
        <v>6.5830639358832306</v>
      </c>
      <c r="N90"/>
    </row>
    <row r="91" spans="1:14" s="39" customFormat="1">
      <c r="A91" s="74"/>
      <c r="B91" s="74" t="s">
        <v>280</v>
      </c>
      <c r="C91" s="76">
        <v>8.4085599999999978</v>
      </c>
      <c r="D91" s="76">
        <v>83.312899999999999</v>
      </c>
      <c r="E91" s="75">
        <v>100</v>
      </c>
      <c r="F91" s="76">
        <v>-17</v>
      </c>
      <c r="G91" s="76">
        <v>21.109017558230892</v>
      </c>
      <c r="H91" s="75">
        <v>12</v>
      </c>
      <c r="I91" s="75">
        <v>159.62124730424537</v>
      </c>
      <c r="J91" s="75">
        <v>1.6627213260858893</v>
      </c>
      <c r="K91" s="75">
        <v>13.301770608687114</v>
      </c>
      <c r="L91" s="75">
        <v>79.810623652122686</v>
      </c>
      <c r="M91" s="75">
        <v>6.6508853043435572</v>
      </c>
      <c r="N91"/>
    </row>
    <row r="92" spans="1:14" s="39" customFormat="1">
      <c r="A92" s="74"/>
      <c r="B92" s="74" t="s">
        <v>281</v>
      </c>
      <c r="C92" s="76">
        <v>8.4085599999999996</v>
      </c>
      <c r="D92" s="76">
        <v>83.312899999999999</v>
      </c>
      <c r="E92" s="75">
        <v>100</v>
      </c>
      <c r="F92" s="76">
        <v>-17</v>
      </c>
      <c r="G92" s="76">
        <v>21.109017558230889</v>
      </c>
      <c r="H92" s="75">
        <v>4</v>
      </c>
      <c r="I92" s="75">
        <v>142.96734257489416</v>
      </c>
      <c r="J92" s="75">
        <v>4.4677294554654425</v>
      </c>
      <c r="K92" s="75">
        <v>35.74183564372354</v>
      </c>
      <c r="L92" s="75">
        <v>71.483671287447081</v>
      </c>
      <c r="M92" s="75">
        <v>17.87091782186177</v>
      </c>
      <c r="N92"/>
    </row>
    <row r="93" spans="1:14" s="39" customFormat="1">
      <c r="A93" s="74"/>
      <c r="B93" s="74" t="s">
        <v>282</v>
      </c>
      <c r="C93" s="76">
        <v>8.4085599999999996</v>
      </c>
      <c r="D93" s="76">
        <v>83.312899999999999</v>
      </c>
      <c r="E93" s="75">
        <v>100</v>
      </c>
      <c r="F93" s="76">
        <v>-17</v>
      </c>
      <c r="G93" s="76">
        <v>21.109017558230889</v>
      </c>
      <c r="H93" s="75">
        <v>2</v>
      </c>
      <c r="I93" s="75">
        <v>796.17340906064499</v>
      </c>
      <c r="J93" s="75">
        <v>49.760838066290312</v>
      </c>
      <c r="K93" s="75">
        <v>398.08670453032249</v>
      </c>
      <c r="L93" s="75">
        <v>398.08670453032249</v>
      </c>
      <c r="M93" s="75">
        <v>199.04335226516125</v>
      </c>
      <c r="N93"/>
    </row>
    <row r="94" spans="1:14" s="39" customFormat="1">
      <c r="A94" s="74"/>
      <c r="B94" s="74" t="s">
        <v>283</v>
      </c>
      <c r="C94" s="76">
        <v>8.4085599999999996</v>
      </c>
      <c r="D94" s="76">
        <v>83.312899999999999</v>
      </c>
      <c r="E94" s="75">
        <v>100</v>
      </c>
      <c r="F94" s="76">
        <v>-17</v>
      </c>
      <c r="G94" s="76">
        <v>21.109017558230889</v>
      </c>
      <c r="H94" s="75">
        <v>2</v>
      </c>
      <c r="I94" s="75">
        <v>264.57689336152708</v>
      </c>
      <c r="J94" s="75">
        <v>16.536055835095443</v>
      </c>
      <c r="K94" s="75">
        <v>132.28844668076354</v>
      </c>
      <c r="L94" s="75">
        <v>132.28844668076354</v>
      </c>
      <c r="M94" s="75">
        <v>66.144223340381771</v>
      </c>
      <c r="N94"/>
    </row>
    <row r="95" spans="1:14" s="39" customFormat="1">
      <c r="A95" s="74">
        <v>100.8</v>
      </c>
      <c r="B95"/>
      <c r="C95" s="75">
        <v>8.410040000000004</v>
      </c>
      <c r="D95" s="75">
        <v>83.314229999999966</v>
      </c>
      <c r="E95" s="75">
        <v>100</v>
      </c>
      <c r="F95" s="75">
        <v>19</v>
      </c>
      <c r="G95" s="75">
        <v>21.086773802174438</v>
      </c>
      <c r="H95" s="75">
        <v>29</v>
      </c>
      <c r="I95" s="75">
        <v>5984.3234796862853</v>
      </c>
      <c r="J95" s="75">
        <v>25.79449775726847</v>
      </c>
      <c r="K95" s="75">
        <v>206.35598205814776</v>
      </c>
      <c r="L95" s="75">
        <v>2992.1617398431426</v>
      </c>
      <c r="M95" s="75">
        <v>103.17799102907388</v>
      </c>
      <c r="N95"/>
    </row>
    <row r="96" spans="1:14" s="74" customFormat="1">
      <c r="B96" s="74" t="s">
        <v>279</v>
      </c>
      <c r="C96" s="76">
        <v>8.4100400000000004</v>
      </c>
      <c r="D96" s="76">
        <v>83.314229999999995</v>
      </c>
      <c r="E96" s="75">
        <v>100</v>
      </c>
      <c r="F96" s="76">
        <v>19</v>
      </c>
      <c r="G96" s="76">
        <v>21.086773802174438</v>
      </c>
      <c r="H96" s="75">
        <v>1</v>
      </c>
      <c r="I96" s="75">
        <v>2.837244980779599</v>
      </c>
      <c r="J96" s="75">
        <v>0.35465562259744987</v>
      </c>
      <c r="K96" s="75">
        <v>2.837244980779599</v>
      </c>
      <c r="L96" s="75">
        <v>1.4186224903897995</v>
      </c>
      <c r="M96" s="75">
        <v>1.4186224903897995</v>
      </c>
      <c r="N96"/>
    </row>
    <row r="97" spans="1:14" s="39" customFormat="1">
      <c r="A97" s="74"/>
      <c r="B97" s="74" t="s">
        <v>280</v>
      </c>
      <c r="C97" s="76">
        <v>8.4100400000000004</v>
      </c>
      <c r="D97" s="76">
        <v>83.314229999999981</v>
      </c>
      <c r="E97" s="75">
        <v>100</v>
      </c>
      <c r="F97" s="76">
        <v>19</v>
      </c>
      <c r="G97" s="76">
        <v>21.086773802174438</v>
      </c>
      <c r="H97" s="75">
        <v>19</v>
      </c>
      <c r="I97" s="75">
        <v>346.07153648691616</v>
      </c>
      <c r="J97" s="75">
        <v>2.2767864242560272</v>
      </c>
      <c r="K97" s="75">
        <v>18.214291394048217</v>
      </c>
      <c r="L97" s="75">
        <v>173.03576824345808</v>
      </c>
      <c r="M97" s="75">
        <v>9.1071456970241087</v>
      </c>
      <c r="N97"/>
    </row>
    <row r="98" spans="1:14" s="39" customFormat="1">
      <c r="A98" s="74"/>
      <c r="B98" s="74" t="s">
        <v>281</v>
      </c>
      <c r="C98" s="76">
        <v>8.4100400000000004</v>
      </c>
      <c r="D98" s="76">
        <v>83.314229999999995</v>
      </c>
      <c r="E98" s="75">
        <v>100</v>
      </c>
      <c r="F98" s="76">
        <v>19</v>
      </c>
      <c r="G98" s="76">
        <v>21.086773802174438</v>
      </c>
      <c r="H98" s="75">
        <v>7</v>
      </c>
      <c r="I98" s="75">
        <v>449.83764802800209</v>
      </c>
      <c r="J98" s="75">
        <v>8.0328151433571797</v>
      </c>
      <c r="K98" s="75">
        <v>64.262521146857438</v>
      </c>
      <c r="L98" s="75">
        <v>224.91882401400105</v>
      </c>
      <c r="M98" s="75">
        <v>32.131260573428719</v>
      </c>
      <c r="N98"/>
    </row>
    <row r="99" spans="1:14" s="39" customFormat="1">
      <c r="A99" s="74"/>
      <c r="B99" s="74" t="s">
        <v>282</v>
      </c>
      <c r="C99" s="76">
        <v>8.4100400000000004</v>
      </c>
      <c r="D99" s="76">
        <v>83.314229999999995</v>
      </c>
      <c r="E99" s="75">
        <v>100</v>
      </c>
      <c r="F99" s="76">
        <v>19</v>
      </c>
      <c r="G99" s="76">
        <v>21.086773802174438</v>
      </c>
      <c r="H99" s="75">
        <v>1</v>
      </c>
      <c r="I99" s="75">
        <v>223.5240415939345</v>
      </c>
      <c r="J99" s="75">
        <v>27.940505199241812</v>
      </c>
      <c r="K99" s="75">
        <v>223.5240415939345</v>
      </c>
      <c r="L99" s="75">
        <v>111.76202079696725</v>
      </c>
      <c r="M99" s="75">
        <v>111.76202079696725</v>
      </c>
      <c r="N99"/>
    </row>
    <row r="100" spans="1:14" s="39" customFormat="1">
      <c r="A100" s="74"/>
      <c r="B100" s="74" t="s">
        <v>283</v>
      </c>
      <c r="C100" s="76">
        <v>8.4100400000000004</v>
      </c>
      <c r="D100" s="76">
        <v>83.314229999999995</v>
      </c>
      <c r="E100" s="75">
        <v>100</v>
      </c>
      <c r="F100" s="76">
        <v>19</v>
      </c>
      <c r="G100" s="76">
        <v>21.086773802174438</v>
      </c>
      <c r="H100" s="75">
        <v>1</v>
      </c>
      <c r="I100" s="75">
        <v>4962.0530085966529</v>
      </c>
      <c r="J100" s="75">
        <v>620.25662607458162</v>
      </c>
      <c r="K100" s="75">
        <v>4962.0530085966529</v>
      </c>
      <c r="L100" s="75">
        <v>2481.0265042983265</v>
      </c>
      <c r="M100" s="75">
        <v>2481.0265042983265</v>
      </c>
      <c r="N100"/>
    </row>
    <row r="101" spans="1:14" s="39" customFormat="1">
      <c r="A101" s="74">
        <v>150.1</v>
      </c>
      <c r="B101"/>
      <c r="C101" s="75">
        <v>8.4091400000000025</v>
      </c>
      <c r="D101" s="75">
        <v>83.311979999999963</v>
      </c>
      <c r="E101" s="75">
        <v>150</v>
      </c>
      <c r="F101" s="75">
        <v>15</v>
      </c>
      <c r="G101" s="75">
        <v>21.140809612582881</v>
      </c>
      <c r="H101" s="75">
        <v>34</v>
      </c>
      <c r="I101" s="75">
        <v>3299.9856160743211</v>
      </c>
      <c r="J101" s="75">
        <v>12.132300059096769</v>
      </c>
      <c r="K101" s="75">
        <v>97.058400472774153</v>
      </c>
      <c r="L101" s="75">
        <v>1649.9928080371606</v>
      </c>
      <c r="M101" s="75">
        <v>48.529200236387076</v>
      </c>
      <c r="N101"/>
    </row>
    <row r="102" spans="1:14" s="74" customFormat="1">
      <c r="B102" s="74" t="s">
        <v>279</v>
      </c>
      <c r="C102" s="76">
        <v>8.4091400000000007</v>
      </c>
      <c r="D102" s="76">
        <v>83.311980000000005</v>
      </c>
      <c r="E102" s="75">
        <v>150</v>
      </c>
      <c r="F102" s="76">
        <v>15</v>
      </c>
      <c r="G102" s="76">
        <v>21.140809612582899</v>
      </c>
      <c r="H102" s="75">
        <v>1</v>
      </c>
      <c r="I102" s="75">
        <v>6.309483161857254</v>
      </c>
      <c r="J102" s="75">
        <v>0.78868539523215675</v>
      </c>
      <c r="K102" s="75">
        <v>6.309483161857254</v>
      </c>
      <c r="L102" s="75">
        <v>3.154741580928627</v>
      </c>
      <c r="M102" s="75">
        <v>3.154741580928627</v>
      </c>
      <c r="N102"/>
    </row>
    <row r="103" spans="1:14" s="39" customFormat="1">
      <c r="A103" s="74"/>
      <c r="B103" s="74" t="s">
        <v>280</v>
      </c>
      <c r="C103" s="76">
        <v>8.4091400000000043</v>
      </c>
      <c r="D103" s="76">
        <v>83.311979999999977</v>
      </c>
      <c r="E103" s="75">
        <v>150</v>
      </c>
      <c r="F103" s="76">
        <v>15</v>
      </c>
      <c r="G103" s="76">
        <v>21.140809612582892</v>
      </c>
      <c r="H103" s="75">
        <v>16</v>
      </c>
      <c r="I103" s="75">
        <v>497.01520963986547</v>
      </c>
      <c r="J103" s="75">
        <v>3.882931325311449</v>
      </c>
      <c r="K103" s="75">
        <v>31.063450602491592</v>
      </c>
      <c r="L103" s="75">
        <v>248.50760481993274</v>
      </c>
      <c r="M103" s="75">
        <v>15.531725301245796</v>
      </c>
      <c r="N103"/>
    </row>
    <row r="104" spans="1:14" s="39" customFormat="1">
      <c r="A104" s="74"/>
      <c r="B104" s="74" t="s">
        <v>281</v>
      </c>
      <c r="C104" s="76">
        <v>8.4091400000000043</v>
      </c>
      <c r="D104" s="76">
        <v>83.311979999999977</v>
      </c>
      <c r="E104" s="75">
        <v>150</v>
      </c>
      <c r="F104" s="76">
        <v>15</v>
      </c>
      <c r="G104" s="76">
        <v>21.140809612582895</v>
      </c>
      <c r="H104" s="75">
        <v>13</v>
      </c>
      <c r="I104" s="75">
        <v>1736.9876829516375</v>
      </c>
      <c r="J104" s="75">
        <v>16.701804643765744</v>
      </c>
      <c r="K104" s="75">
        <v>133.61443715012595</v>
      </c>
      <c r="L104" s="75">
        <v>868.49384147581873</v>
      </c>
      <c r="M104" s="75">
        <v>66.807218575062976</v>
      </c>
      <c r="N104"/>
    </row>
    <row r="105" spans="1:14" s="39" customFormat="1">
      <c r="A105" s="74"/>
      <c r="B105" s="74" t="s">
        <v>282</v>
      </c>
      <c r="C105" s="76">
        <v>8.4091400000000007</v>
      </c>
      <c r="D105" s="76">
        <v>83.311980000000005</v>
      </c>
      <c r="E105" s="75">
        <v>150</v>
      </c>
      <c r="F105" s="76">
        <v>15</v>
      </c>
      <c r="G105" s="76">
        <v>21.140809612582899</v>
      </c>
      <c r="H105" s="75">
        <v>4</v>
      </c>
      <c r="I105" s="75">
        <v>1059.6732403209608</v>
      </c>
      <c r="J105" s="75">
        <v>33.114788760030024</v>
      </c>
      <c r="K105" s="75">
        <v>264.91831008024019</v>
      </c>
      <c r="L105" s="75">
        <v>529.83662016048038</v>
      </c>
      <c r="M105" s="75">
        <v>132.45915504012009</v>
      </c>
      <c r="N105"/>
    </row>
    <row r="106" spans="1:14" s="39" customFormat="1">
      <c r="A106" s="74">
        <v>150.19999999999999</v>
      </c>
      <c r="B106"/>
      <c r="C106" s="75">
        <v>8.4116599999999977</v>
      </c>
      <c r="D106" s="75">
        <v>83.312480000000036</v>
      </c>
      <c r="E106" s="75">
        <v>150</v>
      </c>
      <c r="F106" s="75">
        <v>13</v>
      </c>
      <c r="G106" s="75">
        <v>21.188530377780268</v>
      </c>
      <c r="H106" s="75">
        <v>50</v>
      </c>
      <c r="I106" s="75">
        <v>9663.7389181722647</v>
      </c>
      <c r="J106" s="75">
        <v>24.159347295430663</v>
      </c>
      <c r="K106" s="75">
        <v>193.27477836344531</v>
      </c>
      <c r="L106" s="75">
        <v>4831.8694590861323</v>
      </c>
      <c r="M106" s="75">
        <v>96.637389181722654</v>
      </c>
      <c r="N106"/>
    </row>
    <row r="107" spans="1:14" s="74" customFormat="1">
      <c r="B107" s="74" t="s">
        <v>279</v>
      </c>
      <c r="C107" s="76">
        <v>8.4116599999999995</v>
      </c>
      <c r="D107" s="76">
        <v>83.312479999999994</v>
      </c>
      <c r="E107" s="75">
        <v>150</v>
      </c>
      <c r="F107" s="76">
        <v>13</v>
      </c>
      <c r="G107" s="76">
        <v>21.188530377780278</v>
      </c>
      <c r="H107" s="75">
        <v>9</v>
      </c>
      <c r="I107" s="75">
        <v>73.693669599539945</v>
      </c>
      <c r="J107" s="75">
        <v>1.0235231888824992</v>
      </c>
      <c r="K107" s="75">
        <v>8.1881855110599933</v>
      </c>
      <c r="L107" s="75">
        <v>36.846834799769972</v>
      </c>
      <c r="M107" s="75">
        <v>4.0940927555299966</v>
      </c>
      <c r="N107"/>
    </row>
    <row r="108" spans="1:14" s="39" customFormat="1">
      <c r="A108" s="74"/>
      <c r="B108" s="74" t="s">
        <v>280</v>
      </c>
      <c r="C108" s="76">
        <v>8.4116600000000048</v>
      </c>
      <c r="D108" s="76">
        <v>83.312480000000036</v>
      </c>
      <c r="E108" s="75">
        <v>150</v>
      </c>
      <c r="F108" s="76">
        <v>13</v>
      </c>
      <c r="G108" s="76">
        <v>21.188530377780278</v>
      </c>
      <c r="H108" s="75">
        <v>29</v>
      </c>
      <c r="I108" s="75">
        <v>1595.3642615380404</v>
      </c>
      <c r="J108" s="75">
        <v>6.8765700928363813</v>
      </c>
      <c r="K108" s="75">
        <v>55.012560742691051</v>
      </c>
      <c r="L108" s="75">
        <v>797.6821307690202</v>
      </c>
      <c r="M108" s="75">
        <v>27.506280371345525</v>
      </c>
      <c r="N108"/>
    </row>
    <row r="109" spans="1:14" s="39" customFormat="1">
      <c r="A109" s="74"/>
      <c r="B109" s="74" t="s">
        <v>281</v>
      </c>
      <c r="C109" s="76">
        <v>8.4116599999999995</v>
      </c>
      <c r="D109" s="76">
        <v>83.312480000000008</v>
      </c>
      <c r="E109" s="75">
        <v>150</v>
      </c>
      <c r="F109" s="76">
        <v>13</v>
      </c>
      <c r="G109" s="76">
        <v>21.188530377780275</v>
      </c>
      <c r="H109" s="75">
        <v>10</v>
      </c>
      <c r="I109" s="75">
        <v>1881.5886529036752</v>
      </c>
      <c r="J109" s="75">
        <v>23.519858161295939</v>
      </c>
      <c r="K109" s="75">
        <v>188.15886529036752</v>
      </c>
      <c r="L109" s="75">
        <v>940.79432645183761</v>
      </c>
      <c r="M109" s="75">
        <v>94.079432645183758</v>
      </c>
      <c r="N109"/>
    </row>
    <row r="110" spans="1:14" s="39" customFormat="1">
      <c r="A110" s="74"/>
      <c r="B110" s="74" t="s">
        <v>282</v>
      </c>
      <c r="C110" s="76">
        <v>8.4116599999999995</v>
      </c>
      <c r="D110" s="76">
        <v>83.312479999999994</v>
      </c>
      <c r="E110" s="75">
        <v>150</v>
      </c>
      <c r="F110" s="76">
        <v>13</v>
      </c>
      <c r="G110" s="76">
        <v>21.188530377780278</v>
      </c>
      <c r="H110" s="75">
        <v>1</v>
      </c>
      <c r="I110" s="75">
        <v>252.69617595157595</v>
      </c>
      <c r="J110" s="75">
        <v>31.587021993946994</v>
      </c>
      <c r="K110" s="75">
        <v>252.69617595157595</v>
      </c>
      <c r="L110" s="75">
        <v>126.34808797578798</v>
      </c>
      <c r="M110" s="75">
        <v>126.34808797578798</v>
      </c>
      <c r="N110"/>
    </row>
    <row r="111" spans="1:14" s="39" customFormat="1">
      <c r="A111" s="74"/>
      <c r="B111" s="74" t="s">
        <v>283</v>
      </c>
      <c r="C111" s="76">
        <v>8.4116599999999995</v>
      </c>
      <c r="D111" s="76">
        <v>83.312479999999994</v>
      </c>
      <c r="E111" s="75">
        <v>150</v>
      </c>
      <c r="F111" s="76">
        <v>13</v>
      </c>
      <c r="G111" s="76">
        <v>21.188530377780278</v>
      </c>
      <c r="H111" s="75">
        <v>1</v>
      </c>
      <c r="I111" s="75">
        <v>5860.3961581794338</v>
      </c>
      <c r="J111" s="75">
        <v>732.54951977242922</v>
      </c>
      <c r="K111" s="75">
        <v>5860.3961581794338</v>
      </c>
      <c r="L111" s="75">
        <v>2930.1980790897169</v>
      </c>
      <c r="M111" s="75">
        <v>2930.1980790897169</v>
      </c>
      <c r="N111"/>
    </row>
    <row r="112" spans="1:14" s="39" customFormat="1">
      <c r="A112" s="74">
        <v>150.30000000000001</v>
      </c>
      <c r="B112"/>
      <c r="C112" s="75">
        <v>8.4091599999999911</v>
      </c>
      <c r="D112" s="75">
        <v>83.311200000000071</v>
      </c>
      <c r="E112" s="75">
        <v>150</v>
      </c>
      <c r="F112" s="75">
        <v>-30</v>
      </c>
      <c r="G112" s="75">
        <v>21.033470239848803</v>
      </c>
      <c r="H112" s="75">
        <v>40</v>
      </c>
      <c r="I112" s="75">
        <v>2615.4290277757432</v>
      </c>
      <c r="J112" s="75">
        <v>8.1732157117991981</v>
      </c>
      <c r="K112" s="75">
        <v>65.385725694393585</v>
      </c>
      <c r="L112" s="75">
        <v>1307.7145138878716</v>
      </c>
      <c r="M112" s="75">
        <v>32.692862847196793</v>
      </c>
      <c r="N112"/>
    </row>
    <row r="113" spans="1:14" s="74" customFormat="1">
      <c r="B113" s="74" t="s">
        <v>279</v>
      </c>
      <c r="C113" s="76">
        <v>8.40916</v>
      </c>
      <c r="D113" s="76">
        <v>83.311199999999999</v>
      </c>
      <c r="E113" s="75">
        <v>150</v>
      </c>
      <c r="F113" s="76">
        <v>-30</v>
      </c>
      <c r="G113" s="76">
        <v>21.033470239848786</v>
      </c>
      <c r="H113" s="75">
        <v>5</v>
      </c>
      <c r="I113" s="75">
        <v>130.841534272904</v>
      </c>
      <c r="J113" s="75">
        <v>3.2710383568225998</v>
      </c>
      <c r="K113" s="75">
        <v>26.168306854580798</v>
      </c>
      <c r="L113" s="75">
        <v>65.420767136452</v>
      </c>
      <c r="M113" s="75">
        <v>13.084153427290399</v>
      </c>
      <c r="N113"/>
    </row>
    <row r="114" spans="1:14" s="39" customFormat="1">
      <c r="A114" s="74"/>
      <c r="B114" s="74" t="s">
        <v>280</v>
      </c>
      <c r="C114" s="76">
        <v>8.4091599999999946</v>
      </c>
      <c r="D114" s="76">
        <v>83.311200000000042</v>
      </c>
      <c r="E114" s="75">
        <v>150</v>
      </c>
      <c r="F114" s="76">
        <v>-30</v>
      </c>
      <c r="G114" s="76">
        <v>21.033470239848786</v>
      </c>
      <c r="H114" s="75">
        <v>25</v>
      </c>
      <c r="I114" s="75">
        <v>787.26424080626248</v>
      </c>
      <c r="J114" s="75">
        <v>3.9363212040313122</v>
      </c>
      <c r="K114" s="75">
        <v>31.490569632250498</v>
      </c>
      <c r="L114" s="75">
        <v>393.63212040313124</v>
      </c>
      <c r="M114" s="75">
        <v>15.745284816125249</v>
      </c>
      <c r="N114"/>
    </row>
    <row r="115" spans="1:14" s="39" customFormat="1">
      <c r="A115" s="74"/>
      <c r="B115" s="74" t="s">
        <v>281</v>
      </c>
      <c r="C115" s="76">
        <v>8.40916</v>
      </c>
      <c r="D115" s="76">
        <v>83.311199999999999</v>
      </c>
      <c r="E115" s="75">
        <v>150</v>
      </c>
      <c r="F115" s="76">
        <v>-30</v>
      </c>
      <c r="G115" s="76">
        <v>21.033470239848786</v>
      </c>
      <c r="H115" s="75">
        <v>5</v>
      </c>
      <c r="I115" s="75">
        <v>411.82229135753039</v>
      </c>
      <c r="J115" s="75">
        <v>10.29555728393826</v>
      </c>
      <c r="K115" s="75">
        <v>82.364458271506081</v>
      </c>
      <c r="L115" s="75">
        <v>205.91114567876519</v>
      </c>
      <c r="M115" s="75">
        <v>41.18222913575304</v>
      </c>
      <c r="N115"/>
    </row>
    <row r="116" spans="1:14" s="39" customFormat="1">
      <c r="A116" s="74"/>
      <c r="B116" s="74" t="s">
        <v>282</v>
      </c>
      <c r="C116" s="76">
        <v>8.40916</v>
      </c>
      <c r="D116" s="76">
        <v>83.311199999999999</v>
      </c>
      <c r="E116" s="75">
        <v>150</v>
      </c>
      <c r="F116" s="76">
        <v>-30</v>
      </c>
      <c r="G116" s="76">
        <v>21.033470239848786</v>
      </c>
      <c r="H116" s="75">
        <v>4</v>
      </c>
      <c r="I116" s="75">
        <v>969.23309943618528</v>
      </c>
      <c r="J116" s="75">
        <v>30.28853435738079</v>
      </c>
      <c r="K116" s="75">
        <v>242.30827485904632</v>
      </c>
      <c r="L116" s="75">
        <v>484.61654971809264</v>
      </c>
      <c r="M116" s="75">
        <v>121.15413742952316</v>
      </c>
      <c r="N116"/>
    </row>
    <row r="117" spans="1:14" s="39" customFormat="1">
      <c r="A117" s="74"/>
      <c r="B117" s="74" t="s">
        <v>283</v>
      </c>
      <c r="C117" s="76">
        <v>8.40916</v>
      </c>
      <c r="D117" s="76">
        <v>83.311199999999999</v>
      </c>
      <c r="E117" s="75">
        <v>150</v>
      </c>
      <c r="F117" s="76">
        <v>-30</v>
      </c>
      <c r="G117" s="76">
        <v>21.033470239848786</v>
      </c>
      <c r="H117" s="75">
        <v>1</v>
      </c>
      <c r="I117" s="75">
        <v>316.267861902861</v>
      </c>
      <c r="J117" s="75">
        <v>39.533482737857625</v>
      </c>
      <c r="K117" s="75">
        <v>316.267861902861</v>
      </c>
      <c r="L117" s="75">
        <v>158.1339309514305</v>
      </c>
      <c r="M117" s="75">
        <v>158.1339309514305</v>
      </c>
      <c r="N117"/>
    </row>
    <row r="118" spans="1:14" s="39" customFormat="1">
      <c r="A118" s="74">
        <v>150.4</v>
      </c>
      <c r="B118"/>
      <c r="C118" s="75">
        <v>8.4107299999999992</v>
      </c>
      <c r="D118" s="75">
        <v>83.312600000000046</v>
      </c>
      <c r="E118" s="75">
        <v>150</v>
      </c>
      <c r="F118" s="75">
        <v>5</v>
      </c>
      <c r="G118" s="75">
        <v>21</v>
      </c>
      <c r="H118" s="75">
        <v>35</v>
      </c>
      <c r="I118" s="75">
        <v>7228.285627304107</v>
      </c>
      <c r="J118" s="75">
        <v>25.815305811800382</v>
      </c>
      <c r="K118" s="75">
        <v>206.52244649440306</v>
      </c>
      <c r="L118" s="75">
        <v>3614.1428136520535</v>
      </c>
      <c r="M118" s="75">
        <v>103.26122324720153</v>
      </c>
      <c r="N118"/>
    </row>
    <row r="119" spans="1:14" s="74" customFormat="1">
      <c r="B119" s="74" t="s">
        <v>280</v>
      </c>
      <c r="C119" s="76">
        <v>8.4107299999999992</v>
      </c>
      <c r="D119" s="76">
        <v>83.312599999999989</v>
      </c>
      <c r="E119" s="75">
        <v>150</v>
      </c>
      <c r="F119" s="76">
        <v>5</v>
      </c>
      <c r="G119" s="76">
        <v>21</v>
      </c>
      <c r="H119" s="75">
        <v>14</v>
      </c>
      <c r="I119" s="75">
        <v>301.80037255927567</v>
      </c>
      <c r="J119" s="75">
        <v>2.6946461835649616</v>
      </c>
      <c r="K119" s="75">
        <v>21.557169468519692</v>
      </c>
      <c r="L119" s="75">
        <v>150.90018627963784</v>
      </c>
      <c r="M119" s="75">
        <v>10.778584734259846</v>
      </c>
      <c r="N119"/>
    </row>
    <row r="120" spans="1:14" s="39" customFormat="1">
      <c r="A120" s="74"/>
      <c r="B120" s="74" t="s">
        <v>281</v>
      </c>
      <c r="C120" s="76">
        <v>8.4107299999999992</v>
      </c>
      <c r="D120" s="76">
        <v>83.312599999999989</v>
      </c>
      <c r="E120" s="75">
        <v>150</v>
      </c>
      <c r="F120" s="76">
        <v>5</v>
      </c>
      <c r="G120" s="76">
        <v>21</v>
      </c>
      <c r="H120" s="75">
        <v>15</v>
      </c>
      <c r="I120" s="75">
        <v>1213.4660829351478</v>
      </c>
      <c r="J120" s="75">
        <v>10.112217357792899</v>
      </c>
      <c r="K120" s="75">
        <v>80.897738862343189</v>
      </c>
      <c r="L120" s="75">
        <v>606.73304146757391</v>
      </c>
      <c r="M120" s="75">
        <v>40.448869431171595</v>
      </c>
      <c r="N120"/>
    </row>
    <row r="121" spans="1:14" s="39" customFormat="1">
      <c r="A121" s="74"/>
      <c r="B121" s="74" t="s">
        <v>282</v>
      </c>
      <c r="C121" s="76">
        <v>8.4107299999999992</v>
      </c>
      <c r="D121" s="76">
        <v>83.312600000000003</v>
      </c>
      <c r="E121" s="75">
        <v>150</v>
      </c>
      <c r="F121" s="76">
        <v>5</v>
      </c>
      <c r="G121" s="76">
        <v>21</v>
      </c>
      <c r="H121" s="75">
        <v>5</v>
      </c>
      <c r="I121" s="75">
        <v>2560.6566375036209</v>
      </c>
      <c r="J121" s="75">
        <v>64.016415937590523</v>
      </c>
      <c r="K121" s="75">
        <v>512.13132750072418</v>
      </c>
      <c r="L121" s="75">
        <v>1280.3283187518105</v>
      </c>
      <c r="M121" s="75">
        <v>256.06566375036209</v>
      </c>
      <c r="N121"/>
    </row>
    <row r="122" spans="1:14" s="39" customFormat="1">
      <c r="A122" s="74"/>
      <c r="B122" s="74" t="s">
        <v>284</v>
      </c>
      <c r="C122" s="76">
        <v>8.4107299999999992</v>
      </c>
      <c r="D122" s="76">
        <v>83.312600000000003</v>
      </c>
      <c r="E122" s="75">
        <v>150</v>
      </c>
      <c r="F122" s="76">
        <v>5</v>
      </c>
      <c r="G122" s="76">
        <v>21</v>
      </c>
      <c r="H122" s="75">
        <v>1</v>
      </c>
      <c r="I122" s="75">
        <v>3152.3625343060626</v>
      </c>
      <c r="J122" s="75">
        <v>394.04531678825782</v>
      </c>
      <c r="K122" s="75">
        <v>3152.3625343060626</v>
      </c>
      <c r="L122" s="75">
        <v>1576.1812671530313</v>
      </c>
      <c r="M122" s="75">
        <v>1576.1812671530313</v>
      </c>
      <c r="N122"/>
    </row>
    <row r="123" spans="1:14" s="39" customFormat="1">
      <c r="A123" s="74">
        <v>150.5</v>
      </c>
      <c r="B123"/>
      <c r="C123" s="75">
        <v>8.4093300000000042</v>
      </c>
      <c r="D123" s="75">
        <v>83.312429999999964</v>
      </c>
      <c r="E123" s="75">
        <v>150</v>
      </c>
      <c r="F123" s="75">
        <v>-18</v>
      </c>
      <c r="G123" s="75">
        <v>21.096964869155499</v>
      </c>
      <c r="H123" s="75">
        <v>31</v>
      </c>
      <c r="I123" s="75">
        <v>1901.0252091573216</v>
      </c>
      <c r="J123" s="75">
        <v>7.6654242304730706</v>
      </c>
      <c r="K123" s="75">
        <v>61.323393843784565</v>
      </c>
      <c r="L123" s="75">
        <v>950.51260457866078</v>
      </c>
      <c r="M123" s="75">
        <v>30.661696921892283</v>
      </c>
      <c r="N123"/>
    </row>
    <row r="124" spans="1:14" s="74" customFormat="1">
      <c r="B124" s="74" t="s">
        <v>279</v>
      </c>
      <c r="C124" s="76">
        <v>8.4093299999999989</v>
      </c>
      <c r="D124" s="76">
        <v>83.312429999999978</v>
      </c>
      <c r="E124" s="75">
        <v>150</v>
      </c>
      <c r="F124" s="76">
        <v>-18</v>
      </c>
      <c r="G124" s="76">
        <v>21.096964869155499</v>
      </c>
      <c r="H124" s="75">
        <v>16</v>
      </c>
      <c r="I124" s="75">
        <v>527.72699310846906</v>
      </c>
      <c r="J124" s="75">
        <v>4.1228671336599145</v>
      </c>
      <c r="K124" s="75">
        <v>32.982937069279316</v>
      </c>
      <c r="L124" s="75">
        <v>263.86349655423453</v>
      </c>
      <c r="M124" s="75">
        <v>16.491468534639658</v>
      </c>
      <c r="N124"/>
    </row>
    <row r="125" spans="1:14" s="39" customFormat="1">
      <c r="A125" s="74"/>
      <c r="B125" s="74" t="s">
        <v>280</v>
      </c>
      <c r="C125" s="76">
        <v>8.4093299999999989</v>
      </c>
      <c r="D125" s="76">
        <v>83.312429999999992</v>
      </c>
      <c r="E125" s="75">
        <v>150</v>
      </c>
      <c r="F125" s="76">
        <v>-18</v>
      </c>
      <c r="G125" s="76">
        <v>21.096964869155499</v>
      </c>
      <c r="H125" s="75">
        <v>11</v>
      </c>
      <c r="I125" s="75">
        <v>185.47294715803753</v>
      </c>
      <c r="J125" s="75">
        <v>2.107647126795881</v>
      </c>
      <c r="K125" s="75">
        <v>16.861177014367048</v>
      </c>
      <c r="L125" s="75">
        <v>92.736473579018764</v>
      </c>
      <c r="M125" s="75">
        <v>8.4305885071835238</v>
      </c>
      <c r="N125"/>
    </row>
    <row r="126" spans="1:14" s="39" customFormat="1">
      <c r="A126" s="74"/>
      <c r="B126" s="74" t="s">
        <v>281</v>
      </c>
      <c r="C126" s="76">
        <v>8.4093300000000006</v>
      </c>
      <c r="D126" s="76">
        <v>83.312430000000006</v>
      </c>
      <c r="E126" s="75">
        <v>150</v>
      </c>
      <c r="F126" s="76">
        <v>-18</v>
      </c>
      <c r="G126" s="76">
        <v>21.096964869155499</v>
      </c>
      <c r="H126" s="75">
        <v>3</v>
      </c>
      <c r="I126" s="75">
        <v>215.33750172793623</v>
      </c>
      <c r="J126" s="75">
        <v>8.9723959053306768</v>
      </c>
      <c r="K126" s="75">
        <v>71.779167242645414</v>
      </c>
      <c r="L126" s="75">
        <v>107.66875086396811</v>
      </c>
      <c r="M126" s="75">
        <v>35.889583621322707</v>
      </c>
      <c r="N126"/>
    </row>
    <row r="127" spans="1:14" s="39" customFormat="1">
      <c r="A127" s="74"/>
      <c r="B127" s="74" t="s">
        <v>282</v>
      </c>
      <c r="C127" s="76">
        <v>8.4093300000000006</v>
      </c>
      <c r="D127" s="76">
        <v>83.312430000000006</v>
      </c>
      <c r="E127" s="75">
        <v>150</v>
      </c>
      <c r="F127" s="76">
        <v>-18</v>
      </c>
      <c r="G127" s="76">
        <v>21.096964869155499</v>
      </c>
      <c r="H127" s="75">
        <v>1</v>
      </c>
      <c r="I127" s="75">
        <v>972.48776716287909</v>
      </c>
      <c r="J127" s="75">
        <v>121.56097089535989</v>
      </c>
      <c r="K127" s="75">
        <v>972.48776716287909</v>
      </c>
      <c r="L127" s="75">
        <v>486.24388358143955</v>
      </c>
      <c r="M127" s="75">
        <v>486.24388358143955</v>
      </c>
      <c r="N127"/>
    </row>
    <row r="128" spans="1:14" s="39" customFormat="1">
      <c r="A128" s="74">
        <v>200.1</v>
      </c>
      <c r="B128"/>
      <c r="C128" s="75">
        <v>8.4097399999999993</v>
      </c>
      <c r="D128" s="75">
        <v>83.312539999999942</v>
      </c>
      <c r="E128" s="75">
        <v>200</v>
      </c>
      <c r="F128" s="75">
        <v>-17</v>
      </c>
      <c r="G128" s="75">
        <v>21.109017558230899</v>
      </c>
      <c r="H128" s="75">
        <v>28</v>
      </c>
      <c r="I128" s="75">
        <v>2810.6358411930764</v>
      </c>
      <c r="J128" s="75">
        <v>12.547481433897662</v>
      </c>
      <c r="K128" s="75">
        <v>100.3798514711813</v>
      </c>
      <c r="L128" s="75">
        <v>1405.3179205965382</v>
      </c>
      <c r="M128" s="75">
        <v>50.189925735590649</v>
      </c>
      <c r="N128"/>
    </row>
    <row r="129" spans="1:14" s="74" customFormat="1">
      <c r="B129" s="74" t="s">
        <v>279</v>
      </c>
      <c r="C129" s="76">
        <v>8.4097399999999993</v>
      </c>
      <c r="D129" s="76">
        <v>83.312539999999998</v>
      </c>
      <c r="E129" s="75">
        <v>200</v>
      </c>
      <c r="F129" s="76">
        <v>-17</v>
      </c>
      <c r="G129" s="76">
        <v>21.109017558230889</v>
      </c>
      <c r="H129" s="75">
        <v>4</v>
      </c>
      <c r="I129" s="75">
        <v>72.161675607401776</v>
      </c>
      <c r="J129" s="75">
        <v>2.2550523627313055</v>
      </c>
      <c r="K129" s="75">
        <v>18.040418901850444</v>
      </c>
      <c r="L129" s="75">
        <v>36.080837803700888</v>
      </c>
      <c r="M129" s="75">
        <v>9.020209450925222</v>
      </c>
      <c r="N129"/>
    </row>
    <row r="130" spans="1:14" s="39" customFormat="1">
      <c r="A130" s="74"/>
      <c r="B130" s="74" t="s">
        <v>280</v>
      </c>
      <c r="C130" s="76">
        <v>8.4097399999999993</v>
      </c>
      <c r="D130" s="76">
        <v>83.312539999999998</v>
      </c>
      <c r="E130" s="75">
        <v>200</v>
      </c>
      <c r="F130" s="76">
        <v>-17</v>
      </c>
      <c r="G130" s="76">
        <v>21.109017558230896</v>
      </c>
      <c r="H130" s="75">
        <v>14</v>
      </c>
      <c r="I130" s="75">
        <v>557.02641967580917</v>
      </c>
      <c r="J130" s="75">
        <v>4.9734501756768674</v>
      </c>
      <c r="K130" s="75">
        <v>39.787601405414939</v>
      </c>
      <c r="L130" s="75">
        <v>278.51320983790458</v>
      </c>
      <c r="M130" s="75">
        <v>19.89380070270747</v>
      </c>
      <c r="N130"/>
    </row>
    <row r="131" spans="1:14" s="39" customFormat="1">
      <c r="A131" s="74"/>
      <c r="B131" s="74" t="s">
        <v>281</v>
      </c>
      <c r="C131" s="76">
        <v>8.4097399999999993</v>
      </c>
      <c r="D131" s="76">
        <v>83.312539999999998</v>
      </c>
      <c r="E131" s="75">
        <v>200</v>
      </c>
      <c r="F131" s="76">
        <v>-17</v>
      </c>
      <c r="G131" s="76">
        <v>21.109017558230889</v>
      </c>
      <c r="H131" s="75">
        <v>9</v>
      </c>
      <c r="I131" s="75">
        <v>2065.8808891009448</v>
      </c>
      <c r="J131" s="75">
        <v>28.692790126402013</v>
      </c>
      <c r="K131" s="75">
        <v>229.5423210112161</v>
      </c>
      <c r="L131" s="75">
        <v>1032.9404445504724</v>
      </c>
      <c r="M131" s="75">
        <v>114.77116050560805</v>
      </c>
      <c r="N131"/>
    </row>
    <row r="132" spans="1:14" s="39" customFormat="1">
      <c r="A132" s="74"/>
      <c r="B132" s="74" t="s">
        <v>282</v>
      </c>
      <c r="C132" s="76">
        <v>8.4097399999999993</v>
      </c>
      <c r="D132" s="76">
        <v>83.312539999999998</v>
      </c>
      <c r="E132" s="75">
        <v>200</v>
      </c>
      <c r="F132" s="76">
        <v>-17</v>
      </c>
      <c r="G132" s="76">
        <v>21.109017558230889</v>
      </c>
      <c r="H132" s="75">
        <v>1</v>
      </c>
      <c r="I132" s="75">
        <v>115.56685680891978</v>
      </c>
      <c r="J132" s="75">
        <v>14.445857101114973</v>
      </c>
      <c r="K132" s="75">
        <v>115.56685680891978</v>
      </c>
      <c r="L132" s="75">
        <v>57.78342840445989</v>
      </c>
      <c r="M132" s="75">
        <v>57.78342840445989</v>
      </c>
      <c r="N132"/>
    </row>
    <row r="133" spans="1:14" s="39" customFormat="1">
      <c r="A133" s="74">
        <v>200.2</v>
      </c>
      <c r="B133"/>
      <c r="C133" s="75">
        <v>8.4116700000000098</v>
      </c>
      <c r="D133" s="75">
        <v>83.311889999999963</v>
      </c>
      <c r="E133" s="75">
        <v>200</v>
      </c>
      <c r="F133" s="75">
        <v>12</v>
      </c>
      <c r="G133" s="75">
        <v>21.221924545521947</v>
      </c>
      <c r="H133" s="75">
        <v>43</v>
      </c>
      <c r="I133" s="75">
        <v>4280.3394860265043</v>
      </c>
      <c r="J133" s="75">
        <v>12.442847343100304</v>
      </c>
      <c r="K133" s="75">
        <v>99.542778744802433</v>
      </c>
      <c r="L133" s="75">
        <v>2140.1697430132522</v>
      </c>
      <c r="M133" s="75">
        <v>49.771389372401217</v>
      </c>
      <c r="N133"/>
    </row>
    <row r="134" spans="1:14" s="74" customFormat="1">
      <c r="B134" s="74" t="s">
        <v>279</v>
      </c>
      <c r="C134" s="76">
        <v>8.4116700000000009</v>
      </c>
      <c r="D134" s="76">
        <v>83.311890000000005</v>
      </c>
      <c r="E134" s="75">
        <v>200</v>
      </c>
      <c r="F134" s="76">
        <v>12</v>
      </c>
      <c r="G134" s="76">
        <v>21.221924545521968</v>
      </c>
      <c r="H134" s="75">
        <v>8</v>
      </c>
      <c r="I134" s="75">
        <v>113.72156391111196</v>
      </c>
      <c r="J134" s="75">
        <v>1.7768994361111243</v>
      </c>
      <c r="K134" s="75">
        <v>14.215195488888995</v>
      </c>
      <c r="L134" s="75">
        <v>56.860781955555979</v>
      </c>
      <c r="M134" s="75">
        <v>7.1075977444444973</v>
      </c>
      <c r="N134"/>
    </row>
    <row r="135" spans="1:14" s="39" customFormat="1">
      <c r="A135" s="74"/>
      <c r="B135" s="74" t="s">
        <v>280</v>
      </c>
      <c r="C135" s="76">
        <v>8.4116700000000062</v>
      </c>
      <c r="D135" s="76">
        <v>83.311889999999963</v>
      </c>
      <c r="E135" s="75">
        <v>200</v>
      </c>
      <c r="F135" s="76">
        <v>12</v>
      </c>
      <c r="G135" s="76">
        <v>21.221924545521968</v>
      </c>
      <c r="H135" s="75">
        <v>24</v>
      </c>
      <c r="I135" s="75">
        <v>416.24757213022576</v>
      </c>
      <c r="J135" s="75">
        <v>2.1679561048449258</v>
      </c>
      <c r="K135" s="75">
        <v>17.343648838759407</v>
      </c>
      <c r="L135" s="75">
        <v>208.12378606511288</v>
      </c>
      <c r="M135" s="75">
        <v>8.6718244193797034</v>
      </c>
      <c r="N135"/>
    </row>
    <row r="136" spans="1:14" s="39" customFormat="1">
      <c r="A136" s="74"/>
      <c r="B136" s="74" t="s">
        <v>281</v>
      </c>
      <c r="C136" s="76">
        <v>8.4116700000000009</v>
      </c>
      <c r="D136" s="76">
        <v>83.311890000000005</v>
      </c>
      <c r="E136" s="75">
        <v>200</v>
      </c>
      <c r="F136" s="76">
        <v>12</v>
      </c>
      <c r="G136" s="76">
        <v>21.221924545521965</v>
      </c>
      <c r="H136" s="75">
        <v>3</v>
      </c>
      <c r="I136" s="75">
        <v>268.44280149761101</v>
      </c>
      <c r="J136" s="75">
        <v>11.185116729067126</v>
      </c>
      <c r="K136" s="75">
        <v>89.480933832537005</v>
      </c>
      <c r="L136" s="75">
        <v>134.22140074880551</v>
      </c>
      <c r="M136" s="75">
        <v>44.740466916268502</v>
      </c>
      <c r="N136"/>
    </row>
    <row r="137" spans="1:14" s="39" customFormat="1">
      <c r="A137" s="74"/>
      <c r="B137" s="74" t="s">
        <v>282</v>
      </c>
      <c r="C137" s="76">
        <v>8.4116700000000009</v>
      </c>
      <c r="D137" s="76">
        <v>83.311890000000005</v>
      </c>
      <c r="E137" s="75">
        <v>200</v>
      </c>
      <c r="F137" s="76">
        <v>12</v>
      </c>
      <c r="G137" s="76">
        <v>21.221924545521965</v>
      </c>
      <c r="H137" s="75">
        <v>5</v>
      </c>
      <c r="I137" s="75">
        <v>1685.5320393064239</v>
      </c>
      <c r="J137" s="75">
        <v>42.138300982660596</v>
      </c>
      <c r="K137" s="75">
        <v>337.10640786128477</v>
      </c>
      <c r="L137" s="75">
        <v>842.76601965321197</v>
      </c>
      <c r="M137" s="75">
        <v>168.55320393064238</v>
      </c>
      <c r="N137"/>
    </row>
    <row r="138" spans="1:14" s="39" customFormat="1">
      <c r="A138" s="74"/>
      <c r="B138" s="74" t="s">
        <v>283</v>
      </c>
      <c r="C138" s="76">
        <v>8.4116700000000009</v>
      </c>
      <c r="D138" s="76">
        <v>83.311890000000005</v>
      </c>
      <c r="E138" s="75">
        <v>200</v>
      </c>
      <c r="F138" s="76">
        <v>12</v>
      </c>
      <c r="G138" s="76">
        <v>21.221924545521965</v>
      </c>
      <c r="H138" s="75">
        <v>3</v>
      </c>
      <c r="I138" s="75">
        <v>1796.3955091811322</v>
      </c>
      <c r="J138" s="75">
        <v>74.84981288254717</v>
      </c>
      <c r="K138" s="75">
        <v>598.79850306037736</v>
      </c>
      <c r="L138" s="75">
        <v>898.19775459056609</v>
      </c>
      <c r="M138" s="75">
        <v>299.39925153018868</v>
      </c>
      <c r="N138"/>
    </row>
    <row r="139" spans="1:14" s="39" customFormat="1">
      <c r="A139" s="74">
        <v>200.3</v>
      </c>
      <c r="B139"/>
      <c r="C139" s="75">
        <v>8.4102300000000074</v>
      </c>
      <c r="D139" s="75">
        <v>83.311319999999924</v>
      </c>
      <c r="E139" s="75">
        <v>200</v>
      </c>
      <c r="F139" s="75">
        <v>10</v>
      </c>
      <c r="G139" s="75">
        <v>21</v>
      </c>
      <c r="H139" s="75">
        <v>42</v>
      </c>
      <c r="I139" s="75">
        <v>4568.3939504172004</v>
      </c>
      <c r="J139" s="75">
        <v>13.596410566717859</v>
      </c>
      <c r="K139" s="75">
        <v>108.77128453374287</v>
      </c>
      <c r="L139" s="75">
        <v>2284.1969752086002</v>
      </c>
      <c r="M139" s="75">
        <v>54.385642266871436</v>
      </c>
      <c r="N139"/>
    </row>
    <row r="140" spans="1:14" s="74" customFormat="1">
      <c r="B140" s="74" t="s">
        <v>279</v>
      </c>
      <c r="C140" s="76">
        <v>8.4102300000000003</v>
      </c>
      <c r="D140" s="76">
        <v>83.311319999999995</v>
      </c>
      <c r="E140" s="75">
        <v>200</v>
      </c>
      <c r="F140" s="76">
        <v>10</v>
      </c>
      <c r="G140" s="76">
        <v>21</v>
      </c>
      <c r="H140" s="75">
        <v>5</v>
      </c>
      <c r="I140" s="75">
        <v>99.520809402837244</v>
      </c>
      <c r="J140" s="75">
        <v>2.4880202350709313</v>
      </c>
      <c r="K140" s="75">
        <v>19.90416188056745</v>
      </c>
      <c r="L140" s="75">
        <v>49.760404701418622</v>
      </c>
      <c r="M140" s="75">
        <v>9.9520809402837251</v>
      </c>
      <c r="N140"/>
    </row>
    <row r="141" spans="1:14" s="39" customFormat="1">
      <c r="A141" s="74"/>
      <c r="B141" s="74" t="s">
        <v>280</v>
      </c>
      <c r="C141" s="76">
        <v>8.4102300000000039</v>
      </c>
      <c r="D141" s="76">
        <v>83.311320000000009</v>
      </c>
      <c r="E141" s="75">
        <v>200</v>
      </c>
      <c r="F141" s="76">
        <v>10</v>
      </c>
      <c r="G141" s="76">
        <v>21</v>
      </c>
      <c r="H141" s="75">
        <v>21</v>
      </c>
      <c r="I141" s="75">
        <v>790.48543407836939</v>
      </c>
      <c r="J141" s="75">
        <v>4.7052704409426749</v>
      </c>
      <c r="K141" s="75">
        <v>37.642163527541399</v>
      </c>
      <c r="L141" s="75">
        <v>395.2427170391847</v>
      </c>
      <c r="M141" s="75">
        <v>18.8210817637707</v>
      </c>
      <c r="N141"/>
    </row>
    <row r="142" spans="1:14" s="39" customFormat="1">
      <c r="A142" s="74"/>
      <c r="B142" s="74" t="s">
        <v>281</v>
      </c>
      <c r="C142" s="76">
        <v>8.4102300000000003</v>
      </c>
      <c r="D142" s="76">
        <v>83.311320000000009</v>
      </c>
      <c r="E142" s="75">
        <v>200</v>
      </c>
      <c r="F142" s="76">
        <v>10</v>
      </c>
      <c r="G142" s="76">
        <v>21</v>
      </c>
      <c r="H142" s="75">
        <v>7</v>
      </c>
      <c r="I142" s="75">
        <v>1229.9794233337609</v>
      </c>
      <c r="J142" s="75">
        <v>21.963918273817161</v>
      </c>
      <c r="K142" s="75">
        <v>175.71134619053728</v>
      </c>
      <c r="L142" s="75">
        <v>614.98971166688045</v>
      </c>
      <c r="M142" s="75">
        <v>87.855673095268642</v>
      </c>
      <c r="N142"/>
    </row>
    <row r="143" spans="1:14" s="39" customFormat="1">
      <c r="A143" s="74"/>
      <c r="B143" s="74" t="s">
        <v>282</v>
      </c>
      <c r="C143" s="76">
        <v>8.4102300000000003</v>
      </c>
      <c r="D143" s="76">
        <v>83.311320000000009</v>
      </c>
      <c r="E143" s="75">
        <v>200</v>
      </c>
      <c r="F143" s="76">
        <v>10</v>
      </c>
      <c r="G143" s="76">
        <v>21</v>
      </c>
      <c r="H143" s="75">
        <v>6</v>
      </c>
      <c r="I143" s="75">
        <v>1486.5650571975298</v>
      </c>
      <c r="J143" s="75">
        <v>30.97010535828187</v>
      </c>
      <c r="K143" s="75">
        <v>247.76084286625496</v>
      </c>
      <c r="L143" s="75">
        <v>743.28252859876488</v>
      </c>
      <c r="M143" s="75">
        <v>123.88042143312748</v>
      </c>
      <c r="N143"/>
    </row>
    <row r="144" spans="1:14" s="39" customFormat="1">
      <c r="A144" s="74"/>
      <c r="B144" s="74" t="s">
        <v>283</v>
      </c>
      <c r="C144" s="76">
        <v>8.4102300000000003</v>
      </c>
      <c r="D144" s="76">
        <v>83.311319999999995</v>
      </c>
      <c r="E144" s="75">
        <v>200</v>
      </c>
      <c r="F144" s="76">
        <v>10</v>
      </c>
      <c r="G144" s="76">
        <v>21</v>
      </c>
      <c r="H144" s="75">
        <v>3</v>
      </c>
      <c r="I144" s="75">
        <v>961.84322640470327</v>
      </c>
      <c r="J144" s="75">
        <v>40.076801100195972</v>
      </c>
      <c r="K144" s="75">
        <v>320.61440880156778</v>
      </c>
      <c r="L144" s="75">
        <v>480.92161320235164</v>
      </c>
      <c r="M144" s="75">
        <v>160.30720440078389</v>
      </c>
      <c r="N144"/>
    </row>
    <row r="145" spans="1:14" s="39" customFormat="1">
      <c r="A145" s="74">
        <v>200.4</v>
      </c>
      <c r="B145"/>
      <c r="C145" s="75">
        <v>8.4099199999999996</v>
      </c>
      <c r="D145" s="75">
        <v>83.311720000000051</v>
      </c>
      <c r="E145" s="75">
        <v>200</v>
      </c>
      <c r="F145" s="75">
        <v>5</v>
      </c>
      <c r="G145" s="75">
        <v>21</v>
      </c>
      <c r="H145" s="75">
        <v>47</v>
      </c>
      <c r="I145" s="75">
        <v>4858.8429229218264</v>
      </c>
      <c r="J145" s="75">
        <v>12.922454582238901</v>
      </c>
      <c r="K145" s="75">
        <v>103.37963665791121</v>
      </c>
      <c r="L145" s="75">
        <v>2429.4214614609132</v>
      </c>
      <c r="M145" s="75">
        <v>51.689818328955603</v>
      </c>
      <c r="N145"/>
    </row>
    <row r="146" spans="1:14" s="74" customFormat="1">
      <c r="B146" s="74" t="s">
        <v>279</v>
      </c>
      <c r="C146" s="76">
        <v>8.4099199999999996</v>
      </c>
      <c r="D146" s="76">
        <v>83.311719999999994</v>
      </c>
      <c r="E146" s="75">
        <v>200</v>
      </c>
      <c r="F146" s="76">
        <v>5</v>
      </c>
      <c r="G146" s="76">
        <v>21</v>
      </c>
      <c r="H146" s="75">
        <v>1</v>
      </c>
      <c r="I146" s="75">
        <v>12.146464628005049</v>
      </c>
      <c r="J146" s="75">
        <v>1.5183080785006311</v>
      </c>
      <c r="K146" s="75">
        <v>12.146464628005049</v>
      </c>
      <c r="L146" s="75">
        <v>6.0732323140025244</v>
      </c>
      <c r="M146" s="75">
        <v>6.0732323140025244</v>
      </c>
      <c r="N146"/>
    </row>
    <row r="147" spans="1:14" s="39" customFormat="1">
      <c r="A147" s="74"/>
      <c r="B147" s="74" t="s">
        <v>280</v>
      </c>
      <c r="C147" s="76">
        <v>8.4099199999999996</v>
      </c>
      <c r="D147" s="76">
        <v>83.311719999999994</v>
      </c>
      <c r="E147" s="75">
        <v>200</v>
      </c>
      <c r="F147" s="76">
        <v>5</v>
      </c>
      <c r="G147" s="76">
        <v>21</v>
      </c>
      <c r="H147" s="75">
        <v>30</v>
      </c>
      <c r="I147" s="75">
        <v>921.95191486920976</v>
      </c>
      <c r="J147" s="75">
        <v>3.8414663119550405</v>
      </c>
      <c r="K147" s="75">
        <v>30.731730495640324</v>
      </c>
      <c r="L147" s="75">
        <v>460.97595743460488</v>
      </c>
      <c r="M147" s="75">
        <v>15.365865247820162</v>
      </c>
      <c r="N147"/>
    </row>
    <row r="148" spans="1:14" s="39" customFormat="1">
      <c r="A148" s="74"/>
      <c r="B148" s="74" t="s">
        <v>281</v>
      </c>
      <c r="C148" s="76">
        <v>8.4099199999999996</v>
      </c>
      <c r="D148" s="76">
        <v>83.311720000000008</v>
      </c>
      <c r="E148" s="75">
        <v>200</v>
      </c>
      <c r="F148" s="76">
        <v>5</v>
      </c>
      <c r="G148" s="76">
        <v>21</v>
      </c>
      <c r="H148" s="75">
        <v>12</v>
      </c>
      <c r="I148" s="75">
        <v>1744.4186919058302</v>
      </c>
      <c r="J148" s="75">
        <v>18.17102804068573</v>
      </c>
      <c r="K148" s="75">
        <v>145.36822432548584</v>
      </c>
      <c r="L148" s="75">
        <v>872.2093459529151</v>
      </c>
      <c r="M148" s="75">
        <v>72.68411216274292</v>
      </c>
      <c r="N148"/>
    </row>
    <row r="149" spans="1:14" s="39" customFormat="1">
      <c r="A149" s="74"/>
      <c r="B149" s="74" t="s">
        <v>282</v>
      </c>
      <c r="C149" s="76">
        <v>8.4099199999999996</v>
      </c>
      <c r="D149" s="76">
        <v>83.311719999999994</v>
      </c>
      <c r="E149" s="75">
        <v>200</v>
      </c>
      <c r="F149" s="76">
        <v>5</v>
      </c>
      <c r="G149" s="76">
        <v>21</v>
      </c>
      <c r="H149" s="75">
        <v>3</v>
      </c>
      <c r="I149" s="75">
        <v>966.71292032187318</v>
      </c>
      <c r="J149" s="75">
        <v>40.27970501341138</v>
      </c>
      <c r="K149" s="75">
        <v>322.23764010729104</v>
      </c>
      <c r="L149" s="75">
        <v>483.35646016093659</v>
      </c>
      <c r="M149" s="75">
        <v>161.11882005364552</v>
      </c>
      <c r="N149"/>
    </row>
    <row r="150" spans="1:14" s="39" customFormat="1">
      <c r="A150" s="74"/>
      <c r="B150" s="74" t="s">
        <v>283</v>
      </c>
      <c r="C150" s="76">
        <v>8.4099199999999996</v>
      </c>
      <c r="D150" s="76">
        <v>83.311719999999994</v>
      </c>
      <c r="E150" s="75">
        <v>200</v>
      </c>
      <c r="F150" s="76">
        <v>5</v>
      </c>
      <c r="G150" s="76">
        <v>21</v>
      </c>
      <c r="H150" s="75">
        <v>1</v>
      </c>
      <c r="I150" s="75">
        <v>1213.6129311969082</v>
      </c>
      <c r="J150" s="75">
        <v>151.70161639961353</v>
      </c>
      <c r="K150" s="75">
        <v>1213.6129311969082</v>
      </c>
      <c r="L150" s="75">
        <v>606.80646559845411</v>
      </c>
      <c r="M150" s="75">
        <v>606.80646559845411</v>
      </c>
      <c r="N150"/>
    </row>
    <row r="151" spans="1:14" s="39" customFormat="1">
      <c r="A151" s="74">
        <v>250.1</v>
      </c>
      <c r="B151"/>
      <c r="C151" s="75">
        <v>8.4103100000000044</v>
      </c>
      <c r="D151" s="75">
        <v>83.31172999999994</v>
      </c>
      <c r="E151" s="75">
        <v>250</v>
      </c>
      <c r="F151" s="75">
        <v>-21</v>
      </c>
      <c r="G151" s="75">
        <v>21.070602344294574</v>
      </c>
      <c r="H151" s="75">
        <v>28</v>
      </c>
      <c r="I151" s="75">
        <v>2799.3822841326937</v>
      </c>
      <c r="J151" s="75">
        <v>12.497242339878097</v>
      </c>
      <c r="K151" s="75">
        <v>99.977938719024777</v>
      </c>
      <c r="L151" s="75">
        <v>1399.6911420663469</v>
      </c>
      <c r="M151" s="75">
        <v>49.988969359512389</v>
      </c>
      <c r="N151"/>
    </row>
    <row r="152" spans="1:14" s="74" customFormat="1">
      <c r="B152" s="74" t="s">
        <v>280</v>
      </c>
      <c r="C152" s="76">
        <v>8.4103099999999991</v>
      </c>
      <c r="D152" s="76">
        <v>83.311729999999983</v>
      </c>
      <c r="E152" s="75">
        <v>250</v>
      </c>
      <c r="F152" s="76">
        <v>-21</v>
      </c>
      <c r="G152" s="76">
        <v>21.070602344294578</v>
      </c>
      <c r="H152" s="75">
        <v>16</v>
      </c>
      <c r="I152" s="75">
        <v>936.53804126219552</v>
      </c>
      <c r="J152" s="75">
        <v>7.3167034473609025</v>
      </c>
      <c r="K152" s="75">
        <v>58.53362757888722</v>
      </c>
      <c r="L152" s="75">
        <v>468.26902063109776</v>
      </c>
      <c r="M152" s="75">
        <v>29.26681378944361</v>
      </c>
      <c r="N152"/>
    </row>
    <row r="153" spans="1:14" s="39" customFormat="1">
      <c r="A153" s="74"/>
      <c r="B153" s="74" t="s">
        <v>281</v>
      </c>
      <c r="C153" s="76">
        <v>8.4103099999999991</v>
      </c>
      <c r="D153" s="76">
        <v>83.311729999999997</v>
      </c>
      <c r="E153" s="75">
        <v>250</v>
      </c>
      <c r="F153" s="76">
        <v>-21</v>
      </c>
      <c r="G153" s="76">
        <v>21.070602344294581</v>
      </c>
      <c r="H153" s="75">
        <v>10</v>
      </c>
      <c r="I153" s="75">
        <v>1478.6769430117401</v>
      </c>
      <c r="J153" s="75">
        <v>18.483461787646753</v>
      </c>
      <c r="K153" s="75">
        <v>147.86769430117403</v>
      </c>
      <c r="L153" s="75">
        <v>739.33847150587007</v>
      </c>
      <c r="M153" s="75">
        <v>73.933847150587013</v>
      </c>
      <c r="N153"/>
    </row>
    <row r="154" spans="1:14" s="39" customFormat="1">
      <c r="A154" s="74"/>
      <c r="B154" s="74" t="s">
        <v>282</v>
      </c>
      <c r="C154" s="76">
        <v>8.4103100000000008</v>
      </c>
      <c r="D154" s="76">
        <v>83.311729999999997</v>
      </c>
      <c r="E154" s="75">
        <v>250</v>
      </c>
      <c r="F154" s="76">
        <v>-21</v>
      </c>
      <c r="G154" s="76">
        <v>21.070602344294585</v>
      </c>
      <c r="H154" s="75">
        <v>2</v>
      </c>
      <c r="I154" s="75">
        <v>384.16729985875804</v>
      </c>
      <c r="J154" s="75">
        <v>24.010456241172378</v>
      </c>
      <c r="K154" s="75">
        <v>192.08364992937902</v>
      </c>
      <c r="L154" s="75">
        <v>192.08364992937902</v>
      </c>
      <c r="M154" s="75">
        <v>96.041824964689511</v>
      </c>
      <c r="N154"/>
    </row>
    <row r="155" spans="1:14" s="39" customFormat="1">
      <c r="A155" s="74">
        <v>250.2</v>
      </c>
      <c r="B155"/>
      <c r="C155" s="75">
        <v>8.4106699999999925</v>
      </c>
      <c r="D155" s="75">
        <v>83.311130000000034</v>
      </c>
      <c r="E155" s="75">
        <v>250</v>
      </c>
      <c r="F155" s="75">
        <v>-14</v>
      </c>
      <c r="G155" s="75">
        <v>21.162095610230232</v>
      </c>
      <c r="H155" s="75">
        <v>66</v>
      </c>
      <c r="I155" s="75">
        <v>4942.5788722694379</v>
      </c>
      <c r="J155" s="75">
        <v>9.3609448338436323</v>
      </c>
      <c r="K155" s="75">
        <v>74.887558670749058</v>
      </c>
      <c r="L155" s="75">
        <v>2471.2894361347189</v>
      </c>
      <c r="M155" s="75">
        <v>37.443779335374529</v>
      </c>
      <c r="N155"/>
    </row>
    <row r="156" spans="1:14" s="74" customFormat="1">
      <c r="B156" s="74" t="s">
        <v>280</v>
      </c>
      <c r="C156" s="76">
        <v>8.4106699999999979</v>
      </c>
      <c r="D156" s="76">
        <v>83.311130000000034</v>
      </c>
      <c r="E156" s="75">
        <v>250</v>
      </c>
      <c r="F156" s="76">
        <v>-14</v>
      </c>
      <c r="G156" s="76">
        <v>21.16209561023026</v>
      </c>
      <c r="H156" s="75">
        <v>41</v>
      </c>
      <c r="I156" s="75">
        <v>2576.0407828040034</v>
      </c>
      <c r="J156" s="75">
        <v>7.8537828744024489</v>
      </c>
      <c r="K156" s="75">
        <v>62.830262995219591</v>
      </c>
      <c r="L156" s="75">
        <v>1288.0203914020017</v>
      </c>
      <c r="M156" s="75">
        <v>31.415131497609796</v>
      </c>
      <c r="N156"/>
    </row>
    <row r="157" spans="1:14" s="39" customFormat="1">
      <c r="A157" s="74"/>
      <c r="B157" s="74" t="s">
        <v>281</v>
      </c>
      <c r="C157" s="76">
        <v>8.4106700000000014</v>
      </c>
      <c r="D157" s="76">
        <v>83.311130000000034</v>
      </c>
      <c r="E157" s="75">
        <v>250</v>
      </c>
      <c r="F157" s="76">
        <v>-14</v>
      </c>
      <c r="G157" s="76">
        <v>21.162095610230253</v>
      </c>
      <c r="H157" s="75">
        <v>23</v>
      </c>
      <c r="I157" s="75">
        <v>1877.6485322429019</v>
      </c>
      <c r="J157" s="75">
        <v>10.20461158827664</v>
      </c>
      <c r="K157" s="75">
        <v>81.636892706213118</v>
      </c>
      <c r="L157" s="75">
        <v>938.82426612145093</v>
      </c>
      <c r="M157" s="75">
        <v>40.818446353106559</v>
      </c>
      <c r="N157"/>
    </row>
    <row r="158" spans="1:14" s="39" customFormat="1">
      <c r="A158" s="74"/>
      <c r="B158" s="74" t="s">
        <v>282</v>
      </c>
      <c r="C158" s="76">
        <v>8.4106699999999996</v>
      </c>
      <c r="D158" s="76">
        <v>83.311130000000006</v>
      </c>
      <c r="E158" s="75">
        <v>250</v>
      </c>
      <c r="F158" s="76">
        <v>-14</v>
      </c>
      <c r="G158" s="76">
        <v>21.162095610230239</v>
      </c>
      <c r="H158" s="75">
        <v>2</v>
      </c>
      <c r="I158" s="75">
        <v>488.88955722253286</v>
      </c>
      <c r="J158" s="75">
        <v>30.555597326408304</v>
      </c>
      <c r="K158" s="75">
        <v>244.44477861126643</v>
      </c>
      <c r="L158" s="75">
        <v>244.44477861126643</v>
      </c>
      <c r="M158" s="75">
        <v>122.22238930563321</v>
      </c>
      <c r="N158"/>
    </row>
    <row r="159" spans="1:14" s="39" customFormat="1">
      <c r="A159" s="74">
        <v>300.10000000000002</v>
      </c>
      <c r="B159"/>
      <c r="C159" s="75">
        <v>8.4108100000000121</v>
      </c>
      <c r="D159" s="75">
        <v>83.311380000000071</v>
      </c>
      <c r="E159" s="75">
        <v>300</v>
      </c>
      <c r="F159" s="75">
        <v>12</v>
      </c>
      <c r="G159" s="75">
        <v>21.221924545521937</v>
      </c>
      <c r="H159" s="75">
        <v>61</v>
      </c>
      <c r="I159" s="75">
        <v>5103.4582893575034</v>
      </c>
      <c r="J159" s="75">
        <v>10.457906330650621</v>
      </c>
      <c r="K159" s="75">
        <v>83.663250645204968</v>
      </c>
      <c r="L159" s="75">
        <v>2551.7291446787517</v>
      </c>
      <c r="M159" s="75">
        <v>41.831625322602484</v>
      </c>
      <c r="N159"/>
    </row>
    <row r="160" spans="1:14" s="74" customFormat="1">
      <c r="B160" s="74" t="s">
        <v>279</v>
      </c>
      <c r="C160" s="76">
        <v>8.4108099999999997</v>
      </c>
      <c r="D160" s="76">
        <v>83.31138</v>
      </c>
      <c r="E160" s="75">
        <v>300</v>
      </c>
      <c r="F160" s="76">
        <v>12</v>
      </c>
      <c r="G160" s="76">
        <v>21.221924545521965</v>
      </c>
      <c r="H160" s="75">
        <v>2</v>
      </c>
      <c r="I160" s="75">
        <v>16.339510263800616</v>
      </c>
      <c r="J160" s="75">
        <v>1.0212193914875385</v>
      </c>
      <c r="K160" s="75">
        <v>8.1697551319003079</v>
      </c>
      <c r="L160" s="75">
        <v>8.1697551319003079</v>
      </c>
      <c r="M160" s="75">
        <v>4.0848775659501539</v>
      </c>
      <c r="N160"/>
    </row>
    <row r="161" spans="1:14" s="39" customFormat="1">
      <c r="A161" s="74"/>
      <c r="B161" s="74" t="s">
        <v>280</v>
      </c>
      <c r="C161" s="76">
        <v>8.4108099999999997</v>
      </c>
      <c r="D161" s="76">
        <v>83.311380000000057</v>
      </c>
      <c r="E161" s="75">
        <v>300</v>
      </c>
      <c r="F161" s="76">
        <v>12</v>
      </c>
      <c r="G161" s="76">
        <v>21.221924545521958</v>
      </c>
      <c r="H161" s="75">
        <v>31</v>
      </c>
      <c r="I161" s="75">
        <v>1847.1512780388427</v>
      </c>
      <c r="J161" s="75">
        <v>7.4481906372533979</v>
      </c>
      <c r="K161" s="75">
        <v>59.585525098027183</v>
      </c>
      <c r="L161" s="75">
        <v>923.57563901942137</v>
      </c>
      <c r="M161" s="75">
        <v>29.792762549013592</v>
      </c>
      <c r="N161"/>
    </row>
    <row r="162" spans="1:14" s="39" customFormat="1">
      <c r="A162" s="74"/>
      <c r="B162" s="74" t="s">
        <v>281</v>
      </c>
      <c r="C162" s="76">
        <v>8.4108099999999997</v>
      </c>
      <c r="D162" s="76">
        <v>83.311380000000042</v>
      </c>
      <c r="E162" s="75">
        <v>300</v>
      </c>
      <c r="F162" s="76">
        <v>12</v>
      </c>
      <c r="G162" s="76">
        <v>21.221924545521968</v>
      </c>
      <c r="H162" s="75">
        <v>24</v>
      </c>
      <c r="I162" s="75">
        <v>2465.5485917316587</v>
      </c>
      <c r="J162" s="75">
        <v>12.841398915269055</v>
      </c>
      <c r="K162" s="75">
        <v>102.73119132215244</v>
      </c>
      <c r="L162" s="75">
        <v>1232.7742958658293</v>
      </c>
      <c r="M162" s="75">
        <v>51.36559566107622</v>
      </c>
      <c r="N162"/>
    </row>
    <row r="163" spans="1:14" s="39" customFormat="1">
      <c r="A163" s="74"/>
      <c r="B163" s="74" t="s">
        <v>282</v>
      </c>
      <c r="C163" s="76">
        <v>8.4108099999999997</v>
      </c>
      <c r="D163" s="76">
        <v>83.31138</v>
      </c>
      <c r="E163" s="75">
        <v>300</v>
      </c>
      <c r="F163" s="76">
        <v>12</v>
      </c>
      <c r="G163" s="76">
        <v>21.221924545521965</v>
      </c>
      <c r="H163" s="75">
        <v>3</v>
      </c>
      <c r="I163" s="75">
        <v>452.36440964556141</v>
      </c>
      <c r="J163" s="75">
        <v>18.848517068565059</v>
      </c>
      <c r="K163" s="75">
        <v>150.78813654852047</v>
      </c>
      <c r="L163" s="75">
        <v>226.1822048227807</v>
      </c>
      <c r="M163" s="75">
        <v>75.394068274260235</v>
      </c>
      <c r="N163"/>
    </row>
    <row r="164" spans="1:14" s="39" customFormat="1">
      <c r="A164" s="74"/>
      <c r="B164" s="74" t="s">
        <v>283</v>
      </c>
      <c r="C164" s="76">
        <v>8.4108099999999997</v>
      </c>
      <c r="D164" s="76">
        <v>83.31138</v>
      </c>
      <c r="E164" s="75">
        <v>300</v>
      </c>
      <c r="F164" s="76">
        <v>12</v>
      </c>
      <c r="G164" s="76">
        <v>21.221924545521965</v>
      </c>
      <c r="H164" s="75">
        <v>1</v>
      </c>
      <c r="I164" s="75">
        <v>322.05449967763968</v>
      </c>
      <c r="J164" s="75">
        <v>40.25681245970496</v>
      </c>
      <c r="K164" s="75">
        <v>322.05449967763968</v>
      </c>
      <c r="L164" s="75">
        <v>161.02724983881984</v>
      </c>
      <c r="M164" s="75">
        <v>161.02724983881984</v>
      </c>
      <c r="N164"/>
    </row>
    <row r="165" spans="1:14" s="74" customFormat="1">
      <c r="A165" s="74">
        <v>50.11</v>
      </c>
      <c r="B165"/>
      <c r="C165" s="75">
        <v>8.4109900000000088</v>
      </c>
      <c r="D165" s="75">
        <v>83.314139999999966</v>
      </c>
      <c r="E165" s="75">
        <v>50</v>
      </c>
      <c r="F165" s="75">
        <v>8</v>
      </c>
      <c r="G165" s="75">
        <v>21</v>
      </c>
      <c r="H165" s="75">
        <v>50</v>
      </c>
      <c r="I165" s="75">
        <v>2764.9276870500053</v>
      </c>
      <c r="J165" s="75">
        <v>6.9123192176250132</v>
      </c>
      <c r="K165" s="75">
        <v>55.298553741000106</v>
      </c>
      <c r="L165" s="75">
        <v>1382.4638435250026</v>
      </c>
      <c r="M165" s="75">
        <v>27.649276870500053</v>
      </c>
    </row>
    <row r="166" spans="1:14">
      <c r="A166" s="74"/>
      <c r="B166" s="74" t="s">
        <v>279</v>
      </c>
      <c r="C166" s="71">
        <v>8.41099</v>
      </c>
      <c r="D166" s="71">
        <v>83.314139999999995</v>
      </c>
      <c r="E166" s="75">
        <v>50</v>
      </c>
      <c r="F166" s="71">
        <v>8</v>
      </c>
      <c r="G166" s="71">
        <v>21</v>
      </c>
      <c r="H166" s="75">
        <v>2</v>
      </c>
      <c r="I166" s="75">
        <v>36.057476737350704</v>
      </c>
      <c r="J166" s="75">
        <v>2.253592296084419</v>
      </c>
      <c r="K166" s="75">
        <v>18.028738368675352</v>
      </c>
      <c r="L166" s="75">
        <v>18.028738368675352</v>
      </c>
      <c r="M166" s="75">
        <v>9.0143691843376761</v>
      </c>
    </row>
    <row r="167" spans="1:14">
      <c r="A167" s="74"/>
      <c r="B167" s="74" t="s">
        <v>280</v>
      </c>
      <c r="C167" s="71">
        <v>8.41099</v>
      </c>
      <c r="D167" s="71">
        <v>83.314139999999966</v>
      </c>
      <c r="E167" s="75">
        <v>50</v>
      </c>
      <c r="F167" s="71">
        <v>8</v>
      </c>
      <c r="G167" s="71">
        <v>21</v>
      </c>
      <c r="H167" s="75">
        <v>33</v>
      </c>
      <c r="I167" s="75">
        <v>1067.2290935814519</v>
      </c>
      <c r="J167" s="75">
        <v>4.0425344453842875</v>
      </c>
      <c r="K167" s="75">
        <v>32.3402755630743</v>
      </c>
      <c r="L167" s="75">
        <v>533.61454679072597</v>
      </c>
      <c r="M167" s="75">
        <v>16.17013778153715</v>
      </c>
    </row>
    <row r="168" spans="1:14">
      <c r="A168" s="74"/>
      <c r="B168" s="74" t="s">
        <v>281</v>
      </c>
      <c r="C168" s="71">
        <v>8.41099</v>
      </c>
      <c r="D168" s="71">
        <v>83.314139999999981</v>
      </c>
      <c r="E168" s="75">
        <v>50</v>
      </c>
      <c r="F168" s="71">
        <v>8</v>
      </c>
      <c r="G168" s="71">
        <v>21</v>
      </c>
      <c r="H168" s="75">
        <v>10</v>
      </c>
      <c r="I168" s="75">
        <v>1087.3627817256413</v>
      </c>
      <c r="J168" s="75">
        <v>13.592034771570516</v>
      </c>
      <c r="K168" s="75">
        <v>108.73627817256413</v>
      </c>
      <c r="L168" s="75">
        <v>543.68139086282065</v>
      </c>
      <c r="M168" s="75">
        <v>54.368139086282063</v>
      </c>
    </row>
    <row r="169" spans="1:14">
      <c r="A169" s="74"/>
      <c r="B169" s="74" t="s">
        <v>282</v>
      </c>
      <c r="C169" s="71">
        <v>8.41099</v>
      </c>
      <c r="D169" s="71">
        <v>83.314139999999995</v>
      </c>
      <c r="E169" s="75">
        <v>50</v>
      </c>
      <c r="F169" s="71">
        <v>8</v>
      </c>
      <c r="G169" s="71">
        <v>21</v>
      </c>
      <c r="H169" s="75">
        <v>5</v>
      </c>
      <c r="I169" s="75">
        <v>574.27833500556142</v>
      </c>
      <c r="J169" s="75">
        <v>14.356958375139035</v>
      </c>
      <c r="K169" s="75">
        <v>114.85566700111228</v>
      </c>
      <c r="L169" s="75">
        <v>287.13916750278071</v>
      </c>
      <c r="M169" s="75">
        <v>57.42783350055614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355"/>
  <sheetViews>
    <sheetView workbookViewId="0">
      <selection activeCell="I342" sqref="I342"/>
    </sheetView>
  </sheetViews>
  <sheetFormatPr baseColWidth="10" defaultRowHeight="16"/>
  <cols>
    <col min="1" max="1" width="26.5" customWidth="1"/>
    <col min="2" max="2" width="14.83203125" bestFit="1" customWidth="1"/>
    <col min="3" max="3" width="11.33203125" bestFit="1" customWidth="1"/>
    <col min="4" max="4" width="36.1640625" bestFit="1" customWidth="1"/>
    <col min="5" max="5" width="22.83203125" bestFit="1" customWidth="1"/>
    <col min="6" max="6" width="22.1640625" customWidth="1"/>
    <col min="7" max="7" width="22.1640625" bestFit="1" customWidth="1"/>
    <col min="8" max="8" width="22.6640625" bestFit="1" customWidth="1"/>
    <col min="9" max="9" width="12.83203125" bestFit="1" customWidth="1"/>
  </cols>
  <sheetData>
    <row r="3" spans="1:9">
      <c r="B3" s="70" t="s">
        <v>266</v>
      </c>
    </row>
    <row r="4" spans="1:9">
      <c r="A4" s="70" t="s">
        <v>268</v>
      </c>
      <c r="B4" t="s">
        <v>289</v>
      </c>
      <c r="C4" t="s">
        <v>291</v>
      </c>
      <c r="D4" t="s">
        <v>290</v>
      </c>
      <c r="E4" t="s">
        <v>286</v>
      </c>
      <c r="F4" t="s">
        <v>273</v>
      </c>
      <c r="G4" t="s">
        <v>277</v>
      </c>
      <c r="H4" t="s">
        <v>274</v>
      </c>
      <c r="I4" s="2" t="s">
        <v>292</v>
      </c>
    </row>
    <row r="5" spans="1:9">
      <c r="A5" s="72">
        <v>50.1</v>
      </c>
      <c r="B5" s="71">
        <v>43</v>
      </c>
      <c r="C5" s="78">
        <v>3.462157809983897E-2</v>
      </c>
      <c r="D5" s="71">
        <v>0.39923255813953457</v>
      </c>
      <c r="E5" s="71">
        <v>1.2579311975999996</v>
      </c>
      <c r="F5" s="71">
        <v>4557.4042380590854</v>
      </c>
      <c r="G5" s="71">
        <v>569.67552975738568</v>
      </c>
      <c r="H5" s="71">
        <v>2278.7021190295427</v>
      </c>
      <c r="I5" s="75">
        <f>SUM(I6:I12)</f>
        <v>0.97644283197088477</v>
      </c>
    </row>
    <row r="6" spans="1:9">
      <c r="A6" s="73" t="s">
        <v>231</v>
      </c>
      <c r="B6" s="71">
        <v>1</v>
      </c>
      <c r="C6" s="78">
        <v>8.0515297906602254E-4</v>
      </c>
      <c r="D6" s="71">
        <v>0.57999999999999996</v>
      </c>
      <c r="E6" s="71">
        <v>1.2867993600000002E-2</v>
      </c>
      <c r="F6" s="71">
        <v>72.92231823507494</v>
      </c>
      <c r="G6" s="71">
        <v>9.1152897793843675</v>
      </c>
      <c r="H6" s="71">
        <v>36.46115911753747</v>
      </c>
      <c r="I6">
        <f>-B6/B5*LN(B6/B5)</f>
        <v>8.746977013240842E-2</v>
      </c>
    </row>
    <row r="7" spans="1:9">
      <c r="A7" s="73" t="s">
        <v>149</v>
      </c>
      <c r="B7" s="71">
        <v>1</v>
      </c>
      <c r="C7" s="78">
        <v>8.0515297906602254E-4</v>
      </c>
      <c r="D7" s="71">
        <v>0.41699999999999998</v>
      </c>
      <c r="E7" s="71">
        <v>2.5517646000000004E-3</v>
      </c>
      <c r="F7" s="71">
        <v>5.7386231762832187</v>
      </c>
      <c r="G7" s="71">
        <v>0.71732789703540234</v>
      </c>
      <c r="H7" s="71">
        <v>2.8693115881416094</v>
      </c>
      <c r="I7">
        <f>-B7/B5*LN(B7/B5)</f>
        <v>8.746977013240842E-2</v>
      </c>
    </row>
    <row r="8" spans="1:9">
      <c r="A8" s="73" t="s">
        <v>54</v>
      </c>
      <c r="B8" s="71">
        <v>4</v>
      </c>
      <c r="C8" s="78">
        <v>3.2206119162640902E-3</v>
      </c>
      <c r="D8" s="71">
        <v>0.315</v>
      </c>
      <c r="E8" s="71">
        <v>0.15998676540000001</v>
      </c>
      <c r="F8" s="71">
        <v>581.13478107958292</v>
      </c>
      <c r="G8" s="71">
        <v>72.641847634947865</v>
      </c>
      <c r="H8" s="71">
        <v>290.56739053979146</v>
      </c>
      <c r="I8">
        <f>-B8/B5*LN(B8/B5)</f>
        <v>0.22092146554173692</v>
      </c>
    </row>
    <row r="9" spans="1:9">
      <c r="A9" s="73" t="s">
        <v>39</v>
      </c>
      <c r="B9" s="71">
        <v>32</v>
      </c>
      <c r="C9" s="78">
        <v>2.5764895330112721E-2</v>
      </c>
      <c r="D9" s="71">
        <v>0.36999999999999977</v>
      </c>
      <c r="E9" s="71">
        <v>1.0020643709999999</v>
      </c>
      <c r="F9" s="71">
        <v>3708.2474764156732</v>
      </c>
      <c r="G9" s="71">
        <v>463.53093455195915</v>
      </c>
      <c r="H9" s="71">
        <v>1854.1237382078366</v>
      </c>
      <c r="I9">
        <f>-B9/B5*LN(B9/B5)</f>
        <v>0.21988034447913368</v>
      </c>
    </row>
    <row r="10" spans="1:9">
      <c r="A10" s="73" t="s">
        <v>222</v>
      </c>
      <c r="B10" s="71">
        <v>1</v>
      </c>
      <c r="C10" s="78">
        <v>8.0515297906602254E-4</v>
      </c>
      <c r="D10" s="71">
        <v>0.24</v>
      </c>
      <c r="E10" s="71">
        <v>6.33472224E-2</v>
      </c>
      <c r="F10" s="71">
        <v>118.26399659289071</v>
      </c>
      <c r="G10" s="71">
        <v>14.782999574111338</v>
      </c>
      <c r="H10" s="71">
        <v>59.131998296445353</v>
      </c>
      <c r="I10">
        <f>-B10/B5*LN(B10/B5)</f>
        <v>8.746977013240842E-2</v>
      </c>
    </row>
    <row r="11" spans="1:9">
      <c r="A11" s="73" t="s">
        <v>47</v>
      </c>
      <c r="B11" s="71">
        <v>3</v>
      </c>
      <c r="C11" s="78">
        <v>2.4154589371980675E-3</v>
      </c>
      <c r="D11" s="71">
        <v>0.75</v>
      </c>
      <c r="E11" s="71">
        <v>1.4285640600000003E-2</v>
      </c>
      <c r="F11" s="71">
        <v>62.463488857953749</v>
      </c>
      <c r="G11" s="71">
        <v>7.8079361072442186</v>
      </c>
      <c r="H11" s="71">
        <v>31.231744428976874</v>
      </c>
      <c r="I11">
        <f>-B11/B5*LN(B11/B5)</f>
        <v>0.18576194142038044</v>
      </c>
    </row>
    <row r="12" spans="1:9">
      <c r="A12" s="73" t="s">
        <v>150</v>
      </c>
      <c r="B12" s="71">
        <v>1</v>
      </c>
      <c r="C12" s="78">
        <v>8.0515297906602254E-4</v>
      </c>
      <c r="D12" s="71">
        <v>0.57999999999999996</v>
      </c>
      <c r="E12" s="71">
        <v>2.8274400000000001E-3</v>
      </c>
      <c r="F12" s="71">
        <v>8.6335537016279122</v>
      </c>
      <c r="G12" s="71">
        <v>1.079194212703489</v>
      </c>
      <c r="H12" s="71">
        <v>4.3167768508139561</v>
      </c>
      <c r="I12">
        <f>-B12/B5*LN(B12/B5)</f>
        <v>8.746977013240842E-2</v>
      </c>
    </row>
    <row r="13" spans="1:9">
      <c r="A13" s="72">
        <v>50.11</v>
      </c>
      <c r="B13" s="71">
        <v>50</v>
      </c>
      <c r="C13" s="78">
        <v>4.0257648953301126E-2</v>
      </c>
      <c r="D13" s="71">
        <v>0.46379999999999993</v>
      </c>
      <c r="E13" s="71">
        <v>0.92990908395000016</v>
      </c>
      <c r="F13" s="71">
        <v>2764.9276870500057</v>
      </c>
      <c r="G13" s="71">
        <v>345.61596088125071</v>
      </c>
      <c r="H13" s="71">
        <v>1382.4638435250029</v>
      </c>
      <c r="I13" s="74">
        <f>SUM(I14:I24)</f>
        <v>2.0361985943618315</v>
      </c>
    </row>
    <row r="14" spans="1:9">
      <c r="A14" s="73" t="s">
        <v>191</v>
      </c>
      <c r="B14" s="71">
        <v>1</v>
      </c>
      <c r="C14" s="78">
        <v>8.0515297906602254E-4</v>
      </c>
      <c r="D14" s="71">
        <v>0.14000000000000001</v>
      </c>
      <c r="E14" s="71">
        <v>0.11400944940000002</v>
      </c>
      <c r="F14" s="71">
        <v>148.89652442288173</v>
      </c>
      <c r="G14" s="71">
        <v>18.612065552860216</v>
      </c>
      <c r="H14" s="71">
        <v>74.448262211440863</v>
      </c>
      <c r="I14">
        <f>-B14/B13*LN(B14/B13)</f>
        <v>7.824046010856292E-2</v>
      </c>
    </row>
    <row r="15" spans="1:9">
      <c r="A15" s="73" t="s">
        <v>220</v>
      </c>
      <c r="B15" s="71">
        <v>1</v>
      </c>
      <c r="C15" s="78">
        <v>8.0515297906602254E-4</v>
      </c>
      <c r="D15" s="71">
        <v>0.35</v>
      </c>
      <c r="E15" s="71">
        <v>9.5033400000000007E-3</v>
      </c>
      <c r="F15" s="71">
        <v>21.342559089698554</v>
      </c>
      <c r="G15" s="71">
        <v>2.6678198862123192</v>
      </c>
      <c r="H15" s="71">
        <v>10.671279544849277</v>
      </c>
      <c r="I15">
        <f>-B15/B13*LN(B15/B13)</f>
        <v>7.824046010856292E-2</v>
      </c>
    </row>
    <row r="16" spans="1:9">
      <c r="A16" s="73" t="s">
        <v>124</v>
      </c>
      <c r="B16" s="71">
        <v>2</v>
      </c>
      <c r="C16" s="78">
        <v>1.6103059581320451E-3</v>
      </c>
      <c r="D16" s="71">
        <v>0.47</v>
      </c>
      <c r="E16" s="71">
        <v>5.377241100000001E-3</v>
      </c>
      <c r="F16" s="71">
        <v>11.621617286537631</v>
      </c>
      <c r="G16" s="71">
        <v>1.4527021608172039</v>
      </c>
      <c r="H16" s="71">
        <v>5.8108086432688157</v>
      </c>
      <c r="I16">
        <f>-B16/B13*LN(B16/B13)</f>
        <v>0.12875503299472801</v>
      </c>
    </row>
    <row r="17" spans="1:9">
      <c r="A17" s="73" t="s">
        <v>54</v>
      </c>
      <c r="B17" s="71">
        <v>8</v>
      </c>
      <c r="C17" s="78">
        <v>6.4412238325281803E-3</v>
      </c>
      <c r="D17" s="71">
        <v>0.315</v>
      </c>
      <c r="E17" s="71">
        <v>0.16679264910000002</v>
      </c>
      <c r="F17" s="71">
        <v>489.28641211502793</v>
      </c>
      <c r="G17" s="71">
        <v>61.160801514378491</v>
      </c>
      <c r="H17" s="71">
        <v>244.64320605751396</v>
      </c>
      <c r="I17">
        <f>-B17/B13*LN(B17/B13)</f>
        <v>0.29321303419972966</v>
      </c>
    </row>
    <row r="18" spans="1:9">
      <c r="A18" s="73" t="s">
        <v>97</v>
      </c>
      <c r="B18" s="71">
        <v>11</v>
      </c>
      <c r="C18" s="78">
        <v>8.8566827697262474E-3</v>
      </c>
      <c r="D18" s="71">
        <v>0.57999999999999996</v>
      </c>
      <c r="E18" s="71">
        <v>0.2590708659</v>
      </c>
      <c r="F18" s="71">
        <v>979.9688617465107</v>
      </c>
      <c r="G18" s="71">
        <v>122.49610771831384</v>
      </c>
      <c r="H18" s="71">
        <v>489.98443087325535</v>
      </c>
      <c r="I18">
        <f>-B18/B13*LN(B18/B13)</f>
        <v>0.33310810117855061</v>
      </c>
    </row>
    <row r="19" spans="1:9">
      <c r="A19" s="73" t="s">
        <v>96</v>
      </c>
      <c r="B19" s="71">
        <v>3</v>
      </c>
      <c r="C19" s="78">
        <v>2.4154589371980675E-3</v>
      </c>
      <c r="D19" s="71">
        <v>0.48</v>
      </c>
      <c r="E19" s="71">
        <v>7.5514835550000006E-2</v>
      </c>
      <c r="F19" s="71">
        <v>218.63221671411281</v>
      </c>
      <c r="G19" s="71">
        <v>27.329027089264102</v>
      </c>
      <c r="H19" s="71">
        <v>109.31610835705641</v>
      </c>
      <c r="I19">
        <f>-B19/B13*LN(B19/B13)</f>
        <v>0.16880464300560219</v>
      </c>
    </row>
    <row r="20" spans="1:9">
      <c r="A20" s="73" t="s">
        <v>39</v>
      </c>
      <c r="B20" s="71">
        <v>10</v>
      </c>
      <c r="C20" s="78">
        <v>8.0515297906602248E-3</v>
      </c>
      <c r="D20" s="71">
        <v>0.37000000000000005</v>
      </c>
      <c r="E20" s="71">
        <v>6.0736749150000005E-2</v>
      </c>
      <c r="F20" s="71">
        <v>125.40835860511187</v>
      </c>
      <c r="G20" s="71">
        <v>15.676044825638984</v>
      </c>
      <c r="H20" s="71">
        <v>62.704179302555936</v>
      </c>
      <c r="I20">
        <f>-B20/B13*LN(B20/B13)</f>
        <v>0.32188758248682009</v>
      </c>
    </row>
    <row r="21" spans="1:9">
      <c r="A21" s="73" t="s">
        <v>122</v>
      </c>
      <c r="B21" s="71">
        <v>3</v>
      </c>
      <c r="C21" s="78">
        <v>2.4154589371980675E-3</v>
      </c>
      <c r="D21" s="71">
        <v>0.69</v>
      </c>
      <c r="E21" s="71">
        <v>1.6744728E-2</v>
      </c>
      <c r="F21" s="71">
        <v>70.240742908943886</v>
      </c>
      <c r="G21" s="71">
        <v>8.7800928636179858</v>
      </c>
      <c r="H21" s="71">
        <v>35.120371454471943</v>
      </c>
      <c r="I21">
        <f>-B21/B13*LN(B21/B13)</f>
        <v>0.16880464300560219</v>
      </c>
    </row>
    <row r="22" spans="1:9">
      <c r="A22" s="73" t="s">
        <v>130</v>
      </c>
      <c r="B22" s="71">
        <v>1</v>
      </c>
      <c r="C22" s="78">
        <v>8.0515297906602254E-4</v>
      </c>
      <c r="D22" s="71">
        <v>0.57999999999999996</v>
      </c>
      <c r="E22" s="71">
        <v>7.2382464000000004E-3</v>
      </c>
      <c r="F22" s="71">
        <v>20.117402800671577</v>
      </c>
      <c r="G22" s="71">
        <v>2.5146753500839472</v>
      </c>
      <c r="H22" s="71">
        <v>10.058701400335789</v>
      </c>
      <c r="I22">
        <f>-B22/B13*LN(B22/B13)</f>
        <v>7.824046010856292E-2</v>
      </c>
    </row>
    <row r="23" spans="1:9">
      <c r="A23" s="73" t="s">
        <v>36</v>
      </c>
      <c r="B23" s="71">
        <v>9</v>
      </c>
      <c r="C23" s="78">
        <v>7.246376811594203E-3</v>
      </c>
      <c r="D23" s="71">
        <v>0.48000000000000004</v>
      </c>
      <c r="E23" s="71">
        <v>0.13119557220000003</v>
      </c>
      <c r="F23" s="71">
        <v>278.32461802168899</v>
      </c>
      <c r="G23" s="71">
        <v>34.790577252711124</v>
      </c>
      <c r="H23" s="71">
        <v>139.1623090108445</v>
      </c>
      <c r="I23">
        <f>-B23/B13*LN(B23/B13)</f>
        <v>0.30866371705654677</v>
      </c>
    </row>
    <row r="24" spans="1:9">
      <c r="A24" s="73" t="s">
        <v>47</v>
      </c>
      <c r="B24" s="71">
        <v>1</v>
      </c>
      <c r="C24" s="78">
        <v>8.0515297906602254E-4</v>
      </c>
      <c r="D24" s="71">
        <v>0.75</v>
      </c>
      <c r="E24" s="71">
        <v>8.3725407149999986E-2</v>
      </c>
      <c r="F24" s="71">
        <v>401.08837333882002</v>
      </c>
      <c r="G24" s="71">
        <v>50.136046667352502</v>
      </c>
      <c r="H24" s="71">
        <v>200.54418666941001</v>
      </c>
      <c r="I24">
        <f>-B24/B13*LN(B24/B13)</f>
        <v>7.824046010856292E-2</v>
      </c>
    </row>
    <row r="25" spans="1:9">
      <c r="A25" s="72">
        <v>50.2</v>
      </c>
      <c r="B25" s="71">
        <v>69</v>
      </c>
      <c r="C25" s="78">
        <v>5.5555555555555552E-2</v>
      </c>
      <c r="D25" s="71">
        <v>0.39543478260869558</v>
      </c>
      <c r="E25" s="71">
        <v>1.471749279</v>
      </c>
      <c r="F25" s="71">
        <v>5189.4471522481081</v>
      </c>
      <c r="G25" s="71">
        <v>648.68089403101351</v>
      </c>
      <c r="H25" s="71">
        <v>2594.723576124054</v>
      </c>
      <c r="I25" s="74">
        <f>SUM(I26:I29)</f>
        <v>0.88481490183483147</v>
      </c>
    </row>
    <row r="26" spans="1:9">
      <c r="A26" s="73" t="s">
        <v>129</v>
      </c>
      <c r="B26" s="71">
        <v>2</v>
      </c>
      <c r="C26" s="78">
        <v>1.6103059581320451E-3</v>
      </c>
      <c r="D26" s="71">
        <v>0.23</v>
      </c>
      <c r="E26" s="71">
        <v>3.67040982E-2</v>
      </c>
      <c r="F26" s="71">
        <v>78.501954792790087</v>
      </c>
      <c r="G26" s="71">
        <v>9.8127443490987609</v>
      </c>
      <c r="H26" s="71">
        <v>39.250977396395044</v>
      </c>
      <c r="I26">
        <f>-B26/B25*LN(B26/B25)</f>
        <v>0.10263650214600911</v>
      </c>
    </row>
    <row r="27" spans="1:9">
      <c r="A27" s="73" t="s">
        <v>54</v>
      </c>
      <c r="B27" s="71">
        <v>3</v>
      </c>
      <c r="C27" s="78">
        <v>2.4154589371980675E-3</v>
      </c>
      <c r="D27" s="71">
        <v>0.315</v>
      </c>
      <c r="E27" s="71">
        <v>7.4305123200000003E-2</v>
      </c>
      <c r="F27" s="71">
        <v>248.58095612734084</v>
      </c>
      <c r="G27" s="71">
        <v>31.072619515917605</v>
      </c>
      <c r="H27" s="71">
        <v>124.29047806367042</v>
      </c>
      <c r="I27">
        <f>-B27/B25*LN(B27/B25)</f>
        <v>0.13632583547518043</v>
      </c>
    </row>
    <row r="28" spans="1:9">
      <c r="A28" s="73" t="s">
        <v>39</v>
      </c>
      <c r="B28" s="71">
        <v>44</v>
      </c>
      <c r="C28" s="78">
        <v>3.542673107890499E-2</v>
      </c>
      <c r="D28" s="71">
        <v>0.36999999999999961</v>
      </c>
      <c r="E28" s="71">
        <v>1.0279857126</v>
      </c>
      <c r="F28" s="71">
        <v>4034.8033797346779</v>
      </c>
      <c r="G28" s="71">
        <v>504.35042246683474</v>
      </c>
      <c r="H28" s="71">
        <v>2017.401689867339</v>
      </c>
      <c r="I28">
        <f>-B28/B25*LN(B28/B25)</f>
        <v>0.28690351173733225</v>
      </c>
    </row>
    <row r="29" spans="1:9">
      <c r="A29" s="73" t="s">
        <v>36</v>
      </c>
      <c r="B29" s="71">
        <v>20</v>
      </c>
      <c r="C29" s="78">
        <v>1.610305958132045E-2</v>
      </c>
      <c r="D29" s="71">
        <v>0.48000000000000026</v>
      </c>
      <c r="E29" s="71">
        <v>0.33275434500000001</v>
      </c>
      <c r="F29" s="71">
        <v>827.56086159329948</v>
      </c>
      <c r="G29" s="71">
        <v>103.44510769916243</v>
      </c>
      <c r="H29" s="71">
        <v>413.78043079664974</v>
      </c>
      <c r="I29">
        <f>-B29/B25*LN(B29/B25)</f>
        <v>0.3589490524763097</v>
      </c>
    </row>
    <row r="30" spans="1:9">
      <c r="A30" s="72">
        <v>50.3</v>
      </c>
      <c r="B30" s="71">
        <v>36</v>
      </c>
      <c r="C30" s="78">
        <v>2.8985507246376812E-2</v>
      </c>
      <c r="D30" s="71">
        <v>0.40202777777777743</v>
      </c>
      <c r="E30" s="71">
        <v>1.1620754838000003</v>
      </c>
      <c r="F30" s="71">
        <v>4728.830681764407</v>
      </c>
      <c r="G30" s="71">
        <v>591.10383522055088</v>
      </c>
      <c r="H30" s="71">
        <v>2364.4153408822035</v>
      </c>
      <c r="I30" s="74">
        <f>SUM(I31:I40)</f>
        <v>1.4117191452723723</v>
      </c>
    </row>
    <row r="31" spans="1:9">
      <c r="A31" s="73" t="s">
        <v>151</v>
      </c>
      <c r="B31" s="71">
        <v>1</v>
      </c>
      <c r="C31" s="78">
        <v>8.0515297906602254E-4</v>
      </c>
      <c r="D31" s="71">
        <v>0.53</v>
      </c>
      <c r="E31" s="71">
        <v>1.0751340599999999E-2</v>
      </c>
      <c r="F31" s="71">
        <v>21.748494557853132</v>
      </c>
      <c r="G31" s="71">
        <v>2.7185618197316415</v>
      </c>
      <c r="H31" s="71">
        <v>10.874247278926566</v>
      </c>
      <c r="I31">
        <f>-B31/B30*LN(B31/B30)</f>
        <v>9.9542192734891941E-2</v>
      </c>
    </row>
    <row r="32" spans="1:9">
      <c r="A32" s="73" t="s">
        <v>220</v>
      </c>
      <c r="B32" s="71">
        <v>2</v>
      </c>
      <c r="C32" s="78">
        <v>1.6103059581320451E-3</v>
      </c>
      <c r="D32" s="71">
        <v>0.35</v>
      </c>
      <c r="E32" s="71">
        <v>2.09709654E-2</v>
      </c>
      <c r="F32" s="71">
        <v>46.994319419903292</v>
      </c>
      <c r="G32" s="71">
        <v>5.8742899274879115</v>
      </c>
      <c r="H32" s="71">
        <v>23.497159709951646</v>
      </c>
      <c r="I32">
        <f>-B32/B30*LN(B32/B30)</f>
        <v>0.16057620877200915</v>
      </c>
    </row>
    <row r="33" spans="1:9">
      <c r="A33" s="73" t="s">
        <v>129</v>
      </c>
      <c r="B33" s="71">
        <v>1</v>
      </c>
      <c r="C33" s="78">
        <v>8.0515297906602254E-4</v>
      </c>
      <c r="D33" s="71">
        <v>0.23</v>
      </c>
      <c r="E33" s="71">
        <v>4.6759574399999997E-2</v>
      </c>
      <c r="F33" s="71">
        <v>118.09506145811731</v>
      </c>
      <c r="G33" s="71">
        <v>14.761882682264664</v>
      </c>
      <c r="H33" s="71">
        <v>59.047530729058657</v>
      </c>
      <c r="I33">
        <f>-B33/B30*LN(B33/B30)</f>
        <v>9.9542192734891941E-2</v>
      </c>
    </row>
    <row r="34" spans="1:9">
      <c r="A34" s="73" t="s">
        <v>245</v>
      </c>
      <c r="B34" s="71">
        <v>1</v>
      </c>
      <c r="C34" s="78">
        <v>8.0515297906602254E-4</v>
      </c>
      <c r="D34" s="71">
        <v>0.62</v>
      </c>
      <c r="E34" s="71">
        <v>3.6643622400000006E-2</v>
      </c>
      <c r="F34" s="71">
        <v>193.69242164020037</v>
      </c>
      <c r="G34" s="71">
        <v>24.211552705025046</v>
      </c>
      <c r="H34" s="71">
        <v>96.846210820100183</v>
      </c>
      <c r="I34">
        <f>-B34/B30*LN(B34/B30)</f>
        <v>9.9542192734891941E-2</v>
      </c>
    </row>
    <row r="35" spans="1:9">
      <c r="A35" s="73" t="s">
        <v>54</v>
      </c>
      <c r="B35" s="71">
        <v>2</v>
      </c>
      <c r="C35" s="78">
        <v>1.6103059581320451E-3</v>
      </c>
      <c r="D35" s="71">
        <v>0.315</v>
      </c>
      <c r="E35" s="71">
        <v>3.3428194800000005E-2</v>
      </c>
      <c r="F35" s="71">
        <v>112.59677680579665</v>
      </c>
      <c r="G35" s="71">
        <v>14.074597100724581</v>
      </c>
      <c r="H35" s="71">
        <v>56.298388402898325</v>
      </c>
      <c r="I35">
        <f>-B35/B30*LN(B35/B30)</f>
        <v>0.16057620877200915</v>
      </c>
    </row>
    <row r="36" spans="1:9">
      <c r="A36" s="73" t="s">
        <v>230</v>
      </c>
      <c r="B36" s="71">
        <v>3</v>
      </c>
      <c r="C36" s="78">
        <v>2.4154589371980675E-3</v>
      </c>
      <c r="D36" s="71">
        <v>0.55000000000000004</v>
      </c>
      <c r="E36" s="71">
        <v>2.4264147600000001E-2</v>
      </c>
      <c r="F36" s="71">
        <v>102.08531491712579</v>
      </c>
      <c r="G36" s="71">
        <v>12.760664364640723</v>
      </c>
      <c r="H36" s="71">
        <v>51.042657458562893</v>
      </c>
      <c r="I36">
        <f>-B36/B30*LN(B36/B30)</f>
        <v>0.20707555414900003</v>
      </c>
    </row>
    <row r="37" spans="1:9">
      <c r="A37" s="73" t="s">
        <v>96</v>
      </c>
      <c r="B37" s="71">
        <v>1</v>
      </c>
      <c r="C37" s="78">
        <v>8.0515297906602254E-4</v>
      </c>
      <c r="D37" s="71">
        <v>0.48</v>
      </c>
      <c r="E37" s="71">
        <v>4.948098540000001E-2</v>
      </c>
      <c r="F37" s="71">
        <v>280.72916039960779</v>
      </c>
      <c r="G37" s="71">
        <v>35.091145049950974</v>
      </c>
      <c r="H37" s="71">
        <v>140.3645801998039</v>
      </c>
      <c r="I37">
        <f>-B37/B30*LN(B37/B30)</f>
        <v>9.9542192734891941E-2</v>
      </c>
    </row>
    <row r="38" spans="1:9">
      <c r="A38" s="73" t="s">
        <v>39</v>
      </c>
      <c r="B38" s="71">
        <v>23</v>
      </c>
      <c r="C38" s="78">
        <v>1.8518518518518517E-2</v>
      </c>
      <c r="D38" s="71">
        <v>0.37</v>
      </c>
      <c r="E38" s="71">
        <v>0.93039583559999994</v>
      </c>
      <c r="F38" s="71">
        <v>3830.5516917425034</v>
      </c>
      <c r="G38" s="71">
        <v>478.81896146781293</v>
      </c>
      <c r="H38" s="71">
        <v>1915.2758458712517</v>
      </c>
      <c r="I38">
        <f>-B38/B30*LN(B38/B30)</f>
        <v>0.28623801717000247</v>
      </c>
    </row>
    <row r="39" spans="1:9">
      <c r="A39" s="73" t="s">
        <v>130</v>
      </c>
      <c r="B39" s="71">
        <v>1</v>
      </c>
      <c r="C39" s="78">
        <v>8.0515297906602254E-4</v>
      </c>
      <c r="D39" s="71">
        <v>0.57999999999999996</v>
      </c>
      <c r="E39" s="71">
        <v>6.3617400000000003E-3</v>
      </c>
      <c r="F39" s="71">
        <v>13.12200492859944</v>
      </c>
      <c r="G39" s="71">
        <v>1.6402506160749299</v>
      </c>
      <c r="H39" s="71">
        <v>6.5610024642997198</v>
      </c>
      <c r="I39">
        <f>-B39/B30*LN(B39/B30)</f>
        <v>9.9542192734891941E-2</v>
      </c>
    </row>
    <row r="40" spans="1:9">
      <c r="A40" s="73" t="s">
        <v>120</v>
      </c>
      <c r="B40" s="71">
        <v>1</v>
      </c>
      <c r="C40" s="78">
        <v>8.0515297906602254E-4</v>
      </c>
      <c r="D40" s="71">
        <v>0.54300000000000004</v>
      </c>
      <c r="E40" s="71">
        <v>3.0190776000000004E-3</v>
      </c>
      <c r="F40" s="71">
        <v>9.215435894698869</v>
      </c>
      <c r="G40" s="71">
        <v>1.1519294868373586</v>
      </c>
      <c r="H40" s="71">
        <v>4.6077179473494345</v>
      </c>
      <c r="I40">
        <f>-B40/B30*LN(B40/B30)</f>
        <v>9.9542192734891941E-2</v>
      </c>
    </row>
    <row r="41" spans="1:9">
      <c r="A41" s="72">
        <v>50.4</v>
      </c>
      <c r="B41" s="71">
        <v>46</v>
      </c>
      <c r="C41" s="78">
        <v>3.7037037037037035E-2</v>
      </c>
      <c r="D41" s="71">
        <v>0.47308695652173915</v>
      </c>
      <c r="E41" s="71">
        <v>0.78170861999999974</v>
      </c>
      <c r="F41" s="71">
        <v>2178.5975831738438</v>
      </c>
      <c r="G41" s="71">
        <v>272.32469789673047</v>
      </c>
      <c r="H41" s="71">
        <v>1089.2987915869219</v>
      </c>
      <c r="I41" s="74">
        <f>SUM(I42:I53)</f>
        <v>2.0029330185127732</v>
      </c>
    </row>
    <row r="42" spans="1:9">
      <c r="A42" s="73" t="s">
        <v>252</v>
      </c>
      <c r="B42" s="71">
        <v>2</v>
      </c>
      <c r="C42" s="78">
        <v>1.6103059581320451E-3</v>
      </c>
      <c r="D42" s="71">
        <v>0.54</v>
      </c>
      <c r="E42" s="71">
        <v>7.2453150000000004E-3</v>
      </c>
      <c r="F42" s="71">
        <v>19.186356803790488</v>
      </c>
      <c r="G42" s="71">
        <v>2.398294600473811</v>
      </c>
      <c r="H42" s="71">
        <v>9.5931784018952442</v>
      </c>
      <c r="I42">
        <f>-B42/B41*LN(B42/B41)</f>
        <v>0.13632583547518043</v>
      </c>
    </row>
    <row r="43" spans="1:9">
      <c r="A43" s="73" t="s">
        <v>149</v>
      </c>
      <c r="B43" s="71">
        <v>1</v>
      </c>
      <c r="C43" s="78">
        <v>8.0515297906602254E-4</v>
      </c>
      <c r="D43" s="71">
        <v>0.41699999999999998</v>
      </c>
      <c r="E43" s="71">
        <v>4.4178749999999999E-3</v>
      </c>
      <c r="F43" s="71">
        <v>12.945646724671075</v>
      </c>
      <c r="G43" s="71">
        <v>1.6182058405838844</v>
      </c>
      <c r="H43" s="71">
        <v>6.4728233623355376</v>
      </c>
      <c r="I43">
        <f>-B43/B41*LN(B43/B41)</f>
        <v>8.3231334706284674E-2</v>
      </c>
    </row>
    <row r="44" spans="1:9">
      <c r="A44" s="73" t="s">
        <v>161</v>
      </c>
      <c r="B44" s="71">
        <v>7</v>
      </c>
      <c r="C44" s="78">
        <v>5.6360708534621577E-3</v>
      </c>
      <c r="D44" s="71">
        <v>0.53000000000000014</v>
      </c>
      <c r="E44" s="71">
        <v>0.10268319600000002</v>
      </c>
      <c r="F44" s="71">
        <v>251.58105533566481</v>
      </c>
      <c r="G44" s="71">
        <v>31.447631916958102</v>
      </c>
      <c r="H44" s="71">
        <v>125.79052766783241</v>
      </c>
      <c r="I44">
        <f>-B44/B41*LN(B44/B41)</f>
        <v>0.28650258113122767</v>
      </c>
    </row>
    <row r="45" spans="1:9">
      <c r="A45" s="73" t="s">
        <v>201</v>
      </c>
      <c r="B45" s="71">
        <v>3</v>
      </c>
      <c r="C45" s="78">
        <v>2.4154589371980675E-3</v>
      </c>
      <c r="D45" s="71">
        <v>0.59</v>
      </c>
      <c r="E45" s="71">
        <v>2.1847471800000001E-2</v>
      </c>
      <c r="F45" s="71">
        <v>76.724819870066838</v>
      </c>
      <c r="G45" s="71">
        <v>9.5906024837583548</v>
      </c>
      <c r="H45" s="71">
        <v>38.362409935033419</v>
      </c>
      <c r="I45">
        <f>-B45/B41*LN(B45/B41)</f>
        <v>0.1780453765970208</v>
      </c>
    </row>
    <row r="46" spans="1:9">
      <c r="A46" s="73" t="s">
        <v>72</v>
      </c>
      <c r="B46" s="71">
        <v>1</v>
      </c>
      <c r="C46" s="78">
        <v>8.0515297906602254E-4</v>
      </c>
      <c r="D46" s="71">
        <v>0.48</v>
      </c>
      <c r="E46" s="71">
        <v>2.3758350000000002E-3</v>
      </c>
      <c r="F46" s="71">
        <v>5.125870247905576</v>
      </c>
      <c r="G46" s="71">
        <v>0.640733780988197</v>
      </c>
      <c r="H46" s="71">
        <v>2.562935123952788</v>
      </c>
      <c r="I46">
        <f>-B46/B41*LN(B46/B41)</f>
        <v>8.3231334706284674E-2</v>
      </c>
    </row>
    <row r="47" spans="1:9">
      <c r="A47" s="73" t="s">
        <v>54</v>
      </c>
      <c r="B47" s="71">
        <v>3</v>
      </c>
      <c r="C47" s="78">
        <v>2.4154589371980675E-3</v>
      </c>
      <c r="D47" s="71">
        <v>0.315</v>
      </c>
      <c r="E47" s="71">
        <v>0.13980591240000001</v>
      </c>
      <c r="F47" s="71">
        <v>536.9574780944954</v>
      </c>
      <c r="G47" s="71">
        <v>67.119684761811925</v>
      </c>
      <c r="H47" s="71">
        <v>268.4787390472477</v>
      </c>
      <c r="I47">
        <f>-B47/B41*LN(B47/B41)</f>
        <v>0.1780453765970208</v>
      </c>
    </row>
    <row r="48" spans="1:9">
      <c r="A48" s="73" t="s">
        <v>107</v>
      </c>
      <c r="B48" s="71">
        <v>2</v>
      </c>
      <c r="C48" s="78">
        <v>1.6103059581320451E-3</v>
      </c>
      <c r="D48" s="71">
        <v>0.57999999999999996</v>
      </c>
      <c r="E48" s="71">
        <v>1.6836619800000001E-2</v>
      </c>
      <c r="F48" s="71">
        <v>61.665327439129292</v>
      </c>
      <c r="G48" s="71">
        <v>7.7081659298911616</v>
      </c>
      <c r="H48" s="71">
        <v>30.832663719564646</v>
      </c>
      <c r="I48">
        <f>-B48/B41*LN(B48/B41)</f>
        <v>0.13632583547518043</v>
      </c>
    </row>
    <row r="49" spans="1:9">
      <c r="A49" s="73" t="s">
        <v>39</v>
      </c>
      <c r="B49" s="71">
        <v>8</v>
      </c>
      <c r="C49" s="78">
        <v>6.4412238325281803E-3</v>
      </c>
      <c r="D49" s="71">
        <v>0.37000000000000005</v>
      </c>
      <c r="E49" s="71">
        <v>5.1771211800000008E-2</v>
      </c>
      <c r="F49" s="71">
        <v>99.948567749315089</v>
      </c>
      <c r="G49" s="71">
        <v>12.493570968664386</v>
      </c>
      <c r="H49" s="71">
        <v>49.974283874657544</v>
      </c>
      <c r="I49">
        <f>-B49/B41*LN(B49/B41)</f>
        <v>0.30420867040161026</v>
      </c>
    </row>
    <row r="50" spans="1:9">
      <c r="A50" s="73" t="s">
        <v>126</v>
      </c>
      <c r="B50" s="71">
        <v>1</v>
      </c>
      <c r="C50" s="78">
        <v>8.0515297906602254E-4</v>
      </c>
      <c r="D50" s="71">
        <v>0.68</v>
      </c>
      <c r="E50" s="71">
        <v>2.4630143999999996E-3</v>
      </c>
      <c r="F50" s="71">
        <v>6.2311528618360645</v>
      </c>
      <c r="G50" s="71">
        <v>0.77889410772950807</v>
      </c>
      <c r="H50" s="71">
        <v>3.1155764309180323</v>
      </c>
      <c r="I50">
        <f>-B50/B41*LN(B50/B41)</f>
        <v>8.3231334706284674E-2</v>
      </c>
    </row>
    <row r="51" spans="1:9">
      <c r="A51" s="73" t="s">
        <v>222</v>
      </c>
      <c r="B51" s="71">
        <v>1</v>
      </c>
      <c r="C51" s="78">
        <v>8.0515297906602254E-4</v>
      </c>
      <c r="D51" s="71">
        <v>0.24</v>
      </c>
      <c r="E51" s="71">
        <v>1.34782494E-2</v>
      </c>
      <c r="F51" s="71">
        <v>16.762212084288333</v>
      </c>
      <c r="G51" s="71">
        <v>2.0952765105360416</v>
      </c>
      <c r="H51" s="71">
        <v>8.3811060421441663</v>
      </c>
      <c r="I51">
        <f>-B51/B41*LN(B51/B41)</f>
        <v>8.3231334706284674E-2</v>
      </c>
    </row>
    <row r="52" spans="1:9">
      <c r="A52" s="73" t="s">
        <v>78</v>
      </c>
      <c r="B52" s="71">
        <v>1</v>
      </c>
      <c r="C52" s="78">
        <v>8.0515297906602254E-4</v>
      </c>
      <c r="D52" s="71">
        <v>0.64</v>
      </c>
      <c r="E52" s="71">
        <v>2.7339774000000004E-3</v>
      </c>
      <c r="F52" s="71">
        <v>8.189521573956398</v>
      </c>
      <c r="G52" s="71">
        <v>1.0236901967445498</v>
      </c>
      <c r="H52" s="71">
        <v>4.094760786978199</v>
      </c>
      <c r="I52">
        <f>-B52/B41*LN(B52/B41)</f>
        <v>8.3231334706284674E-2</v>
      </c>
    </row>
    <row r="53" spans="1:9">
      <c r="A53" s="73" t="s">
        <v>36</v>
      </c>
      <c r="B53" s="71">
        <v>16</v>
      </c>
      <c r="C53" s="78">
        <v>1.2882447665056361E-2</v>
      </c>
      <c r="D53" s="71">
        <v>0.4800000000000002</v>
      </c>
      <c r="E53" s="71">
        <v>0.41604994200000001</v>
      </c>
      <c r="F53" s="71">
        <v>1083.2795743887245</v>
      </c>
      <c r="G53" s="71">
        <v>135.40994679859057</v>
      </c>
      <c r="H53" s="71">
        <v>541.63978719436227</v>
      </c>
      <c r="I53">
        <f>-B53/B41*LN(B53/B41)</f>
        <v>0.36732266930410912</v>
      </c>
    </row>
    <row r="54" spans="1:9">
      <c r="A54" s="72">
        <v>50.5</v>
      </c>
      <c r="B54" s="71">
        <v>42</v>
      </c>
      <c r="C54" s="78">
        <v>3.3816425120772944E-2</v>
      </c>
      <c r="D54" s="71">
        <v>0.36392857142857121</v>
      </c>
      <c r="E54" s="71">
        <v>1.3963893636</v>
      </c>
      <c r="F54" s="71">
        <v>4155.300643421323</v>
      </c>
      <c r="G54" s="71">
        <v>519.41258042766538</v>
      </c>
      <c r="H54" s="71">
        <v>2077.6503217106615</v>
      </c>
      <c r="I54" s="74">
        <f>SUM(I55:I60)</f>
        <v>1.1376543764378271</v>
      </c>
    </row>
    <row r="55" spans="1:9">
      <c r="A55" s="73" t="s">
        <v>129</v>
      </c>
      <c r="B55" s="71">
        <v>3</v>
      </c>
      <c r="C55" s="78">
        <v>2.4154589371980675E-3</v>
      </c>
      <c r="D55" s="71">
        <v>0.23</v>
      </c>
      <c r="E55" s="71">
        <v>7.0941254999999995E-2</v>
      </c>
      <c r="F55" s="71">
        <v>134.70540476501725</v>
      </c>
      <c r="G55" s="71">
        <v>16.838175595627156</v>
      </c>
      <c r="H55" s="71">
        <v>67.352702382508625</v>
      </c>
      <c r="I55">
        <f>-B55/B54*LN(B55/B54)</f>
        <v>0.18850409497251847</v>
      </c>
    </row>
    <row r="56" spans="1:9">
      <c r="A56" s="73" t="s">
        <v>135</v>
      </c>
      <c r="B56" s="71">
        <v>1</v>
      </c>
      <c r="C56" s="78">
        <v>8.0515297906602254E-4</v>
      </c>
      <c r="D56" s="71">
        <v>0.38</v>
      </c>
      <c r="E56" s="71">
        <v>0.3058159104</v>
      </c>
      <c r="F56" s="71">
        <v>928.61631222676499</v>
      </c>
      <c r="G56" s="71">
        <v>116.07703902834562</v>
      </c>
      <c r="H56" s="71">
        <v>464.30815611338249</v>
      </c>
      <c r="I56">
        <f>-B56/B54*LN(B56/B54)</f>
        <v>8.8992133768651629E-2</v>
      </c>
    </row>
    <row r="57" spans="1:9">
      <c r="A57" s="73" t="s">
        <v>54</v>
      </c>
      <c r="B57" s="71">
        <v>7</v>
      </c>
      <c r="C57" s="78">
        <v>5.6360708534621577E-3</v>
      </c>
      <c r="D57" s="71">
        <v>0.315</v>
      </c>
      <c r="E57" s="71">
        <v>0.50063123880000004</v>
      </c>
      <c r="F57" s="71">
        <v>1692.0166954577358</v>
      </c>
      <c r="G57" s="71">
        <v>211.50208693221697</v>
      </c>
      <c r="H57" s="71">
        <v>846.00834772886788</v>
      </c>
      <c r="I57">
        <f>-B57/B54*LN(B57/B54)</f>
        <v>0.29862657820467581</v>
      </c>
    </row>
    <row r="58" spans="1:9">
      <c r="A58" s="73" t="s">
        <v>39</v>
      </c>
      <c r="B58" s="71">
        <v>27</v>
      </c>
      <c r="C58" s="78">
        <v>2.1739130434782608E-2</v>
      </c>
      <c r="D58" s="71">
        <v>0.36999999999999988</v>
      </c>
      <c r="E58" s="71">
        <v>0.45569457779999994</v>
      </c>
      <c r="F58" s="71">
        <v>1306.5047559981858</v>
      </c>
      <c r="G58" s="71">
        <v>163.31309449977323</v>
      </c>
      <c r="H58" s="71">
        <v>653.25237799909291</v>
      </c>
      <c r="I58">
        <f>-B58/B54*LN(B58/B54)</f>
        <v>0.28403534075081094</v>
      </c>
    </row>
    <row r="59" spans="1:9">
      <c r="A59" s="73" t="s">
        <v>130</v>
      </c>
      <c r="B59" s="71">
        <v>1</v>
      </c>
      <c r="C59" s="78">
        <v>8.0515297906602254E-4</v>
      </c>
      <c r="D59" s="71">
        <v>0.57999999999999996</v>
      </c>
      <c r="E59" s="71">
        <v>3.3183150000000001E-3</v>
      </c>
      <c r="F59" s="71">
        <v>7.1982380819584764</v>
      </c>
      <c r="G59" s="71">
        <v>0.89977976024480955</v>
      </c>
      <c r="H59" s="71">
        <v>3.5991190409792382</v>
      </c>
      <c r="I59">
        <f>-B59/B54*LN(B59/B54)</f>
        <v>8.8992133768651629E-2</v>
      </c>
    </row>
    <row r="60" spans="1:9">
      <c r="A60" s="73" t="s">
        <v>36</v>
      </c>
      <c r="B60" s="71">
        <v>3</v>
      </c>
      <c r="C60" s="78">
        <v>2.4154589371980675E-3</v>
      </c>
      <c r="D60" s="71">
        <v>0.48</v>
      </c>
      <c r="E60" s="71">
        <v>5.9988066600000001E-2</v>
      </c>
      <c r="F60" s="71">
        <v>86.259236891660095</v>
      </c>
      <c r="G60" s="71">
        <v>10.782404611457512</v>
      </c>
      <c r="H60" s="71">
        <v>43.129618445830047</v>
      </c>
      <c r="I60">
        <f>-B60/B54*LN(B60/B54)</f>
        <v>0.18850409497251847</v>
      </c>
    </row>
    <row r="61" spans="1:9">
      <c r="A61" s="72">
        <v>50.6</v>
      </c>
      <c r="B61" s="71">
        <v>42</v>
      </c>
      <c r="C61" s="78">
        <v>3.3816425120772944E-2</v>
      </c>
      <c r="D61" s="71">
        <v>0.4282142857142856</v>
      </c>
      <c r="E61" s="71">
        <v>0.75890119304999992</v>
      </c>
      <c r="F61" s="71">
        <v>2146.9140798595899</v>
      </c>
      <c r="G61" s="71">
        <v>268.36425998244874</v>
      </c>
      <c r="H61" s="71">
        <v>1073.457039929795</v>
      </c>
      <c r="I61" s="74">
        <f>SUM(I62:I71)</f>
        <v>1.8645678933706684</v>
      </c>
    </row>
    <row r="62" spans="1:9">
      <c r="A62" s="73" t="s">
        <v>252</v>
      </c>
      <c r="B62" s="71">
        <v>1</v>
      </c>
      <c r="C62" s="78">
        <v>8.0515297906602254E-4</v>
      </c>
      <c r="D62" s="71">
        <v>0.54</v>
      </c>
      <c r="E62" s="71">
        <v>1.1404204350000002E-2</v>
      </c>
      <c r="F62" s="71">
        <v>26.492299207485992</v>
      </c>
      <c r="G62" s="71">
        <v>3.311537400935749</v>
      </c>
      <c r="H62" s="71">
        <v>13.246149603742996</v>
      </c>
      <c r="I62">
        <f>-B62/B61*LN(B62/B61)</f>
        <v>8.8992133768651629E-2</v>
      </c>
    </row>
    <row r="63" spans="1:9">
      <c r="A63" s="73" t="s">
        <v>220</v>
      </c>
      <c r="B63" s="71">
        <v>3</v>
      </c>
      <c r="C63" s="78">
        <v>2.4154589371980675E-3</v>
      </c>
      <c r="D63" s="71">
        <v>0.34999999999999992</v>
      </c>
      <c r="E63" s="71">
        <v>0.17208290715000002</v>
      </c>
      <c r="F63" s="71">
        <v>565.63320983530571</v>
      </c>
      <c r="G63" s="71">
        <v>70.704151229413213</v>
      </c>
      <c r="H63" s="71">
        <v>282.81660491765285</v>
      </c>
      <c r="I63">
        <f>-B63/B61*LN(B63/B61)</f>
        <v>0.18850409497251847</v>
      </c>
    </row>
    <row r="64" spans="1:9">
      <c r="A64" s="73" t="s">
        <v>129</v>
      </c>
      <c r="B64" s="71">
        <v>5</v>
      </c>
      <c r="C64" s="78">
        <v>4.0257648953301124E-3</v>
      </c>
      <c r="D64" s="71">
        <v>0.23000000000000004</v>
      </c>
      <c r="E64" s="71">
        <v>6.1501728749999998E-2</v>
      </c>
      <c r="F64" s="71">
        <v>100.42821181915122</v>
      </c>
      <c r="G64" s="71">
        <v>12.553526477393902</v>
      </c>
      <c r="H64" s="71">
        <v>50.214105909575608</v>
      </c>
      <c r="I64">
        <f>-B64/B61*LN(B64/B61)</f>
        <v>0.25336091736300809</v>
      </c>
    </row>
    <row r="65" spans="1:9">
      <c r="A65" s="73" t="s">
        <v>54</v>
      </c>
      <c r="B65" s="71">
        <v>1</v>
      </c>
      <c r="C65" s="78">
        <v>8.0515297906602254E-4</v>
      </c>
      <c r="D65" s="71">
        <v>0.315</v>
      </c>
      <c r="E65" s="71">
        <v>1.3684809599999999E-2</v>
      </c>
      <c r="F65" s="71">
        <v>26.937633644195973</v>
      </c>
      <c r="G65" s="71">
        <v>3.3672042055244966</v>
      </c>
      <c r="H65" s="71">
        <v>13.468816822097986</v>
      </c>
      <c r="I65">
        <f>-B65/B61*LN(B65/B61)</f>
        <v>8.8992133768651629E-2</v>
      </c>
    </row>
    <row r="66" spans="1:9">
      <c r="A66" s="73" t="s">
        <v>107</v>
      </c>
      <c r="B66" s="71">
        <v>4</v>
      </c>
      <c r="C66" s="78">
        <v>3.2206119162640902E-3</v>
      </c>
      <c r="D66" s="71">
        <v>0.57999999999999996</v>
      </c>
      <c r="E66" s="71">
        <v>1.9790901899999998E-2</v>
      </c>
      <c r="F66" s="71">
        <v>69.053684412895862</v>
      </c>
      <c r="G66" s="71">
        <v>8.6317105516119828</v>
      </c>
      <c r="H66" s="71">
        <v>34.526842206447931</v>
      </c>
      <c r="I66">
        <f>-B66/B61*LN(B66/B61)</f>
        <v>0.22394050068223595</v>
      </c>
    </row>
    <row r="67" spans="1:9">
      <c r="A67" s="73" t="s">
        <v>181</v>
      </c>
      <c r="B67" s="71">
        <v>1</v>
      </c>
      <c r="C67" s="78">
        <v>8.0515297906602254E-4</v>
      </c>
      <c r="D67" s="71">
        <v>0.66</v>
      </c>
      <c r="E67" s="71">
        <v>5.7043798350000001E-2</v>
      </c>
      <c r="F67" s="71">
        <v>270.5819067898762</v>
      </c>
      <c r="G67" s="71">
        <v>33.822738348734525</v>
      </c>
      <c r="H67" s="71">
        <v>135.2909533949381</v>
      </c>
      <c r="I67">
        <f>-B67/B61*LN(B67/B61)</f>
        <v>8.8992133768651629E-2</v>
      </c>
    </row>
    <row r="68" spans="1:9">
      <c r="A68" s="73" t="s">
        <v>97</v>
      </c>
      <c r="B68" s="71">
        <v>1</v>
      </c>
      <c r="C68" s="78">
        <v>8.0515297906602254E-4</v>
      </c>
      <c r="D68" s="71">
        <v>0.57999999999999996</v>
      </c>
      <c r="E68" s="71">
        <v>3.16692915E-3</v>
      </c>
      <c r="F68" s="71">
        <v>13.057406725861583</v>
      </c>
      <c r="G68" s="71">
        <v>1.6321758407326978</v>
      </c>
      <c r="H68" s="71">
        <v>6.5287033629307913</v>
      </c>
      <c r="I68">
        <f>-B68/B61*LN(B68/B61)</f>
        <v>8.8992133768651629E-2</v>
      </c>
    </row>
    <row r="69" spans="1:9">
      <c r="A69" s="73" t="s">
        <v>39</v>
      </c>
      <c r="B69" s="71">
        <v>15</v>
      </c>
      <c r="C69" s="78">
        <v>1.2077294685990338E-2</v>
      </c>
      <c r="D69" s="71">
        <v>0.37000000000000005</v>
      </c>
      <c r="E69" s="71">
        <v>0.23818452735000001</v>
      </c>
      <c r="F69" s="71">
        <v>658.52557752111613</v>
      </c>
      <c r="G69" s="71">
        <v>82.315697190139517</v>
      </c>
      <c r="H69" s="71">
        <v>329.26278876055807</v>
      </c>
      <c r="I69">
        <f>-B69/B61*LN(B69/B61)</f>
        <v>0.36772122042184219</v>
      </c>
    </row>
    <row r="70" spans="1:9">
      <c r="A70" s="73" t="s">
        <v>36</v>
      </c>
      <c r="B70" s="71">
        <v>9</v>
      </c>
      <c r="C70" s="78">
        <v>7.246376811594203E-3</v>
      </c>
      <c r="D70" s="71">
        <v>0.48000000000000004</v>
      </c>
      <c r="E70" s="71">
        <v>0.17294331285</v>
      </c>
      <c r="F70" s="71">
        <v>379.04429938848995</v>
      </c>
      <c r="G70" s="71">
        <v>47.380537423561243</v>
      </c>
      <c r="H70" s="71">
        <v>189.52214969424497</v>
      </c>
      <c r="I70">
        <f>-B70/B61*LN(B70/B61)</f>
        <v>0.3300953659172462</v>
      </c>
    </row>
    <row r="71" spans="1:9">
      <c r="A71" s="73" t="s">
        <v>47</v>
      </c>
      <c r="B71" s="71">
        <v>2</v>
      </c>
      <c r="C71" s="78">
        <v>1.6103059581320451E-3</v>
      </c>
      <c r="D71" s="71">
        <v>0.75</v>
      </c>
      <c r="E71" s="71">
        <v>9.098073600000001E-3</v>
      </c>
      <c r="F71" s="71">
        <v>37.159850515210621</v>
      </c>
      <c r="G71" s="71">
        <v>4.6449813144013277</v>
      </c>
      <c r="H71" s="71">
        <v>18.579925257605311</v>
      </c>
      <c r="I71">
        <f>-B71/B61*LN(B71/B61)</f>
        <v>0.14497725893921062</v>
      </c>
    </row>
    <row r="72" spans="1:9">
      <c r="A72" s="72">
        <v>50.7</v>
      </c>
      <c r="B72" s="71">
        <v>39</v>
      </c>
      <c r="C72" s="78">
        <v>3.140096618357488E-2</v>
      </c>
      <c r="D72" s="71">
        <v>0.50782051282051288</v>
      </c>
      <c r="E72" s="71">
        <v>1.1406751009499998</v>
      </c>
      <c r="F72" s="71">
        <v>4306.8324348566866</v>
      </c>
      <c r="G72" s="71">
        <v>538.35405435708583</v>
      </c>
      <c r="H72" s="71">
        <v>2153.4162174283433</v>
      </c>
      <c r="I72" s="74">
        <f>SUM(I73:I84)</f>
        <v>1.9452153363181501</v>
      </c>
    </row>
    <row r="73" spans="1:9">
      <c r="A73" s="73" t="s">
        <v>252</v>
      </c>
      <c r="B73" s="71">
        <v>12</v>
      </c>
      <c r="C73" s="78">
        <v>9.6618357487922701E-3</v>
      </c>
      <c r="D73" s="71">
        <v>0.54</v>
      </c>
      <c r="E73" s="71">
        <v>6.2691806100000011E-2</v>
      </c>
      <c r="F73" s="71">
        <v>153.09596649676405</v>
      </c>
      <c r="G73" s="71">
        <v>19.136995812095506</v>
      </c>
      <c r="H73" s="71">
        <v>76.547983248382025</v>
      </c>
      <c r="I73">
        <f>-B73/B72*LN(B73/B72)</f>
        <v>0.36266307579742962</v>
      </c>
    </row>
    <row r="74" spans="1:9">
      <c r="A74" s="73" t="s">
        <v>79</v>
      </c>
      <c r="B74" s="71">
        <v>1</v>
      </c>
      <c r="C74" s="78">
        <v>8.0515297906602254E-4</v>
      </c>
      <c r="D74" s="71">
        <v>0.78</v>
      </c>
      <c r="E74" s="71">
        <v>5.1530094000000002E-3</v>
      </c>
      <c r="F74" s="71">
        <v>23.329910114317773</v>
      </c>
      <c r="G74" s="71">
        <v>2.9162387642897216</v>
      </c>
      <c r="H74" s="71">
        <v>11.664955057158886</v>
      </c>
      <c r="I74">
        <f>-B74/B72*LN(B74/B72)</f>
        <v>9.3937478105888358E-2</v>
      </c>
    </row>
    <row r="75" spans="1:9">
      <c r="A75" s="73" t="s">
        <v>54</v>
      </c>
      <c r="B75" s="71">
        <v>1</v>
      </c>
      <c r="C75" s="78">
        <v>8.0515297906602254E-4</v>
      </c>
      <c r="D75" s="71">
        <v>0.315</v>
      </c>
      <c r="E75" s="71">
        <v>6.0132187500000003E-3</v>
      </c>
      <c r="F75" s="71">
        <v>16.026451341663261</v>
      </c>
      <c r="G75" s="71">
        <v>2.0033064177079076</v>
      </c>
      <c r="H75" s="71">
        <v>8.0132256708316305</v>
      </c>
      <c r="I75">
        <f>-B75/B72*LN(B75/B72)</f>
        <v>9.3937478105888358E-2</v>
      </c>
    </row>
    <row r="76" spans="1:9">
      <c r="A76" s="73" t="s">
        <v>127</v>
      </c>
      <c r="B76" s="71">
        <v>1</v>
      </c>
      <c r="C76" s="78">
        <v>8.0515297906602254E-4</v>
      </c>
      <c r="D76" s="71">
        <v>0.41</v>
      </c>
      <c r="E76" s="71">
        <v>8.5767643500000001E-3</v>
      </c>
      <c r="F76" s="71">
        <v>18.201847067467082</v>
      </c>
      <c r="G76" s="71">
        <v>2.2752308834333852</v>
      </c>
      <c r="H76" s="71">
        <v>9.1009235337335408</v>
      </c>
      <c r="I76">
        <f>-B76/B72*LN(B76/B72)</f>
        <v>9.3937478105888358E-2</v>
      </c>
    </row>
    <row r="77" spans="1:9">
      <c r="A77" s="73" t="s">
        <v>97</v>
      </c>
      <c r="B77" s="71">
        <v>1</v>
      </c>
      <c r="C77" s="78">
        <v>8.0515297906602254E-4</v>
      </c>
      <c r="D77" s="71">
        <v>0.57999999999999996</v>
      </c>
      <c r="E77" s="71">
        <v>2.0867292599999993E-2</v>
      </c>
      <c r="F77" s="71">
        <v>82.56575549405224</v>
      </c>
      <c r="G77" s="71">
        <v>10.32071943675653</v>
      </c>
      <c r="H77" s="71">
        <v>41.28287774702612</v>
      </c>
      <c r="I77">
        <f>-B77/B72*LN(B77/B72)</f>
        <v>9.3937478105888358E-2</v>
      </c>
    </row>
    <row r="78" spans="1:9">
      <c r="A78" s="73" t="s">
        <v>96</v>
      </c>
      <c r="B78" s="71">
        <v>1</v>
      </c>
      <c r="C78" s="78">
        <v>8.0515297906602254E-4</v>
      </c>
      <c r="D78" s="71">
        <v>0.48</v>
      </c>
      <c r="E78" s="71">
        <v>5.2889032349999997E-2</v>
      </c>
      <c r="F78" s="71">
        <v>152.60290367041546</v>
      </c>
      <c r="G78" s="71">
        <v>19.075362958801932</v>
      </c>
      <c r="H78" s="71">
        <v>76.301451835207729</v>
      </c>
      <c r="I78">
        <f>-B78/B72*LN(B78/B72)</f>
        <v>9.3937478105888358E-2</v>
      </c>
    </row>
    <row r="79" spans="1:9">
      <c r="A79" s="73" t="s">
        <v>39</v>
      </c>
      <c r="B79" s="71">
        <v>5</v>
      </c>
      <c r="C79" s="78">
        <v>4.0257648953301124E-3</v>
      </c>
      <c r="D79" s="71">
        <v>0.37</v>
      </c>
      <c r="E79" s="71">
        <v>5.4045533850000001E-2</v>
      </c>
      <c r="F79" s="71">
        <v>115.15427696627208</v>
      </c>
      <c r="G79" s="71">
        <v>14.39428462078401</v>
      </c>
      <c r="H79" s="71">
        <v>57.577138483136039</v>
      </c>
      <c r="I79">
        <f>-B79/B72*LN(B79/B72)</f>
        <v>0.26334919662763412</v>
      </c>
    </row>
    <row r="80" spans="1:9">
      <c r="A80" s="73" t="s">
        <v>126</v>
      </c>
      <c r="B80" s="71">
        <v>2</v>
      </c>
      <c r="C80" s="78">
        <v>1.6103059581320451E-3</v>
      </c>
      <c r="D80" s="71">
        <v>0.68</v>
      </c>
      <c r="E80" s="71">
        <v>1.3377325500000002E-2</v>
      </c>
      <c r="F80" s="71">
        <v>50.983296508351351</v>
      </c>
      <c r="G80" s="71">
        <v>6.3729120635439189</v>
      </c>
      <c r="H80" s="71">
        <v>25.491648254175676</v>
      </c>
      <c r="I80">
        <f>-B80/B72*LN(B80/B72)</f>
        <v>0.15232894695229238</v>
      </c>
    </row>
    <row r="81" spans="1:9">
      <c r="A81" s="73" t="s">
        <v>222</v>
      </c>
      <c r="B81" s="71">
        <v>1</v>
      </c>
      <c r="C81" s="78">
        <v>8.0515297906602254E-4</v>
      </c>
      <c r="D81" s="71">
        <v>0.24</v>
      </c>
      <c r="E81" s="71">
        <v>8.0676484349999994E-2</v>
      </c>
      <c r="F81" s="71">
        <v>166.88936800876559</v>
      </c>
      <c r="G81" s="71">
        <v>20.861171001095698</v>
      </c>
      <c r="H81" s="71">
        <v>83.444684004382793</v>
      </c>
      <c r="I81">
        <f>-B81/B72*LN(B81/B72)</f>
        <v>9.3937478105888358E-2</v>
      </c>
    </row>
    <row r="82" spans="1:9">
      <c r="A82" s="73" t="s">
        <v>78</v>
      </c>
      <c r="B82" s="71">
        <v>2</v>
      </c>
      <c r="C82" s="78">
        <v>1.6103059581320451E-3</v>
      </c>
      <c r="D82" s="71">
        <v>0.64</v>
      </c>
      <c r="E82" s="71">
        <v>0.65805524400000004</v>
      </c>
      <c r="F82" s="71">
        <v>3091.0434394785025</v>
      </c>
      <c r="G82" s="71">
        <v>386.38042993481281</v>
      </c>
      <c r="H82" s="71">
        <v>1545.5217197392512</v>
      </c>
      <c r="I82">
        <f>-B82/B72*LN(B82/B72)</f>
        <v>0.15232894695229238</v>
      </c>
    </row>
    <row r="83" spans="1:9">
      <c r="A83" s="73" t="s">
        <v>36</v>
      </c>
      <c r="B83" s="71">
        <v>11</v>
      </c>
      <c r="C83" s="78">
        <v>8.8566827697262474E-3</v>
      </c>
      <c r="D83" s="71">
        <v>0.48000000000000009</v>
      </c>
      <c r="E83" s="71">
        <v>0.17146322655000001</v>
      </c>
      <c r="F83" s="71">
        <v>412.00511616545066</v>
      </c>
      <c r="G83" s="71">
        <v>51.500639520681332</v>
      </c>
      <c r="H83" s="71">
        <v>206.00255808272533</v>
      </c>
      <c r="I83">
        <f>-B83/B72*LN(B83/B72)</f>
        <v>0.35698282324728292</v>
      </c>
    </row>
    <row r="84" spans="1:9">
      <c r="A84" s="73" t="s">
        <v>47</v>
      </c>
      <c r="B84" s="71">
        <v>1</v>
      </c>
      <c r="C84" s="78">
        <v>8.0515297906602254E-4</v>
      </c>
      <c r="D84" s="71">
        <v>0.75</v>
      </c>
      <c r="E84" s="71">
        <v>6.86616315E-3</v>
      </c>
      <c r="F84" s="71">
        <v>24.934103544665025</v>
      </c>
      <c r="G84" s="71">
        <v>3.1167629430831281</v>
      </c>
      <c r="H84" s="71">
        <v>12.467051772332512</v>
      </c>
      <c r="I84">
        <f>-B84/B72*LN(B84/B72)</f>
        <v>9.3937478105888358E-2</v>
      </c>
    </row>
    <row r="85" spans="1:9">
      <c r="A85" s="72">
        <v>50.8</v>
      </c>
      <c r="B85" s="71">
        <v>36</v>
      </c>
      <c r="C85" s="78">
        <v>2.8985507246376812E-2</v>
      </c>
      <c r="D85" s="71">
        <v>0.50486111111111109</v>
      </c>
      <c r="E85" s="71">
        <v>0.78004219755000015</v>
      </c>
      <c r="F85" s="71">
        <v>2260.226356486698</v>
      </c>
      <c r="G85" s="71">
        <v>282.52829456083725</v>
      </c>
      <c r="H85" s="71">
        <v>1130.113178243349</v>
      </c>
      <c r="I85" s="74">
        <f>SUM(I86:I96)</f>
        <v>2.1364102409235293</v>
      </c>
    </row>
    <row r="86" spans="1:9">
      <c r="A86" s="73" t="s">
        <v>231</v>
      </c>
      <c r="B86" s="71">
        <v>1</v>
      </c>
      <c r="C86" s="78">
        <v>8.0515297906602254E-4</v>
      </c>
      <c r="D86" s="71">
        <v>0.57999999999999996</v>
      </c>
      <c r="E86" s="71">
        <v>1.1028783149999999E-2</v>
      </c>
      <c r="F86" s="71">
        <v>76.224463656680243</v>
      </c>
      <c r="G86" s="71">
        <v>9.5280579570850303</v>
      </c>
      <c r="H86" s="71">
        <v>38.112231828340121</v>
      </c>
      <c r="I86">
        <f>-B86/B85*LN(B86/B85)</f>
        <v>9.9542192734891941E-2</v>
      </c>
    </row>
    <row r="87" spans="1:9">
      <c r="A87" s="73" t="s">
        <v>252</v>
      </c>
      <c r="B87" s="71">
        <v>2</v>
      </c>
      <c r="C87" s="78">
        <v>1.6103059581320451E-3</v>
      </c>
      <c r="D87" s="71">
        <v>0.54</v>
      </c>
      <c r="E87" s="71">
        <v>2.0133925350000002E-2</v>
      </c>
      <c r="F87" s="71">
        <v>46.446785016351541</v>
      </c>
      <c r="G87" s="71">
        <v>5.8058481270439426</v>
      </c>
      <c r="H87" s="71">
        <v>23.22339250817577</v>
      </c>
      <c r="I87">
        <f>-B87/B85*LN(B87/B85)</f>
        <v>0.16057620877200915</v>
      </c>
    </row>
    <row r="88" spans="1:9">
      <c r="A88" s="73" t="s">
        <v>121</v>
      </c>
      <c r="B88" s="71">
        <v>1</v>
      </c>
      <c r="C88" s="78">
        <v>8.0515297906602254E-4</v>
      </c>
      <c r="D88" s="71">
        <v>0.49</v>
      </c>
      <c r="E88" s="71">
        <v>2.5071931500000003E-3</v>
      </c>
      <c r="F88" s="71">
        <v>5.079197340684841</v>
      </c>
      <c r="G88" s="71">
        <v>0.63489966758560512</v>
      </c>
      <c r="H88" s="71">
        <v>2.5395986703424205</v>
      </c>
      <c r="I88">
        <f>-B88/B85*LN(B88/B85)</f>
        <v>9.9542192734891941E-2</v>
      </c>
    </row>
    <row r="89" spans="1:9">
      <c r="A89" s="73" t="s">
        <v>95</v>
      </c>
      <c r="B89" s="71">
        <v>1</v>
      </c>
      <c r="C89" s="78">
        <v>8.0515297906602254E-4</v>
      </c>
      <c r="D89" s="71">
        <v>0.64</v>
      </c>
      <c r="E89" s="71">
        <v>3.8484600000000002E-3</v>
      </c>
      <c r="F89" s="71">
        <v>14.572652443889801</v>
      </c>
      <c r="G89" s="71">
        <v>1.8215815554862251</v>
      </c>
      <c r="H89" s="71">
        <v>7.2863262219449005</v>
      </c>
      <c r="I89">
        <f>-B89/B85*LN(B89/B85)</f>
        <v>9.9542192734891941E-2</v>
      </c>
    </row>
    <row r="90" spans="1:9">
      <c r="A90" s="73" t="s">
        <v>54</v>
      </c>
      <c r="B90" s="71">
        <v>3</v>
      </c>
      <c r="C90" s="78">
        <v>2.4154589371980675E-3</v>
      </c>
      <c r="D90" s="71">
        <v>0.315</v>
      </c>
      <c r="E90" s="71">
        <v>0.24366445950000001</v>
      </c>
      <c r="F90" s="71">
        <v>572.12566000508218</v>
      </c>
      <c r="G90" s="71">
        <v>71.515707500635273</v>
      </c>
      <c r="H90" s="71">
        <v>286.06283000254109</v>
      </c>
      <c r="I90">
        <f>-B90/B85*LN(B90/B85)</f>
        <v>0.20707555414900003</v>
      </c>
    </row>
    <row r="91" spans="1:9">
      <c r="A91" s="73" t="s">
        <v>107</v>
      </c>
      <c r="B91" s="71">
        <v>3</v>
      </c>
      <c r="C91" s="78">
        <v>2.4154589371980675E-3</v>
      </c>
      <c r="D91" s="71">
        <v>0.57999999999999996</v>
      </c>
      <c r="E91" s="71">
        <v>2.0934444300000004E-2</v>
      </c>
      <c r="F91" s="71">
        <v>61.917807426477822</v>
      </c>
      <c r="G91" s="71">
        <v>7.7397259283097277</v>
      </c>
      <c r="H91" s="71">
        <v>30.958903713238911</v>
      </c>
      <c r="I91">
        <f>-B91/B85*LN(B91/B85)</f>
        <v>0.20707555414900003</v>
      </c>
    </row>
    <row r="92" spans="1:9">
      <c r="A92" s="73" t="s">
        <v>96</v>
      </c>
      <c r="B92" s="71">
        <v>1</v>
      </c>
      <c r="C92" s="78">
        <v>8.0515297906602254E-4</v>
      </c>
      <c r="D92" s="71">
        <v>0.48</v>
      </c>
      <c r="E92" s="71">
        <v>5.4106206000000016E-3</v>
      </c>
      <c r="F92" s="71">
        <v>15.777105333391095</v>
      </c>
      <c r="G92" s="71">
        <v>1.9721381666738869</v>
      </c>
      <c r="H92" s="71">
        <v>7.8885526666955474</v>
      </c>
      <c r="I92">
        <f>-B92/B85*LN(B92/B85)</f>
        <v>9.9542192734891941E-2</v>
      </c>
    </row>
    <row r="93" spans="1:9">
      <c r="A93" s="73" t="s">
        <v>39</v>
      </c>
      <c r="B93" s="71">
        <v>9</v>
      </c>
      <c r="C93" s="78">
        <v>7.246376811594203E-3</v>
      </c>
      <c r="D93" s="71">
        <v>0.37000000000000005</v>
      </c>
      <c r="E93" s="71">
        <v>8.1905635349999992E-2</v>
      </c>
      <c r="F93" s="71">
        <v>155.49315321327421</v>
      </c>
      <c r="G93" s="71">
        <v>19.436644151659277</v>
      </c>
      <c r="H93" s="71">
        <v>77.746576606637106</v>
      </c>
      <c r="I93">
        <f>-B93/B85*LN(B93/B85)</f>
        <v>0.34657359027997264</v>
      </c>
    </row>
    <row r="94" spans="1:9">
      <c r="A94" s="73" t="s">
        <v>122</v>
      </c>
      <c r="B94" s="71">
        <v>5</v>
      </c>
      <c r="C94" s="78">
        <v>4.0257648953301124E-3</v>
      </c>
      <c r="D94" s="71">
        <v>0.69</v>
      </c>
      <c r="E94" s="71">
        <v>2.5613268450000001E-2</v>
      </c>
      <c r="F94" s="71">
        <v>92.246766631350312</v>
      </c>
      <c r="G94" s="71">
        <v>11.530845828918789</v>
      </c>
      <c r="H94" s="71">
        <v>46.123383315675156</v>
      </c>
      <c r="I94">
        <f>-B94/B85*LN(B94/B85)</f>
        <v>0.27417792028083471</v>
      </c>
    </row>
    <row r="95" spans="1:9">
      <c r="A95" s="73" t="s">
        <v>78</v>
      </c>
      <c r="B95" s="71">
        <v>4</v>
      </c>
      <c r="C95" s="78">
        <v>3.2206119162640902E-3</v>
      </c>
      <c r="D95" s="71">
        <v>0.64</v>
      </c>
      <c r="E95" s="71">
        <v>0.23451710204999998</v>
      </c>
      <c r="F95" s="71">
        <v>932.06483364102655</v>
      </c>
      <c r="G95" s="71">
        <v>116.50810420512832</v>
      </c>
      <c r="H95" s="71">
        <v>466.03241682051328</v>
      </c>
      <c r="I95">
        <f>-B95/B85*LN(B95/B85)</f>
        <v>0.24413606414846883</v>
      </c>
    </row>
    <row r="96" spans="1:9">
      <c r="A96" s="73" t="s">
        <v>36</v>
      </c>
      <c r="B96" s="71">
        <v>6</v>
      </c>
      <c r="C96" s="78">
        <v>4.830917874396135E-3</v>
      </c>
      <c r="D96" s="71">
        <v>0.48</v>
      </c>
      <c r="E96" s="71">
        <v>0.13047830564999999</v>
      </c>
      <c r="F96" s="71">
        <v>288.27793177848906</v>
      </c>
      <c r="G96" s="71">
        <v>36.034741472311133</v>
      </c>
      <c r="H96" s="71">
        <v>144.13896588924453</v>
      </c>
      <c r="I96">
        <f>-B96/B85*LN(B96/B85)</f>
        <v>0.29862657820467581</v>
      </c>
    </row>
    <row r="97" spans="1:9">
      <c r="A97" s="72">
        <v>50.9</v>
      </c>
      <c r="B97" s="71">
        <v>38</v>
      </c>
      <c r="C97" s="78">
        <v>3.0595813204508857E-2</v>
      </c>
      <c r="D97" s="71">
        <v>0.39855263157894755</v>
      </c>
      <c r="E97" s="71">
        <v>1.0275022989000002</v>
      </c>
      <c r="F97" s="71">
        <v>2903.8984638014517</v>
      </c>
      <c r="G97" s="71">
        <v>362.98730797518147</v>
      </c>
      <c r="H97" s="71">
        <v>1451.9492319007259</v>
      </c>
      <c r="I97" s="74">
        <f>SUM(I98:I102)</f>
        <v>1.2443637276409636</v>
      </c>
    </row>
    <row r="98" spans="1:9">
      <c r="A98" s="73" t="s">
        <v>129</v>
      </c>
      <c r="B98" s="71">
        <v>2</v>
      </c>
      <c r="C98" s="78">
        <v>1.6103059581320451E-3</v>
      </c>
      <c r="D98" s="71">
        <v>0.23</v>
      </c>
      <c r="E98" s="71">
        <v>7.9635240300000007E-2</v>
      </c>
      <c r="F98" s="71">
        <v>188.39823769055459</v>
      </c>
      <c r="G98" s="71">
        <v>23.549779711319324</v>
      </c>
      <c r="H98" s="71">
        <v>94.199118845277297</v>
      </c>
      <c r="I98">
        <f>-B98/B97*LN(B98/B97)</f>
        <v>0.15497047258770741</v>
      </c>
    </row>
    <row r="99" spans="1:9">
      <c r="A99" s="73" t="s">
        <v>54</v>
      </c>
      <c r="B99" s="71">
        <v>5</v>
      </c>
      <c r="C99" s="78">
        <v>4.0257648953301124E-3</v>
      </c>
      <c r="D99" s="71">
        <v>0.315</v>
      </c>
      <c r="E99" s="71">
        <v>0.15572970105</v>
      </c>
      <c r="F99" s="71">
        <v>447.01204948600673</v>
      </c>
      <c r="G99" s="71">
        <v>55.876506185750841</v>
      </c>
      <c r="H99" s="71">
        <v>223.50602474300337</v>
      </c>
      <c r="I99">
        <f>-B99/B97*LN(B99/B97)</f>
        <v>0.26686161148582704</v>
      </c>
    </row>
    <row r="100" spans="1:9">
      <c r="A100" s="73" t="s">
        <v>39</v>
      </c>
      <c r="B100" s="71">
        <v>17</v>
      </c>
      <c r="C100" s="78">
        <v>1.3687600644122383E-2</v>
      </c>
      <c r="D100" s="71">
        <v>0.37000000000000005</v>
      </c>
      <c r="E100" s="71">
        <v>0.57428526540000002</v>
      </c>
      <c r="F100" s="71">
        <v>1752.0027501943687</v>
      </c>
      <c r="G100" s="71">
        <v>219.00034377429608</v>
      </c>
      <c r="H100" s="71">
        <v>876.00137509718434</v>
      </c>
      <c r="I100">
        <f>-B100/B97*LN(B100/B97)</f>
        <v>0.3598509964840233</v>
      </c>
    </row>
    <row r="101" spans="1:9">
      <c r="A101" s="73" t="s">
        <v>184</v>
      </c>
      <c r="B101" s="71">
        <v>1</v>
      </c>
      <c r="C101" s="78">
        <v>8.0515297906602254E-4</v>
      </c>
      <c r="D101" s="71">
        <v>0.57999999999999996</v>
      </c>
      <c r="E101" s="71">
        <v>2.9559314399999998E-2</v>
      </c>
      <c r="F101" s="71">
        <v>105.01049467788424</v>
      </c>
      <c r="G101" s="71">
        <v>13.12631183473553</v>
      </c>
      <c r="H101" s="71">
        <v>52.505247338942119</v>
      </c>
      <c r="I101">
        <f>-B101/B97*LN(B101/B97)</f>
        <v>9.5725951571746987E-2</v>
      </c>
    </row>
    <row r="102" spans="1:9">
      <c r="A102" s="73" t="s">
        <v>36</v>
      </c>
      <c r="B102" s="71">
        <v>13</v>
      </c>
      <c r="C102" s="78">
        <v>1.0466988727858293E-2</v>
      </c>
      <c r="D102" s="71">
        <v>0.48000000000000015</v>
      </c>
      <c r="E102" s="71">
        <v>0.18829277775</v>
      </c>
      <c r="F102" s="71">
        <v>411.4749317526373</v>
      </c>
      <c r="G102" s="71">
        <v>51.434366469079663</v>
      </c>
      <c r="H102" s="71">
        <v>205.73746587631865</v>
      </c>
      <c r="I102">
        <f>-B102/B97*LN(B102/B97)</f>
        <v>0.36695469551165882</v>
      </c>
    </row>
    <row r="103" spans="1:9">
      <c r="A103" s="72">
        <v>100.1</v>
      </c>
      <c r="B103" s="71">
        <v>62</v>
      </c>
      <c r="C103" s="78">
        <v>4.9919484702093397E-2</v>
      </c>
      <c r="D103" s="71">
        <v>0.46601612903225825</v>
      </c>
      <c r="E103" s="71">
        <v>1.4285412834</v>
      </c>
      <c r="F103" s="71">
        <v>5017.6911952216078</v>
      </c>
      <c r="G103" s="71">
        <v>627.21139940270098</v>
      </c>
      <c r="H103" s="71">
        <v>2508.8455976108039</v>
      </c>
      <c r="I103" s="74">
        <f>SUM(I104:I112)</f>
        <v>1.6481712729217348</v>
      </c>
    </row>
    <row r="104" spans="1:9">
      <c r="A104" s="73" t="s">
        <v>231</v>
      </c>
      <c r="B104" s="71">
        <v>6</v>
      </c>
      <c r="C104" s="78">
        <v>4.830917874396135E-3</v>
      </c>
      <c r="D104" s="71">
        <v>0.57999999999999996</v>
      </c>
      <c r="E104" s="71">
        <v>0.13181368199999999</v>
      </c>
      <c r="F104" s="71">
        <v>515.58108773936704</v>
      </c>
      <c r="G104" s="71">
        <v>64.447635967420879</v>
      </c>
      <c r="H104" s="71">
        <v>257.79054386968352</v>
      </c>
      <c r="I104">
        <f>-B104/B103*LN(B104/B103)</f>
        <v>0.22600402411132614</v>
      </c>
    </row>
    <row r="105" spans="1:9">
      <c r="A105" s="73" t="s">
        <v>151</v>
      </c>
      <c r="B105" s="71">
        <v>2</v>
      </c>
      <c r="C105" s="78">
        <v>1.6103059581320451E-3</v>
      </c>
      <c r="D105" s="71">
        <v>0.53</v>
      </c>
      <c r="E105" s="71">
        <v>1.2680283000000002E-2</v>
      </c>
      <c r="F105" s="71">
        <v>56.328664917304209</v>
      </c>
      <c r="G105" s="71">
        <v>7.0410831146630262</v>
      </c>
      <c r="H105" s="71">
        <v>28.164332458652105</v>
      </c>
      <c r="I105">
        <f>-B105/B103*LN(B105/B103)</f>
        <v>0.11077378078984343</v>
      </c>
    </row>
    <row r="106" spans="1:9">
      <c r="A106" s="73" t="s">
        <v>98</v>
      </c>
      <c r="B106" s="71">
        <v>2</v>
      </c>
      <c r="C106" s="78">
        <v>1.6103059581320451E-3</v>
      </c>
      <c r="D106" s="71">
        <v>0.44</v>
      </c>
      <c r="E106" s="71">
        <v>2.56173918E-2</v>
      </c>
      <c r="F106" s="71">
        <v>101.60386033048162</v>
      </c>
      <c r="G106" s="71">
        <v>12.700482541310203</v>
      </c>
      <c r="H106" s="71">
        <v>50.801930165240812</v>
      </c>
      <c r="I106">
        <f>-B106/B103*LN(B106/B103)</f>
        <v>0.11077378078984343</v>
      </c>
    </row>
    <row r="107" spans="1:9">
      <c r="A107" s="73" t="s">
        <v>54</v>
      </c>
      <c r="B107" s="71">
        <v>6</v>
      </c>
      <c r="C107" s="78">
        <v>4.830917874396135E-3</v>
      </c>
      <c r="D107" s="71">
        <v>0.315</v>
      </c>
      <c r="E107" s="71">
        <v>0.1013841444</v>
      </c>
      <c r="F107" s="71">
        <v>410.80079602692643</v>
      </c>
      <c r="G107" s="71">
        <v>51.350099503365804</v>
      </c>
      <c r="H107" s="71">
        <v>205.40039801346322</v>
      </c>
      <c r="I107">
        <f>-B107/B103*LN(B107/B103)</f>
        <v>0.22600402411132614</v>
      </c>
    </row>
    <row r="108" spans="1:9">
      <c r="A108" s="73" t="s">
        <v>97</v>
      </c>
      <c r="B108" s="71">
        <v>1</v>
      </c>
      <c r="C108" s="78">
        <v>8.0515297906602254E-4</v>
      </c>
      <c r="D108" s="71">
        <v>0.57999999999999996</v>
      </c>
      <c r="E108" s="71">
        <v>7.088235E-3</v>
      </c>
      <c r="F108" s="71">
        <v>34.579664174048368</v>
      </c>
      <c r="G108" s="71">
        <v>4.322458021756046</v>
      </c>
      <c r="H108" s="71">
        <v>17.289832087024184</v>
      </c>
      <c r="I108">
        <f>-B108/B103*LN(B108/B103)</f>
        <v>6.6566683629759538E-2</v>
      </c>
    </row>
    <row r="109" spans="1:9">
      <c r="A109" s="73" t="s">
        <v>96</v>
      </c>
      <c r="B109" s="71">
        <v>8</v>
      </c>
      <c r="C109" s="78">
        <v>6.4412238325281803E-3</v>
      </c>
      <c r="D109" s="71">
        <v>0.48</v>
      </c>
      <c r="E109" s="71">
        <v>0.2362420368</v>
      </c>
      <c r="F109" s="71">
        <v>1040.5304513887756</v>
      </c>
      <c r="G109" s="71">
        <v>130.06630642359696</v>
      </c>
      <c r="H109" s="71">
        <v>520.26522569438782</v>
      </c>
      <c r="I109">
        <f>-B109/B103*LN(B109/B103)</f>
        <v>0.26421843140196843</v>
      </c>
    </row>
    <row r="110" spans="1:9">
      <c r="A110" s="73" t="s">
        <v>39</v>
      </c>
      <c r="B110" s="71">
        <v>6</v>
      </c>
      <c r="C110" s="78">
        <v>4.830917874396135E-3</v>
      </c>
      <c r="D110" s="71">
        <v>0.37000000000000005</v>
      </c>
      <c r="E110" s="71">
        <v>8.7202962000000009E-2</v>
      </c>
      <c r="F110" s="71">
        <v>213.85063162088221</v>
      </c>
      <c r="G110" s="71">
        <v>26.731328952610276</v>
      </c>
      <c r="H110" s="71">
        <v>106.92531581044111</v>
      </c>
      <c r="I110">
        <f>-B110/B103*LN(B110/B103)</f>
        <v>0.22600402411132614</v>
      </c>
    </row>
    <row r="111" spans="1:9">
      <c r="A111" s="73" t="s">
        <v>36</v>
      </c>
      <c r="B111" s="71">
        <v>30</v>
      </c>
      <c r="C111" s="78">
        <v>2.4154589371980676E-2</v>
      </c>
      <c r="D111" s="71">
        <v>0.48000000000000032</v>
      </c>
      <c r="E111" s="71">
        <v>0.80999951339999998</v>
      </c>
      <c r="F111" s="71">
        <v>2596.7513343852384</v>
      </c>
      <c r="G111" s="71">
        <v>324.59391679815479</v>
      </c>
      <c r="H111" s="71">
        <v>1298.3756671926192</v>
      </c>
      <c r="I111">
        <f>-B111/B103*LN(B111/B103)</f>
        <v>0.35125984034658198</v>
      </c>
    </row>
    <row r="112" spans="1:9">
      <c r="A112" s="73" t="s">
        <v>120</v>
      </c>
      <c r="B112" s="71">
        <v>1</v>
      </c>
      <c r="C112" s="78">
        <v>8.0515297906602254E-4</v>
      </c>
      <c r="D112" s="71">
        <v>0.54300000000000004</v>
      </c>
      <c r="E112" s="71">
        <v>1.6513035000000002E-2</v>
      </c>
      <c r="F112" s="71">
        <v>47.664704638585341</v>
      </c>
      <c r="G112" s="71">
        <v>5.9580880798231677</v>
      </c>
      <c r="H112" s="71">
        <v>23.832352319292671</v>
      </c>
      <c r="I112">
        <f>-B112/B103*LN(B112/B103)</f>
        <v>6.6566683629759538E-2</v>
      </c>
    </row>
    <row r="113" spans="1:9">
      <c r="A113" s="72">
        <v>100.2</v>
      </c>
      <c r="B113" s="71">
        <v>33</v>
      </c>
      <c r="C113" s="78">
        <v>2.6570048309178744E-2</v>
      </c>
      <c r="D113" s="71">
        <v>0.50475757575757563</v>
      </c>
      <c r="E113" s="71">
        <v>0.97363838879999987</v>
      </c>
      <c r="F113" s="71">
        <v>4382.9856032010284</v>
      </c>
      <c r="G113" s="71">
        <v>547.87320040012855</v>
      </c>
      <c r="H113" s="71">
        <v>2191.4928016005142</v>
      </c>
      <c r="I113" s="74">
        <f>SUM(I114:I124)</f>
        <v>2.2251217743772616</v>
      </c>
    </row>
    <row r="114" spans="1:9">
      <c r="A114" s="73" t="s">
        <v>231</v>
      </c>
      <c r="B114" s="71">
        <v>4</v>
      </c>
      <c r="C114" s="78">
        <v>3.2206119162640902E-3</v>
      </c>
      <c r="D114" s="71">
        <v>0.57999999999999996</v>
      </c>
      <c r="E114" s="71">
        <v>6.6210005400000008E-2</v>
      </c>
      <c r="F114" s="71">
        <v>298.73871278803546</v>
      </c>
      <c r="G114" s="71">
        <v>37.342339098504432</v>
      </c>
      <c r="H114" s="71">
        <v>149.36935639401773</v>
      </c>
      <c r="I114">
        <f>-B114/B113*LN(B114/B113)</f>
        <v>0.25578341822382905</v>
      </c>
    </row>
    <row r="115" spans="1:9">
      <c r="A115" s="73" t="s">
        <v>147</v>
      </c>
      <c r="B115" s="71">
        <v>1</v>
      </c>
      <c r="C115" s="78">
        <v>8.0515297906602254E-4</v>
      </c>
      <c r="D115" s="71">
        <v>0.41699999999999998</v>
      </c>
      <c r="E115" s="71">
        <v>7.088235E-3</v>
      </c>
      <c r="F115" s="71">
        <v>13.245808767628901</v>
      </c>
      <c r="G115" s="71">
        <v>1.6557260959536126</v>
      </c>
      <c r="H115" s="71">
        <v>6.6229043838144506</v>
      </c>
      <c r="I115">
        <f>-B115/B113*LN(B115/B113)</f>
        <v>0.10595477458989334</v>
      </c>
    </row>
    <row r="116" spans="1:9">
      <c r="A116" s="73" t="s">
        <v>72</v>
      </c>
      <c r="B116" s="71">
        <v>2</v>
      </c>
      <c r="C116" s="78">
        <v>1.6103059581320451E-3</v>
      </c>
      <c r="D116" s="71">
        <v>0.48</v>
      </c>
      <c r="E116" s="71">
        <v>1.7882772599999999E-2</v>
      </c>
      <c r="F116" s="71">
        <v>41.949212127491592</v>
      </c>
      <c r="G116" s="71">
        <v>5.243651515936449</v>
      </c>
      <c r="H116" s="71">
        <v>20.974606063745796</v>
      </c>
      <c r="I116">
        <f>-B116/B113*LN(B116/B113)</f>
        <v>0.16990062914585061</v>
      </c>
    </row>
    <row r="117" spans="1:9">
      <c r="A117" s="73" t="s">
        <v>54</v>
      </c>
      <c r="B117" s="71">
        <v>6</v>
      </c>
      <c r="C117" s="78">
        <v>4.830917874396135E-3</v>
      </c>
      <c r="D117" s="71">
        <v>0.315</v>
      </c>
      <c r="E117" s="71">
        <v>0.1357532484</v>
      </c>
      <c r="F117" s="71">
        <v>377.05141121169839</v>
      </c>
      <c r="G117" s="71">
        <v>47.131426401462299</v>
      </c>
      <c r="H117" s="71">
        <v>188.5257056058492</v>
      </c>
      <c r="I117">
        <f>-B117/B113*LN(B117/B113)</f>
        <v>0.30995419858880463</v>
      </c>
    </row>
    <row r="118" spans="1:9">
      <c r="A118" s="73" t="s">
        <v>107</v>
      </c>
      <c r="B118" s="71">
        <v>1</v>
      </c>
      <c r="C118" s="78">
        <v>8.0515297906602254E-4</v>
      </c>
      <c r="D118" s="71">
        <v>0.57999999999999996</v>
      </c>
      <c r="E118" s="71">
        <v>5.3093040000000001E-2</v>
      </c>
      <c r="F118" s="71">
        <v>281.56139628713686</v>
      </c>
      <c r="G118" s="71">
        <v>35.195174535892107</v>
      </c>
      <c r="H118" s="71">
        <v>140.78069814356843</v>
      </c>
      <c r="I118">
        <f>-B118/B113*LN(B118/B113)</f>
        <v>0.10595477458989334</v>
      </c>
    </row>
    <row r="119" spans="1:9">
      <c r="A119" s="73" t="s">
        <v>148</v>
      </c>
      <c r="B119" s="71">
        <v>4</v>
      </c>
      <c r="C119" s="78">
        <v>3.2206119162640902E-3</v>
      </c>
      <c r="D119" s="71">
        <v>0.57999999999999996</v>
      </c>
      <c r="E119" s="71">
        <v>3.6111121199999999E-2</v>
      </c>
      <c r="F119" s="71">
        <v>81.343362735504243</v>
      </c>
      <c r="G119" s="71">
        <v>10.16792034193803</v>
      </c>
      <c r="H119" s="71">
        <v>40.671681367752122</v>
      </c>
      <c r="I119">
        <f>-B119/B113*LN(B119/B113)</f>
        <v>0.25578341822382905</v>
      </c>
    </row>
    <row r="120" spans="1:9">
      <c r="A120" s="73" t="s">
        <v>39</v>
      </c>
      <c r="B120" s="71">
        <v>6</v>
      </c>
      <c r="C120" s="78">
        <v>4.830917874396135E-3</v>
      </c>
      <c r="D120" s="71">
        <v>0.37000000000000005</v>
      </c>
      <c r="E120" s="71">
        <v>0.16613723280000001</v>
      </c>
      <c r="F120" s="71">
        <v>503.19751056861134</v>
      </c>
      <c r="G120" s="71">
        <v>62.899688821076417</v>
      </c>
      <c r="H120" s="71">
        <v>251.59875528430567</v>
      </c>
      <c r="I120">
        <f>-B120/B113*LN(B120/B113)</f>
        <v>0.30995419858880463</v>
      </c>
    </row>
    <row r="121" spans="1:9">
      <c r="A121" s="73" t="s">
        <v>130</v>
      </c>
      <c r="B121" s="71">
        <v>3</v>
      </c>
      <c r="C121" s="78">
        <v>2.4154589371980675E-3</v>
      </c>
      <c r="D121" s="71">
        <v>0.57999999999999996</v>
      </c>
      <c r="E121" s="71">
        <v>1.4393240400000002E-2</v>
      </c>
      <c r="F121" s="71">
        <v>42.054230952541388</v>
      </c>
      <c r="G121" s="71">
        <v>5.2567788690676736</v>
      </c>
      <c r="H121" s="71">
        <v>21.027115476270694</v>
      </c>
      <c r="I121">
        <f>-B121/B113*LN(B121/B113)</f>
        <v>0.21799047934530644</v>
      </c>
    </row>
    <row r="122" spans="1:9">
      <c r="A122" s="73" t="s">
        <v>78</v>
      </c>
      <c r="B122" s="71">
        <v>1</v>
      </c>
      <c r="C122" s="78">
        <v>8.0515297906602254E-4</v>
      </c>
      <c r="D122" s="71">
        <v>0.64</v>
      </c>
      <c r="E122" s="71">
        <v>0.42429271500000004</v>
      </c>
      <c r="F122" s="71">
        <v>2575.9952420056079</v>
      </c>
      <c r="G122" s="71">
        <v>321.99940525070099</v>
      </c>
      <c r="H122" s="71">
        <v>1287.997621002804</v>
      </c>
      <c r="I122">
        <f>-B122/B113*LN(B122/B113)</f>
        <v>0.10595477458989334</v>
      </c>
    </row>
    <row r="123" spans="1:9">
      <c r="A123" s="73" t="s">
        <v>142</v>
      </c>
      <c r="B123" s="71">
        <v>2</v>
      </c>
      <c r="C123" s="78">
        <v>1.6103059581320451E-3</v>
      </c>
      <c r="D123" s="71">
        <v>0.66</v>
      </c>
      <c r="E123" s="71">
        <v>2.1614993400000001E-2</v>
      </c>
      <c r="F123" s="71">
        <v>83.149693071572216</v>
      </c>
      <c r="G123" s="71">
        <v>10.393711633946527</v>
      </c>
      <c r="H123" s="71">
        <v>41.574846535786108</v>
      </c>
      <c r="I123">
        <f>-B123/B113*LN(B123/B113)</f>
        <v>0.16990062914585061</v>
      </c>
    </row>
    <row r="124" spans="1:9">
      <c r="A124" s="73" t="s">
        <v>47</v>
      </c>
      <c r="B124" s="71">
        <v>3</v>
      </c>
      <c r="C124" s="78">
        <v>2.4154589371980675E-3</v>
      </c>
      <c r="D124" s="71">
        <v>0.75</v>
      </c>
      <c r="E124" s="71">
        <v>3.1061784599999996E-2</v>
      </c>
      <c r="F124" s="71">
        <v>84.699022685199466</v>
      </c>
      <c r="G124" s="71">
        <v>10.587377835649933</v>
      </c>
      <c r="H124" s="71">
        <v>42.349511342599733</v>
      </c>
      <c r="I124">
        <f>-B124/B113*LN(B124/B113)</f>
        <v>0.21799047934530644</v>
      </c>
    </row>
    <row r="125" spans="1:9">
      <c r="A125" s="72">
        <v>100.3</v>
      </c>
      <c r="B125" s="71">
        <v>42</v>
      </c>
      <c r="C125" s="78">
        <v>3.3816425120772944E-2</v>
      </c>
      <c r="D125" s="71">
        <v>0.51500000000000012</v>
      </c>
      <c r="E125" s="71">
        <v>0.96323340959999992</v>
      </c>
      <c r="F125" s="71">
        <v>3130.1909876836917</v>
      </c>
      <c r="G125" s="71">
        <v>391.27387346046146</v>
      </c>
      <c r="H125" s="71">
        <v>1565.0954938418458</v>
      </c>
      <c r="I125" s="74">
        <f>SUM(I126:I135)</f>
        <v>1.8101595431530135</v>
      </c>
    </row>
    <row r="126" spans="1:9">
      <c r="A126" s="73" t="s">
        <v>231</v>
      </c>
      <c r="B126" s="71">
        <v>9</v>
      </c>
      <c r="C126" s="78">
        <v>7.246376811594203E-3</v>
      </c>
      <c r="D126" s="71">
        <v>0.57999999999999996</v>
      </c>
      <c r="E126" s="71">
        <v>0.39735192420000004</v>
      </c>
      <c r="F126" s="71">
        <v>1534.2616966735707</v>
      </c>
      <c r="G126" s="71">
        <v>191.78271208419633</v>
      </c>
      <c r="H126" s="71">
        <v>767.13084833678533</v>
      </c>
      <c r="I126">
        <f>-B126/B125*LN(B126/B125)</f>
        <v>0.3300953659172462</v>
      </c>
    </row>
    <row r="127" spans="1:9">
      <c r="A127" s="73" t="s">
        <v>151</v>
      </c>
      <c r="B127" s="71">
        <v>6</v>
      </c>
      <c r="C127" s="78">
        <v>4.830917874396135E-3</v>
      </c>
      <c r="D127" s="71">
        <v>0.53000000000000014</v>
      </c>
      <c r="E127" s="71">
        <v>3.2729188800000003E-2</v>
      </c>
      <c r="F127" s="71">
        <v>82.327276260989422</v>
      </c>
      <c r="G127" s="71">
        <v>10.290909532623678</v>
      </c>
      <c r="H127" s="71">
        <v>41.163638130494711</v>
      </c>
      <c r="I127">
        <f>-B127/B125*LN(B127/B125)</f>
        <v>0.27798716415075903</v>
      </c>
    </row>
    <row r="128" spans="1:9">
      <c r="A128" s="73" t="s">
        <v>73</v>
      </c>
      <c r="B128" s="71">
        <v>1</v>
      </c>
      <c r="C128" s="78">
        <v>8.0515297906602254E-4</v>
      </c>
      <c r="D128" s="71">
        <v>0.46</v>
      </c>
      <c r="E128" s="71">
        <v>0.1307408256</v>
      </c>
      <c r="F128" s="71">
        <v>499.70203283354482</v>
      </c>
      <c r="G128" s="71">
        <v>62.462754104193102</v>
      </c>
      <c r="H128" s="71">
        <v>249.85101641677241</v>
      </c>
      <c r="I128">
        <f>-B128/B125*LN(B128/B125)</f>
        <v>8.8992133768651629E-2</v>
      </c>
    </row>
    <row r="129" spans="1:9">
      <c r="A129" s="73" t="s">
        <v>72</v>
      </c>
      <c r="B129" s="71">
        <v>3</v>
      </c>
      <c r="C129" s="78">
        <v>2.4154589371980675E-3</v>
      </c>
      <c r="D129" s="71">
        <v>0.48</v>
      </c>
      <c r="E129" s="71">
        <v>1.5658519799999999E-2</v>
      </c>
      <c r="F129" s="71">
        <v>41.054307127309187</v>
      </c>
      <c r="G129" s="71">
        <v>5.1317883909136484</v>
      </c>
      <c r="H129" s="71">
        <v>20.527153563654593</v>
      </c>
      <c r="I129">
        <f>-B129/B125*LN(B129/B125)</f>
        <v>0.18850409497251847</v>
      </c>
    </row>
    <row r="130" spans="1:9">
      <c r="A130" s="73" t="s">
        <v>107</v>
      </c>
      <c r="B130" s="71">
        <v>2</v>
      </c>
      <c r="C130" s="78">
        <v>1.6103059581320451E-3</v>
      </c>
      <c r="D130" s="71">
        <v>0.57999999999999996</v>
      </c>
      <c r="E130" s="71">
        <v>1.16427696E-2</v>
      </c>
      <c r="F130" s="71">
        <v>34.473190398425032</v>
      </c>
      <c r="G130" s="71">
        <v>4.309148799803129</v>
      </c>
      <c r="H130" s="71">
        <v>17.236595199212516</v>
      </c>
      <c r="I130">
        <f>-B130/B125*LN(B130/B125)</f>
        <v>0.14497725893921062</v>
      </c>
    </row>
    <row r="131" spans="1:9">
      <c r="A131" s="73" t="s">
        <v>96</v>
      </c>
      <c r="B131" s="71">
        <v>1</v>
      </c>
      <c r="C131" s="78">
        <v>8.0515297906602254E-4</v>
      </c>
      <c r="D131" s="71">
        <v>0.48</v>
      </c>
      <c r="E131" s="71">
        <v>5.4106206000000016E-3</v>
      </c>
      <c r="F131" s="71">
        <v>8.7097605258033681</v>
      </c>
      <c r="G131" s="71">
        <v>1.088720065725421</v>
      </c>
      <c r="H131" s="71">
        <v>4.3548802629016841</v>
      </c>
      <c r="I131">
        <f>-B131/B125*LN(B131/B125)</f>
        <v>8.8992133768651629E-2</v>
      </c>
    </row>
    <row r="132" spans="1:9">
      <c r="A132" s="73" t="s">
        <v>39</v>
      </c>
      <c r="B132" s="71">
        <v>2</v>
      </c>
      <c r="C132" s="78">
        <v>1.6103059581320451E-3</v>
      </c>
      <c r="D132" s="71">
        <v>0.37</v>
      </c>
      <c r="E132" s="71">
        <v>4.21045086E-2</v>
      </c>
      <c r="F132" s="71">
        <v>121.29232416668575</v>
      </c>
      <c r="G132" s="71">
        <v>15.161540520835718</v>
      </c>
      <c r="H132" s="71">
        <v>60.646162083342873</v>
      </c>
      <c r="I132">
        <f>-B132/B125*LN(B132/B125)</f>
        <v>0.14497725893921062</v>
      </c>
    </row>
    <row r="133" spans="1:9">
      <c r="A133" s="73" t="s">
        <v>122</v>
      </c>
      <c r="B133" s="71">
        <v>1</v>
      </c>
      <c r="C133" s="78">
        <v>8.0515297906602254E-4</v>
      </c>
      <c r="D133" s="71">
        <v>0.69</v>
      </c>
      <c r="E133" s="71">
        <v>2.2902264000000004E-3</v>
      </c>
      <c r="F133" s="71">
        <v>4.8593872223783556</v>
      </c>
      <c r="G133" s="71">
        <v>0.60742340279729445</v>
      </c>
      <c r="H133" s="71">
        <v>2.4296936111891778</v>
      </c>
      <c r="I133">
        <f>-B133/B125*LN(B133/B125)</f>
        <v>8.8992133768651629E-2</v>
      </c>
    </row>
    <row r="134" spans="1:9">
      <c r="A134" s="73" t="s">
        <v>36</v>
      </c>
      <c r="B134" s="71">
        <v>16</v>
      </c>
      <c r="C134" s="78">
        <v>1.2882447665056361E-2</v>
      </c>
      <c r="D134" s="71">
        <v>0.4800000000000002</v>
      </c>
      <c r="E134" s="71">
        <v>0.30519858600000005</v>
      </c>
      <c r="F134" s="71">
        <v>770.87564528738233</v>
      </c>
      <c r="G134" s="71">
        <v>96.359455660922791</v>
      </c>
      <c r="H134" s="71">
        <v>385.43782264369116</v>
      </c>
      <c r="I134">
        <f>-B134/B125*LN(B134/B125)</f>
        <v>0.36764986515946174</v>
      </c>
    </row>
    <row r="135" spans="1:9">
      <c r="A135" s="73" t="s">
        <v>207</v>
      </c>
      <c r="B135" s="71">
        <v>1</v>
      </c>
      <c r="C135" s="78">
        <v>8.0515297906602254E-4</v>
      </c>
      <c r="D135" s="71">
        <v>0.57999999999999996</v>
      </c>
      <c r="E135" s="71">
        <v>2.0106240000000001E-2</v>
      </c>
      <c r="F135" s="71">
        <v>32.635367187603158</v>
      </c>
      <c r="G135" s="71">
        <v>4.0794208984503948</v>
      </c>
      <c r="H135" s="71">
        <v>16.317683593801579</v>
      </c>
      <c r="I135">
        <f>-B135/B125*LN(B135/B125)</f>
        <v>8.8992133768651629E-2</v>
      </c>
    </row>
    <row r="136" spans="1:9">
      <c r="A136" s="72">
        <v>100.4</v>
      </c>
      <c r="B136" s="71">
        <v>24</v>
      </c>
      <c r="C136" s="78">
        <v>1.932367149758454E-2</v>
      </c>
      <c r="D136" s="71">
        <v>0.51062500000000022</v>
      </c>
      <c r="E136" s="71">
        <v>0.63222972120000021</v>
      </c>
      <c r="F136" s="71">
        <v>2664.6619675177703</v>
      </c>
      <c r="G136" s="71">
        <v>333.08274593972129</v>
      </c>
      <c r="H136" s="71">
        <v>1332.3309837588852</v>
      </c>
      <c r="I136" s="74">
        <f>SUM(I137:I149)</f>
        <v>2.2998833723166454</v>
      </c>
    </row>
    <row r="137" spans="1:9">
      <c r="A137" s="73" t="s">
        <v>231</v>
      </c>
      <c r="B137" s="71">
        <v>1</v>
      </c>
      <c r="C137" s="78">
        <v>8.0515297906602254E-4</v>
      </c>
      <c r="D137" s="71">
        <v>0.57999999999999996</v>
      </c>
      <c r="E137" s="71">
        <v>2.4630143999999996E-3</v>
      </c>
      <c r="F137" s="71">
        <v>5.7775456467565354</v>
      </c>
      <c r="G137" s="71">
        <v>0.72219320584456692</v>
      </c>
      <c r="H137" s="71">
        <v>2.8887728233782677</v>
      </c>
      <c r="I137">
        <f>-B137/B136*LN(B137/B136)</f>
        <v>0.13241890959783106</v>
      </c>
    </row>
    <row r="138" spans="1:9">
      <c r="A138" s="73" t="s">
        <v>121</v>
      </c>
      <c r="B138" s="71">
        <v>2</v>
      </c>
      <c r="C138" s="78">
        <v>1.6103059581320451E-3</v>
      </c>
      <c r="D138" s="71">
        <v>0.49</v>
      </c>
      <c r="E138" s="71">
        <v>1.0606826999999999E-2</v>
      </c>
      <c r="F138" s="71">
        <v>20.819339375996972</v>
      </c>
      <c r="G138" s="71">
        <v>2.6024174219996214</v>
      </c>
      <c r="H138" s="71">
        <v>10.409669687998486</v>
      </c>
      <c r="I138">
        <f>-B138/B136*LN(B138/B136)</f>
        <v>0.20707555414900003</v>
      </c>
    </row>
    <row r="139" spans="1:9">
      <c r="A139" s="73" t="s">
        <v>98</v>
      </c>
      <c r="B139" s="71">
        <v>1</v>
      </c>
      <c r="C139" s="78">
        <v>8.0515297906602254E-4</v>
      </c>
      <c r="D139" s="71">
        <v>0.44</v>
      </c>
      <c r="E139" s="71">
        <v>3.4212023999999996E-3</v>
      </c>
      <c r="F139" s="71">
        <v>7.494141383640506</v>
      </c>
      <c r="G139" s="71">
        <v>0.93676767295506325</v>
      </c>
      <c r="H139" s="71">
        <v>3.747070691820253</v>
      </c>
      <c r="I139">
        <f>-B139/B136*LN(B139/B136)</f>
        <v>0.13241890959783106</v>
      </c>
    </row>
    <row r="140" spans="1:9">
      <c r="A140" s="73" t="s">
        <v>124</v>
      </c>
      <c r="B140" s="71">
        <v>1</v>
      </c>
      <c r="C140" s="78">
        <v>8.0515297906602254E-4</v>
      </c>
      <c r="D140" s="71">
        <v>0.47</v>
      </c>
      <c r="E140" s="71">
        <v>2.8274400000000001E-3</v>
      </c>
      <c r="F140" s="71">
        <v>4.2948640607636426</v>
      </c>
      <c r="G140" s="71">
        <v>0.53685800759545532</v>
      </c>
      <c r="H140" s="71">
        <v>2.1474320303818213</v>
      </c>
      <c r="I140">
        <f>-B140/B136*LN(B140/B136)</f>
        <v>0.13241890959783106</v>
      </c>
    </row>
    <row r="141" spans="1:9">
      <c r="A141" s="73" t="s">
        <v>79</v>
      </c>
      <c r="B141" s="71">
        <v>2</v>
      </c>
      <c r="C141" s="78">
        <v>1.6103059581320451E-3</v>
      </c>
      <c r="D141" s="71">
        <v>0.78</v>
      </c>
      <c r="E141" s="71">
        <v>4.2528624599999995E-2</v>
      </c>
      <c r="F141" s="71">
        <v>248.16289369862329</v>
      </c>
      <c r="G141" s="71">
        <v>31.020361712327912</v>
      </c>
      <c r="H141" s="71">
        <v>124.08144684931165</v>
      </c>
      <c r="I141">
        <f>-B141/B136*LN(B141/B136)</f>
        <v>0.20707555414900003</v>
      </c>
    </row>
    <row r="142" spans="1:9">
      <c r="A142" s="73" t="s">
        <v>54</v>
      </c>
      <c r="B142" s="71">
        <v>3</v>
      </c>
      <c r="C142" s="78">
        <v>2.4154589371980675E-3</v>
      </c>
      <c r="D142" s="71">
        <v>0.315</v>
      </c>
      <c r="E142" s="71">
        <v>8.7419732400000005E-2</v>
      </c>
      <c r="F142" s="71">
        <v>306.64903401579107</v>
      </c>
      <c r="G142" s="71">
        <v>38.331129251973884</v>
      </c>
      <c r="H142" s="71">
        <v>153.32451700789554</v>
      </c>
      <c r="I142">
        <f>-B142/B136*LN(B142/B136)</f>
        <v>0.25993019270997947</v>
      </c>
    </row>
    <row r="143" spans="1:9">
      <c r="A143" s="73" t="s">
        <v>107</v>
      </c>
      <c r="B143" s="71">
        <v>1</v>
      </c>
      <c r="C143" s="78">
        <v>8.0515297906602254E-4</v>
      </c>
      <c r="D143" s="71">
        <v>0.57999999999999996</v>
      </c>
      <c r="E143" s="71">
        <v>1.1689893599999999E-2</v>
      </c>
      <c r="F143" s="71">
        <v>37.420928490995102</v>
      </c>
      <c r="G143" s="71">
        <v>4.6776160613743878</v>
      </c>
      <c r="H143" s="71">
        <v>18.710464245497551</v>
      </c>
      <c r="I143">
        <f>-B143/B136*LN(B143/B136)</f>
        <v>0.13241890959783106</v>
      </c>
    </row>
    <row r="144" spans="1:9">
      <c r="A144" s="73" t="s">
        <v>41</v>
      </c>
      <c r="B144" s="71">
        <v>1</v>
      </c>
      <c r="C144" s="78">
        <v>8.0515297906602254E-4</v>
      </c>
      <c r="D144" s="71">
        <v>0.7</v>
      </c>
      <c r="E144" s="71">
        <v>0.14253125040000003</v>
      </c>
      <c r="F144" s="71">
        <v>852.23485846181961</v>
      </c>
      <c r="G144" s="71">
        <v>106.52935730772745</v>
      </c>
      <c r="H144" s="71">
        <v>426.11742923090981</v>
      </c>
      <c r="I144">
        <f>-B144/B136*LN(B144/B136)</f>
        <v>0.13241890959783106</v>
      </c>
    </row>
    <row r="145" spans="1:9">
      <c r="A145" s="73" t="s">
        <v>39</v>
      </c>
      <c r="B145" s="71">
        <v>2</v>
      </c>
      <c r="C145" s="78">
        <v>1.6103059581320451E-3</v>
      </c>
      <c r="D145" s="71">
        <v>0.37</v>
      </c>
      <c r="E145" s="71">
        <v>9.4789925999999997E-3</v>
      </c>
      <c r="F145" s="71">
        <v>19.994118749957682</v>
      </c>
      <c r="G145" s="71">
        <v>2.4992648437447103</v>
      </c>
      <c r="H145" s="71">
        <v>9.997059374978841</v>
      </c>
      <c r="I145">
        <f>-B145/B136*LN(B145/B136)</f>
        <v>0.20707555414900003</v>
      </c>
    </row>
    <row r="146" spans="1:9">
      <c r="A146" s="73" t="s">
        <v>136</v>
      </c>
      <c r="B146" s="71">
        <v>1</v>
      </c>
      <c r="C146" s="78">
        <v>8.0515297906602254E-4</v>
      </c>
      <c r="D146" s="71">
        <v>0.57999999999999996</v>
      </c>
      <c r="E146" s="71">
        <v>6.9746661600000009E-2</v>
      </c>
      <c r="F146" s="71">
        <v>335.23394012231881</v>
      </c>
      <c r="G146" s="71">
        <v>41.904242515289852</v>
      </c>
      <c r="H146" s="71">
        <v>167.61697006115941</v>
      </c>
      <c r="I146">
        <f>-B146/B136*LN(B146/B136)</f>
        <v>0.13241890959783106</v>
      </c>
    </row>
    <row r="147" spans="1:9">
      <c r="A147" s="73" t="s">
        <v>126</v>
      </c>
      <c r="B147" s="71">
        <v>1</v>
      </c>
      <c r="C147" s="78">
        <v>8.0515297906602254E-4</v>
      </c>
      <c r="D147" s="71">
        <v>0.68</v>
      </c>
      <c r="E147" s="71">
        <v>3.3183150000000001E-3</v>
      </c>
      <c r="F147" s="71">
        <v>15.769392246861749</v>
      </c>
      <c r="G147" s="71">
        <v>1.9711740308577186</v>
      </c>
      <c r="H147" s="71">
        <v>7.8846961234308743</v>
      </c>
      <c r="I147">
        <f>-B147/B136*LN(B147/B136)</f>
        <v>0.13241890959783106</v>
      </c>
    </row>
    <row r="148" spans="1:9">
      <c r="A148" s="73" t="s">
        <v>78</v>
      </c>
      <c r="B148" s="71">
        <v>1</v>
      </c>
      <c r="C148" s="78">
        <v>8.0515297906602254E-4</v>
      </c>
      <c r="D148" s="71">
        <v>0.64</v>
      </c>
      <c r="E148" s="71">
        <v>2.4630143999999996E-3</v>
      </c>
      <c r="F148" s="71">
        <v>8.0765540377727429</v>
      </c>
      <c r="G148" s="71">
        <v>1.0095692547215929</v>
      </c>
      <c r="H148" s="71">
        <v>4.0382770188863715</v>
      </c>
      <c r="I148">
        <f>-B148/B136*LN(B148/B136)</f>
        <v>0.13241890959783106</v>
      </c>
    </row>
    <row r="149" spans="1:9">
      <c r="A149" s="73" t="s">
        <v>36</v>
      </c>
      <c r="B149" s="71">
        <v>7</v>
      </c>
      <c r="C149" s="78">
        <v>5.6360708534621577E-3</v>
      </c>
      <c r="D149" s="71">
        <v>0.48</v>
      </c>
      <c r="E149" s="71">
        <v>0.24373475280000001</v>
      </c>
      <c r="F149" s="71">
        <v>802.73435722647275</v>
      </c>
      <c r="G149" s="71">
        <v>100.34179465330909</v>
      </c>
      <c r="H149" s="71">
        <v>401.36717861323638</v>
      </c>
      <c r="I149">
        <f>-B149/B136*LN(B149/B136)</f>
        <v>0.35937524037701779</v>
      </c>
    </row>
    <row r="150" spans="1:9">
      <c r="A150" s="72">
        <v>100.5</v>
      </c>
      <c r="B150" s="71">
        <v>29</v>
      </c>
      <c r="C150" s="78">
        <v>2.3349436392914653E-2</v>
      </c>
      <c r="D150" s="71">
        <v>0.52120689655172403</v>
      </c>
      <c r="E150" s="71">
        <v>0.42758825340000001</v>
      </c>
      <c r="F150" s="71">
        <v>1291.3367148140417</v>
      </c>
      <c r="G150" s="71">
        <v>161.41708935175521</v>
      </c>
      <c r="H150" s="71">
        <v>645.66835740702084</v>
      </c>
      <c r="I150" s="74">
        <f>SUM(I151:I164)</f>
        <v>2.2006900386021266</v>
      </c>
    </row>
    <row r="151" spans="1:9">
      <c r="A151" s="73" t="s">
        <v>231</v>
      </c>
      <c r="B151" s="71">
        <v>2</v>
      </c>
      <c r="C151" s="78">
        <v>1.6103059581320451E-3</v>
      </c>
      <c r="D151" s="71">
        <v>0.57999999999999996</v>
      </c>
      <c r="E151" s="71">
        <v>7.4554095000000001E-2</v>
      </c>
      <c r="F151" s="71">
        <v>393.55835382848909</v>
      </c>
      <c r="G151" s="71">
        <v>49.194794228561136</v>
      </c>
      <c r="H151" s="71">
        <v>196.77917691424454</v>
      </c>
      <c r="I151">
        <f>-B151/B150*LN(B151/B150)</f>
        <v>0.18442404478803645</v>
      </c>
    </row>
    <row r="152" spans="1:9">
      <c r="A152" s="73" t="s">
        <v>252</v>
      </c>
      <c r="B152" s="71">
        <v>11</v>
      </c>
      <c r="C152" s="78">
        <v>8.8566827697262474E-3</v>
      </c>
      <c r="D152" s="71">
        <v>0.54</v>
      </c>
      <c r="E152" s="71">
        <v>4.6340170799999997E-2</v>
      </c>
      <c r="F152" s="71">
        <v>104.54960862212924</v>
      </c>
      <c r="G152" s="71">
        <v>13.068701077766155</v>
      </c>
      <c r="H152" s="71">
        <v>52.274804311064621</v>
      </c>
      <c r="I152">
        <f>-B152/B150*LN(B152/B150)</f>
        <v>0.36770365962307378</v>
      </c>
    </row>
    <row r="153" spans="1:9">
      <c r="A153" s="73" t="s">
        <v>151</v>
      </c>
      <c r="B153" s="71">
        <v>1</v>
      </c>
      <c r="C153" s="78">
        <v>8.0515297906602254E-4</v>
      </c>
      <c r="D153" s="71">
        <v>0.53</v>
      </c>
      <c r="E153" s="71">
        <v>2.8274400000000001E-3</v>
      </c>
      <c r="F153" s="71">
        <v>5.9798054173079178</v>
      </c>
      <c r="G153" s="71">
        <v>0.74747567716348973</v>
      </c>
      <c r="H153" s="71">
        <v>2.9899027086539589</v>
      </c>
      <c r="I153">
        <f>-B153/B150*LN(B153/B150)</f>
        <v>0.11611364930987841</v>
      </c>
    </row>
    <row r="154" spans="1:9">
      <c r="A154" s="73" t="s">
        <v>135</v>
      </c>
      <c r="B154" s="71">
        <v>1</v>
      </c>
      <c r="C154" s="78">
        <v>8.0515297906602254E-4</v>
      </c>
      <c r="D154" s="71">
        <v>0.38</v>
      </c>
      <c r="E154" s="71">
        <v>0.18703829759999999</v>
      </c>
      <c r="F154" s="71">
        <v>410.27463950665879</v>
      </c>
      <c r="G154" s="71">
        <v>51.284329938332348</v>
      </c>
      <c r="H154" s="71">
        <v>205.13731975332939</v>
      </c>
      <c r="I154">
        <f>-B154/B150*LN(B154/B150)</f>
        <v>0.11611364930987841</v>
      </c>
    </row>
    <row r="155" spans="1:9">
      <c r="A155" s="73" t="s">
        <v>72</v>
      </c>
      <c r="B155" s="71">
        <v>1</v>
      </c>
      <c r="C155" s="78">
        <v>8.0515297906602254E-4</v>
      </c>
      <c r="D155" s="71">
        <v>0.48</v>
      </c>
      <c r="E155" s="71">
        <v>1.0386915E-2</v>
      </c>
      <c r="F155" s="71">
        <v>44.868354143074676</v>
      </c>
      <c r="G155" s="71">
        <v>5.6085442678843345</v>
      </c>
      <c r="H155" s="71">
        <v>22.434177071537338</v>
      </c>
      <c r="I155">
        <f>-B155/B150*LN(B155/B150)</f>
        <v>0.11611364930987841</v>
      </c>
    </row>
    <row r="156" spans="1:9">
      <c r="A156" s="73" t="s">
        <v>54</v>
      </c>
      <c r="B156" s="71">
        <v>1</v>
      </c>
      <c r="C156" s="78">
        <v>8.0515297906602254E-4</v>
      </c>
      <c r="D156" s="71">
        <v>0.315</v>
      </c>
      <c r="E156" s="71">
        <v>1.6741586400000001E-2</v>
      </c>
      <c r="F156" s="71">
        <v>47.527863191713557</v>
      </c>
      <c r="G156" s="71">
        <v>5.9409828989641946</v>
      </c>
      <c r="H156" s="71">
        <v>23.763931595856779</v>
      </c>
      <c r="I156">
        <f>-B156/B150*LN(B156/B150)</f>
        <v>0.11611364930987841</v>
      </c>
    </row>
    <row r="157" spans="1:9">
      <c r="A157" s="73" t="s">
        <v>107</v>
      </c>
      <c r="B157" s="71">
        <v>2</v>
      </c>
      <c r="C157" s="78">
        <v>1.6103059581320451E-3</v>
      </c>
      <c r="D157" s="71">
        <v>0.57999999999999996</v>
      </c>
      <c r="E157" s="71">
        <v>3.5916342000000004E-2</v>
      </c>
      <c r="F157" s="71">
        <v>164.12713854936757</v>
      </c>
      <c r="G157" s="71">
        <v>20.515892318670947</v>
      </c>
      <c r="H157" s="71">
        <v>82.063569274683786</v>
      </c>
      <c r="I157">
        <f>-B157/B150*LN(B157/B150)</f>
        <v>0.18442404478803645</v>
      </c>
    </row>
    <row r="158" spans="1:9">
      <c r="A158" s="73" t="s">
        <v>202</v>
      </c>
      <c r="B158" s="71">
        <v>1</v>
      </c>
      <c r="C158" s="78">
        <v>8.0515297906602254E-4</v>
      </c>
      <c r="D158" s="71">
        <v>0.51</v>
      </c>
      <c r="E158" s="71">
        <v>4.0715136000000008E-3</v>
      </c>
      <c r="F158" s="71">
        <v>3.2497925327007211</v>
      </c>
      <c r="G158" s="71">
        <v>0.40622406658759014</v>
      </c>
      <c r="H158" s="71">
        <v>1.6248962663503606</v>
      </c>
      <c r="I158">
        <f>-B158/B150*LN(B158/B150)</f>
        <v>0.11611364930987841</v>
      </c>
    </row>
    <row r="159" spans="1:9">
      <c r="A159" s="73" t="s">
        <v>146</v>
      </c>
      <c r="B159" s="71">
        <v>1</v>
      </c>
      <c r="C159" s="78">
        <v>8.0515297906602254E-4</v>
      </c>
      <c r="D159" s="71">
        <v>0.69</v>
      </c>
      <c r="E159" s="71">
        <v>5.0265600000000002E-3</v>
      </c>
      <c r="F159" s="71">
        <v>15.268849716075639</v>
      </c>
      <c r="G159" s="71">
        <v>1.9086062145094549</v>
      </c>
      <c r="H159" s="71">
        <v>7.6344248580378196</v>
      </c>
      <c r="I159">
        <f>-B159/B150*LN(B159/B150)</f>
        <v>0.11611364930987841</v>
      </c>
    </row>
    <row r="160" spans="1:9">
      <c r="A160" s="73" t="s">
        <v>39</v>
      </c>
      <c r="B160" s="71">
        <v>3</v>
      </c>
      <c r="C160" s="78">
        <v>2.4154589371980675E-3</v>
      </c>
      <c r="D160" s="71">
        <v>0.36999999999999994</v>
      </c>
      <c r="E160" s="71">
        <v>1.7644011000000001E-2</v>
      </c>
      <c r="F160" s="71">
        <v>46.55296586982945</v>
      </c>
      <c r="G160" s="71">
        <v>5.8191207337286812</v>
      </c>
      <c r="H160" s="71">
        <v>23.276482934914725</v>
      </c>
      <c r="I160">
        <f>-B160/B150*LN(B160/B150)</f>
        <v>0.23469140082603768</v>
      </c>
    </row>
    <row r="161" spans="1:9">
      <c r="A161" s="73" t="s">
        <v>122</v>
      </c>
      <c r="B161" s="71">
        <v>2</v>
      </c>
      <c r="C161" s="78">
        <v>1.6103059581320451E-3</v>
      </c>
      <c r="D161" s="71">
        <v>0.69</v>
      </c>
      <c r="E161" s="71">
        <v>5.5614174000000009E-3</v>
      </c>
      <c r="F161" s="71">
        <v>19.84702072845667</v>
      </c>
      <c r="G161" s="71">
        <v>2.4808775910570837</v>
      </c>
      <c r="H161" s="71">
        <v>9.9235103642283349</v>
      </c>
      <c r="I161">
        <f>-B161/B150*LN(B161/B150)</f>
        <v>0.18442404478803645</v>
      </c>
    </row>
    <row r="162" spans="1:9">
      <c r="A162" s="73" t="s">
        <v>130</v>
      </c>
      <c r="B162" s="71">
        <v>1</v>
      </c>
      <c r="C162" s="78">
        <v>8.0515297906602254E-4</v>
      </c>
      <c r="D162" s="71">
        <v>0.57999999999999996</v>
      </c>
      <c r="E162" s="71">
        <v>4.7783736E-3</v>
      </c>
      <c r="F162" s="71">
        <v>4.3689163666171469</v>
      </c>
      <c r="G162" s="71">
        <v>0.54611454582714336</v>
      </c>
      <c r="H162" s="71">
        <v>2.1844581833085734</v>
      </c>
      <c r="I162">
        <f>-B162/B150*LN(B162/B150)</f>
        <v>0.11611364930987841</v>
      </c>
    </row>
    <row r="163" spans="1:9">
      <c r="A163" s="73" t="s">
        <v>222</v>
      </c>
      <c r="B163" s="71">
        <v>1</v>
      </c>
      <c r="C163" s="78">
        <v>8.0515297906602254E-4</v>
      </c>
      <c r="D163" s="71">
        <v>0.24</v>
      </c>
      <c r="E163" s="71">
        <v>1.3069841400000001E-2</v>
      </c>
      <c r="F163" s="71">
        <v>22.818431189186477</v>
      </c>
      <c r="G163" s="71">
        <v>2.8523038986483096</v>
      </c>
      <c r="H163" s="71">
        <v>11.409215594593238</v>
      </c>
      <c r="I163">
        <f>-B163/B150*LN(B163/B150)</f>
        <v>0.11611364930987841</v>
      </c>
    </row>
    <row r="164" spans="1:9">
      <c r="A164" s="73" t="s">
        <v>78</v>
      </c>
      <c r="B164" s="71">
        <v>1</v>
      </c>
      <c r="C164" s="78">
        <v>8.0515297906602254E-4</v>
      </c>
      <c r="D164" s="71">
        <v>0.64</v>
      </c>
      <c r="E164" s="71">
        <v>3.6316895999999998E-3</v>
      </c>
      <c r="F164" s="71">
        <v>8.3449751524344915</v>
      </c>
      <c r="G164" s="71">
        <v>1.0431218940543114</v>
      </c>
      <c r="H164" s="71">
        <v>4.1724875762172458</v>
      </c>
      <c r="I164">
        <f>-B164/B150*LN(B164/B150)</f>
        <v>0.11611364930987841</v>
      </c>
    </row>
    <row r="165" spans="1:9">
      <c r="A165" s="72">
        <v>100.6</v>
      </c>
      <c r="B165" s="71">
        <v>56</v>
      </c>
      <c r="C165" s="78">
        <v>4.5088566827697261E-2</v>
      </c>
      <c r="D165" s="71">
        <v>0.50383928571428593</v>
      </c>
      <c r="E165" s="71">
        <v>0.75303032804999992</v>
      </c>
      <c r="F165" s="71">
        <v>2343.9611901684884</v>
      </c>
      <c r="G165" s="71">
        <v>292.99514877106105</v>
      </c>
      <c r="H165" s="71">
        <v>1171.9805950842442</v>
      </c>
      <c r="I165" s="74">
        <f>SUM(I166:I178)</f>
        <v>1.940637532359947</v>
      </c>
    </row>
    <row r="166" spans="1:9">
      <c r="A166" s="73" t="s">
        <v>231</v>
      </c>
      <c r="B166" s="71">
        <v>1</v>
      </c>
      <c r="C166" s="78">
        <v>8.0515297906602254E-4</v>
      </c>
      <c r="D166" s="71">
        <v>0.57999999999999996</v>
      </c>
      <c r="E166" s="71">
        <v>1.948282875E-2</v>
      </c>
      <c r="F166" s="71">
        <v>68.14250007014499</v>
      </c>
      <c r="G166" s="71">
        <v>8.5178125087681238</v>
      </c>
      <c r="H166" s="71">
        <v>34.071250035072495</v>
      </c>
      <c r="I166">
        <f>-B166/B165*LN(B166/B165)</f>
        <v>7.1881280191699093E-2</v>
      </c>
    </row>
    <row r="167" spans="1:9">
      <c r="A167" s="73" t="s">
        <v>252</v>
      </c>
      <c r="B167" s="71">
        <v>1</v>
      </c>
      <c r="C167" s="78">
        <v>8.0515297906602254E-4</v>
      </c>
      <c r="D167" s="71">
        <v>0.54</v>
      </c>
      <c r="E167" s="71">
        <v>3.3183150000000001E-3</v>
      </c>
      <c r="F167" s="71">
        <v>8.3748981515296492</v>
      </c>
      <c r="G167" s="71">
        <v>1.0468622689412062</v>
      </c>
      <c r="H167" s="71">
        <v>4.1874490757648246</v>
      </c>
      <c r="I167">
        <f>-B167/B165*LN(B167/B165)</f>
        <v>7.1881280191699093E-2</v>
      </c>
    </row>
    <row r="168" spans="1:9">
      <c r="A168" s="73" t="s">
        <v>151</v>
      </c>
      <c r="B168" s="71">
        <v>2</v>
      </c>
      <c r="C168" s="78">
        <v>1.6103059581320451E-3</v>
      </c>
      <c r="D168" s="71">
        <v>0.53</v>
      </c>
      <c r="E168" s="71">
        <v>1.5986031599999999E-2</v>
      </c>
      <c r="F168" s="71">
        <v>52.959719012184088</v>
      </c>
      <c r="G168" s="71">
        <v>6.619964876523011</v>
      </c>
      <c r="H168" s="71">
        <v>26.479859506092044</v>
      </c>
      <c r="I168">
        <f>-B168/B165*LN(B168/B165)</f>
        <v>0.1190073039348287</v>
      </c>
    </row>
    <row r="169" spans="1:9">
      <c r="A169" s="73" t="s">
        <v>129</v>
      </c>
      <c r="B169" s="71">
        <v>1</v>
      </c>
      <c r="C169" s="78">
        <v>8.0515297906602254E-4</v>
      </c>
      <c r="D169" s="71">
        <v>0.23</v>
      </c>
      <c r="E169" s="71">
        <v>1.2271875E-2</v>
      </c>
      <c r="F169" s="71">
        <v>20.207476797942746</v>
      </c>
      <c r="G169" s="71">
        <v>2.5259345997428433</v>
      </c>
      <c r="H169" s="71">
        <v>10.103738398971373</v>
      </c>
      <c r="I169">
        <f>-B169/B165*LN(B169/B165)</f>
        <v>7.1881280191699093E-2</v>
      </c>
    </row>
    <row r="170" spans="1:9">
      <c r="A170" s="73" t="s">
        <v>72</v>
      </c>
      <c r="B170" s="71">
        <v>1</v>
      </c>
      <c r="C170" s="78">
        <v>8.0515297906602254E-4</v>
      </c>
      <c r="D170" s="71">
        <v>0.48</v>
      </c>
      <c r="E170" s="71">
        <v>7.0138183499999984E-3</v>
      </c>
      <c r="F170" s="71">
        <v>13.51346192688157</v>
      </c>
      <c r="G170" s="71">
        <v>1.6891827408601963</v>
      </c>
      <c r="H170" s="71">
        <v>6.7567309634407851</v>
      </c>
      <c r="I170">
        <f>-B170/B165*LN(B170/B165)</f>
        <v>7.1881280191699093E-2</v>
      </c>
    </row>
    <row r="171" spans="1:9">
      <c r="A171" s="73" t="s">
        <v>54</v>
      </c>
      <c r="B171" s="71">
        <v>1</v>
      </c>
      <c r="C171" s="78">
        <v>8.0515297906602254E-4</v>
      </c>
      <c r="D171" s="71">
        <v>0.315</v>
      </c>
      <c r="E171" s="71">
        <v>1.2076310399999998E-2</v>
      </c>
      <c r="F171" s="71">
        <v>29.411305452729302</v>
      </c>
      <c r="G171" s="71">
        <v>3.6764131815911627</v>
      </c>
      <c r="H171" s="71">
        <v>14.705652726364651</v>
      </c>
      <c r="I171">
        <f>-B171/B165*LN(B171/B165)</f>
        <v>7.1881280191699093E-2</v>
      </c>
    </row>
    <row r="172" spans="1:9">
      <c r="A172" s="73" t="s">
        <v>107</v>
      </c>
      <c r="B172" s="71">
        <v>5</v>
      </c>
      <c r="C172" s="78">
        <v>4.0257648953301124E-3</v>
      </c>
      <c r="D172" s="71">
        <v>0.57999999999999996</v>
      </c>
      <c r="E172" s="71">
        <v>0.10347723539999999</v>
      </c>
      <c r="F172" s="71">
        <v>322.58964829358717</v>
      </c>
      <c r="G172" s="71">
        <v>40.323706036698397</v>
      </c>
      <c r="H172" s="71">
        <v>161.29482414679359</v>
      </c>
      <c r="I172">
        <f>-B172/B165*LN(B172/B165)</f>
        <v>0.21570658734830792</v>
      </c>
    </row>
    <row r="173" spans="1:9">
      <c r="A173" s="73" t="s">
        <v>97</v>
      </c>
      <c r="B173" s="71">
        <v>19</v>
      </c>
      <c r="C173" s="78">
        <v>1.5297906602254429E-2</v>
      </c>
      <c r="D173" s="71">
        <v>0.57999999999999996</v>
      </c>
      <c r="E173" s="71">
        <v>0.2944303593</v>
      </c>
      <c r="F173" s="71">
        <v>1262.4992508786788</v>
      </c>
      <c r="G173" s="71">
        <v>157.81240635983485</v>
      </c>
      <c r="H173" s="71">
        <v>631.24962543933941</v>
      </c>
      <c r="I173">
        <f>-B173/B165*LN(B173/B165)</f>
        <v>0.36673824142509764</v>
      </c>
    </row>
    <row r="174" spans="1:9">
      <c r="A174" s="73" t="s">
        <v>96</v>
      </c>
      <c r="B174" s="71">
        <v>2</v>
      </c>
      <c r="C174" s="78">
        <v>1.6103059581320451E-3</v>
      </c>
      <c r="D174" s="71">
        <v>0.48</v>
      </c>
      <c r="E174" s="71">
        <v>1.6338283500000002E-2</v>
      </c>
      <c r="F174" s="71">
        <v>45.979335156441849</v>
      </c>
      <c r="G174" s="71">
        <v>5.7474168945552311</v>
      </c>
      <c r="H174" s="71">
        <v>22.989667578220924</v>
      </c>
      <c r="I174">
        <f>-B174/B165*LN(B174/B165)</f>
        <v>0.1190073039348287</v>
      </c>
    </row>
    <row r="175" spans="1:9">
      <c r="A175" s="73" t="s">
        <v>39</v>
      </c>
      <c r="B175" s="71">
        <v>8</v>
      </c>
      <c r="C175" s="78">
        <v>6.4412238325281803E-3</v>
      </c>
      <c r="D175" s="71">
        <v>0.37000000000000005</v>
      </c>
      <c r="E175" s="71">
        <v>0.13124407065000002</v>
      </c>
      <c r="F175" s="71">
        <v>308.00517045146842</v>
      </c>
      <c r="G175" s="71">
        <v>38.500646306433552</v>
      </c>
      <c r="H175" s="71">
        <v>154.00258522573421</v>
      </c>
      <c r="I175">
        <f>-B175/B165*LN(B175/B165)</f>
        <v>0.27798716415075903</v>
      </c>
    </row>
    <row r="176" spans="1:9">
      <c r="A176" s="73" t="s">
        <v>122</v>
      </c>
      <c r="B176" s="71">
        <v>1</v>
      </c>
      <c r="C176" s="78">
        <v>8.0515297906602254E-4</v>
      </c>
      <c r="D176" s="71">
        <v>0.69</v>
      </c>
      <c r="E176" s="71">
        <v>2.5071931500000003E-3</v>
      </c>
      <c r="F176" s="71">
        <v>8.5069374377144431</v>
      </c>
      <c r="G176" s="71">
        <v>1.0633671797143054</v>
      </c>
      <c r="H176" s="71">
        <v>4.2534687188572216</v>
      </c>
      <c r="I176">
        <f>-B176/B165*LN(B176/B165)</f>
        <v>7.1881280191699093E-2</v>
      </c>
    </row>
    <row r="177" spans="1:9">
      <c r="A177" s="73" t="s">
        <v>222</v>
      </c>
      <c r="B177" s="71">
        <v>1</v>
      </c>
      <c r="C177" s="78">
        <v>8.0515297906602254E-4</v>
      </c>
      <c r="D177" s="71">
        <v>0.24</v>
      </c>
      <c r="E177" s="71">
        <v>8.0118654000000001E-3</v>
      </c>
      <c r="F177" s="71">
        <v>7.3206278911968026</v>
      </c>
      <c r="G177" s="71">
        <v>0.91507848639960032</v>
      </c>
      <c r="H177" s="71">
        <v>3.6603139455984013</v>
      </c>
      <c r="I177">
        <f>-B177/B165*LN(B177/B165)</f>
        <v>7.1881280191699093E-2</v>
      </c>
    </row>
    <row r="178" spans="1:9">
      <c r="A178" s="73" t="s">
        <v>36</v>
      </c>
      <c r="B178" s="71">
        <v>13</v>
      </c>
      <c r="C178" s="78">
        <v>1.0466988727858293E-2</v>
      </c>
      <c r="D178" s="71">
        <v>0.48000000000000015</v>
      </c>
      <c r="E178" s="71">
        <v>0.12687214155000001</v>
      </c>
      <c r="F178" s="71">
        <v>196.45085864798963</v>
      </c>
      <c r="G178" s="71">
        <v>24.556357330998704</v>
      </c>
      <c r="H178" s="71">
        <v>98.225429323994817</v>
      </c>
      <c r="I178">
        <f>-B178/B165*LN(B178/B165)</f>
        <v>0.33902197022423147</v>
      </c>
    </row>
    <row r="179" spans="1:9">
      <c r="A179" s="72">
        <v>100.7</v>
      </c>
      <c r="B179" s="71">
        <v>21</v>
      </c>
      <c r="C179" s="78">
        <v>1.6908212560386472E-2</v>
      </c>
      <c r="D179" s="71">
        <v>0.37547619047619052</v>
      </c>
      <c r="E179" s="71">
        <v>0.44596111559999996</v>
      </c>
      <c r="F179" s="71">
        <v>1376.5050201730783</v>
      </c>
      <c r="G179" s="71">
        <v>172.06312752163478</v>
      </c>
      <c r="H179" s="71">
        <v>688.25251008653913</v>
      </c>
      <c r="I179" s="74">
        <f>SUM(I180:I188)</f>
        <v>1.8138821146629427</v>
      </c>
    </row>
    <row r="180" spans="1:9">
      <c r="A180" s="73" t="s">
        <v>231</v>
      </c>
      <c r="B180" s="71">
        <v>1</v>
      </c>
      <c r="C180" s="78">
        <v>8.0515297906602254E-4</v>
      </c>
      <c r="D180" s="71">
        <v>0.57999999999999996</v>
      </c>
      <c r="E180" s="71">
        <v>3.0190776000000004E-3</v>
      </c>
      <c r="F180" s="71">
        <v>7.8017896031301568</v>
      </c>
      <c r="G180" s="71">
        <v>0.9752237003912696</v>
      </c>
      <c r="H180" s="71">
        <v>3.9008948015650784</v>
      </c>
      <c r="I180">
        <f>-B180/B179*LN(B180/B179)</f>
        <v>0.14497725893921062</v>
      </c>
    </row>
    <row r="181" spans="1:9">
      <c r="A181" s="73" t="s">
        <v>121</v>
      </c>
      <c r="B181" s="71">
        <v>1</v>
      </c>
      <c r="C181" s="78">
        <v>8.0515297906602254E-4</v>
      </c>
      <c r="D181" s="71">
        <v>0.49</v>
      </c>
      <c r="E181" s="71">
        <v>4.6566366000000007E-3</v>
      </c>
      <c r="F181" s="71">
        <v>8.562233339223015</v>
      </c>
      <c r="G181" s="71">
        <v>1.0702791674028769</v>
      </c>
      <c r="H181" s="71">
        <v>4.2811166696115075</v>
      </c>
      <c r="I181">
        <f>-B181/B179*LN(B181/B179)</f>
        <v>0.14497725893921062</v>
      </c>
    </row>
    <row r="182" spans="1:9">
      <c r="A182" s="73" t="s">
        <v>129</v>
      </c>
      <c r="B182" s="71">
        <v>2</v>
      </c>
      <c r="C182" s="78">
        <v>1.6103059581320451E-3</v>
      </c>
      <c r="D182" s="71">
        <v>0.23</v>
      </c>
      <c r="E182" s="71">
        <v>1.0182711000000001E-2</v>
      </c>
      <c r="F182" s="71">
        <v>10.405773831608716</v>
      </c>
      <c r="G182" s="71">
        <v>1.3007217289510895</v>
      </c>
      <c r="H182" s="71">
        <v>5.202886915804358</v>
      </c>
      <c r="I182">
        <f>-B182/B179*LN(B182/B179)</f>
        <v>0.22394050068223595</v>
      </c>
    </row>
    <row r="183" spans="1:9">
      <c r="A183" s="73" t="s">
        <v>73</v>
      </c>
      <c r="B183" s="71">
        <v>1</v>
      </c>
      <c r="C183" s="78">
        <v>8.0515297906602254E-4</v>
      </c>
      <c r="D183" s="71">
        <v>0.46</v>
      </c>
      <c r="E183" s="71">
        <v>9.3313374000000004E-3</v>
      </c>
      <c r="F183" s="71">
        <v>24.31077199899288</v>
      </c>
      <c r="G183" s="71">
        <v>3.03884649987411</v>
      </c>
      <c r="H183" s="71">
        <v>12.15538599949644</v>
      </c>
      <c r="I183">
        <f>-B183/B179*LN(B183/B179)</f>
        <v>0.14497725893921062</v>
      </c>
    </row>
    <row r="184" spans="1:9">
      <c r="A184" s="73" t="s">
        <v>54</v>
      </c>
      <c r="B184" s="71">
        <v>9</v>
      </c>
      <c r="C184" s="78">
        <v>7.246376811594203E-3</v>
      </c>
      <c r="D184" s="71">
        <v>0.315</v>
      </c>
      <c r="E184" s="71">
        <v>0.13506916500000002</v>
      </c>
      <c r="F184" s="71">
        <v>435.83478136482648</v>
      </c>
      <c r="G184" s="71">
        <v>54.47934767060331</v>
      </c>
      <c r="H184" s="71">
        <v>217.91739068241324</v>
      </c>
      <c r="I184">
        <f>-B184/B179*LN(B184/B179)</f>
        <v>0.36312765445165868</v>
      </c>
    </row>
    <row r="185" spans="1:9">
      <c r="A185" s="73" t="s">
        <v>230</v>
      </c>
      <c r="B185" s="71">
        <v>1</v>
      </c>
      <c r="C185" s="78">
        <v>8.0515297906602254E-4</v>
      </c>
      <c r="D185" s="71">
        <v>0.55000000000000004</v>
      </c>
      <c r="E185" s="71">
        <v>5.3912997599999998E-2</v>
      </c>
      <c r="F185" s="71">
        <v>268.02454647010916</v>
      </c>
      <c r="G185" s="71">
        <v>33.503068308763645</v>
      </c>
      <c r="H185" s="71">
        <v>134.01227323505458</v>
      </c>
      <c r="I185">
        <f>-B185/B179*LN(B185/B179)</f>
        <v>0.14497725893921062</v>
      </c>
    </row>
    <row r="186" spans="1:9">
      <c r="A186" s="73" t="s">
        <v>39</v>
      </c>
      <c r="B186" s="71">
        <v>3</v>
      </c>
      <c r="C186" s="78">
        <v>2.4154589371980675E-3</v>
      </c>
      <c r="D186" s="71">
        <v>0.36999999999999994</v>
      </c>
      <c r="E186" s="71">
        <v>0.1797482148</v>
      </c>
      <c r="F186" s="71">
        <v>549.45995877648318</v>
      </c>
      <c r="G186" s="71">
        <v>68.682494847060397</v>
      </c>
      <c r="H186" s="71">
        <v>274.72997938824159</v>
      </c>
      <c r="I186">
        <f>-B186/B179*LN(B186/B179)</f>
        <v>0.27798716415075903</v>
      </c>
    </row>
    <row r="187" spans="1:9">
      <c r="A187" s="73" t="s">
        <v>130</v>
      </c>
      <c r="B187" s="71">
        <v>2</v>
      </c>
      <c r="C187" s="78">
        <v>1.6103059581320451E-3</v>
      </c>
      <c r="D187" s="71">
        <v>0.57999999999999996</v>
      </c>
      <c r="E187" s="71">
        <v>1.6061430000000002E-2</v>
      </c>
      <c r="F187" s="71">
        <v>26.401378303415711</v>
      </c>
      <c r="G187" s="71">
        <v>3.3001722879269639</v>
      </c>
      <c r="H187" s="71">
        <v>13.200689151707856</v>
      </c>
      <c r="I187">
        <f>-B187/B179*LN(B187/B179)</f>
        <v>0.22394050068223595</v>
      </c>
    </row>
    <row r="188" spans="1:9">
      <c r="A188" s="73" t="s">
        <v>222</v>
      </c>
      <c r="B188" s="71">
        <v>1</v>
      </c>
      <c r="C188" s="78">
        <v>8.0515297906602254E-4</v>
      </c>
      <c r="D188" s="71">
        <v>0.24</v>
      </c>
      <c r="E188" s="71">
        <v>3.3979545600000008E-2</v>
      </c>
      <c r="F188" s="71">
        <v>45.703786485288845</v>
      </c>
      <c r="G188" s="71">
        <v>5.7129733106611056</v>
      </c>
      <c r="H188" s="71">
        <v>22.851893242644422</v>
      </c>
      <c r="I188">
        <f>-B188/B179*LN(B188/B179)</f>
        <v>0.14497725893921062</v>
      </c>
    </row>
    <row r="189" spans="1:9">
      <c r="A189" s="72">
        <v>100.8</v>
      </c>
      <c r="B189" s="71">
        <v>29</v>
      </c>
      <c r="C189" s="78">
        <v>2.3349436392914653E-2</v>
      </c>
      <c r="D189" s="71">
        <v>0.44113793103448284</v>
      </c>
      <c r="E189" s="71">
        <v>1.5199673412000008</v>
      </c>
      <c r="F189" s="71">
        <v>5984.3234796862853</v>
      </c>
      <c r="G189" s="71">
        <v>748.04043496078566</v>
      </c>
      <c r="H189" s="71">
        <v>2992.1617398431426</v>
      </c>
      <c r="I189" s="74">
        <f>SUM(I190:I198)</f>
        <v>1.6341389487315947</v>
      </c>
    </row>
    <row r="190" spans="1:9">
      <c r="A190" s="73" t="s">
        <v>162</v>
      </c>
      <c r="B190" s="71">
        <v>1</v>
      </c>
      <c r="C190" s="78">
        <v>8.0515297906602254E-4</v>
      </c>
      <c r="D190" s="71">
        <v>0.53</v>
      </c>
      <c r="E190" s="71">
        <v>2.1642482400000006E-2</v>
      </c>
      <c r="F190" s="71">
        <v>76.397693952639287</v>
      </c>
      <c r="G190" s="71">
        <v>9.5497117440799109</v>
      </c>
      <c r="H190" s="71">
        <v>38.198846976319643</v>
      </c>
      <c r="I190">
        <f>-B190/B189*LN(B190/B189)</f>
        <v>0.11611364930987841</v>
      </c>
    </row>
    <row r="191" spans="1:9">
      <c r="A191" s="73" t="s">
        <v>220</v>
      </c>
      <c r="B191" s="71">
        <v>1</v>
      </c>
      <c r="C191" s="78">
        <v>8.0515297906602254E-4</v>
      </c>
      <c r="D191" s="71">
        <v>0.35</v>
      </c>
      <c r="E191" s="71">
        <v>1.197911715</v>
      </c>
      <c r="F191" s="71">
        <v>4962.0530085966529</v>
      </c>
      <c r="G191" s="71">
        <v>620.25662607458162</v>
      </c>
      <c r="H191" s="71">
        <v>2481.0265042983265</v>
      </c>
      <c r="I191">
        <f>-B191/B189*LN(B191/B189)</f>
        <v>0.11611364930987841</v>
      </c>
    </row>
    <row r="192" spans="1:9">
      <c r="A192" s="73" t="s">
        <v>107</v>
      </c>
      <c r="B192" s="71">
        <v>3</v>
      </c>
      <c r="C192" s="78">
        <v>2.4154589371980675E-3</v>
      </c>
      <c r="D192" s="71">
        <v>0.57999999999999996</v>
      </c>
      <c r="E192" s="71">
        <v>4.7760174000000002E-2</v>
      </c>
      <c r="F192" s="71">
        <v>257.36214930216016</v>
      </c>
      <c r="G192" s="71">
        <v>32.17026866277002</v>
      </c>
      <c r="H192" s="71">
        <v>128.68107465108008</v>
      </c>
      <c r="I192">
        <f>-B192/B189*LN(B192/B189)</f>
        <v>0.23469140082603768</v>
      </c>
    </row>
    <row r="193" spans="1:9">
      <c r="A193" s="73" t="s">
        <v>163</v>
      </c>
      <c r="B193" s="71">
        <v>1</v>
      </c>
      <c r="C193" s="78">
        <v>8.0515297906602254E-4</v>
      </c>
      <c r="D193" s="71">
        <v>0.28999999999999998</v>
      </c>
      <c r="E193" s="71">
        <v>2.3506236600000004E-2</v>
      </c>
      <c r="F193" s="71">
        <v>50.243461457136938</v>
      </c>
      <c r="G193" s="71">
        <v>6.2804326821421173</v>
      </c>
      <c r="H193" s="71">
        <v>25.121730728568469</v>
      </c>
      <c r="I193">
        <f>-B193/B189*LN(B193/B189)</f>
        <v>0.11611364930987841</v>
      </c>
    </row>
    <row r="194" spans="1:9">
      <c r="A194" s="73" t="s">
        <v>96</v>
      </c>
      <c r="B194" s="71">
        <v>1</v>
      </c>
      <c r="C194" s="78">
        <v>8.0515297906602254E-4</v>
      </c>
      <c r="D194" s="71">
        <v>0.48</v>
      </c>
      <c r="E194" s="71">
        <v>3.6316895999999998E-3</v>
      </c>
      <c r="F194" s="71">
        <v>8.4767282065761993</v>
      </c>
      <c r="G194" s="71">
        <v>1.0595910258220249</v>
      </c>
      <c r="H194" s="71">
        <v>4.2383641032880996</v>
      </c>
      <c r="I194">
        <f>-B194/B189*LN(B194/B189)</f>
        <v>0.11611364930987841</v>
      </c>
    </row>
    <row r="195" spans="1:9">
      <c r="A195" s="73" t="s">
        <v>39</v>
      </c>
      <c r="B195" s="71">
        <v>13</v>
      </c>
      <c r="C195" s="78">
        <v>1.0466988727858293E-2</v>
      </c>
      <c r="D195" s="71">
        <v>0.37000000000000005</v>
      </c>
      <c r="E195" s="71">
        <v>7.4609072999999998E-2</v>
      </c>
      <c r="F195" s="71">
        <v>174.11888863997433</v>
      </c>
      <c r="G195" s="71">
        <v>21.764861079996791</v>
      </c>
      <c r="H195" s="71">
        <v>87.059444319987165</v>
      </c>
      <c r="I195">
        <f>-B195/B189*LN(B195/B189)</f>
        <v>0.35967255664910985</v>
      </c>
    </row>
    <row r="196" spans="1:9">
      <c r="A196" s="73" t="s">
        <v>122</v>
      </c>
      <c r="B196" s="71">
        <v>1</v>
      </c>
      <c r="C196" s="78">
        <v>8.0515297906602254E-4</v>
      </c>
      <c r="D196" s="71">
        <v>0.69</v>
      </c>
      <c r="E196" s="71">
        <v>5.6745150000000006E-3</v>
      </c>
      <c r="F196" s="71">
        <v>16.611464620619415</v>
      </c>
      <c r="G196" s="71">
        <v>2.0764330775774269</v>
      </c>
      <c r="H196" s="71">
        <v>8.3057323103097076</v>
      </c>
      <c r="I196">
        <f>-B196/B189*LN(B196/B189)</f>
        <v>0.11611364930987841</v>
      </c>
    </row>
    <row r="197" spans="1:9">
      <c r="A197" s="73" t="s">
        <v>36</v>
      </c>
      <c r="B197" s="71">
        <v>7</v>
      </c>
      <c r="C197" s="78">
        <v>5.6360708534621577E-3</v>
      </c>
      <c r="D197" s="71">
        <v>0.48</v>
      </c>
      <c r="E197" s="71">
        <v>0.14138299560000001</v>
      </c>
      <c r="F197" s="71">
        <v>427.44860307241805</v>
      </c>
      <c r="G197" s="71">
        <v>53.431075384052257</v>
      </c>
      <c r="H197" s="71">
        <v>213.72430153620903</v>
      </c>
      <c r="I197">
        <f>-B197/B189*LN(B197/B189)</f>
        <v>0.34309309539717675</v>
      </c>
    </row>
    <row r="198" spans="1:9">
      <c r="A198" s="73" t="s">
        <v>120</v>
      </c>
      <c r="B198" s="71">
        <v>1</v>
      </c>
      <c r="C198" s="78">
        <v>8.0515297906602254E-4</v>
      </c>
      <c r="D198" s="71">
        <v>0.54300000000000004</v>
      </c>
      <c r="E198" s="71">
        <v>3.8484600000000002E-3</v>
      </c>
      <c r="F198" s="71">
        <v>11.611481838107942</v>
      </c>
      <c r="G198" s="71">
        <v>1.4514352297634927</v>
      </c>
      <c r="H198" s="71">
        <v>5.8057409190539708</v>
      </c>
      <c r="I198">
        <f>-B198/B189*LN(B198/B189)</f>
        <v>0.11611364930987841</v>
      </c>
    </row>
    <row r="199" spans="1:9">
      <c r="A199" s="72">
        <v>150.1</v>
      </c>
      <c r="B199" s="71">
        <v>34</v>
      </c>
      <c r="C199" s="78">
        <v>2.7375201288244767E-2</v>
      </c>
      <c r="D199" s="71">
        <v>0.46632352941176464</v>
      </c>
      <c r="E199" s="71">
        <v>1.1165214984000003</v>
      </c>
      <c r="F199" s="71">
        <v>3299.9856160743216</v>
      </c>
      <c r="G199" s="71">
        <v>412.4982020092902</v>
      </c>
      <c r="H199" s="71">
        <v>1649.9928080371608</v>
      </c>
      <c r="I199" s="74">
        <f>SUM(I200:I209)</f>
        <v>1.9325132406099399</v>
      </c>
    </row>
    <row r="200" spans="1:9">
      <c r="A200" s="73" t="s">
        <v>231</v>
      </c>
      <c r="B200" s="71">
        <v>9</v>
      </c>
      <c r="C200" s="78">
        <v>7.246376811594203E-3</v>
      </c>
      <c r="D200" s="71">
        <v>0.57999999999999996</v>
      </c>
      <c r="E200" s="71">
        <v>0.1218877968</v>
      </c>
      <c r="F200" s="71">
        <v>433.63344532090679</v>
      </c>
      <c r="G200" s="71">
        <v>54.204180665113348</v>
      </c>
      <c r="H200" s="71">
        <v>216.81672266045339</v>
      </c>
      <c r="I200">
        <f>-B200/B199*LN(B200/B199)</f>
        <v>0.35183010369174933</v>
      </c>
    </row>
    <row r="201" spans="1:9">
      <c r="A201" s="73" t="s">
        <v>135</v>
      </c>
      <c r="B201" s="71">
        <v>2</v>
      </c>
      <c r="C201" s="78">
        <v>1.6103059581320451E-3</v>
      </c>
      <c r="D201" s="71">
        <v>0.38</v>
      </c>
      <c r="E201" s="71">
        <v>6.9567590400000004E-2</v>
      </c>
      <c r="F201" s="71">
        <v>180.95404788931074</v>
      </c>
      <c r="G201" s="71">
        <v>22.619255986163843</v>
      </c>
      <c r="H201" s="71">
        <v>90.477023944655372</v>
      </c>
      <c r="I201">
        <f>-B201/B199*LN(B201/B199)</f>
        <v>0.16665960847389508</v>
      </c>
    </row>
    <row r="202" spans="1:9">
      <c r="A202" s="73" t="s">
        <v>54</v>
      </c>
      <c r="B202" s="71">
        <v>7</v>
      </c>
      <c r="C202" s="78">
        <v>5.6360708534621577E-3</v>
      </c>
      <c r="D202" s="71">
        <v>0.315</v>
      </c>
      <c r="E202" s="71">
        <v>0.28291678800000003</v>
      </c>
      <c r="F202" s="71">
        <v>827.22503321748127</v>
      </c>
      <c r="G202" s="71">
        <v>103.40312915218516</v>
      </c>
      <c r="H202" s="71">
        <v>413.61251660874063</v>
      </c>
      <c r="I202">
        <f>-B202/B199*LN(B202/B199)</f>
        <v>0.32538684202723339</v>
      </c>
    </row>
    <row r="203" spans="1:9">
      <c r="A203" s="73" t="s">
        <v>107</v>
      </c>
      <c r="B203" s="71">
        <v>2</v>
      </c>
      <c r="C203" s="78">
        <v>1.6103059581320451E-3</v>
      </c>
      <c r="D203" s="71">
        <v>0.57999999999999996</v>
      </c>
      <c r="E203" s="71">
        <v>6.0856718999999997E-2</v>
      </c>
      <c r="F203" s="71">
        <v>211.73102137197344</v>
      </c>
      <c r="G203" s="71">
        <v>26.46637767149668</v>
      </c>
      <c r="H203" s="71">
        <v>105.86551068598672</v>
      </c>
      <c r="I203">
        <f>-B203/B199*LN(B203/B199)</f>
        <v>0.16665960847389508</v>
      </c>
    </row>
    <row r="204" spans="1:9">
      <c r="A204" s="73" t="s">
        <v>96</v>
      </c>
      <c r="B204" s="71">
        <v>1</v>
      </c>
      <c r="C204" s="78">
        <v>8.0515297906602254E-4</v>
      </c>
      <c r="D204" s="71">
        <v>0.48</v>
      </c>
      <c r="E204" s="71">
        <v>4.4178749999999999E-3</v>
      </c>
      <c r="F204" s="71">
        <v>8.3185853026702237</v>
      </c>
      <c r="G204" s="71">
        <v>1.039823162833778</v>
      </c>
      <c r="H204" s="71">
        <v>4.1592926513351118</v>
      </c>
      <c r="I204">
        <f>-B204/B199*LN(B204/B199)</f>
        <v>0.1037164860181224</v>
      </c>
    </row>
    <row r="205" spans="1:9">
      <c r="A205" s="73" t="s">
        <v>39</v>
      </c>
      <c r="B205" s="71">
        <v>8</v>
      </c>
      <c r="C205" s="78">
        <v>6.4412238325281803E-3</v>
      </c>
      <c r="D205" s="71">
        <v>0.37000000000000005</v>
      </c>
      <c r="E205" s="71">
        <v>0.42614940060000006</v>
      </c>
      <c r="F205" s="71">
        <v>1336.4700742685586</v>
      </c>
      <c r="G205" s="71">
        <v>167.05875928356983</v>
      </c>
      <c r="H205" s="71">
        <v>668.23503713427931</v>
      </c>
      <c r="I205">
        <f>-B205/B199*LN(B205/B199)</f>
        <v>0.34045152539678242</v>
      </c>
    </row>
    <row r="206" spans="1:9">
      <c r="A206" s="73" t="s">
        <v>122</v>
      </c>
      <c r="B206" s="71">
        <v>1</v>
      </c>
      <c r="C206" s="78">
        <v>8.0515297906602254E-4</v>
      </c>
      <c r="D206" s="71">
        <v>0.69</v>
      </c>
      <c r="E206" s="71">
        <v>6.3617400000000003E-3</v>
      </c>
      <c r="F206" s="71">
        <v>25.123330482334488</v>
      </c>
      <c r="G206" s="71">
        <v>3.140416310291811</v>
      </c>
      <c r="H206" s="71">
        <v>12.561665241167244</v>
      </c>
      <c r="I206">
        <f>-B206/B199*LN(B206/B199)</f>
        <v>0.1037164860181224</v>
      </c>
    </row>
    <row r="207" spans="1:9">
      <c r="A207" s="73" t="s">
        <v>222</v>
      </c>
      <c r="B207" s="71">
        <v>1</v>
      </c>
      <c r="C207" s="78">
        <v>8.0515297906602254E-4</v>
      </c>
      <c r="D207" s="71">
        <v>0.24</v>
      </c>
      <c r="E207" s="71">
        <v>0.13138249739999999</v>
      </c>
      <c r="F207" s="71">
        <v>227.51867711698767</v>
      </c>
      <c r="G207" s="71">
        <v>28.439834639623459</v>
      </c>
      <c r="H207" s="71">
        <v>113.75933855849384</v>
      </c>
      <c r="I207">
        <f>-B207/B199*LN(B207/B199)</f>
        <v>0.1037164860181224</v>
      </c>
    </row>
    <row r="208" spans="1:9">
      <c r="A208" s="73" t="s">
        <v>78</v>
      </c>
      <c r="B208" s="71">
        <v>1</v>
      </c>
      <c r="C208" s="78">
        <v>8.0515297906602254E-4</v>
      </c>
      <c r="D208" s="71">
        <v>0.64</v>
      </c>
      <c r="E208" s="71">
        <v>2.8274400000000001E-3</v>
      </c>
      <c r="F208" s="71">
        <v>10.605049789058603</v>
      </c>
      <c r="G208" s="71">
        <v>1.3256312236323253</v>
      </c>
      <c r="H208" s="71">
        <v>5.3025248945293013</v>
      </c>
      <c r="I208">
        <f>-B208/B199*LN(B208/B199)</f>
        <v>0.1037164860181224</v>
      </c>
    </row>
    <row r="209" spans="1:9">
      <c r="A209" s="73" t="s">
        <v>47</v>
      </c>
      <c r="B209" s="71">
        <v>2</v>
      </c>
      <c r="C209" s="78">
        <v>1.6103059581320451E-3</v>
      </c>
      <c r="D209" s="71">
        <v>0.75</v>
      </c>
      <c r="E209" s="71">
        <v>1.0153651200000002E-2</v>
      </c>
      <c r="F209" s="71">
        <v>38.406351315039217</v>
      </c>
      <c r="G209" s="71">
        <v>4.8007939143799021</v>
      </c>
      <c r="H209" s="71">
        <v>19.203175657519608</v>
      </c>
      <c r="I209">
        <f>-B209/B199*LN(B209/B199)</f>
        <v>0.16665960847389508</v>
      </c>
    </row>
    <row r="210" spans="1:9">
      <c r="A210" s="72">
        <v>150.19999999999999</v>
      </c>
      <c r="B210" s="71">
        <v>50</v>
      </c>
      <c r="C210" s="78">
        <v>4.0257648953301126E-2</v>
      </c>
      <c r="D210" s="71">
        <v>0.53730000000000011</v>
      </c>
      <c r="E210" s="71">
        <v>1.8782644650000007</v>
      </c>
      <c r="F210" s="71">
        <v>9663.7389181722629</v>
      </c>
      <c r="G210" s="71">
        <v>1207.9673647715329</v>
      </c>
      <c r="H210" s="71">
        <v>4831.8694590861314</v>
      </c>
      <c r="I210" s="74">
        <f>SUM(I211:I225)</f>
        <v>3.8183032564532615</v>
      </c>
    </row>
    <row r="211" spans="1:9">
      <c r="A211" s="73" t="s">
        <v>231</v>
      </c>
      <c r="B211" s="71">
        <v>20</v>
      </c>
      <c r="C211" s="78">
        <v>1.610305958132045E-2</v>
      </c>
      <c r="D211" s="71">
        <v>0.57999999999999996</v>
      </c>
      <c r="E211" s="71">
        <v>0.64263862740000022</v>
      </c>
      <c r="F211" s="71">
        <v>2488.2081333420288</v>
      </c>
      <c r="G211" s="71">
        <v>311.02601666775359</v>
      </c>
      <c r="H211" s="71">
        <v>1244.1040666710144</v>
      </c>
      <c r="I211">
        <f>-B211/B210*LN(B211/B210)</f>
        <v>0.36651629274966202</v>
      </c>
    </row>
    <row r="212" spans="1:9">
      <c r="A212" s="73" t="s">
        <v>151</v>
      </c>
      <c r="B212" s="71">
        <v>1</v>
      </c>
      <c r="C212" s="78">
        <v>8.0515297906602254E-4</v>
      </c>
      <c r="D212" s="71">
        <v>0.53</v>
      </c>
      <c r="E212" s="71">
        <v>6.3617400000000003E-3</v>
      </c>
      <c r="F212" s="71">
        <v>14.192047929490148</v>
      </c>
      <c r="G212" s="71">
        <v>1.7740059911862684</v>
      </c>
      <c r="H212" s="71">
        <v>7.0960239647450738</v>
      </c>
      <c r="I212">
        <f>-B212/B201*LN(B212/B210)</f>
        <v>1.956011502714073</v>
      </c>
    </row>
    <row r="213" spans="1:9">
      <c r="A213" s="73" t="s">
        <v>201</v>
      </c>
      <c r="B213" s="71">
        <v>1</v>
      </c>
      <c r="C213" s="78">
        <v>8.0515297906602254E-4</v>
      </c>
      <c r="D213" s="71">
        <v>0.59</v>
      </c>
      <c r="E213" s="71">
        <v>2.6420856E-3</v>
      </c>
      <c r="F213" s="71">
        <v>9.0885326191716356</v>
      </c>
      <c r="G213" s="71">
        <v>1.1360665773964544</v>
      </c>
      <c r="H213" s="71">
        <v>4.5442663095858178</v>
      </c>
      <c r="I213">
        <f>-B213/B210*LN(B213/B210)</f>
        <v>7.824046010856292E-2</v>
      </c>
    </row>
    <row r="214" spans="1:9">
      <c r="A214" s="73" t="s">
        <v>124</v>
      </c>
      <c r="B214" s="71">
        <v>1</v>
      </c>
      <c r="C214" s="78">
        <v>8.0515297906602254E-4</v>
      </c>
      <c r="D214" s="71">
        <v>0.47</v>
      </c>
      <c r="E214" s="71">
        <v>2.2902264000000004E-3</v>
      </c>
      <c r="F214" s="71">
        <v>3.8057906288786989</v>
      </c>
      <c r="G214" s="71">
        <v>0.47572382860983736</v>
      </c>
      <c r="H214" s="71">
        <v>1.9028953144393495</v>
      </c>
      <c r="I214">
        <f>-B214/B210*LN(B214/B210)</f>
        <v>7.824046010856292E-2</v>
      </c>
    </row>
    <row r="215" spans="1:9">
      <c r="A215" s="73" t="s">
        <v>42</v>
      </c>
      <c r="B215" s="71">
        <v>1</v>
      </c>
      <c r="C215" s="78">
        <v>8.0515297906602254E-4</v>
      </c>
      <c r="D215" s="71">
        <v>0.73</v>
      </c>
      <c r="E215" s="71">
        <v>0.78069466860000003</v>
      </c>
      <c r="F215" s="71">
        <v>5860.3961581794338</v>
      </c>
      <c r="G215" s="71">
        <v>732.54951977242922</v>
      </c>
      <c r="H215" s="71">
        <v>2930.1980790897169</v>
      </c>
      <c r="I215">
        <f>-B215/B210*LN(B215/B210)</f>
        <v>7.824046010856292E-2</v>
      </c>
    </row>
    <row r="216" spans="1:9">
      <c r="A216" s="73" t="s">
        <v>253</v>
      </c>
      <c r="B216" s="71">
        <v>1</v>
      </c>
      <c r="C216" s="78">
        <v>8.0515297906602254E-4</v>
      </c>
      <c r="D216" s="71">
        <v>0.89</v>
      </c>
      <c r="E216" s="71">
        <v>4.6566366000000007E-3</v>
      </c>
      <c r="F216" s="71">
        <v>22.786489411693747</v>
      </c>
      <c r="G216" s="71">
        <v>2.8483111764617184</v>
      </c>
      <c r="H216" s="71">
        <v>11.393244705846874</v>
      </c>
      <c r="I216">
        <f>-B216/B210*LN(B216/B210)</f>
        <v>7.824046010856292E-2</v>
      </c>
    </row>
    <row r="217" spans="1:9">
      <c r="A217" s="73" t="s">
        <v>72</v>
      </c>
      <c r="B217" s="71">
        <v>4</v>
      </c>
      <c r="C217" s="78">
        <v>3.2206119162640902E-3</v>
      </c>
      <c r="D217" s="71">
        <v>0.48</v>
      </c>
      <c r="E217" s="71">
        <v>2.6106695999999999E-2</v>
      </c>
      <c r="F217" s="71">
        <v>59.853546683686666</v>
      </c>
      <c r="G217" s="71">
        <v>7.4816933354608333</v>
      </c>
      <c r="H217" s="71">
        <v>29.926773341843333</v>
      </c>
      <c r="I217">
        <f>-B217/B210*LN(B217/B210)</f>
        <v>0.20205829154466046</v>
      </c>
    </row>
    <row r="218" spans="1:9">
      <c r="A218" s="73" t="s">
        <v>54</v>
      </c>
      <c r="B218" s="71">
        <v>3</v>
      </c>
      <c r="C218" s="78">
        <v>2.4154589371980675E-3</v>
      </c>
      <c r="D218" s="71">
        <v>0.315</v>
      </c>
      <c r="E218" s="71">
        <v>9.1758282000000014E-3</v>
      </c>
      <c r="F218" s="71">
        <v>16.587357357299783</v>
      </c>
      <c r="G218" s="71">
        <v>2.0734196696624729</v>
      </c>
      <c r="H218" s="71">
        <v>8.2936786786498917</v>
      </c>
      <c r="I218">
        <f>-B218/B210*LN(B218/B210)</f>
        <v>0.16880464300560219</v>
      </c>
    </row>
    <row r="219" spans="1:9">
      <c r="A219" s="73" t="s">
        <v>107</v>
      </c>
      <c r="B219" s="71">
        <v>1</v>
      </c>
      <c r="C219" s="78">
        <v>8.0515297906602254E-4</v>
      </c>
      <c r="D219" s="71">
        <v>0.57999999999999996</v>
      </c>
      <c r="E219" s="71">
        <v>2.2061886000000002E-3</v>
      </c>
      <c r="F219" s="71">
        <v>4.9843749506864787</v>
      </c>
      <c r="G219" s="71">
        <v>0.62304686883580984</v>
      </c>
      <c r="H219" s="71">
        <v>2.4921874753432394</v>
      </c>
      <c r="I219">
        <f>-B219/B210*LN(B219/B210)</f>
        <v>7.824046010856292E-2</v>
      </c>
    </row>
    <row r="220" spans="1:9">
      <c r="A220" s="73" t="s">
        <v>41</v>
      </c>
      <c r="B220" s="71">
        <v>1</v>
      </c>
      <c r="C220" s="78">
        <v>8.0515297906602254E-4</v>
      </c>
      <c r="D220" s="71">
        <v>0.7</v>
      </c>
      <c r="E220" s="71">
        <v>3.0190776000000004E-3</v>
      </c>
      <c r="F220" s="71">
        <v>12.050625161786423</v>
      </c>
      <c r="G220" s="71">
        <v>1.5063281452233028</v>
      </c>
      <c r="H220" s="71">
        <v>6.0253125808932113</v>
      </c>
      <c r="I220">
        <f>-B220/B210*LN(B220/B210)</f>
        <v>7.824046010856292E-2</v>
      </c>
    </row>
    <row r="221" spans="1:9">
      <c r="A221" s="73" t="s">
        <v>122</v>
      </c>
      <c r="B221" s="71">
        <v>1</v>
      </c>
      <c r="C221" s="78">
        <v>8.0515297906602254E-4</v>
      </c>
      <c r="D221" s="71">
        <v>0.69</v>
      </c>
      <c r="E221" s="71">
        <v>8.3323086000000011E-3</v>
      </c>
      <c r="F221" s="71">
        <v>18.383354631722675</v>
      </c>
      <c r="G221" s="71">
        <v>2.2979193289653344</v>
      </c>
      <c r="H221" s="71">
        <v>9.1916773158613374</v>
      </c>
      <c r="I221">
        <f>-B221/B210*LN(B221/B210)</f>
        <v>7.824046010856292E-2</v>
      </c>
    </row>
    <row r="222" spans="1:9">
      <c r="A222" s="73" t="s">
        <v>130</v>
      </c>
      <c r="B222" s="71">
        <v>1</v>
      </c>
      <c r="C222" s="78">
        <v>8.0515297906602254E-4</v>
      </c>
      <c r="D222" s="71">
        <v>0.57999999999999996</v>
      </c>
      <c r="E222" s="71">
        <v>6.939794400000001E-3</v>
      </c>
      <c r="F222" s="71">
        <v>16.763029632862949</v>
      </c>
      <c r="G222" s="71">
        <v>2.0953787041078686</v>
      </c>
      <c r="H222" s="71">
        <v>8.3815148164314746</v>
      </c>
      <c r="I222">
        <f>-B222/B210*LN(B222/B210)</f>
        <v>7.824046010856292E-2</v>
      </c>
    </row>
    <row r="223" spans="1:9">
      <c r="A223" s="73" t="s">
        <v>222</v>
      </c>
      <c r="B223" s="71">
        <v>1</v>
      </c>
      <c r="C223" s="78">
        <v>8.0515297906602254E-4</v>
      </c>
      <c r="D223" s="71">
        <v>0.24</v>
      </c>
      <c r="E223" s="71">
        <v>3.4212023999999996E-3</v>
      </c>
      <c r="F223" s="71">
        <v>2.950623544240222</v>
      </c>
      <c r="G223" s="71">
        <v>0.36882794303002775</v>
      </c>
      <c r="H223" s="71">
        <v>1.475311772120111</v>
      </c>
      <c r="I223">
        <f>-B223/B210*LN(B223/B210)</f>
        <v>7.824046010856292E-2</v>
      </c>
    </row>
    <row r="224" spans="1:9">
      <c r="A224" s="73" t="s">
        <v>78</v>
      </c>
      <c r="B224" s="71">
        <v>1</v>
      </c>
      <c r="C224" s="78">
        <v>8.0515297906602254E-4</v>
      </c>
      <c r="D224" s="71">
        <v>0.64</v>
      </c>
      <c r="E224" s="71">
        <v>8.1713015999999999E-3</v>
      </c>
      <c r="F224" s="71">
        <v>31.427324055413642</v>
      </c>
      <c r="G224" s="71">
        <v>3.9284155069267053</v>
      </c>
      <c r="H224" s="71">
        <v>15.713662027706821</v>
      </c>
      <c r="I224">
        <f>-B224/B210*LN(B224/B210)</f>
        <v>7.824046010856292E-2</v>
      </c>
    </row>
    <row r="225" spans="1:9">
      <c r="A225" s="73" t="s">
        <v>36</v>
      </c>
      <c r="B225" s="71">
        <v>12</v>
      </c>
      <c r="C225" s="78">
        <v>9.6618357487922701E-3</v>
      </c>
      <c r="D225" s="71">
        <v>0.48000000000000015</v>
      </c>
      <c r="E225" s="71">
        <v>0.37160808300000003</v>
      </c>
      <c r="F225" s="71">
        <v>1102.2615300438686</v>
      </c>
      <c r="G225" s="71">
        <v>137.78269125548357</v>
      </c>
      <c r="H225" s="71">
        <v>551.13076502193428</v>
      </c>
      <c r="I225">
        <f>-B225/B210*LN(B225/B210)</f>
        <v>0.342507925353635</v>
      </c>
    </row>
    <row r="226" spans="1:9">
      <c r="A226" s="72">
        <v>150.30000000000001</v>
      </c>
      <c r="B226" s="71">
        <v>40</v>
      </c>
      <c r="C226" s="78">
        <v>3.2206119162640899E-2</v>
      </c>
      <c r="D226" s="71">
        <v>0.48867500000000019</v>
      </c>
      <c r="E226" s="71">
        <v>0.8365727369999999</v>
      </c>
      <c r="F226" s="71">
        <v>2615.4290277757432</v>
      </c>
      <c r="G226" s="71">
        <v>326.9286284719679</v>
      </c>
      <c r="H226" s="71">
        <v>1307.7145138878716</v>
      </c>
      <c r="I226" s="74">
        <f>SUM(I227:I237)</f>
        <v>1.8736155810639648</v>
      </c>
    </row>
    <row r="227" spans="1:9">
      <c r="A227" s="73" t="s">
        <v>231</v>
      </c>
      <c r="B227" s="71">
        <v>3</v>
      </c>
      <c r="C227" s="78">
        <v>2.4154589371980675E-3</v>
      </c>
      <c r="D227" s="71">
        <v>0.57999999999999996</v>
      </c>
      <c r="E227" s="71">
        <v>2.8015218000000005E-2</v>
      </c>
      <c r="F227" s="71">
        <v>93.149004364443357</v>
      </c>
      <c r="G227" s="71">
        <v>11.64362554555542</v>
      </c>
      <c r="H227" s="71">
        <v>46.574502182221678</v>
      </c>
      <c r="I227">
        <f>-B227/B226*LN(B227/B226)</f>
        <v>0.19427003740843699</v>
      </c>
    </row>
    <row r="228" spans="1:9">
      <c r="A228" s="73" t="s">
        <v>149</v>
      </c>
      <c r="B228" s="71">
        <v>1</v>
      </c>
      <c r="C228" s="78">
        <v>8.0515297906602254E-4</v>
      </c>
      <c r="D228" s="71">
        <v>0.41699999999999998</v>
      </c>
      <c r="E228" s="71">
        <v>7.8539999999999999E-3</v>
      </c>
      <c r="F228" s="71">
        <v>19.924535447483411</v>
      </c>
      <c r="G228" s="71">
        <v>2.4905669309354264</v>
      </c>
      <c r="H228" s="71">
        <v>9.9622677237417054</v>
      </c>
      <c r="I228">
        <f>-B228/B226*LN(B228/B226)</f>
        <v>9.2221986352848409E-2</v>
      </c>
    </row>
    <row r="229" spans="1:9">
      <c r="A229" s="73" t="s">
        <v>54</v>
      </c>
      <c r="B229" s="71">
        <v>2</v>
      </c>
      <c r="C229" s="78">
        <v>1.6103059581320451E-3</v>
      </c>
      <c r="D229" s="71">
        <v>0.315</v>
      </c>
      <c r="E229" s="71">
        <v>4.3609334999999999E-2</v>
      </c>
      <c r="F229" s="71">
        <v>145.29955777343565</v>
      </c>
      <c r="G229" s="71">
        <v>18.162444721679456</v>
      </c>
      <c r="H229" s="71">
        <v>72.649778886717826</v>
      </c>
      <c r="I229">
        <f>-B229/B226*LN(B229/B226)</f>
        <v>0.14978661367769955</v>
      </c>
    </row>
    <row r="230" spans="1:9">
      <c r="A230" s="73" t="s">
        <v>97</v>
      </c>
      <c r="B230" s="71">
        <v>1</v>
      </c>
      <c r="C230" s="78">
        <v>8.0515297906602254E-4</v>
      </c>
      <c r="D230" s="71">
        <v>0.57999999999999996</v>
      </c>
      <c r="E230" s="71">
        <v>5.6745150000000006E-3</v>
      </c>
      <c r="F230" s="71">
        <v>17.014411299222925</v>
      </c>
      <c r="G230" s="71">
        <v>2.1268014124028656</v>
      </c>
      <c r="H230" s="71">
        <v>8.5072056496114623</v>
      </c>
      <c r="I230">
        <f>-B230/B226*LN(B230/B226)</f>
        <v>9.2221986352848409E-2</v>
      </c>
    </row>
    <row r="231" spans="1:9">
      <c r="A231" s="73" t="s">
        <v>96</v>
      </c>
      <c r="B231" s="71">
        <v>2</v>
      </c>
      <c r="C231" s="78">
        <v>1.6103059581320451E-3</v>
      </c>
      <c r="D231" s="71">
        <v>0.48</v>
      </c>
      <c r="E231" s="71">
        <v>0.10618765080000001</v>
      </c>
      <c r="F231" s="71">
        <v>564.85062025524746</v>
      </c>
      <c r="G231" s="71">
        <v>70.606327531905933</v>
      </c>
      <c r="H231" s="71">
        <v>282.42531012762373</v>
      </c>
      <c r="I231">
        <f>-B231/B226*LN(B231/B226)</f>
        <v>0.14978661367769955</v>
      </c>
    </row>
    <row r="232" spans="1:9">
      <c r="A232" s="73" t="s">
        <v>39</v>
      </c>
      <c r="B232" s="71">
        <v>8</v>
      </c>
      <c r="C232" s="78">
        <v>6.4412238325281803E-3</v>
      </c>
      <c r="D232" s="71">
        <v>0.37000000000000005</v>
      </c>
      <c r="E232" s="71">
        <v>0.23312478419999999</v>
      </c>
      <c r="F232" s="71">
        <v>647.04042573716504</v>
      </c>
      <c r="G232" s="71">
        <v>80.88005321714563</v>
      </c>
      <c r="H232" s="71">
        <v>323.52021286858252</v>
      </c>
      <c r="I232">
        <f>-B232/B226*LN(B232/B226)</f>
        <v>0.32188758248682009</v>
      </c>
    </row>
    <row r="233" spans="1:9">
      <c r="A233" s="73" t="s">
        <v>122</v>
      </c>
      <c r="B233" s="71">
        <v>1</v>
      </c>
      <c r="C233" s="78">
        <v>8.0515297906602254E-4</v>
      </c>
      <c r="D233" s="71">
        <v>0.69</v>
      </c>
      <c r="E233" s="71">
        <v>5.0265600000000002E-3</v>
      </c>
      <c r="F233" s="71">
        <v>17.817308419927759</v>
      </c>
      <c r="G233" s="71">
        <v>2.2271635524909699</v>
      </c>
      <c r="H233" s="71">
        <v>8.9086542099638795</v>
      </c>
      <c r="I233">
        <f>-B233/B226*LN(B233/B226)</f>
        <v>9.2221986352848409E-2</v>
      </c>
    </row>
    <row r="234" spans="1:9">
      <c r="A234" s="73" t="s">
        <v>130</v>
      </c>
      <c r="B234" s="71">
        <v>1</v>
      </c>
      <c r="C234" s="78">
        <v>8.0515297906602254E-4</v>
      </c>
      <c r="D234" s="71">
        <v>0.57999999999999996</v>
      </c>
      <c r="E234" s="71">
        <v>3.8484600000000002E-3</v>
      </c>
      <c r="F234" s="71">
        <v>6.4941889346824322</v>
      </c>
      <c r="G234" s="71">
        <v>0.81177361683530402</v>
      </c>
      <c r="H234" s="71">
        <v>3.2470944673412161</v>
      </c>
      <c r="I234">
        <f>-B234/B226*LN(B234/B226)</f>
        <v>9.2221986352848409E-2</v>
      </c>
    </row>
    <row r="235" spans="1:9">
      <c r="A235" s="73" t="s">
        <v>78</v>
      </c>
      <c r="B235" s="71">
        <v>4</v>
      </c>
      <c r="C235" s="78">
        <v>3.2206119162640902E-3</v>
      </c>
      <c r="D235" s="71">
        <v>0.64</v>
      </c>
      <c r="E235" s="71">
        <v>8.8308805200000007E-2</v>
      </c>
      <c r="F235" s="71">
        <v>475.21426438579755</v>
      </c>
      <c r="G235" s="71">
        <v>59.401783048224694</v>
      </c>
      <c r="H235" s="71">
        <v>237.60713219289877</v>
      </c>
      <c r="I235">
        <f>-B235/B226*LN(B235/B226)</f>
        <v>0.23025850929940456</v>
      </c>
    </row>
    <row r="236" spans="1:9">
      <c r="A236" s="73" t="s">
        <v>36</v>
      </c>
      <c r="B236" s="71">
        <v>16</v>
      </c>
      <c r="C236" s="78">
        <v>1.2882447665056361E-2</v>
      </c>
      <c r="D236" s="71">
        <v>0.4800000000000002</v>
      </c>
      <c r="E236" s="71">
        <v>0.31107494880000008</v>
      </c>
      <c r="F236" s="71">
        <v>614.05192105518267</v>
      </c>
      <c r="G236" s="71">
        <v>76.756490131897834</v>
      </c>
      <c r="H236" s="71">
        <v>307.02596052759134</v>
      </c>
      <c r="I236">
        <f>-B236/B226*LN(B236/B226)</f>
        <v>0.36651629274966202</v>
      </c>
    </row>
    <row r="237" spans="1:9">
      <c r="A237" s="73" t="s">
        <v>47</v>
      </c>
      <c r="B237" s="71">
        <v>1</v>
      </c>
      <c r="C237" s="78">
        <v>8.0515297906602254E-4</v>
      </c>
      <c r="D237" s="71">
        <v>0.75</v>
      </c>
      <c r="E237" s="71">
        <v>3.8484600000000002E-3</v>
      </c>
      <c r="F237" s="71">
        <v>14.572790103154771</v>
      </c>
      <c r="G237" s="71">
        <v>1.8215987628943464</v>
      </c>
      <c r="H237" s="71">
        <v>7.2863950515773857</v>
      </c>
      <c r="I237">
        <f>-B237/B226*LN(B237/B226)</f>
        <v>9.2221986352848409E-2</v>
      </c>
    </row>
    <row r="238" spans="1:9">
      <c r="A238" s="72">
        <v>150.4</v>
      </c>
      <c r="B238" s="71">
        <v>35</v>
      </c>
      <c r="C238" s="78">
        <v>2.8180354267310789E-2</v>
      </c>
      <c r="D238" s="71">
        <v>0.55000000000000016</v>
      </c>
      <c r="E238" s="71">
        <v>1.1114415312000001</v>
      </c>
      <c r="F238" s="71">
        <v>7228.285627304107</v>
      </c>
      <c r="G238" s="71">
        <v>903.53570341301338</v>
      </c>
      <c r="H238" s="71">
        <v>3614.1428136520535</v>
      </c>
      <c r="I238" s="74">
        <f>SUM(I239:I251)</f>
        <v>2.2474961762404679</v>
      </c>
    </row>
    <row r="239" spans="1:9">
      <c r="A239" s="73" t="s">
        <v>231</v>
      </c>
      <c r="B239" s="71">
        <v>4</v>
      </c>
      <c r="C239" s="78">
        <v>3.2206119162640902E-3</v>
      </c>
      <c r="D239" s="71">
        <v>0.57999999999999996</v>
      </c>
      <c r="E239" s="71">
        <v>0.10613031660000001</v>
      </c>
      <c r="F239" s="71">
        <v>460.45199181261734</v>
      </c>
      <c r="G239" s="71">
        <v>57.556498976577167</v>
      </c>
      <c r="H239" s="71">
        <v>230.22599590630867</v>
      </c>
      <c r="I239">
        <f>-B239/B238*LN(B239/B238)</f>
        <v>0.24789185147080264</v>
      </c>
    </row>
    <row r="240" spans="1:9">
      <c r="A240" s="73" t="s">
        <v>151</v>
      </c>
      <c r="B240" s="71">
        <v>6</v>
      </c>
      <c r="C240" s="78">
        <v>4.830917874396135E-3</v>
      </c>
      <c r="D240" s="71">
        <v>0.53000000000000014</v>
      </c>
      <c r="E240" s="71">
        <v>4.9879968600000005E-2</v>
      </c>
      <c r="F240" s="71">
        <v>264.13464190890704</v>
      </c>
      <c r="G240" s="71">
        <v>33.01683023861338</v>
      </c>
      <c r="H240" s="71">
        <v>132.06732095445352</v>
      </c>
      <c r="I240">
        <f>-B240/B238*LN(B240/B238)</f>
        <v>0.30232947295909007</v>
      </c>
    </row>
    <row r="241" spans="1:9">
      <c r="A241" s="73" t="s">
        <v>253</v>
      </c>
      <c r="B241" s="71">
        <v>1</v>
      </c>
      <c r="C241" s="78">
        <v>8.0515297906602254E-4</v>
      </c>
      <c r="D241" s="71">
        <v>0.89</v>
      </c>
      <c r="E241" s="71">
        <v>2.8274400000000001E-3</v>
      </c>
      <c r="F241" s="71">
        <v>12.155230264695104</v>
      </c>
      <c r="G241" s="71">
        <v>1.5194037830868881</v>
      </c>
      <c r="H241" s="71">
        <v>6.0776151323475522</v>
      </c>
      <c r="I241">
        <f>-B241/B238*LN(B241/B238)</f>
        <v>0.10158137318541181</v>
      </c>
    </row>
    <row r="242" spans="1:9">
      <c r="A242" s="73" t="s">
        <v>79</v>
      </c>
      <c r="B242" s="71">
        <v>1</v>
      </c>
      <c r="C242" s="78">
        <v>8.0515297906602254E-4</v>
      </c>
      <c r="D242" s="71">
        <v>0.78</v>
      </c>
      <c r="E242" s="71">
        <v>0.3048365166</v>
      </c>
      <c r="F242" s="71">
        <v>3152.3625343060626</v>
      </c>
      <c r="G242" s="71">
        <v>394.04531678825782</v>
      </c>
      <c r="H242" s="71">
        <v>1576.1812671530313</v>
      </c>
      <c r="I242">
        <f>-B242/B238*LN(B242/B238)</f>
        <v>0.10158137318541181</v>
      </c>
    </row>
    <row r="243" spans="1:9">
      <c r="A243" s="73" t="s">
        <v>95</v>
      </c>
      <c r="B243" s="71">
        <v>1</v>
      </c>
      <c r="C243" s="78">
        <v>8.0515297906602254E-4</v>
      </c>
      <c r="D243" s="71">
        <v>0.64</v>
      </c>
      <c r="E243" s="71">
        <v>5.2810295999999998E-3</v>
      </c>
      <c r="F243" s="71">
        <v>21.76391397499059</v>
      </c>
      <c r="G243" s="71">
        <v>2.7204892468738238</v>
      </c>
      <c r="H243" s="71">
        <v>10.881956987495295</v>
      </c>
      <c r="I243">
        <f>-B243/B238*LN(B243/B238)</f>
        <v>0.10158137318541181</v>
      </c>
    </row>
    <row r="244" spans="1:9">
      <c r="A244" s="73" t="s">
        <v>77</v>
      </c>
      <c r="B244" s="71">
        <v>2</v>
      </c>
      <c r="C244" s="78">
        <v>1.6103059581320451E-3</v>
      </c>
      <c r="D244" s="71">
        <v>0.57999999999999996</v>
      </c>
      <c r="E244" s="71">
        <v>8.2388459999999997E-2</v>
      </c>
      <c r="F244" s="71">
        <v>463.11486466155873</v>
      </c>
      <c r="G244" s="71">
        <v>57.889358082694841</v>
      </c>
      <c r="H244" s="71">
        <v>231.55743233077936</v>
      </c>
      <c r="I244">
        <f>-B244/B238*LN(B244/B238)</f>
        <v>0.16355433605311248</v>
      </c>
    </row>
    <row r="245" spans="1:9">
      <c r="A245" s="73" t="s">
        <v>72</v>
      </c>
      <c r="B245" s="71">
        <v>4</v>
      </c>
      <c r="C245" s="78">
        <v>3.2206119162640902E-3</v>
      </c>
      <c r="D245" s="71">
        <v>0.48</v>
      </c>
      <c r="E245" s="71">
        <v>3.6540735000000005E-2</v>
      </c>
      <c r="F245" s="71">
        <v>138.68528302311302</v>
      </c>
      <c r="G245" s="71">
        <v>17.335660377889127</v>
      </c>
      <c r="H245" s="71">
        <v>69.342641511556508</v>
      </c>
      <c r="I245">
        <f>-B245/B238*LN(B245/B238)</f>
        <v>0.24789185147080264</v>
      </c>
    </row>
    <row r="246" spans="1:9">
      <c r="A246" s="73" t="s">
        <v>107</v>
      </c>
      <c r="B246" s="71">
        <v>2</v>
      </c>
      <c r="C246" s="78">
        <v>1.6103059581320451E-3</v>
      </c>
      <c r="D246" s="71">
        <v>0.57999999999999996</v>
      </c>
      <c r="E246" s="71">
        <v>1.26732144E-2</v>
      </c>
      <c r="F246" s="71">
        <v>54.568603154678506</v>
      </c>
      <c r="G246" s="71">
        <v>6.8210753943348132</v>
      </c>
      <c r="H246" s="71">
        <v>27.284301577339253</v>
      </c>
      <c r="I246">
        <f>-B246/B238*LN(B246/B238)</f>
        <v>0.16355433605311248</v>
      </c>
    </row>
    <row r="247" spans="1:9">
      <c r="A247" s="73" t="s">
        <v>202</v>
      </c>
      <c r="B247" s="71">
        <v>1</v>
      </c>
      <c r="C247" s="78">
        <v>8.0515297906602254E-4</v>
      </c>
      <c r="D247" s="71">
        <v>0.51</v>
      </c>
      <c r="E247" s="71">
        <v>2.0106240000000001E-2</v>
      </c>
      <c r="F247" s="71">
        <v>65.064101452471391</v>
      </c>
      <c r="G247" s="71">
        <v>8.1330126815589239</v>
      </c>
      <c r="H247" s="71">
        <v>32.532050726235695</v>
      </c>
      <c r="I247">
        <f>-B247/B238*LN(B247/B238)</f>
        <v>0.10158137318541181</v>
      </c>
    </row>
    <row r="248" spans="1:9">
      <c r="A248" s="73" t="s">
        <v>76</v>
      </c>
      <c r="B248" s="71">
        <v>1</v>
      </c>
      <c r="C248" s="78">
        <v>8.0515297906602254E-4</v>
      </c>
      <c r="D248" s="71">
        <v>0.61</v>
      </c>
      <c r="E248" s="71">
        <v>2.8274400000000001E-3</v>
      </c>
      <c r="F248" s="71">
        <v>16.526136726792576</v>
      </c>
      <c r="G248" s="71">
        <v>2.065767090849072</v>
      </c>
      <c r="H248" s="71">
        <v>8.2630683633962878</v>
      </c>
      <c r="I248">
        <f>-B248/B238*LN(B248/B238)</f>
        <v>0.10158137318541181</v>
      </c>
    </row>
    <row r="249" spans="1:9">
      <c r="A249" s="73" t="s">
        <v>96</v>
      </c>
      <c r="B249" s="71">
        <v>1</v>
      </c>
      <c r="C249" s="78">
        <v>8.0515297906602254E-4</v>
      </c>
      <c r="D249" s="71">
        <v>0.48</v>
      </c>
      <c r="E249" s="71">
        <v>5.5417824000000004E-3</v>
      </c>
      <c r="F249" s="71">
        <v>16.887419570489634</v>
      </c>
      <c r="G249" s="71">
        <v>2.1109274463112042</v>
      </c>
      <c r="H249" s="71">
        <v>8.4437097852448169</v>
      </c>
      <c r="I249">
        <f>-B249/B238*LN(B249/B238)</f>
        <v>0.10158137318541181</v>
      </c>
    </row>
    <row r="250" spans="1:9">
      <c r="A250" s="73" t="s">
        <v>78</v>
      </c>
      <c r="B250" s="71">
        <v>2</v>
      </c>
      <c r="C250" s="78">
        <v>1.6103059581320451E-3</v>
      </c>
      <c r="D250" s="71">
        <v>0.64</v>
      </c>
      <c r="E250" s="71">
        <v>0.26594586479999999</v>
      </c>
      <c r="F250" s="71">
        <v>1785.22990140756</v>
      </c>
      <c r="G250" s="71">
        <v>223.153737675945</v>
      </c>
      <c r="H250" s="71">
        <v>892.61495070377998</v>
      </c>
      <c r="I250">
        <f>-B250/B238*LN(B250/B238)</f>
        <v>0.16355433605311248</v>
      </c>
    </row>
    <row r="251" spans="1:9">
      <c r="A251" s="73" t="s">
        <v>36</v>
      </c>
      <c r="B251" s="71">
        <v>9</v>
      </c>
      <c r="C251" s="78">
        <v>7.246376811594203E-3</v>
      </c>
      <c r="D251" s="71">
        <v>0.48000000000000004</v>
      </c>
      <c r="E251" s="71">
        <v>0.21646252320000006</v>
      </c>
      <c r="F251" s="71">
        <v>777.34100504017056</v>
      </c>
      <c r="G251" s="71">
        <v>97.16762563002132</v>
      </c>
      <c r="H251" s="71">
        <v>388.67050252008528</v>
      </c>
      <c r="I251">
        <f>-B251/B238*LN(B251/B238)</f>
        <v>0.34923175306796422</v>
      </c>
    </row>
    <row r="252" spans="1:9">
      <c r="A252" s="72">
        <v>150.5</v>
      </c>
      <c r="B252" s="71">
        <v>31</v>
      </c>
      <c r="C252" s="78">
        <v>2.4959742351046699E-2</v>
      </c>
      <c r="D252" s="71">
        <v>0.52377419354838695</v>
      </c>
      <c r="E252" s="71">
        <v>0.94375548960000011</v>
      </c>
      <c r="F252" s="71">
        <v>1901.0252091573216</v>
      </c>
      <c r="G252" s="71">
        <v>237.6281511446652</v>
      </c>
      <c r="H252" s="71">
        <v>950.51260457866078</v>
      </c>
      <c r="I252" s="74">
        <f>SUM(I253:I268)</f>
        <v>2.3685197174185122</v>
      </c>
    </row>
    <row r="253" spans="1:9">
      <c r="A253" s="73" t="s">
        <v>231</v>
      </c>
      <c r="B253" s="71">
        <v>8</v>
      </c>
      <c r="C253" s="78">
        <v>6.4412238325281803E-3</v>
      </c>
      <c r="D253" s="71">
        <v>0.57999999999999996</v>
      </c>
      <c r="E253" s="71">
        <v>0.42526896720000001</v>
      </c>
      <c r="F253" s="71">
        <v>600.80627629650417</v>
      </c>
      <c r="G253" s="71">
        <v>75.100784537063021</v>
      </c>
      <c r="H253" s="71">
        <v>300.40313814825208</v>
      </c>
      <c r="I253">
        <f>-B253/B252*LN(B253/B252)</f>
        <v>0.3495601710465317</v>
      </c>
    </row>
    <row r="254" spans="1:9">
      <c r="A254" s="73" t="s">
        <v>252</v>
      </c>
      <c r="B254" s="71">
        <v>2</v>
      </c>
      <c r="C254" s="78">
        <v>1.6103059581320451E-3</v>
      </c>
      <c r="D254" s="71">
        <v>0.54</v>
      </c>
      <c r="E254" s="71">
        <v>8.3448749999999999E-3</v>
      </c>
      <c r="F254" s="71">
        <v>21.591650538927027</v>
      </c>
      <c r="G254" s="71">
        <v>2.6989563173658784</v>
      </c>
      <c r="H254" s="71">
        <v>10.795825269463514</v>
      </c>
      <c r="I254">
        <f>-B254/B252*LN(B254/B252)</f>
        <v>0.17682838864033554</v>
      </c>
    </row>
    <row r="255" spans="1:9">
      <c r="A255" s="73" t="s">
        <v>149</v>
      </c>
      <c r="B255" s="71">
        <v>1</v>
      </c>
      <c r="C255" s="78">
        <v>8.0515297906602254E-4</v>
      </c>
      <c r="D255" s="71">
        <v>0.41699999999999998</v>
      </c>
      <c r="E255" s="71">
        <v>2.3758350000000002E-3</v>
      </c>
      <c r="F255" s="71">
        <v>5.5312943003583817</v>
      </c>
      <c r="G255" s="71">
        <v>0.69141178754479771</v>
      </c>
      <c r="H255" s="71">
        <v>2.7656471501791908</v>
      </c>
      <c r="I255">
        <f>-B255/B252*LN(B255/B252)</f>
        <v>0.11077378078984343</v>
      </c>
    </row>
    <row r="256" spans="1:9">
      <c r="A256" s="73" t="s">
        <v>124</v>
      </c>
      <c r="B256" s="71">
        <v>1</v>
      </c>
      <c r="C256" s="78">
        <v>8.0515297906602254E-4</v>
      </c>
      <c r="D256" s="71">
        <v>0.47</v>
      </c>
      <c r="E256" s="71">
        <v>6.0821376000000016E-3</v>
      </c>
      <c r="F256" s="71">
        <v>14.849575653260432</v>
      </c>
      <c r="G256" s="71">
        <v>1.856196956657554</v>
      </c>
      <c r="H256" s="71">
        <v>7.4247878266302161</v>
      </c>
      <c r="I256">
        <f>-B256/B252*LN(B256/B252)</f>
        <v>0.11077378078984343</v>
      </c>
    </row>
    <row r="257" spans="1:9">
      <c r="A257" s="73" t="s">
        <v>135</v>
      </c>
      <c r="B257" s="71">
        <v>1</v>
      </c>
      <c r="C257" s="78">
        <v>8.0515297906602254E-4</v>
      </c>
      <c r="D257" s="71">
        <v>0.38</v>
      </c>
      <c r="E257" s="71">
        <v>0.2743252974</v>
      </c>
      <c r="F257" s="71">
        <v>972.48776716287909</v>
      </c>
      <c r="G257" s="71">
        <v>121.56097089535989</v>
      </c>
      <c r="H257" s="71">
        <v>486.24388358143955</v>
      </c>
      <c r="I257">
        <f>-B257/B252*LN(B257/B252)</f>
        <v>0.11077378078984343</v>
      </c>
    </row>
    <row r="258" spans="1:9">
      <c r="A258" s="73" t="s">
        <v>245</v>
      </c>
      <c r="B258" s="71">
        <v>1</v>
      </c>
      <c r="C258" s="78">
        <v>8.0515297906602254E-4</v>
      </c>
      <c r="D258" s="71">
        <v>0.62</v>
      </c>
      <c r="E258" s="71">
        <v>4.1853966000000003E-3</v>
      </c>
      <c r="F258" s="71">
        <v>2.5017789083714939</v>
      </c>
      <c r="G258" s="71">
        <v>0.31272236354643673</v>
      </c>
      <c r="H258" s="71">
        <v>1.2508894541857469</v>
      </c>
      <c r="I258">
        <f>-B258/B252*LN(B258/B252)</f>
        <v>0.11077378078984343</v>
      </c>
    </row>
    <row r="259" spans="1:9">
      <c r="A259" s="73" t="s">
        <v>72</v>
      </c>
      <c r="B259" s="71">
        <v>2</v>
      </c>
      <c r="C259" s="78">
        <v>1.6103059581320451E-3</v>
      </c>
      <c r="D259" s="71">
        <v>0.48</v>
      </c>
      <c r="E259" s="71">
        <v>8.4100631999999998E-3</v>
      </c>
      <c r="F259" s="71">
        <v>5.1297666107382955</v>
      </c>
      <c r="G259" s="71">
        <v>0.64122082634228694</v>
      </c>
      <c r="H259" s="71">
        <v>2.5648833053691478</v>
      </c>
      <c r="I259">
        <f>-B259/B252*LN(B259/B252)</f>
        <v>0.17682838864033554</v>
      </c>
    </row>
    <row r="260" spans="1:9">
      <c r="A260" s="73" t="s">
        <v>107</v>
      </c>
      <c r="B260" s="71">
        <v>1</v>
      </c>
      <c r="C260" s="78">
        <v>8.0515297906602254E-4</v>
      </c>
      <c r="D260" s="71">
        <v>0.57999999999999996</v>
      </c>
      <c r="E260" s="71">
        <v>4.0715136000000008E-3</v>
      </c>
      <c r="F260" s="71">
        <v>13.804444980509103</v>
      </c>
      <c r="G260" s="71">
        <v>1.7255556225636379</v>
      </c>
      <c r="H260" s="71">
        <v>6.9022224902545517</v>
      </c>
      <c r="I260">
        <f>-B260/B252*LN(B260/B252)</f>
        <v>0.11077378078984343</v>
      </c>
    </row>
    <row r="261" spans="1:9">
      <c r="A261" s="73" t="s">
        <v>144</v>
      </c>
      <c r="B261" s="71">
        <v>1</v>
      </c>
      <c r="C261" s="78">
        <v>8.0515297906602254E-4</v>
      </c>
      <c r="D261" s="71">
        <v>0.57999999999999996</v>
      </c>
      <c r="E261" s="71">
        <v>6.6476255999999992E-3</v>
      </c>
      <c r="F261" s="71">
        <v>7.5776189224507311</v>
      </c>
      <c r="G261" s="71">
        <v>0.94720236530634139</v>
      </c>
      <c r="H261" s="71">
        <v>3.7888094612253655</v>
      </c>
      <c r="I261">
        <f>-B261/B252*LN(B261/B252)</f>
        <v>0.11077378078984343</v>
      </c>
    </row>
    <row r="262" spans="1:9">
      <c r="A262" s="73" t="s">
        <v>140</v>
      </c>
      <c r="B262" s="71">
        <v>1</v>
      </c>
      <c r="C262" s="78">
        <v>8.0515297906602254E-4</v>
      </c>
      <c r="D262" s="71">
        <v>0.7</v>
      </c>
      <c r="E262" s="71">
        <v>2.6420856E-3</v>
      </c>
      <c r="F262" s="71">
        <v>8.7474864908272405</v>
      </c>
      <c r="G262" s="71">
        <v>1.0934358113534051</v>
      </c>
      <c r="H262" s="71">
        <v>4.3737432454136203</v>
      </c>
      <c r="I262">
        <f>-B262/B252*LN(B262/B252)</f>
        <v>0.11077378078984343</v>
      </c>
    </row>
    <row r="263" spans="1:9">
      <c r="A263" s="73" t="s">
        <v>96</v>
      </c>
      <c r="B263" s="71">
        <v>1</v>
      </c>
      <c r="C263" s="78">
        <v>8.0515297906602254E-4</v>
      </c>
      <c r="D263" s="71">
        <v>0.48</v>
      </c>
      <c r="E263" s="71">
        <v>3.8484600000000002E-3</v>
      </c>
      <c r="F263" s="71">
        <v>7.140680007620114</v>
      </c>
      <c r="G263" s="71">
        <v>0.89258500095251425</v>
      </c>
      <c r="H263" s="71">
        <v>3.570340003810057</v>
      </c>
      <c r="I263">
        <f>-B263/B252*LN(B263/B252)</f>
        <v>0.11077378078984343</v>
      </c>
    </row>
    <row r="264" spans="1:9">
      <c r="A264" s="73" t="s">
        <v>39</v>
      </c>
      <c r="B264" s="71">
        <v>7</v>
      </c>
      <c r="C264" s="78">
        <v>5.6360708534621577E-3</v>
      </c>
      <c r="D264" s="71">
        <v>0.37000000000000005</v>
      </c>
      <c r="E264" s="71">
        <v>0.1766576658</v>
      </c>
      <c r="F264" s="71">
        <v>189.33348775622611</v>
      </c>
      <c r="G264" s="71">
        <v>23.666685969528263</v>
      </c>
      <c r="H264" s="71">
        <v>94.666743878113053</v>
      </c>
      <c r="I264">
        <f>-B264/B252*LN(B264/B252)</f>
        <v>0.33601739961318811</v>
      </c>
    </row>
    <row r="265" spans="1:9">
      <c r="A265" s="73" t="s">
        <v>143</v>
      </c>
      <c r="B265" s="71">
        <v>1</v>
      </c>
      <c r="C265" s="78">
        <v>8.0515297906602254E-4</v>
      </c>
      <c r="D265" s="71">
        <v>0.75</v>
      </c>
      <c r="E265" s="71">
        <v>2.6420856E-3</v>
      </c>
      <c r="F265" s="71">
        <v>0.87587059991153027</v>
      </c>
      <c r="G265" s="71">
        <v>0.10948382498894128</v>
      </c>
      <c r="H265" s="71">
        <v>0.43793529995576513</v>
      </c>
      <c r="I265">
        <f>-B265/B252*LN(B265/B252)</f>
        <v>0.11077378078984343</v>
      </c>
    </row>
    <row r="266" spans="1:9">
      <c r="A266" s="73" t="s">
        <v>142</v>
      </c>
      <c r="B266" s="71">
        <v>1</v>
      </c>
      <c r="C266" s="78">
        <v>8.0515297906602254E-4</v>
      </c>
      <c r="D266" s="71">
        <v>0.66</v>
      </c>
      <c r="E266" s="71">
        <v>9.5033400000000007E-3</v>
      </c>
      <c r="F266" s="71">
        <v>34.306087961168579</v>
      </c>
      <c r="G266" s="71">
        <v>4.2882609951460724</v>
      </c>
      <c r="H266" s="71">
        <v>17.15304398058429</v>
      </c>
      <c r="I266">
        <f>-B266/B252*LN(B266/B252)</f>
        <v>0.11077378078984343</v>
      </c>
    </row>
    <row r="267" spans="1:9">
      <c r="A267" s="73" t="s">
        <v>133</v>
      </c>
      <c r="B267" s="71">
        <v>1</v>
      </c>
      <c r="C267" s="78">
        <v>8.0515297906602254E-4</v>
      </c>
      <c r="D267" s="71">
        <v>0.57999999999999996</v>
      </c>
      <c r="E267" s="71">
        <v>4.9016814000000008E-3</v>
      </c>
      <c r="F267" s="71">
        <v>13.758041004362596</v>
      </c>
      <c r="G267" s="71">
        <v>1.7197551255453245</v>
      </c>
      <c r="H267" s="71">
        <v>6.879020502181298</v>
      </c>
      <c r="I267">
        <f>-B267/B252*LN(B267/B252)</f>
        <v>0.11077378078984343</v>
      </c>
    </row>
    <row r="268" spans="1:9">
      <c r="A268" s="73" t="s">
        <v>47</v>
      </c>
      <c r="B268" s="71">
        <v>1</v>
      </c>
      <c r="C268" s="78">
        <v>8.0515297906602254E-4</v>
      </c>
      <c r="D268" s="71">
        <v>0.75</v>
      </c>
      <c r="E268" s="71">
        <v>3.8484600000000002E-3</v>
      </c>
      <c r="F268" s="71">
        <v>2.5833819632069255</v>
      </c>
      <c r="G268" s="71">
        <v>0.32292274540086569</v>
      </c>
      <c r="H268" s="71">
        <v>1.2916909816034627</v>
      </c>
      <c r="I268">
        <f>-B268/B252*LN(B268/B252)</f>
        <v>0.11077378078984343</v>
      </c>
    </row>
    <row r="269" spans="1:9">
      <c r="A269" s="72">
        <v>200.1</v>
      </c>
      <c r="B269" s="71">
        <v>28</v>
      </c>
      <c r="C269" s="78">
        <v>2.2544283413848631E-2</v>
      </c>
      <c r="D269" s="71">
        <v>0.52142857142857146</v>
      </c>
      <c r="E269" s="71">
        <v>0.84546974819999998</v>
      </c>
      <c r="F269" s="71">
        <v>2810.635841193076</v>
      </c>
      <c r="G269" s="71">
        <v>351.3294801491345</v>
      </c>
      <c r="H269" s="71">
        <v>1405.317920596538</v>
      </c>
      <c r="I269" s="74">
        <f>SUM(I270:I280)</f>
        <v>2.0057235787339511</v>
      </c>
    </row>
    <row r="270" spans="1:9">
      <c r="A270" s="73" t="s">
        <v>231</v>
      </c>
      <c r="B270" s="71">
        <v>10</v>
      </c>
      <c r="C270" s="78">
        <v>8.0515297906602248E-3</v>
      </c>
      <c r="D270" s="71">
        <v>0.57999999999999996</v>
      </c>
      <c r="E270" s="71">
        <v>0.3142840932</v>
      </c>
      <c r="F270" s="71">
        <v>1322.9694853229337</v>
      </c>
      <c r="G270" s="71">
        <v>165.37118566536671</v>
      </c>
      <c r="H270" s="71">
        <v>661.48474266146684</v>
      </c>
      <c r="I270">
        <f>-B270/B269*LN(B270/B269)</f>
        <v>0.36772122042184219</v>
      </c>
    </row>
    <row r="271" spans="1:9">
      <c r="A271" s="73" t="s">
        <v>252</v>
      </c>
      <c r="B271" s="71">
        <v>1</v>
      </c>
      <c r="C271" s="78">
        <v>8.0515297906602254E-4</v>
      </c>
      <c r="D271" s="71">
        <v>0.54</v>
      </c>
      <c r="E271" s="71">
        <v>6.6476255999999992E-3</v>
      </c>
      <c r="F271" s="71">
        <v>20.16170833038931</v>
      </c>
      <c r="G271" s="71">
        <v>2.5202135412986637</v>
      </c>
      <c r="H271" s="71">
        <v>10.080854165194655</v>
      </c>
      <c r="I271">
        <f>-B271/B269*LN(B271/B269)</f>
        <v>0.1190073039348287</v>
      </c>
    </row>
    <row r="272" spans="1:9">
      <c r="A272" s="73" t="s">
        <v>201</v>
      </c>
      <c r="B272" s="71">
        <v>1</v>
      </c>
      <c r="C272" s="78">
        <v>8.0515297906602254E-4</v>
      </c>
      <c r="D272" s="71">
        <v>0.59</v>
      </c>
      <c r="E272" s="71">
        <v>1.1689893599999999E-2</v>
      </c>
      <c r="F272" s="71">
        <v>16.941650529785193</v>
      </c>
      <c r="G272" s="71">
        <v>2.1177063162231491</v>
      </c>
      <c r="H272" s="71">
        <v>8.4708252648925964</v>
      </c>
      <c r="I272">
        <f>-B272/B269*LN(B272/B269)</f>
        <v>0.1190073039348287</v>
      </c>
    </row>
    <row r="273" spans="1:9">
      <c r="A273" s="73" t="s">
        <v>124</v>
      </c>
      <c r="B273" s="71">
        <v>1</v>
      </c>
      <c r="C273" s="78">
        <v>8.0515297906602254E-4</v>
      </c>
      <c r="D273" s="71">
        <v>0.47</v>
      </c>
      <c r="E273" s="71">
        <v>7.2382464000000004E-3</v>
      </c>
      <c r="F273" s="71">
        <v>11.637455070109242</v>
      </c>
      <c r="G273" s="71">
        <v>1.4546818837636553</v>
      </c>
      <c r="H273" s="71">
        <v>5.818727535054621</v>
      </c>
      <c r="I273">
        <f>-B273/B269*LN(B273/B269)</f>
        <v>0.1190073039348287</v>
      </c>
    </row>
    <row r="274" spans="1:9">
      <c r="A274" s="73" t="s">
        <v>72</v>
      </c>
      <c r="B274" s="71">
        <v>2</v>
      </c>
      <c r="C274" s="78">
        <v>1.6103059581320451E-3</v>
      </c>
      <c r="D274" s="71">
        <v>0.48</v>
      </c>
      <c r="E274" s="71">
        <v>7.0513212000000002E-3</v>
      </c>
      <c r="F274" s="71">
        <v>19.296686063416505</v>
      </c>
      <c r="G274" s="71">
        <v>2.4120857579270631</v>
      </c>
      <c r="H274" s="71">
        <v>9.6483430317082526</v>
      </c>
      <c r="I274">
        <f>-B274/B269*LN(B274/B269)</f>
        <v>0.18850409497251847</v>
      </c>
    </row>
    <row r="275" spans="1:9">
      <c r="A275" s="73" t="s">
        <v>54</v>
      </c>
      <c r="B275" s="71">
        <v>2</v>
      </c>
      <c r="C275" s="78">
        <v>1.6103059581320451E-3</v>
      </c>
      <c r="D275" s="71">
        <v>0.315</v>
      </c>
      <c r="E275" s="71">
        <v>9.852843E-3</v>
      </c>
      <c r="F275" s="71">
        <v>21.364204177324844</v>
      </c>
      <c r="G275" s="71">
        <v>2.6705255221656055</v>
      </c>
      <c r="H275" s="71">
        <v>10.682102088662422</v>
      </c>
      <c r="I275">
        <f>-B275/B269*LN(B275/B269)</f>
        <v>0.18850409497251847</v>
      </c>
    </row>
    <row r="276" spans="1:9">
      <c r="A276" s="73" t="s">
        <v>107</v>
      </c>
      <c r="B276" s="71">
        <v>5</v>
      </c>
      <c r="C276" s="78">
        <v>4.0257648953301124E-3</v>
      </c>
      <c r="D276" s="71">
        <v>0.57999999999999996</v>
      </c>
      <c r="E276" s="71">
        <v>0.22443983100000003</v>
      </c>
      <c r="F276" s="71">
        <v>823.99519840951098</v>
      </c>
      <c r="G276" s="71">
        <v>102.99939980118887</v>
      </c>
      <c r="H276" s="71">
        <v>411.99759920475549</v>
      </c>
      <c r="I276">
        <f>-B276/B269*LN(B276/B269)</f>
        <v>0.30763689245376852</v>
      </c>
    </row>
    <row r="277" spans="1:9">
      <c r="A277" s="73" t="s">
        <v>202</v>
      </c>
      <c r="B277" s="71">
        <v>1</v>
      </c>
      <c r="C277" s="78">
        <v>8.0515297906602254E-4</v>
      </c>
      <c r="D277" s="71">
        <v>0.51</v>
      </c>
      <c r="E277" s="71">
        <v>2.1382515000000001E-2</v>
      </c>
      <c r="F277" s="71">
        <v>30.493332963232628</v>
      </c>
      <c r="G277" s="71">
        <v>3.8116666204040786</v>
      </c>
      <c r="H277" s="71">
        <v>15.246666481616314</v>
      </c>
      <c r="I277">
        <f>-B277/B269*LN(B277/B269)</f>
        <v>0.1190073039348287</v>
      </c>
    </row>
    <row r="278" spans="1:9">
      <c r="A278" s="73" t="s">
        <v>145</v>
      </c>
      <c r="B278" s="71">
        <v>1</v>
      </c>
      <c r="C278" s="78">
        <v>8.0515297906602254E-4</v>
      </c>
      <c r="D278" s="71">
        <v>0.39</v>
      </c>
      <c r="E278" s="71">
        <v>0.21482967659999996</v>
      </c>
      <c r="F278" s="71">
        <v>476.78224811937838</v>
      </c>
      <c r="G278" s="71">
        <v>59.597781014922298</v>
      </c>
      <c r="H278" s="71">
        <v>238.39112405968919</v>
      </c>
      <c r="I278">
        <f>-B278/B269*LN(B278/B269)</f>
        <v>0.1190073039348287</v>
      </c>
    </row>
    <row r="279" spans="1:9">
      <c r="A279" s="73" t="s">
        <v>96</v>
      </c>
      <c r="B279" s="71">
        <v>3</v>
      </c>
      <c r="C279" s="78">
        <v>2.4154589371980675E-3</v>
      </c>
      <c r="D279" s="71">
        <v>0.48</v>
      </c>
      <c r="E279" s="71">
        <v>2.4205242600000003E-2</v>
      </c>
      <c r="F279" s="71">
        <v>59.939362120233966</v>
      </c>
      <c r="G279" s="71">
        <v>7.4924202650292457</v>
      </c>
      <c r="H279" s="71">
        <v>29.969681060116983</v>
      </c>
      <c r="I279">
        <f>-B279/B269*LN(B279/B269)</f>
        <v>0.23931345230433151</v>
      </c>
    </row>
    <row r="280" spans="1:9">
      <c r="A280" s="73" t="s">
        <v>39</v>
      </c>
      <c r="B280" s="71">
        <v>1</v>
      </c>
      <c r="C280" s="78">
        <v>8.0515297906602254E-4</v>
      </c>
      <c r="D280" s="71">
        <v>0.37</v>
      </c>
      <c r="E280" s="71">
        <v>3.8484600000000002E-3</v>
      </c>
      <c r="F280" s="71">
        <v>7.0545100867610255</v>
      </c>
      <c r="G280" s="71">
        <v>0.88181376084512819</v>
      </c>
      <c r="H280" s="71">
        <v>3.5272550433805128</v>
      </c>
      <c r="I280">
        <f>-B280/B269*LN(B280/B269)</f>
        <v>0.1190073039348287</v>
      </c>
    </row>
    <row r="281" spans="1:9">
      <c r="A281" s="72">
        <v>200.2</v>
      </c>
      <c r="B281" s="71">
        <v>43</v>
      </c>
      <c r="C281" s="78">
        <v>3.462157809983897E-2</v>
      </c>
      <c r="D281" s="71">
        <v>0.51883720930232557</v>
      </c>
      <c r="E281" s="71">
        <v>1.0070100347999997</v>
      </c>
      <c r="F281" s="71">
        <v>4280.3394860265043</v>
      </c>
      <c r="G281" s="71">
        <v>535.04243575331304</v>
      </c>
      <c r="H281" s="71">
        <v>2140.1697430132522</v>
      </c>
      <c r="I281" s="74">
        <f>SUM(I282:I290)</f>
        <v>1.9565591430923481</v>
      </c>
    </row>
    <row r="282" spans="1:9">
      <c r="A282" s="73" t="s">
        <v>231</v>
      </c>
      <c r="B282" s="71">
        <v>9</v>
      </c>
      <c r="C282" s="78">
        <v>7.246376811594203E-3</v>
      </c>
      <c r="D282" s="71">
        <v>0.57999999999999996</v>
      </c>
      <c r="E282" s="71">
        <v>0.10554597900000001</v>
      </c>
      <c r="F282" s="71">
        <v>415.77109648948596</v>
      </c>
      <c r="G282" s="71">
        <v>51.971387061185744</v>
      </c>
      <c r="H282" s="71">
        <v>207.88554824474298</v>
      </c>
      <c r="I282">
        <f>-B282/B281*LN(B282/B281)</f>
        <v>0.32734371733060669</v>
      </c>
    </row>
    <row r="283" spans="1:9">
      <c r="A283" s="73" t="s">
        <v>40</v>
      </c>
      <c r="B283" s="71">
        <v>5</v>
      </c>
      <c r="C283" s="78">
        <v>4.0257648953301124E-3</v>
      </c>
      <c r="D283" s="71">
        <v>0.52</v>
      </c>
      <c r="E283" s="71">
        <v>0.26448580619999995</v>
      </c>
      <c r="F283" s="71">
        <v>1490.9236197890509</v>
      </c>
      <c r="G283" s="71">
        <v>186.36545247363136</v>
      </c>
      <c r="H283" s="71">
        <v>745.46180989452546</v>
      </c>
      <c r="I283">
        <f>-B283/B281*LN(B283/B281)</f>
        <v>0.2502049073557514</v>
      </c>
    </row>
    <row r="284" spans="1:9">
      <c r="A284" s="73" t="s">
        <v>135</v>
      </c>
      <c r="B284" s="71">
        <v>1</v>
      </c>
      <c r="C284" s="78">
        <v>8.0515297906602254E-4</v>
      </c>
      <c r="D284" s="71">
        <v>0.38</v>
      </c>
      <c r="E284" s="71">
        <v>2.1237216000000005E-3</v>
      </c>
      <c r="F284" s="71">
        <v>2.9030566074307962</v>
      </c>
      <c r="G284" s="71">
        <v>0.36288207592884952</v>
      </c>
      <c r="H284" s="71">
        <v>1.4515283037153981</v>
      </c>
      <c r="I284">
        <f>-B284/B281*LN(B284/B281)</f>
        <v>8.746977013240842E-2</v>
      </c>
    </row>
    <row r="285" spans="1:9">
      <c r="A285" s="73" t="s">
        <v>96</v>
      </c>
      <c r="B285" s="71">
        <v>2</v>
      </c>
      <c r="C285" s="78">
        <v>1.6103059581320451E-3</v>
      </c>
      <c r="D285" s="71">
        <v>0.48</v>
      </c>
      <c r="E285" s="71">
        <v>8.824754399999999E-3</v>
      </c>
      <c r="F285" s="71">
        <v>19.17573033289365</v>
      </c>
      <c r="G285" s="71">
        <v>2.3969662916117063</v>
      </c>
      <c r="H285" s="71">
        <v>9.5878651664468251</v>
      </c>
      <c r="I285">
        <f>-B285/B281*LN(B285/B281)</f>
        <v>0.14270013651784264</v>
      </c>
    </row>
    <row r="286" spans="1:9">
      <c r="A286" s="73" t="s">
        <v>39</v>
      </c>
      <c r="B286" s="71">
        <v>9</v>
      </c>
      <c r="C286" s="78">
        <v>7.246376811594203E-3</v>
      </c>
      <c r="D286" s="71">
        <v>0.37000000000000005</v>
      </c>
      <c r="E286" s="71">
        <v>0.31835953380000004</v>
      </c>
      <c r="F286" s="71">
        <v>1170.8027512752349</v>
      </c>
      <c r="G286" s="71">
        <v>146.35034390940436</v>
      </c>
      <c r="H286" s="71">
        <v>585.40137563761743</v>
      </c>
      <c r="I286">
        <f>-B286/B281*LN(B286/B281)</f>
        <v>0.32734371733060669</v>
      </c>
    </row>
    <row r="287" spans="1:9">
      <c r="A287" s="73" t="s">
        <v>130</v>
      </c>
      <c r="B287" s="71">
        <v>1</v>
      </c>
      <c r="C287" s="78">
        <v>8.0515297906602254E-4</v>
      </c>
      <c r="D287" s="71">
        <v>0.57999999999999996</v>
      </c>
      <c r="E287" s="71">
        <v>5.0265600000000002E-3</v>
      </c>
      <c r="F287" s="71">
        <v>16.371170852809676</v>
      </c>
      <c r="G287" s="71">
        <v>2.0463963566012096</v>
      </c>
      <c r="H287" s="71">
        <v>8.1855854264048382</v>
      </c>
      <c r="I287">
        <f>-B287/B281*LN(B287/B281)</f>
        <v>8.746977013240842E-2</v>
      </c>
    </row>
    <row r="288" spans="1:9">
      <c r="A288" s="73" t="s">
        <v>78</v>
      </c>
      <c r="B288" s="71">
        <v>3</v>
      </c>
      <c r="C288" s="78">
        <v>2.4154589371980675E-3</v>
      </c>
      <c r="D288" s="71">
        <v>0.64</v>
      </c>
      <c r="E288" s="71">
        <v>1.1702460000000001E-2</v>
      </c>
      <c r="F288" s="71">
        <v>37.499456908013393</v>
      </c>
      <c r="G288" s="71">
        <v>4.6874321135016741</v>
      </c>
      <c r="H288" s="71">
        <v>18.749728454006696</v>
      </c>
      <c r="I288">
        <f>-B288/B281*LN(B288/B281)</f>
        <v>0.18576194142038044</v>
      </c>
    </row>
    <row r="289" spans="1:9">
      <c r="A289" s="73" t="s">
        <v>36</v>
      </c>
      <c r="B289" s="71">
        <v>9</v>
      </c>
      <c r="C289" s="78">
        <v>7.246376811594203E-3</v>
      </c>
      <c r="D289" s="71">
        <v>0.48000000000000004</v>
      </c>
      <c r="E289" s="71">
        <v>0.2776216212</v>
      </c>
      <c r="F289" s="71">
        <v>1077.4921014949123</v>
      </c>
      <c r="G289" s="71">
        <v>134.68651268686403</v>
      </c>
      <c r="H289" s="71">
        <v>538.74605074745614</v>
      </c>
      <c r="I289">
        <f>-B289/B281*LN(B289/B281)</f>
        <v>0.32734371733060669</v>
      </c>
    </row>
    <row r="290" spans="1:9">
      <c r="A290" s="73" t="s">
        <v>47</v>
      </c>
      <c r="B290" s="71">
        <v>4</v>
      </c>
      <c r="C290" s="78">
        <v>3.2206119162640902E-3</v>
      </c>
      <c r="D290" s="71">
        <v>0.75</v>
      </c>
      <c r="E290" s="71">
        <v>1.33195986E-2</v>
      </c>
      <c r="F290" s="71">
        <v>49.400502276673521</v>
      </c>
      <c r="G290" s="71">
        <v>6.1750627845841901</v>
      </c>
      <c r="H290" s="71">
        <v>24.70025113833676</v>
      </c>
      <c r="I290">
        <f>-B290/B281*LN(B290/B281)</f>
        <v>0.22092146554173692</v>
      </c>
    </row>
    <row r="291" spans="1:9">
      <c r="A291" s="72">
        <v>200.3</v>
      </c>
      <c r="B291" s="71">
        <v>42</v>
      </c>
      <c r="C291" s="78">
        <v>3.3816425120772944E-2</v>
      </c>
      <c r="D291" s="71">
        <v>0.47261904761904766</v>
      </c>
      <c r="E291" s="71">
        <v>1.2873554232000002</v>
      </c>
      <c r="F291" s="71">
        <v>4568.3939504171994</v>
      </c>
      <c r="G291" s="71">
        <v>571.04924380214993</v>
      </c>
      <c r="H291" s="71">
        <v>2284.1969752085997</v>
      </c>
      <c r="I291" s="74">
        <f>SUM(I292:I302)</f>
        <v>2.0318963538801471</v>
      </c>
    </row>
    <row r="292" spans="1:9">
      <c r="A292" s="73" t="s">
        <v>231</v>
      </c>
      <c r="B292" s="71">
        <v>2</v>
      </c>
      <c r="C292" s="78">
        <v>1.6103059581320451E-3</v>
      </c>
      <c r="D292" s="71">
        <v>0.57999999999999996</v>
      </c>
      <c r="E292" s="71">
        <v>2.093091E-2</v>
      </c>
      <c r="F292" s="71">
        <v>77.813983093219392</v>
      </c>
      <c r="G292" s="71">
        <v>9.726747886652424</v>
      </c>
      <c r="H292" s="71">
        <v>38.906991546609696</v>
      </c>
      <c r="I292">
        <f>-B292/B291*LN(B292/B291)</f>
        <v>0.14497725893921062</v>
      </c>
    </row>
    <row r="293" spans="1:9">
      <c r="A293" s="73" t="s">
        <v>121</v>
      </c>
      <c r="B293" s="71">
        <v>1</v>
      </c>
      <c r="C293" s="78">
        <v>8.0515297906602254E-4</v>
      </c>
      <c r="D293" s="71">
        <v>0.49</v>
      </c>
      <c r="E293" s="71">
        <v>4.1853966000000003E-3</v>
      </c>
      <c r="F293" s="71">
        <v>5.6989734932358882</v>
      </c>
      <c r="G293" s="71">
        <v>0.71237168665448602</v>
      </c>
      <c r="H293" s="71">
        <v>2.8494867466179441</v>
      </c>
      <c r="I293">
        <f>-B293/B291*LN(B293/B291)</f>
        <v>8.8992133768651629E-2</v>
      </c>
    </row>
    <row r="294" spans="1:9">
      <c r="A294" s="73" t="s">
        <v>131</v>
      </c>
      <c r="B294" s="71">
        <v>5</v>
      </c>
      <c r="C294" s="78">
        <v>4.0257648953301124E-3</v>
      </c>
      <c r="D294" s="71">
        <v>0.56000000000000005</v>
      </c>
      <c r="E294" s="71">
        <v>4.9034092800000005E-2</v>
      </c>
      <c r="F294" s="71">
        <v>174.06318366705401</v>
      </c>
      <c r="G294" s="71">
        <v>21.757897958381751</v>
      </c>
      <c r="H294" s="71">
        <v>87.031591833527003</v>
      </c>
      <c r="I294">
        <f>-B294/B291*LN(B294/B291)</f>
        <v>0.25336091736300809</v>
      </c>
    </row>
    <row r="295" spans="1:9">
      <c r="A295" s="73" t="s">
        <v>135</v>
      </c>
      <c r="B295" s="71">
        <v>2</v>
      </c>
      <c r="C295" s="78">
        <v>1.6103059581320451E-3</v>
      </c>
      <c r="D295" s="71">
        <v>0.38</v>
      </c>
      <c r="E295" s="71">
        <v>0.19024430040000001</v>
      </c>
      <c r="F295" s="71">
        <v>513.80334579835414</v>
      </c>
      <c r="G295" s="71">
        <v>64.225418224794268</v>
      </c>
      <c r="H295" s="71">
        <v>256.90167289917707</v>
      </c>
      <c r="I295">
        <f>-B295/B291*LN(B295/B291)</f>
        <v>0.14497725893921062</v>
      </c>
    </row>
    <row r="296" spans="1:9">
      <c r="A296" s="73" t="s">
        <v>54</v>
      </c>
      <c r="B296" s="71">
        <v>2</v>
      </c>
      <c r="C296" s="78">
        <v>1.6103059581320451E-3</v>
      </c>
      <c r="D296" s="71">
        <v>0.315</v>
      </c>
      <c r="E296" s="71">
        <v>6.5600535000000001E-2</v>
      </c>
      <c r="F296" s="71">
        <v>196.29848856191774</v>
      </c>
      <c r="G296" s="71">
        <v>24.537311070239717</v>
      </c>
      <c r="H296" s="71">
        <v>98.149244280958868</v>
      </c>
      <c r="I296">
        <f>-B296/B291*LN(B296/B291)</f>
        <v>0.14497725893921062</v>
      </c>
    </row>
    <row r="297" spans="1:9">
      <c r="A297" s="73" t="s">
        <v>137</v>
      </c>
      <c r="B297" s="71">
        <v>1</v>
      </c>
      <c r="C297" s="78">
        <v>8.0515297906602254E-4</v>
      </c>
      <c r="D297" s="71">
        <v>0.71</v>
      </c>
      <c r="E297" s="71">
        <v>6.3617400000000003E-3</v>
      </c>
      <c r="F297" s="71">
        <v>19.338955066679226</v>
      </c>
      <c r="G297" s="71">
        <v>2.4173693833349033</v>
      </c>
      <c r="H297" s="71">
        <v>9.669477533339613</v>
      </c>
      <c r="I297">
        <f>-B297/B291*LN(B297/B291)</f>
        <v>8.8992133768651629E-2</v>
      </c>
    </row>
    <row r="298" spans="1:9">
      <c r="A298" s="73" t="s">
        <v>96</v>
      </c>
      <c r="B298" s="71">
        <v>10</v>
      </c>
      <c r="C298" s="78">
        <v>8.0515297906602248E-3</v>
      </c>
      <c r="D298" s="71">
        <v>0.48000000000000009</v>
      </c>
      <c r="E298" s="71">
        <v>0.60488602019999993</v>
      </c>
      <c r="F298" s="71">
        <v>2881.3943638525302</v>
      </c>
      <c r="G298" s="71">
        <v>360.17429548156628</v>
      </c>
      <c r="H298" s="71">
        <v>1440.6971819262651</v>
      </c>
      <c r="I298">
        <f>-B298/B291*LN(B298/B291)</f>
        <v>0.341686791735553</v>
      </c>
    </row>
    <row r="299" spans="1:9">
      <c r="A299" s="73" t="s">
        <v>39</v>
      </c>
      <c r="B299" s="71">
        <v>9</v>
      </c>
      <c r="C299" s="78">
        <v>7.246376811594203E-3</v>
      </c>
      <c r="D299" s="71">
        <v>0.37000000000000005</v>
      </c>
      <c r="E299" s="71">
        <v>0.12006174180000001</v>
      </c>
      <c r="F299" s="71">
        <v>236.85653288756546</v>
      </c>
      <c r="G299" s="71">
        <v>29.607066610945683</v>
      </c>
      <c r="H299" s="71">
        <v>118.42826644378273</v>
      </c>
      <c r="I299">
        <f>-B299/B291*LN(B299/B291)</f>
        <v>0.3300953659172462</v>
      </c>
    </row>
    <row r="300" spans="1:9">
      <c r="A300" s="73" t="s">
        <v>136</v>
      </c>
      <c r="B300" s="71">
        <v>1</v>
      </c>
      <c r="C300" s="78">
        <v>8.0515297906602254E-4</v>
      </c>
      <c r="D300" s="71">
        <v>0.57999999999999996</v>
      </c>
      <c r="E300" s="71">
        <v>7.088235E-3</v>
      </c>
      <c r="F300" s="71">
        <v>14.979121823634516</v>
      </c>
      <c r="G300" s="71">
        <v>1.8723902279543145</v>
      </c>
      <c r="H300" s="71">
        <v>7.4895609118172581</v>
      </c>
      <c r="I300">
        <f>-B300/B291*LN(B300/B291)</f>
        <v>8.8992133768651629E-2</v>
      </c>
    </row>
    <row r="301" spans="1:9">
      <c r="A301" s="73" t="s">
        <v>36</v>
      </c>
      <c r="B301" s="71">
        <v>8</v>
      </c>
      <c r="C301" s="78">
        <v>6.4412238325281803E-3</v>
      </c>
      <c r="D301" s="71">
        <v>0.48</v>
      </c>
      <c r="E301" s="71">
        <v>0.21466160100000004</v>
      </c>
      <c r="F301" s="71">
        <v>424.9926485082849</v>
      </c>
      <c r="G301" s="71">
        <v>53.124081063535613</v>
      </c>
      <c r="H301" s="71">
        <v>212.49632425414245</v>
      </c>
      <c r="I301">
        <f>-B301/B291*LN(B301/B291)</f>
        <v>0.31585296697210141</v>
      </c>
    </row>
    <row r="302" spans="1:9">
      <c r="A302" s="73" t="s">
        <v>47</v>
      </c>
      <c r="B302" s="71">
        <v>1</v>
      </c>
      <c r="C302" s="78">
        <v>8.0515297906602254E-4</v>
      </c>
      <c r="D302" s="71">
        <v>0.75</v>
      </c>
      <c r="E302" s="71">
        <v>4.3008504000000003E-3</v>
      </c>
      <c r="F302" s="71">
        <v>23.154353664724841</v>
      </c>
      <c r="G302" s="71">
        <v>2.8942942080906051</v>
      </c>
      <c r="H302" s="71">
        <v>11.57717683236242</v>
      </c>
      <c r="I302">
        <f>-B302/B291*LN(B302/B291)</f>
        <v>8.8992133768651629E-2</v>
      </c>
    </row>
    <row r="303" spans="1:9">
      <c r="A303" s="72">
        <v>200.4</v>
      </c>
      <c r="B303" s="71">
        <v>47</v>
      </c>
      <c r="C303" s="78">
        <v>3.7842190016103061E-2</v>
      </c>
      <c r="D303" s="71">
        <v>0.50585106382978728</v>
      </c>
      <c r="E303" s="71">
        <v>1.2645835356000001</v>
      </c>
      <c r="F303" s="71">
        <v>4858.8429229218264</v>
      </c>
      <c r="G303" s="71">
        <v>607.35536536522829</v>
      </c>
      <c r="H303" s="71">
        <v>2429.4214614609132</v>
      </c>
      <c r="I303" s="74">
        <f>SUM(I304:I318)</f>
        <v>2.3329425695312169</v>
      </c>
    </row>
    <row r="304" spans="1:9">
      <c r="A304" s="73" t="s">
        <v>231</v>
      </c>
      <c r="B304" s="71">
        <v>4</v>
      </c>
      <c r="C304" s="78">
        <v>3.2206119162640902E-3</v>
      </c>
      <c r="D304" s="71">
        <v>0.57999999999999996</v>
      </c>
      <c r="E304" s="71">
        <v>5.6695669800000001E-2</v>
      </c>
      <c r="F304" s="71">
        <v>155.71116819457436</v>
      </c>
      <c r="G304" s="71">
        <v>19.463896024321794</v>
      </c>
      <c r="H304" s="71">
        <v>77.855584097287178</v>
      </c>
      <c r="I304">
        <f>-B304/B303*LN(B304/B303)</f>
        <v>0.20968963749703556</v>
      </c>
    </row>
    <row r="305" spans="1:9">
      <c r="A305" s="73" t="s">
        <v>252</v>
      </c>
      <c r="B305" s="71">
        <v>1</v>
      </c>
      <c r="C305" s="78">
        <v>8.0515297906602254E-4</v>
      </c>
      <c r="D305" s="71">
        <v>0.54</v>
      </c>
      <c r="E305" s="71">
        <v>4.0715136000000008E-3</v>
      </c>
      <c r="F305" s="71">
        <v>12.959209721026674</v>
      </c>
      <c r="G305" s="71">
        <v>1.6199012151283343</v>
      </c>
      <c r="H305" s="71">
        <v>6.4796048605133372</v>
      </c>
      <c r="I305">
        <f>-B305/B303*LN(B305/B303)</f>
        <v>8.1918034078937413E-2</v>
      </c>
    </row>
    <row r="306" spans="1:9">
      <c r="A306" s="73" t="s">
        <v>139</v>
      </c>
      <c r="B306" s="71">
        <v>1</v>
      </c>
      <c r="C306" s="78">
        <v>8.0515297906602254E-4</v>
      </c>
      <c r="D306" s="71">
        <v>0.57999999999999996</v>
      </c>
      <c r="E306" s="71">
        <v>4.6566366000000007E-3</v>
      </c>
      <c r="F306" s="71">
        <v>15.87585354717055</v>
      </c>
      <c r="G306" s="71">
        <v>1.9844816933963187</v>
      </c>
      <c r="H306" s="71">
        <v>7.937926773585275</v>
      </c>
      <c r="I306">
        <f>-B306/B303*LN(B306/B303)</f>
        <v>8.1918034078937413E-2</v>
      </c>
    </row>
    <row r="307" spans="1:9">
      <c r="A307" s="73" t="s">
        <v>253</v>
      </c>
      <c r="B307" s="71">
        <v>2</v>
      </c>
      <c r="C307" s="78">
        <v>1.6103059581320451E-3</v>
      </c>
      <c r="D307" s="71">
        <v>0.89</v>
      </c>
      <c r="E307" s="71">
        <v>7.2044742000000007E-3</v>
      </c>
      <c r="F307" s="71">
        <v>27.560288552847794</v>
      </c>
      <c r="G307" s="71">
        <v>3.4450360691059743</v>
      </c>
      <c r="H307" s="71">
        <v>13.780144276423897</v>
      </c>
      <c r="I307">
        <f>-B307/B303*LN(B307/B303)</f>
        <v>0.13434044345319632</v>
      </c>
    </row>
    <row r="308" spans="1:9">
      <c r="A308" s="73" t="s">
        <v>135</v>
      </c>
      <c r="B308" s="71">
        <v>7</v>
      </c>
      <c r="C308" s="78">
        <v>5.6360708534621577E-3</v>
      </c>
      <c r="D308" s="71">
        <v>0.37999999999999995</v>
      </c>
      <c r="E308" s="71">
        <v>6.7544400000000004E-2</v>
      </c>
      <c r="F308" s="71">
        <v>163.83322308805498</v>
      </c>
      <c r="G308" s="71">
        <v>20.479152886006872</v>
      </c>
      <c r="H308" s="71">
        <v>81.916611544027489</v>
      </c>
      <c r="I308">
        <f>-B308/B303*LN(B308/B303)</f>
        <v>0.283609833374111</v>
      </c>
    </row>
    <row r="309" spans="1:9">
      <c r="A309" s="73" t="s">
        <v>138</v>
      </c>
      <c r="B309" s="71">
        <v>1</v>
      </c>
      <c r="C309" s="78">
        <v>8.0515297906602254E-4</v>
      </c>
      <c r="D309" s="71">
        <v>0.59</v>
      </c>
      <c r="E309" s="71">
        <v>4.6566366000000007E-3</v>
      </c>
      <c r="F309" s="71">
        <v>11.74844133253224</v>
      </c>
      <c r="G309" s="71">
        <v>1.46855516656653</v>
      </c>
      <c r="H309" s="71">
        <v>5.8742206662661198</v>
      </c>
      <c r="I309">
        <f>-B309/B303*LN(B309/B303)</f>
        <v>8.1918034078937413E-2</v>
      </c>
    </row>
    <row r="310" spans="1:9">
      <c r="A310" s="73" t="s">
        <v>72</v>
      </c>
      <c r="B310" s="71">
        <v>5</v>
      </c>
      <c r="C310" s="78">
        <v>4.0257648953301124E-3</v>
      </c>
      <c r="D310" s="71">
        <v>0.48</v>
      </c>
      <c r="E310" s="71">
        <v>2.3119034400000002E-2</v>
      </c>
      <c r="F310" s="71">
        <v>58.736259934368761</v>
      </c>
      <c r="G310" s="71">
        <v>7.3420324917960951</v>
      </c>
      <c r="H310" s="71">
        <v>29.36812996718438</v>
      </c>
      <c r="I310">
        <f>-B310/B303*LN(B310/B303)</f>
        <v>0.23837337119957003</v>
      </c>
    </row>
    <row r="311" spans="1:9">
      <c r="A311" s="73" t="s">
        <v>54</v>
      </c>
      <c r="B311" s="71">
        <v>3</v>
      </c>
      <c r="C311" s="78">
        <v>2.4154589371980675E-3</v>
      </c>
      <c r="D311" s="71">
        <v>0.315</v>
      </c>
      <c r="E311" s="71">
        <v>2.1366807000000002E-2</v>
      </c>
      <c r="F311" s="71">
        <v>59.762589736284909</v>
      </c>
      <c r="G311" s="71">
        <v>7.4703237170356136</v>
      </c>
      <c r="H311" s="71">
        <v>29.881294868142454</v>
      </c>
      <c r="I311">
        <f>-B311/B303*LN(B311/B303)</f>
        <v>0.17562991359842225</v>
      </c>
    </row>
    <row r="312" spans="1:9">
      <c r="A312" s="73" t="s">
        <v>202</v>
      </c>
      <c r="B312" s="71">
        <v>3</v>
      </c>
      <c r="C312" s="78">
        <v>2.4154589371980675E-3</v>
      </c>
      <c r="D312" s="71">
        <v>0.51</v>
      </c>
      <c r="E312" s="71">
        <v>4.1115689999999996E-2</v>
      </c>
      <c r="F312" s="71">
        <v>96.761576331697597</v>
      </c>
      <c r="G312" s="71">
        <v>12.0951970414622</v>
      </c>
      <c r="H312" s="71">
        <v>48.380788165848799</v>
      </c>
      <c r="I312">
        <f>-B312/B303*LN(B312/B303)</f>
        <v>0.17562991359842225</v>
      </c>
    </row>
    <row r="313" spans="1:9">
      <c r="A313" s="73" t="s">
        <v>140</v>
      </c>
      <c r="B313" s="71">
        <v>2</v>
      </c>
      <c r="C313" s="78">
        <v>1.6103059581320451E-3</v>
      </c>
      <c r="D313" s="71">
        <v>0.7</v>
      </c>
      <c r="E313" s="71">
        <v>9.7468140000000012E-3</v>
      </c>
      <c r="F313" s="71">
        <v>35.924240617863838</v>
      </c>
      <c r="G313" s="71">
        <v>4.4905300772329797</v>
      </c>
      <c r="H313" s="71">
        <v>17.962120308931919</v>
      </c>
      <c r="I313">
        <f>-B313/B303*LN(B313/B303)</f>
        <v>0.13434044345319632</v>
      </c>
    </row>
    <row r="314" spans="1:9">
      <c r="A314" s="73" t="s">
        <v>96</v>
      </c>
      <c r="B314" s="71">
        <v>1</v>
      </c>
      <c r="C314" s="78">
        <v>8.0515297906602254E-4</v>
      </c>
      <c r="D314" s="71">
        <v>0.48</v>
      </c>
      <c r="E314" s="71">
        <v>0.21647587500000001</v>
      </c>
      <c r="F314" s="71">
        <v>1213.6129311969082</v>
      </c>
      <c r="G314" s="71">
        <v>151.70161639961353</v>
      </c>
      <c r="H314" s="71">
        <v>606.80646559845411</v>
      </c>
      <c r="I314">
        <f>-B314/B303*LN(B314/B303)</f>
        <v>8.1918034078937413E-2</v>
      </c>
    </row>
    <row r="315" spans="1:9">
      <c r="A315" s="73" t="s">
        <v>39</v>
      </c>
      <c r="B315" s="71">
        <v>1</v>
      </c>
      <c r="C315" s="78">
        <v>8.0515297906602254E-4</v>
      </c>
      <c r="D315" s="71">
        <v>0.37</v>
      </c>
      <c r="E315" s="71">
        <v>5.1530094000000002E-3</v>
      </c>
      <c r="F315" s="71">
        <v>12.746241520299218</v>
      </c>
      <c r="G315" s="71">
        <v>1.5932801900374023</v>
      </c>
      <c r="H315" s="71">
        <v>6.3731207601496092</v>
      </c>
      <c r="I315">
        <f>-B315/B303*LN(B315/B303)</f>
        <v>8.1918034078937413E-2</v>
      </c>
    </row>
    <row r="316" spans="1:9">
      <c r="A316" s="73" t="s">
        <v>130</v>
      </c>
      <c r="B316" s="71">
        <v>1</v>
      </c>
      <c r="C316" s="78">
        <v>8.0515297906602254E-4</v>
      </c>
      <c r="D316" s="71">
        <v>0.57999999999999996</v>
      </c>
      <c r="E316" s="71">
        <v>6.3617400000000003E-3</v>
      </c>
      <c r="F316" s="71">
        <v>23.847348823054652</v>
      </c>
      <c r="G316" s="71">
        <v>2.9809186028818315</v>
      </c>
      <c r="H316" s="71">
        <v>11.923674411527326</v>
      </c>
      <c r="I316">
        <f>-B316/B303*LN(B316/B303)</f>
        <v>8.1918034078937413E-2</v>
      </c>
    </row>
    <row r="317" spans="1:9">
      <c r="A317" s="73" t="s">
        <v>126</v>
      </c>
      <c r="B317" s="71">
        <v>2</v>
      </c>
      <c r="C317" s="78">
        <v>1.6103059581320451E-3</v>
      </c>
      <c r="D317" s="71">
        <v>0.68</v>
      </c>
      <c r="E317" s="71">
        <v>8.6935926000000011E-3</v>
      </c>
      <c r="F317" s="71">
        <v>29.164812607586342</v>
      </c>
      <c r="G317" s="71">
        <v>3.6456015759482927</v>
      </c>
      <c r="H317" s="71">
        <v>14.582406303793171</v>
      </c>
      <c r="I317">
        <f>-B317/B303*LN(B317/B303)</f>
        <v>0.13434044345319632</v>
      </c>
    </row>
    <row r="318" spans="1:9">
      <c r="A318" s="73" t="s">
        <v>36</v>
      </c>
      <c r="B318" s="71">
        <v>13</v>
      </c>
      <c r="C318" s="78">
        <v>1.0466988727858293E-2</v>
      </c>
      <c r="D318" s="71">
        <v>0.48000000000000015</v>
      </c>
      <c r="E318" s="71">
        <v>0.78772164239999987</v>
      </c>
      <c r="F318" s="71">
        <v>2940.5987377175557</v>
      </c>
      <c r="G318" s="71">
        <v>367.57484221469446</v>
      </c>
      <c r="H318" s="71">
        <v>1470.2993688587778</v>
      </c>
      <c r="I318">
        <f>-B318/B303*LN(B318/B303)</f>
        <v>0.35548036543044226</v>
      </c>
    </row>
    <row r="319" spans="1:9">
      <c r="A319" s="72">
        <v>250.1</v>
      </c>
      <c r="B319" s="71">
        <v>28</v>
      </c>
      <c r="C319" s="78">
        <v>2.2544283413848631E-2</v>
      </c>
      <c r="D319" s="71">
        <v>0.4819642857142859</v>
      </c>
      <c r="E319" s="71">
        <v>0.84666983939999996</v>
      </c>
      <c r="F319" s="71">
        <v>2799.3822841326933</v>
      </c>
      <c r="G319" s="71">
        <v>349.92278551658666</v>
      </c>
      <c r="H319" s="71">
        <v>1399.6911420663466</v>
      </c>
      <c r="I319" s="74">
        <f>SUM(I320:I329)</f>
        <v>1.9375256321309355</v>
      </c>
    </row>
    <row r="320" spans="1:9">
      <c r="A320" s="73" t="s">
        <v>231</v>
      </c>
      <c r="B320" s="71">
        <v>3</v>
      </c>
      <c r="C320" s="78">
        <v>2.4154589371980675E-3</v>
      </c>
      <c r="D320" s="71">
        <v>0.57999999999999996</v>
      </c>
      <c r="E320" s="71">
        <v>6.5318576400000009E-2</v>
      </c>
      <c r="F320" s="71">
        <v>224.03610959815762</v>
      </c>
      <c r="G320" s="71">
        <v>28.004513699769703</v>
      </c>
      <c r="H320" s="71">
        <v>112.01805479907881</v>
      </c>
      <c r="I320">
        <f>-B320/B319*LN(B320/B319)</f>
        <v>0.23931345230433151</v>
      </c>
    </row>
    <row r="321" spans="1:9">
      <c r="A321" s="73" t="s">
        <v>138</v>
      </c>
      <c r="B321" s="71">
        <v>1</v>
      </c>
      <c r="C321" s="78">
        <v>8.0515297906602254E-4</v>
      </c>
      <c r="D321" s="71">
        <v>0.59</v>
      </c>
      <c r="E321" s="71">
        <v>4.5364704E-3</v>
      </c>
      <c r="F321" s="71">
        <v>10.053025629176142</v>
      </c>
      <c r="G321" s="71">
        <v>1.2566282036470178</v>
      </c>
      <c r="H321" s="71">
        <v>5.0265128145880711</v>
      </c>
      <c r="I321">
        <f>-B321/B319*LN(B321/B319)</f>
        <v>0.1190073039348287</v>
      </c>
    </row>
    <row r="322" spans="1:9">
      <c r="A322" s="73" t="s">
        <v>54</v>
      </c>
      <c r="B322" s="71">
        <v>3</v>
      </c>
      <c r="C322" s="78">
        <v>2.4154589371980675E-3</v>
      </c>
      <c r="D322" s="71">
        <v>0.315</v>
      </c>
      <c r="E322" s="71">
        <v>9.0346918200000015E-2</v>
      </c>
      <c r="F322" s="71">
        <v>283.26990124630902</v>
      </c>
      <c r="G322" s="71">
        <v>35.408737655788627</v>
      </c>
      <c r="H322" s="71">
        <v>141.63495062315451</v>
      </c>
      <c r="I322">
        <f>-B322/B319*LN(B322/B319)</f>
        <v>0.23931345230433151</v>
      </c>
    </row>
    <row r="323" spans="1:9">
      <c r="A323" s="73" t="s">
        <v>107</v>
      </c>
      <c r="B323" s="71">
        <v>1</v>
      </c>
      <c r="C323" s="78">
        <v>8.0515297906602254E-4</v>
      </c>
      <c r="D323" s="71">
        <v>0.57999999999999996</v>
      </c>
      <c r="E323" s="71">
        <v>1.4313915E-2</v>
      </c>
      <c r="F323" s="71">
        <v>60.741104300775923</v>
      </c>
      <c r="G323" s="71">
        <v>7.5926380375969904</v>
      </c>
      <c r="H323" s="71">
        <v>30.370552150387962</v>
      </c>
      <c r="I323">
        <f>-B323/B319*LN(B323/B319)</f>
        <v>0.1190073039348287</v>
      </c>
    </row>
    <row r="324" spans="1:9">
      <c r="A324" s="73" t="s">
        <v>202</v>
      </c>
      <c r="B324" s="71">
        <v>1</v>
      </c>
      <c r="C324" s="78">
        <v>8.0515297906602254E-4</v>
      </c>
      <c r="D324" s="71">
        <v>0.51</v>
      </c>
      <c r="E324" s="71">
        <v>2.0106240000000001E-2</v>
      </c>
      <c r="F324" s="71">
        <v>37.813443540643647</v>
      </c>
      <c r="G324" s="71">
        <v>4.7266804425804558</v>
      </c>
      <c r="H324" s="71">
        <v>18.906721770321823</v>
      </c>
      <c r="I324">
        <f>-B324/B319*LN(B324/B319)</f>
        <v>0.1190073039348287</v>
      </c>
    </row>
    <row r="325" spans="1:9">
      <c r="A325" s="73" t="s">
        <v>181</v>
      </c>
      <c r="B325" s="71">
        <v>2</v>
      </c>
      <c r="C325" s="78">
        <v>1.6103059581320451E-3</v>
      </c>
      <c r="D325" s="71">
        <v>0.66</v>
      </c>
      <c r="E325" s="71">
        <v>1.4484346800000001E-2</v>
      </c>
      <c r="F325" s="71">
        <v>51.652607314927494</v>
      </c>
      <c r="G325" s="71">
        <v>6.4565759143659367</v>
      </c>
      <c r="H325" s="71">
        <v>25.826303657463747</v>
      </c>
      <c r="I325">
        <f>-B325/B319*LN(B325/B319)</f>
        <v>0.18850409497251847</v>
      </c>
    </row>
    <row r="326" spans="1:9">
      <c r="A326" s="73" t="s">
        <v>96</v>
      </c>
      <c r="B326" s="71">
        <v>5</v>
      </c>
      <c r="C326" s="78">
        <v>4.0257648953301124E-3</v>
      </c>
      <c r="D326" s="71">
        <v>0.48</v>
      </c>
      <c r="E326" s="71">
        <v>0.14510971859999999</v>
      </c>
      <c r="F326" s="71">
        <v>596.77476240046224</v>
      </c>
      <c r="G326" s="71">
        <v>74.59684530005778</v>
      </c>
      <c r="H326" s="71">
        <v>298.38738120023112</v>
      </c>
      <c r="I326">
        <f>-B326/B319*LN(B326/B319)</f>
        <v>0.30763689245376852</v>
      </c>
    </row>
    <row r="327" spans="1:9">
      <c r="A327" s="73" t="s">
        <v>39</v>
      </c>
      <c r="B327" s="71">
        <v>1</v>
      </c>
      <c r="C327" s="78">
        <v>8.0515297906602254E-4</v>
      </c>
      <c r="D327" s="71">
        <v>0.37</v>
      </c>
      <c r="E327" s="71">
        <v>1.4313915E-2</v>
      </c>
      <c r="F327" s="71">
        <v>29.101561393913652</v>
      </c>
      <c r="G327" s="71">
        <v>3.6376951742392065</v>
      </c>
      <c r="H327" s="71">
        <v>14.550780696956826</v>
      </c>
      <c r="I327">
        <f>-B327/B319*LN(B327/B319)</f>
        <v>0.1190073039348287</v>
      </c>
    </row>
    <row r="328" spans="1:9">
      <c r="A328" s="73" t="s">
        <v>222</v>
      </c>
      <c r="B328" s="71">
        <v>1</v>
      </c>
      <c r="C328" s="78">
        <v>8.0515297906602254E-4</v>
      </c>
      <c r="D328" s="71">
        <v>0.24</v>
      </c>
      <c r="E328" s="71">
        <v>5.2810295999999998E-3</v>
      </c>
      <c r="F328" s="71">
        <v>6.5190727676281366</v>
      </c>
      <c r="G328" s="71">
        <v>0.81488409595351707</v>
      </c>
      <c r="H328" s="71">
        <v>3.2595363838140683</v>
      </c>
      <c r="I328">
        <f>-B328/B319*LN(B328/B319)</f>
        <v>0.1190073039348287</v>
      </c>
    </row>
    <row r="329" spans="1:9">
      <c r="A329" s="73" t="s">
        <v>36</v>
      </c>
      <c r="B329" s="71">
        <v>10</v>
      </c>
      <c r="C329" s="78">
        <v>8.0515297906602248E-3</v>
      </c>
      <c r="D329" s="71">
        <v>0.48000000000000009</v>
      </c>
      <c r="E329" s="71">
        <v>0.47285870940000013</v>
      </c>
      <c r="F329" s="71">
        <v>1499.4206959406999</v>
      </c>
      <c r="G329" s="71">
        <v>187.42758699258749</v>
      </c>
      <c r="H329" s="71">
        <v>749.71034797034997</v>
      </c>
      <c r="I329">
        <f>-B329/B319*LN(B329/B319)</f>
        <v>0.36772122042184219</v>
      </c>
    </row>
    <row r="330" spans="1:9">
      <c r="A330" s="72">
        <v>250.2</v>
      </c>
      <c r="B330" s="71">
        <v>66</v>
      </c>
      <c r="C330" s="78">
        <v>5.3140096618357488E-2</v>
      </c>
      <c r="D330" s="71">
        <v>0.53333333333333299</v>
      </c>
      <c r="E330" s="71">
        <v>1.5226027509</v>
      </c>
      <c r="F330" s="71">
        <v>4942.578872269436</v>
      </c>
      <c r="G330" s="71">
        <v>617.8223590336795</v>
      </c>
      <c r="H330" s="71">
        <v>2471.289436134718</v>
      </c>
      <c r="I330" s="74">
        <f>SUM(I331:I341)</f>
        <v>1.7359713840105857</v>
      </c>
    </row>
    <row r="331" spans="1:9">
      <c r="A331" s="73" t="s">
        <v>231</v>
      </c>
      <c r="B331" s="71">
        <v>23</v>
      </c>
      <c r="C331" s="78">
        <v>1.8518518518518517E-2</v>
      </c>
      <c r="D331" s="71">
        <v>0.57999999999999996</v>
      </c>
      <c r="E331" s="71">
        <v>0.48155878155000009</v>
      </c>
      <c r="F331" s="71">
        <v>1741.2031686092323</v>
      </c>
      <c r="G331" s="71">
        <v>217.65039607615404</v>
      </c>
      <c r="H331" s="71">
        <v>870.60158430461615</v>
      </c>
      <c r="I331">
        <f>-B331/B330*LN(B331/B330)</f>
        <v>0.36735897121571731</v>
      </c>
    </row>
    <row r="332" spans="1:9">
      <c r="A332" s="73" t="s">
        <v>252</v>
      </c>
      <c r="B332" s="71">
        <v>2</v>
      </c>
      <c r="C332" s="78">
        <v>1.6103059581320451E-3</v>
      </c>
      <c r="D332" s="71">
        <v>0.54</v>
      </c>
      <c r="E332" s="71">
        <v>1.2875062200000002E-2</v>
      </c>
      <c r="F332" s="71">
        <v>47.067573927940344</v>
      </c>
      <c r="G332" s="71">
        <v>5.8834467409925431</v>
      </c>
      <c r="H332" s="71">
        <v>23.533786963970172</v>
      </c>
      <c r="I332">
        <f>-B332/B330*LN(B332/B330)</f>
        <v>0.10595477458989334</v>
      </c>
    </row>
    <row r="333" spans="1:9">
      <c r="A333" s="73" t="s">
        <v>131</v>
      </c>
      <c r="B333" s="71">
        <v>13</v>
      </c>
      <c r="C333" s="78">
        <v>1.0466988727858293E-2</v>
      </c>
      <c r="D333" s="71">
        <v>0.56000000000000028</v>
      </c>
      <c r="E333" s="71">
        <v>0.10470324480000001</v>
      </c>
      <c r="F333" s="71">
        <v>397.62983779695082</v>
      </c>
      <c r="G333" s="71">
        <v>49.703729724618853</v>
      </c>
      <c r="H333" s="71">
        <v>198.81491889847541</v>
      </c>
      <c r="I333">
        <f>-B333/B330*LN(B333/B330)</f>
        <v>0.3200177272627811</v>
      </c>
    </row>
    <row r="334" spans="1:9">
      <c r="A334" s="73" t="s">
        <v>95</v>
      </c>
      <c r="B334" s="71">
        <v>1</v>
      </c>
      <c r="C334" s="78">
        <v>8.0515297906602254E-4</v>
      </c>
      <c r="D334" s="71">
        <v>0.64</v>
      </c>
      <c r="E334" s="71">
        <v>4.4178749999999999E-3</v>
      </c>
      <c r="F334" s="71">
        <v>19.264214758416031</v>
      </c>
      <c r="G334" s="71">
        <v>2.4080268448020039</v>
      </c>
      <c r="H334" s="71">
        <v>9.6321073792080156</v>
      </c>
      <c r="I334">
        <f>-B334/B330*LN(B334/B330)</f>
        <v>6.3479617303430685E-2</v>
      </c>
    </row>
    <row r="335" spans="1:9">
      <c r="A335" s="73" t="s">
        <v>54</v>
      </c>
      <c r="B335" s="71">
        <v>4</v>
      </c>
      <c r="C335" s="78">
        <v>3.2206119162640902E-3</v>
      </c>
      <c r="D335" s="71">
        <v>0.315</v>
      </c>
      <c r="E335" s="71">
        <v>7.2743158949999998E-2</v>
      </c>
      <c r="F335" s="71">
        <v>220.53853507519781</v>
      </c>
      <c r="G335" s="71">
        <v>27.567316884399727</v>
      </c>
      <c r="H335" s="71">
        <v>110.26926753759891</v>
      </c>
      <c r="I335">
        <f>-B335/B330*LN(B335/B330)</f>
        <v>0.16990062914585061</v>
      </c>
    </row>
    <row r="336" spans="1:9">
      <c r="A336" s="73" t="s">
        <v>107</v>
      </c>
      <c r="B336" s="71">
        <v>2</v>
      </c>
      <c r="C336" s="78">
        <v>1.6103059581320451E-3</v>
      </c>
      <c r="D336" s="71">
        <v>0.57999999999999996</v>
      </c>
      <c r="E336" s="71">
        <v>4.5179349600000002E-2</v>
      </c>
      <c r="F336" s="71">
        <v>196.24129945097155</v>
      </c>
      <c r="G336" s="71">
        <v>24.530162431371444</v>
      </c>
      <c r="H336" s="71">
        <v>98.120649725485777</v>
      </c>
      <c r="I336">
        <f>-B336/B330*LN(B336/B330)</f>
        <v>0.10595477458989334</v>
      </c>
    </row>
    <row r="337" spans="1:9">
      <c r="A337" s="73" t="s">
        <v>97</v>
      </c>
      <c r="B337" s="71">
        <v>1</v>
      </c>
      <c r="C337" s="78">
        <v>8.0515297906602254E-4</v>
      </c>
      <c r="D337" s="71">
        <v>0.57999999999999996</v>
      </c>
      <c r="E337" s="71">
        <v>6.5038973999999991E-3</v>
      </c>
      <c r="F337" s="71">
        <v>23.622729268267591</v>
      </c>
      <c r="G337" s="71">
        <v>2.9528411585334489</v>
      </c>
      <c r="H337" s="71">
        <v>11.811364634133795</v>
      </c>
      <c r="I337">
        <f>-B337/B330*LN(B337/B330)</f>
        <v>6.3479617303430685E-2</v>
      </c>
    </row>
    <row r="338" spans="1:9">
      <c r="A338" s="73" t="s">
        <v>96</v>
      </c>
      <c r="B338" s="71">
        <v>1</v>
      </c>
      <c r="C338" s="78">
        <v>8.0515297906602254E-4</v>
      </c>
      <c r="D338" s="71">
        <v>0.48</v>
      </c>
      <c r="E338" s="71">
        <v>8.8668518400000007E-2</v>
      </c>
      <c r="F338" s="71">
        <v>382.32629271522228</v>
      </c>
      <c r="G338" s="71">
        <v>47.790786589402785</v>
      </c>
      <c r="H338" s="71">
        <v>191.16314635761114</v>
      </c>
      <c r="I338">
        <f>-B338/B330*LN(B338/B330)</f>
        <v>6.3479617303430685E-2</v>
      </c>
    </row>
    <row r="339" spans="1:9">
      <c r="A339" s="73" t="s">
        <v>78</v>
      </c>
      <c r="B339" s="71">
        <v>1</v>
      </c>
      <c r="C339" s="78">
        <v>8.0515297906602254E-4</v>
      </c>
      <c r="D339" s="71">
        <v>0.64</v>
      </c>
      <c r="E339" s="71">
        <v>6.3617400000000003E-3</v>
      </c>
      <c r="F339" s="71">
        <v>26.397769735748003</v>
      </c>
      <c r="G339" s="71">
        <v>3.2997212169685004</v>
      </c>
      <c r="H339" s="71">
        <v>13.198884867874002</v>
      </c>
      <c r="I339">
        <f>-B339/B330*LN(B339/B330)</f>
        <v>6.3479617303430685E-2</v>
      </c>
    </row>
    <row r="340" spans="1:9">
      <c r="A340" s="73" t="s">
        <v>36</v>
      </c>
      <c r="B340" s="71">
        <v>17</v>
      </c>
      <c r="C340" s="78">
        <v>1.3687600644122383E-2</v>
      </c>
      <c r="D340" s="71">
        <v>0.4800000000000002</v>
      </c>
      <c r="E340" s="71">
        <v>0.69574266299999998</v>
      </c>
      <c r="F340" s="71">
        <v>1877.3148589040893</v>
      </c>
      <c r="G340" s="71">
        <v>234.66435736301116</v>
      </c>
      <c r="H340" s="71">
        <v>938.65742945204465</v>
      </c>
      <c r="I340">
        <f>-B340/B330*LN(B340/B330)</f>
        <v>0.34938642068929637</v>
      </c>
    </row>
    <row r="341" spans="1:9">
      <c r="A341" s="73" t="s">
        <v>133</v>
      </c>
      <c r="B341" s="71">
        <v>1</v>
      </c>
      <c r="C341" s="78">
        <v>8.0515297906602254E-4</v>
      </c>
      <c r="D341" s="71">
        <v>0.57999999999999996</v>
      </c>
      <c r="E341" s="71">
        <v>3.8484600000000002E-3</v>
      </c>
      <c r="F341" s="71">
        <v>10.972592027401504</v>
      </c>
      <c r="G341" s="71">
        <v>1.371574003425188</v>
      </c>
      <c r="H341" s="71">
        <v>5.4862960137007519</v>
      </c>
      <c r="I341">
        <f>-B341/B330*LN(B341/B330)</f>
        <v>6.3479617303430685E-2</v>
      </c>
    </row>
    <row r="342" spans="1:9">
      <c r="A342" s="72">
        <v>300.10000000000002</v>
      </c>
      <c r="B342" s="71">
        <v>61</v>
      </c>
      <c r="C342" s="78">
        <v>4.9114331723027378E-2</v>
      </c>
      <c r="D342" s="71">
        <v>0.52663934426229519</v>
      </c>
      <c r="E342" s="71">
        <v>1.5280459655999998</v>
      </c>
      <c r="F342" s="71">
        <v>5103.4582893575034</v>
      </c>
      <c r="G342" s="71">
        <v>637.93228616968793</v>
      </c>
      <c r="H342" s="71">
        <v>2551.7291446787517</v>
      </c>
      <c r="I342" s="74">
        <f>SUM(I343:I354)</f>
        <v>1.893336751506137</v>
      </c>
    </row>
    <row r="343" spans="1:9">
      <c r="A343" s="73" t="s">
        <v>231</v>
      </c>
      <c r="B343" s="71">
        <v>13</v>
      </c>
      <c r="C343" s="78">
        <v>1.0466988727858293E-2</v>
      </c>
      <c r="D343" s="71">
        <v>0.57999999999999996</v>
      </c>
      <c r="E343" s="71">
        <v>0.25001402580000004</v>
      </c>
      <c r="F343" s="71">
        <v>889.62011041660674</v>
      </c>
      <c r="G343" s="71">
        <v>111.20251380207584</v>
      </c>
      <c r="H343" s="71">
        <v>444.81005520830337</v>
      </c>
      <c r="I343">
        <f>-B343/B342*LN(B343/B342)</f>
        <v>0.32945932110250931</v>
      </c>
    </row>
    <row r="344" spans="1:9">
      <c r="A344" s="73" t="s">
        <v>252</v>
      </c>
      <c r="B344" s="71">
        <v>1</v>
      </c>
      <c r="C344" s="78">
        <v>8.0515297906602254E-4</v>
      </c>
      <c r="D344" s="71">
        <v>0.54</v>
      </c>
      <c r="E344" s="71">
        <v>2.8274400000000001E-3</v>
      </c>
      <c r="F344" s="71">
        <v>7.3259722463303119</v>
      </c>
      <c r="G344" s="71">
        <v>0.91574653079128898</v>
      </c>
      <c r="H344" s="71">
        <v>3.6629861231651559</v>
      </c>
      <c r="I344">
        <f>-B344/B342*LN(B344/B342)</f>
        <v>6.7391374822513297E-2</v>
      </c>
    </row>
    <row r="345" spans="1:9">
      <c r="A345" s="73" t="s">
        <v>139</v>
      </c>
      <c r="B345" s="71">
        <v>1</v>
      </c>
      <c r="C345" s="78">
        <v>8.0515297906602254E-4</v>
      </c>
      <c r="D345" s="71">
        <v>0.57999999999999996</v>
      </c>
      <c r="E345" s="71">
        <v>6.2211534000000011E-3</v>
      </c>
      <c r="F345" s="71">
        <v>28.567401258259174</v>
      </c>
      <c r="G345" s="71">
        <v>3.5709251572823968</v>
      </c>
      <c r="H345" s="71">
        <v>14.283700629129587</v>
      </c>
      <c r="I345">
        <f>-B345/B342*LN(B345/B342)</f>
        <v>6.7391374822513297E-2</v>
      </c>
    </row>
    <row r="346" spans="1:9">
      <c r="A346" s="73" t="s">
        <v>131</v>
      </c>
      <c r="B346" s="71">
        <v>21</v>
      </c>
      <c r="C346" s="78">
        <v>1.6908212560386472E-2</v>
      </c>
      <c r="D346" s="71">
        <v>0.56000000000000028</v>
      </c>
      <c r="E346" s="71">
        <v>0.33298839419999998</v>
      </c>
      <c r="F346" s="71">
        <v>1490.6492048317402</v>
      </c>
      <c r="G346" s="71">
        <v>186.33115060396753</v>
      </c>
      <c r="H346" s="71">
        <v>745.32460241587012</v>
      </c>
      <c r="I346">
        <f>-B346/B342*LN(B346/B342)</f>
        <v>0.36710458943356811</v>
      </c>
    </row>
    <row r="347" spans="1:9">
      <c r="A347" s="73" t="s">
        <v>135</v>
      </c>
      <c r="B347" s="71">
        <v>1</v>
      </c>
      <c r="C347" s="78">
        <v>8.0515297906602254E-4</v>
      </c>
      <c r="D347" s="71">
        <v>0.38</v>
      </c>
      <c r="E347" s="71">
        <v>2.5517646000000004E-3</v>
      </c>
      <c r="F347" s="71">
        <v>4.3487338056695588</v>
      </c>
      <c r="G347" s="71">
        <v>0.54359172570869485</v>
      </c>
      <c r="H347" s="71">
        <v>2.1743669028347794</v>
      </c>
      <c r="I347">
        <f>-B347/B342*LN(B347/B342)</f>
        <v>6.7391374822513297E-2</v>
      </c>
    </row>
    <row r="348" spans="1:9">
      <c r="A348" s="73" t="s">
        <v>54</v>
      </c>
      <c r="B348" s="71">
        <v>1</v>
      </c>
      <c r="C348" s="78">
        <v>8.0515297906602254E-4</v>
      </c>
      <c r="D348" s="71">
        <v>0.315</v>
      </c>
      <c r="E348" s="71">
        <v>1.2271875E-2</v>
      </c>
      <c r="F348" s="71">
        <v>22.777149742085982</v>
      </c>
      <c r="G348" s="71">
        <v>2.8471437177607477</v>
      </c>
      <c r="H348" s="71">
        <v>11.388574871042991</v>
      </c>
      <c r="I348">
        <f>-B348/B342*LN(B348/B342)</f>
        <v>6.7391374822513297E-2</v>
      </c>
    </row>
    <row r="349" spans="1:9">
      <c r="A349" s="73" t="s">
        <v>107</v>
      </c>
      <c r="B349" s="71">
        <v>2</v>
      </c>
      <c r="C349" s="78">
        <v>1.6103059581320451E-3</v>
      </c>
      <c r="D349" s="71">
        <v>0.57999999999999996</v>
      </c>
      <c r="E349" s="71">
        <v>2.0238972599999999E-2</v>
      </c>
      <c r="F349" s="71">
        <v>68.81432434791671</v>
      </c>
      <c r="G349" s="71">
        <v>8.6017905434895887</v>
      </c>
      <c r="H349" s="71">
        <v>34.407162173958355</v>
      </c>
      <c r="I349">
        <f>-B349/B342*LN(B349/B342)</f>
        <v>0.11205661257748742</v>
      </c>
    </row>
    <row r="350" spans="1:9">
      <c r="A350" s="73" t="s">
        <v>96</v>
      </c>
      <c r="B350" s="71">
        <v>2</v>
      </c>
      <c r="C350" s="78">
        <v>1.6103059581320451E-3</v>
      </c>
      <c r="D350" s="71">
        <v>0.48</v>
      </c>
      <c r="E350" s="71">
        <v>5.8494235799999995E-2</v>
      </c>
      <c r="F350" s="71">
        <v>337.93367292525187</v>
      </c>
      <c r="G350" s="71">
        <v>42.241709115656484</v>
      </c>
      <c r="H350" s="71">
        <v>168.96683646262593</v>
      </c>
      <c r="I350">
        <f>-B350/B342*LN(B350/B342)</f>
        <v>0.11205661257748742</v>
      </c>
    </row>
    <row r="351" spans="1:9">
      <c r="A351" s="73" t="s">
        <v>39</v>
      </c>
      <c r="B351" s="71">
        <v>4</v>
      </c>
      <c r="C351" s="78">
        <v>3.2206119162640902E-3</v>
      </c>
      <c r="D351" s="71">
        <v>0.37</v>
      </c>
      <c r="E351" s="71">
        <v>6.4888962599999989E-2</v>
      </c>
      <c r="F351" s="71">
        <v>193.09326507146483</v>
      </c>
      <c r="G351" s="71">
        <v>24.136658133933103</v>
      </c>
      <c r="H351" s="71">
        <v>96.546632535732414</v>
      </c>
      <c r="I351">
        <f>-B351/B342*LN(B351/B342)</f>
        <v>0.17866095101989643</v>
      </c>
    </row>
    <row r="352" spans="1:9">
      <c r="A352" s="73" t="s">
        <v>122</v>
      </c>
      <c r="B352" s="71">
        <v>1</v>
      </c>
      <c r="C352" s="78">
        <v>8.0515297906602254E-4</v>
      </c>
      <c r="D352" s="71">
        <v>0.69</v>
      </c>
      <c r="E352" s="71">
        <v>3.8484600000000002E-3</v>
      </c>
      <c r="F352" s="71">
        <v>8.8095737592114336</v>
      </c>
      <c r="G352" s="71">
        <v>1.1011967199014292</v>
      </c>
      <c r="H352" s="71">
        <v>4.4047868796057168</v>
      </c>
      <c r="I352">
        <f>-B352/B342*LN(B352/B342)</f>
        <v>6.7391374822513297E-2</v>
      </c>
    </row>
    <row r="353" spans="1:9">
      <c r="A353" s="73" t="s">
        <v>160</v>
      </c>
      <c r="B353" s="71">
        <v>3</v>
      </c>
      <c r="C353" s="78">
        <v>2.4154589371980675E-3</v>
      </c>
      <c r="D353" s="71">
        <v>0.48</v>
      </c>
      <c r="E353" s="71">
        <v>0.2899743924</v>
      </c>
      <c r="F353" s="71">
        <v>781.82447542552904</v>
      </c>
      <c r="G353" s="71">
        <v>97.728059428191131</v>
      </c>
      <c r="H353" s="71">
        <v>390.91223771276452</v>
      </c>
      <c r="I353">
        <f>-B353/B342*LN(B353/B342)</f>
        <v>0.14814401191009188</v>
      </c>
    </row>
    <row r="354" spans="1:9">
      <c r="A354" s="73" t="s">
        <v>36</v>
      </c>
      <c r="B354" s="71">
        <v>11</v>
      </c>
      <c r="C354" s="78">
        <v>8.8566827697262474E-3</v>
      </c>
      <c r="D354" s="71">
        <v>0.48000000000000009</v>
      </c>
      <c r="E354" s="71">
        <v>0.48372628919999994</v>
      </c>
      <c r="F354" s="71">
        <v>1269.6944055274375</v>
      </c>
      <c r="G354" s="71">
        <v>158.71180069092969</v>
      </c>
      <c r="H354" s="71">
        <v>634.84720276371877</v>
      </c>
      <c r="I354">
        <f>-B354/B342*LN(B354/B342)</f>
        <v>0.30889777877253027</v>
      </c>
    </row>
    <row r="355" spans="1:9">
      <c r="A355" s="72" t="s">
        <v>269</v>
      </c>
      <c r="B355" s="71">
        <v>1242</v>
      </c>
      <c r="C355" s="78">
        <v>1</v>
      </c>
      <c r="D355" s="71">
        <v>0.47731400966183674</v>
      </c>
      <c r="E355" s="71">
        <v>32.039366678549982</v>
      </c>
      <c r="F355" s="71">
        <v>115456.13152398926</v>
      </c>
      <c r="G355" s="71">
        <v>14432.016440498657</v>
      </c>
      <c r="H355" s="71">
        <v>57728.065761994629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topLeftCell="A23" workbookViewId="0">
      <selection activeCell="G2" sqref="G2"/>
    </sheetView>
  </sheetViews>
  <sheetFormatPr baseColWidth="10" defaultRowHeight="16"/>
  <cols>
    <col min="1" max="1" width="7.5" customWidth="1"/>
    <col min="3" max="3" width="14.33203125" bestFit="1" customWidth="1"/>
    <col min="4" max="4" width="26.83203125" bestFit="1" customWidth="1"/>
    <col min="5" max="5" width="22.1640625" bestFit="1" customWidth="1"/>
    <col min="6" max="6" width="21.1640625" customWidth="1"/>
    <col min="7" max="7" width="22.6640625" bestFit="1" customWidth="1"/>
    <col min="8" max="8" width="20.1640625" customWidth="1"/>
    <col min="9" max="9" width="14" bestFit="1" customWidth="1"/>
    <col min="10" max="10" width="3.33203125" customWidth="1"/>
  </cols>
  <sheetData>
    <row r="1" spans="1:10">
      <c r="A1" s="2" t="s">
        <v>293</v>
      </c>
      <c r="B1" s="2" t="s">
        <v>295</v>
      </c>
      <c r="C1" s="2" t="s">
        <v>305</v>
      </c>
      <c r="D1" s="2" t="s">
        <v>294</v>
      </c>
      <c r="E1" s="81" t="s">
        <v>273</v>
      </c>
      <c r="F1" s="82" t="s">
        <v>296</v>
      </c>
      <c r="G1" s="81" t="s">
        <v>274</v>
      </c>
      <c r="H1" s="2" t="s">
        <v>297</v>
      </c>
      <c r="I1" s="2" t="s">
        <v>303</v>
      </c>
      <c r="J1" s="2" t="s">
        <v>304</v>
      </c>
    </row>
    <row r="2" spans="1:10">
      <c r="A2">
        <v>50.1</v>
      </c>
      <c r="B2">
        <v>50</v>
      </c>
      <c r="C2" s="83">
        <v>6.6106233999999997</v>
      </c>
      <c r="D2">
        <v>0.97644283197088477</v>
      </c>
      <c r="E2">
        <v>4557.4042380590863</v>
      </c>
      <c r="F2">
        <f>E2/C2</f>
        <v>689.40612137413336</v>
      </c>
      <c r="G2">
        <v>2278.7021190295432</v>
      </c>
      <c r="H2">
        <f>G2/C2</f>
        <v>344.70306068706668</v>
      </c>
      <c r="I2">
        <v>82.32</v>
      </c>
      <c r="J2">
        <v>5.0236772720123444</v>
      </c>
    </row>
    <row r="3" spans="1:10">
      <c r="A3">
        <v>50.2</v>
      </c>
      <c r="B3">
        <v>50</v>
      </c>
      <c r="C3" s="83">
        <v>6.6106233999999997</v>
      </c>
      <c r="D3">
        <v>0.88481490183483147</v>
      </c>
      <c r="E3">
        <v>5189.4471522481072</v>
      </c>
      <c r="F3">
        <f t="shared" ref="F3:F30" si="0">E3/C3</f>
        <v>785.01630455126326</v>
      </c>
      <c r="G3">
        <v>2594.7235761240536</v>
      </c>
      <c r="H3">
        <f t="shared" ref="H3:H31" si="1">G3/C3</f>
        <v>392.50815227563163</v>
      </c>
      <c r="I3">
        <v>81.02000000000001</v>
      </c>
      <c r="J3">
        <v>4.6799999999999988</v>
      </c>
    </row>
    <row r="4" spans="1:10">
      <c r="A4">
        <v>50.3</v>
      </c>
      <c r="B4">
        <v>50</v>
      </c>
      <c r="C4" s="83">
        <v>6.6106233999999997</v>
      </c>
      <c r="D4">
        <v>1.4117191452723723</v>
      </c>
      <c r="E4">
        <v>4728.8306817644061</v>
      </c>
      <c r="F4">
        <f t="shared" si="0"/>
        <v>715.33808472048281</v>
      </c>
      <c r="G4">
        <v>2364.4153408822031</v>
      </c>
      <c r="H4">
        <f t="shared" si="1"/>
        <v>357.66904236024141</v>
      </c>
      <c r="I4">
        <v>86.74</v>
      </c>
      <c r="J4">
        <v>1.9686882265440928</v>
      </c>
    </row>
    <row r="5" spans="1:10">
      <c r="A5">
        <v>50.4</v>
      </c>
      <c r="B5">
        <v>50</v>
      </c>
      <c r="C5" s="83">
        <v>6.6106233999999997</v>
      </c>
      <c r="D5">
        <v>2.0029330185127732</v>
      </c>
      <c r="E5">
        <v>2178.5975831738442</v>
      </c>
      <c r="F5">
        <f t="shared" si="0"/>
        <v>329.56008100141423</v>
      </c>
      <c r="G5">
        <v>1089.2987915869221</v>
      </c>
      <c r="H5">
        <f t="shared" si="1"/>
        <v>164.78004050070712</v>
      </c>
      <c r="I5">
        <v>90.12</v>
      </c>
      <c r="J5">
        <v>3.6523599676556175</v>
      </c>
    </row>
    <row r="6" spans="1:10">
      <c r="A6">
        <v>50.5</v>
      </c>
      <c r="B6">
        <v>50</v>
      </c>
      <c r="C6" s="83">
        <v>6.6106233999999997</v>
      </c>
      <c r="D6">
        <v>1.1376543764378271</v>
      </c>
      <c r="E6">
        <v>4155.3006434213221</v>
      </c>
      <c r="F6">
        <f t="shared" si="0"/>
        <v>628.57924162210213</v>
      </c>
      <c r="G6">
        <v>2077.650321710661</v>
      </c>
      <c r="H6">
        <f t="shared" si="1"/>
        <v>314.28962081105107</v>
      </c>
      <c r="I6">
        <v>88.56</v>
      </c>
      <c r="J6">
        <v>4.8780323902163722</v>
      </c>
    </row>
    <row r="7" spans="1:10">
      <c r="A7">
        <v>50.6</v>
      </c>
      <c r="B7">
        <v>50</v>
      </c>
      <c r="C7" s="83">
        <v>6.6106233999999997</v>
      </c>
      <c r="D7">
        <v>1.8645678933706684</v>
      </c>
      <c r="E7">
        <v>2146.9140798595895</v>
      </c>
      <c r="F7">
        <f t="shared" si="0"/>
        <v>324.76726474232214</v>
      </c>
      <c r="G7">
        <v>1073.4570399297947</v>
      </c>
      <c r="H7">
        <f t="shared" si="1"/>
        <v>162.38363237116107</v>
      </c>
      <c r="I7">
        <v>94.28</v>
      </c>
      <c r="J7">
        <v>2.7515813635071731</v>
      </c>
    </row>
    <row r="8" spans="1:10">
      <c r="A8">
        <v>50.7</v>
      </c>
      <c r="B8">
        <v>50</v>
      </c>
      <c r="C8" s="83">
        <v>6.6106233999999997</v>
      </c>
      <c r="D8">
        <v>1.9452153363181501</v>
      </c>
      <c r="E8">
        <v>4306.8324348566866</v>
      </c>
      <c r="F8">
        <f t="shared" si="0"/>
        <v>651.50170782027715</v>
      </c>
      <c r="G8">
        <v>2153.4162174283433</v>
      </c>
      <c r="H8">
        <f t="shared" si="1"/>
        <v>325.75085391013857</v>
      </c>
      <c r="I8">
        <v>90.64</v>
      </c>
      <c r="J8">
        <v>5.6963145980537266</v>
      </c>
    </row>
    <row r="9" spans="1:10">
      <c r="A9">
        <v>50.8</v>
      </c>
      <c r="B9">
        <v>50</v>
      </c>
      <c r="C9" s="83">
        <v>6.6106233999999997</v>
      </c>
      <c r="D9">
        <v>2.1364102409235293</v>
      </c>
      <c r="E9">
        <v>2260.2263564866976</v>
      </c>
      <c r="F9">
        <f t="shared" si="0"/>
        <v>341.90820134855932</v>
      </c>
      <c r="G9">
        <v>1130.1131782433488</v>
      </c>
      <c r="H9">
        <f t="shared" si="1"/>
        <v>170.95410067427966</v>
      </c>
      <c r="I9">
        <v>95.580000000000013</v>
      </c>
      <c r="J9">
        <v>2.5999999999999979</v>
      </c>
    </row>
    <row r="10" spans="1:10">
      <c r="A10">
        <v>50.9</v>
      </c>
      <c r="B10">
        <v>50</v>
      </c>
      <c r="C10" s="83">
        <v>6.6106233999999997</v>
      </c>
      <c r="D10">
        <v>1.2443637276409636</v>
      </c>
      <c r="E10">
        <v>2903.8984638014517</v>
      </c>
      <c r="F10">
        <f t="shared" si="0"/>
        <v>439.27755191763788</v>
      </c>
      <c r="G10">
        <v>1451.9492319007259</v>
      </c>
      <c r="H10">
        <f t="shared" si="1"/>
        <v>219.63877595881894</v>
      </c>
      <c r="I10">
        <v>91.68</v>
      </c>
      <c r="J10">
        <v>1.470782104868021</v>
      </c>
    </row>
    <row r="11" spans="1:10">
      <c r="A11">
        <v>50.11</v>
      </c>
      <c r="B11">
        <v>50</v>
      </c>
      <c r="C11" s="83">
        <v>6.6106233999999997</v>
      </c>
      <c r="D11">
        <v>2.0361985943618315</v>
      </c>
      <c r="E11">
        <v>2764.9276870500053</v>
      </c>
      <c r="F11">
        <f t="shared" si="0"/>
        <v>418.25521130881629</v>
      </c>
      <c r="G11">
        <v>1382.4638435250026</v>
      </c>
      <c r="H11">
        <f t="shared" si="1"/>
        <v>209.12760565440814</v>
      </c>
      <c r="I11">
        <v>92.97999999999999</v>
      </c>
      <c r="J11">
        <v>3.9259139063407908</v>
      </c>
    </row>
    <row r="12" spans="1:10">
      <c r="A12">
        <v>100.1</v>
      </c>
      <c r="B12">
        <v>100</v>
      </c>
      <c r="C12" s="83">
        <v>5.0761911</v>
      </c>
      <c r="D12">
        <v>1.6481712729217348</v>
      </c>
      <c r="E12">
        <v>5017.6911952216078</v>
      </c>
      <c r="F12">
        <f t="shared" si="0"/>
        <v>988.47562993079748</v>
      </c>
      <c r="G12">
        <v>2508.8455976108039</v>
      </c>
      <c r="H12">
        <f t="shared" si="1"/>
        <v>494.23781496539874</v>
      </c>
      <c r="I12">
        <v>96.62</v>
      </c>
      <c r="J12">
        <v>4.0166984784355728</v>
      </c>
    </row>
    <row r="13" spans="1:10">
      <c r="A13">
        <v>100.2</v>
      </c>
      <c r="B13">
        <v>100</v>
      </c>
      <c r="C13" s="83">
        <v>5.0761911</v>
      </c>
      <c r="D13">
        <v>2.2251217743772616</v>
      </c>
      <c r="E13">
        <v>4382.9856032010275</v>
      </c>
      <c r="F13">
        <f t="shared" si="0"/>
        <v>863.43983448555105</v>
      </c>
      <c r="G13">
        <v>2191.4928016005138</v>
      </c>
      <c r="H13">
        <f t="shared" si="1"/>
        <v>431.71991724277552</v>
      </c>
      <c r="I13">
        <v>86.22</v>
      </c>
      <c r="J13">
        <v>2.73515386526365</v>
      </c>
    </row>
    <row r="14" spans="1:10">
      <c r="A14">
        <v>100.3</v>
      </c>
      <c r="B14">
        <v>100</v>
      </c>
      <c r="C14" s="83">
        <v>5.0761911</v>
      </c>
      <c r="D14" s="80">
        <v>1.8101595431530135</v>
      </c>
      <c r="E14">
        <v>3130.1909876836926</v>
      </c>
      <c r="F14">
        <f t="shared" si="0"/>
        <v>616.64167601643146</v>
      </c>
      <c r="G14">
        <v>1565.0954938418463</v>
      </c>
      <c r="H14">
        <f t="shared" si="1"/>
        <v>308.32083800821573</v>
      </c>
      <c r="I14">
        <v>91.94</v>
      </c>
      <c r="J14">
        <v>4.0166984784355755</v>
      </c>
    </row>
    <row r="15" spans="1:10">
      <c r="A15">
        <v>100.4</v>
      </c>
      <c r="B15">
        <v>100</v>
      </c>
      <c r="C15" s="83">
        <v>5.0761911</v>
      </c>
      <c r="D15" s="80">
        <v>2.2998833723166454</v>
      </c>
      <c r="E15">
        <v>2664.6619675177708</v>
      </c>
      <c r="F15">
        <f t="shared" si="0"/>
        <v>524.93334372651395</v>
      </c>
      <c r="G15">
        <v>1332.3309837588854</v>
      </c>
      <c r="H15">
        <f t="shared" si="1"/>
        <v>262.46667186325698</v>
      </c>
      <c r="I15">
        <v>78.94</v>
      </c>
      <c r="J15">
        <v>9.5836249231001602</v>
      </c>
    </row>
    <row r="16" spans="1:10">
      <c r="A16">
        <v>100.5</v>
      </c>
      <c r="B16">
        <v>100</v>
      </c>
      <c r="C16" s="83">
        <v>5.0761911</v>
      </c>
      <c r="D16">
        <v>2.2006900386021266</v>
      </c>
      <c r="E16">
        <v>1291.3367148140414</v>
      </c>
      <c r="F16">
        <f t="shared" si="0"/>
        <v>254.39087878587577</v>
      </c>
      <c r="G16">
        <v>645.66835740702072</v>
      </c>
      <c r="H16">
        <f t="shared" si="1"/>
        <v>127.19543939293789</v>
      </c>
      <c r="I16">
        <v>92.46</v>
      </c>
      <c r="J16">
        <v>1.5600000000000014</v>
      </c>
    </row>
    <row r="17" spans="1:10">
      <c r="A17">
        <v>100.6</v>
      </c>
      <c r="B17">
        <v>100</v>
      </c>
      <c r="C17" s="83">
        <v>5.0761911</v>
      </c>
      <c r="D17">
        <v>1.940637532359947</v>
      </c>
      <c r="E17">
        <v>2343.9611901684893</v>
      </c>
      <c r="F17">
        <f t="shared" si="0"/>
        <v>461.75590004255145</v>
      </c>
      <c r="G17">
        <v>1171.9805950842447</v>
      </c>
      <c r="H17">
        <f t="shared" si="1"/>
        <v>230.87795002127572</v>
      </c>
      <c r="I17">
        <v>90.9</v>
      </c>
      <c r="J17">
        <v>2.1440149253211849</v>
      </c>
    </row>
    <row r="18" spans="1:10">
      <c r="A18">
        <v>100.7</v>
      </c>
      <c r="B18">
        <v>100</v>
      </c>
      <c r="C18" s="83">
        <v>5.0761911</v>
      </c>
      <c r="D18">
        <v>1.8138821146629427</v>
      </c>
      <c r="E18">
        <v>1376.5050201730783</v>
      </c>
      <c r="F18">
        <f t="shared" si="0"/>
        <v>271.16887308932837</v>
      </c>
      <c r="G18">
        <v>688.25251008653913</v>
      </c>
      <c r="H18">
        <f t="shared" si="1"/>
        <v>135.58443654466419</v>
      </c>
      <c r="I18">
        <v>79.2</v>
      </c>
      <c r="J18">
        <v>12.451077597273789</v>
      </c>
    </row>
    <row r="19" spans="1:10">
      <c r="A19">
        <v>100.8</v>
      </c>
      <c r="B19">
        <v>100</v>
      </c>
      <c r="C19" s="83">
        <v>5.0761911</v>
      </c>
      <c r="D19">
        <v>1.6341389487315947</v>
      </c>
      <c r="E19">
        <v>5984.3234796862853</v>
      </c>
      <c r="F19">
        <f t="shared" si="0"/>
        <v>1178.900353000163</v>
      </c>
      <c r="G19">
        <v>2992.1617398431426</v>
      </c>
      <c r="H19">
        <f t="shared" si="1"/>
        <v>589.45017650008151</v>
      </c>
      <c r="I19">
        <v>84.920000000000016</v>
      </c>
      <c r="J19">
        <v>1.8013328398716297</v>
      </c>
    </row>
    <row r="20" spans="1:10">
      <c r="A20">
        <v>150.1</v>
      </c>
      <c r="B20">
        <v>150</v>
      </c>
      <c r="C20" s="83">
        <v>3.6064704000000001</v>
      </c>
      <c r="D20">
        <v>1.9325132406099399</v>
      </c>
      <c r="E20">
        <v>3299.9856160743211</v>
      </c>
      <c r="F20">
        <f t="shared" si="0"/>
        <v>915.01807863841645</v>
      </c>
      <c r="G20">
        <v>1649.9928080371606</v>
      </c>
      <c r="H20">
        <f t="shared" si="1"/>
        <v>457.50903931920823</v>
      </c>
      <c r="I20">
        <v>88.82</v>
      </c>
      <c r="J20">
        <v>5.2603168472377497</v>
      </c>
    </row>
    <row r="21" spans="1:10">
      <c r="A21">
        <v>150.19999999999999</v>
      </c>
      <c r="B21">
        <v>150</v>
      </c>
      <c r="C21" s="83">
        <v>3.6064704000000001</v>
      </c>
      <c r="D21">
        <v>3.8183032564532615</v>
      </c>
      <c r="E21">
        <v>9663.7389181722647</v>
      </c>
      <c r="F21">
        <f t="shared" si="0"/>
        <v>2679.5558666368825</v>
      </c>
      <c r="G21">
        <v>4831.8694590861323</v>
      </c>
      <c r="H21">
        <f t="shared" si="1"/>
        <v>1339.7779333184412</v>
      </c>
      <c r="I21">
        <v>96.100000000000009</v>
      </c>
      <c r="J21">
        <v>2.1440149253211831</v>
      </c>
    </row>
    <row r="22" spans="1:10">
      <c r="A22">
        <v>150.30000000000001</v>
      </c>
      <c r="B22">
        <v>150</v>
      </c>
      <c r="C22" s="83">
        <v>3.6064704000000001</v>
      </c>
      <c r="D22">
        <v>1.8736155810639648</v>
      </c>
      <c r="E22">
        <v>2615.4290277757432</v>
      </c>
      <c r="F22">
        <f t="shared" si="0"/>
        <v>725.20462881817718</v>
      </c>
      <c r="G22">
        <v>1307.7145138878716</v>
      </c>
      <c r="H22">
        <f t="shared" si="1"/>
        <v>362.60231440908859</v>
      </c>
      <c r="I22">
        <v>78.94</v>
      </c>
      <c r="J22">
        <v>5.1214060569339708</v>
      </c>
    </row>
    <row r="23" spans="1:10">
      <c r="A23">
        <v>150.4</v>
      </c>
      <c r="B23">
        <v>150</v>
      </c>
      <c r="C23" s="83">
        <v>3.6064704000000001</v>
      </c>
      <c r="D23">
        <v>2.2474961762404679</v>
      </c>
      <c r="E23">
        <v>7228.285627304107</v>
      </c>
      <c r="F23">
        <f t="shared" si="0"/>
        <v>2004.2548047265568</v>
      </c>
      <c r="G23">
        <v>3614.1428136520535</v>
      </c>
      <c r="H23">
        <f t="shared" si="1"/>
        <v>1002.1274023632784</v>
      </c>
      <c r="I23">
        <v>90.9</v>
      </c>
      <c r="J23">
        <v>3.1055219636426137</v>
      </c>
    </row>
    <row r="24" spans="1:10">
      <c r="A24">
        <v>150.5</v>
      </c>
      <c r="B24">
        <v>150</v>
      </c>
      <c r="C24" s="83">
        <v>3.6064704000000001</v>
      </c>
      <c r="D24">
        <v>2.3685197174185122</v>
      </c>
      <c r="E24">
        <v>1901.0252091573216</v>
      </c>
      <c r="F24">
        <f t="shared" si="0"/>
        <v>527.11515645804866</v>
      </c>
      <c r="G24">
        <v>950.51260457866078</v>
      </c>
      <c r="H24">
        <f t="shared" si="1"/>
        <v>263.55757822902433</v>
      </c>
      <c r="I24">
        <v>78.16</v>
      </c>
      <c r="J24">
        <v>5.023677272012339</v>
      </c>
    </row>
    <row r="25" spans="1:10">
      <c r="A25">
        <v>200.1</v>
      </c>
      <c r="B25">
        <v>200</v>
      </c>
      <c r="C25" s="83">
        <v>2.6241968</v>
      </c>
      <c r="D25">
        <v>2.0057235787339511</v>
      </c>
      <c r="E25">
        <v>2810.6358411930764</v>
      </c>
      <c r="F25">
        <f t="shared" si="0"/>
        <v>1071.0461354091569</v>
      </c>
      <c r="G25">
        <v>1405.3179205965382</v>
      </c>
      <c r="H25">
        <f t="shared" si="1"/>
        <v>535.52306770457847</v>
      </c>
      <c r="I25">
        <v>86.740000000000009</v>
      </c>
      <c r="J25">
        <v>6.0864439535742063</v>
      </c>
    </row>
    <row r="26" spans="1:10">
      <c r="A26">
        <v>200.2</v>
      </c>
      <c r="B26">
        <v>200</v>
      </c>
      <c r="C26" s="83">
        <v>2.6241968</v>
      </c>
      <c r="D26">
        <v>1.9565591430923481</v>
      </c>
      <c r="E26">
        <v>4280.3394860265043</v>
      </c>
      <c r="F26">
        <f t="shared" si="0"/>
        <v>1631.1046054268888</v>
      </c>
      <c r="G26">
        <v>2140.1697430132522</v>
      </c>
      <c r="H26">
        <f t="shared" si="1"/>
        <v>815.55230271344442</v>
      </c>
      <c r="I26">
        <v>91.16</v>
      </c>
      <c r="J26">
        <v>2.7515813635071771</v>
      </c>
    </row>
    <row r="27" spans="1:10">
      <c r="A27">
        <v>200.3</v>
      </c>
      <c r="B27">
        <v>200</v>
      </c>
      <c r="C27" s="83">
        <v>2.6241968</v>
      </c>
      <c r="D27">
        <v>2.0318963538801471</v>
      </c>
      <c r="E27">
        <v>4568.3939504172004</v>
      </c>
      <c r="F27">
        <f t="shared" si="0"/>
        <v>1740.8732265877318</v>
      </c>
      <c r="G27">
        <v>2284.1969752086002</v>
      </c>
      <c r="H27">
        <f t="shared" si="1"/>
        <v>870.43661329386589</v>
      </c>
      <c r="I27">
        <v>89.08</v>
      </c>
      <c r="J27">
        <v>6.4390475486156609</v>
      </c>
    </row>
    <row r="28" spans="1:10">
      <c r="A28">
        <v>200.4</v>
      </c>
      <c r="B28">
        <v>200</v>
      </c>
      <c r="C28" s="83">
        <v>2.6241968</v>
      </c>
      <c r="D28">
        <v>2.3329425695312169</v>
      </c>
      <c r="E28">
        <v>4858.8429229218264</v>
      </c>
      <c r="F28">
        <f t="shared" si="0"/>
        <v>1851.554320515072</v>
      </c>
      <c r="G28">
        <v>2429.4214614609132</v>
      </c>
      <c r="H28">
        <f t="shared" si="1"/>
        <v>925.77716025753602</v>
      </c>
      <c r="I28">
        <v>93.240000000000009</v>
      </c>
      <c r="J28">
        <v>1.8013328398716324</v>
      </c>
    </row>
    <row r="29" spans="1:10">
      <c r="A29">
        <v>250.1</v>
      </c>
      <c r="B29">
        <v>250</v>
      </c>
      <c r="C29" s="83">
        <v>1.4348586999999999</v>
      </c>
      <c r="D29">
        <v>1.9375256321309355</v>
      </c>
      <c r="E29">
        <v>2799.3822841326937</v>
      </c>
      <c r="F29">
        <f t="shared" si="0"/>
        <v>1950.9811552403689</v>
      </c>
      <c r="G29">
        <v>1399.6911420663469</v>
      </c>
      <c r="H29">
        <f t="shared" si="1"/>
        <v>975.49057762018447</v>
      </c>
      <c r="I29">
        <v>95.06</v>
      </c>
      <c r="J29">
        <v>2.7351538652636469</v>
      </c>
    </row>
    <row r="30" spans="1:10">
      <c r="A30">
        <v>250.2</v>
      </c>
      <c r="B30">
        <v>250</v>
      </c>
      <c r="C30" s="83">
        <v>1.4348586999999999</v>
      </c>
      <c r="D30">
        <v>1.7359713840105857</v>
      </c>
      <c r="E30">
        <v>4942.5788722694379</v>
      </c>
      <c r="F30">
        <f t="shared" si="0"/>
        <v>3444.6450178470104</v>
      </c>
      <c r="G30">
        <v>2471.2894361347189</v>
      </c>
      <c r="H30">
        <f t="shared" si="1"/>
        <v>1722.3225089235052</v>
      </c>
      <c r="I30">
        <v>87.52</v>
      </c>
      <c r="J30">
        <v>3.5011617119655218</v>
      </c>
    </row>
    <row r="31" spans="1:10">
      <c r="A31">
        <v>300.10000000000002</v>
      </c>
      <c r="B31">
        <v>300</v>
      </c>
      <c r="C31" s="83">
        <v>0.15034520000000001</v>
      </c>
      <c r="D31">
        <v>1.893336751506137</v>
      </c>
      <c r="E31">
        <v>5103.4582893575034</v>
      </c>
      <c r="F31">
        <f>E31/C31</f>
        <v>33944.936648177012</v>
      </c>
      <c r="G31">
        <v>2551.7291446787517</v>
      </c>
      <c r="H31">
        <f t="shared" si="1"/>
        <v>16972.468324088506</v>
      </c>
      <c r="I31">
        <v>85.7</v>
      </c>
      <c r="J31">
        <v>4.0166984784355755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carbono julio 2013</vt:lpstr>
      <vt:lpstr>luz docel julio 2013</vt:lpstr>
      <vt:lpstr>resumen parcelas agosto 2013</vt:lpstr>
      <vt:lpstr>anal. especies osa agosto 2013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Medina</dc:creator>
  <cp:lastModifiedBy>Medina, Nicholas</cp:lastModifiedBy>
  <dcterms:created xsi:type="dcterms:W3CDTF">2013-06-16T21:49:28Z</dcterms:created>
  <dcterms:modified xsi:type="dcterms:W3CDTF">2019-01-06T03:48:34Z</dcterms:modified>
</cp:coreProperties>
</file>