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st Track\1st\Prester\"/>
    </mc:Choice>
  </mc:AlternateContent>
  <xr:revisionPtr revIDLastSave="0" documentId="13_ncr:1_{309357A0-8E64-4E18-A571-6D5A50423F27}" xr6:coauthVersionLast="45" xr6:coauthVersionMax="45" xr10:uidLastSave="{00000000-0000-0000-0000-000000000000}"/>
  <bookViews>
    <workbookView xWindow="-120" yWindow="-120" windowWidth="20730" windowHeight="11760" activeTab="6" xr2:uid="{00000000-000D-0000-FFFF-FFFF00000000}"/>
  </bookViews>
  <sheets>
    <sheet name="foilmod" sheetId="1" r:id="rId1"/>
    <sheet name="Datcom_input" sheetId="2" r:id="rId2"/>
    <sheet name="49_point" sheetId="3" r:id="rId3"/>
    <sheet name="Body Coordinate" sheetId="5" r:id="rId4"/>
    <sheet name="Sheet3" sheetId="4" r:id="rId5"/>
    <sheet name="FLAP" sheetId="9" r:id="rId6"/>
    <sheet name="Engine_PW308C" sheetId="6" r:id="rId7"/>
    <sheet name="Sheet2" sheetId="8" r:id="rId8"/>
    <sheet name="AERODYNAMIC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" i="10" l="1"/>
  <c r="Q12" i="10"/>
  <c r="C65" i="10"/>
  <c r="E25" i="5" l="1"/>
  <c r="J6" i="5"/>
  <c r="B30" i="6" l="1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17" i="6"/>
  <c r="B95" i="6"/>
  <c r="B73" i="6"/>
  <c r="B51" i="6"/>
  <c r="B29" i="6"/>
  <c r="E32" i="6" l="1"/>
  <c r="F32" i="6" s="1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89" i="10"/>
  <c r="D90" i="10"/>
  <c r="D91" i="10"/>
  <c r="D92" i="10"/>
  <c r="D93" i="10"/>
  <c r="G93" i="10" s="1"/>
  <c r="D94" i="10"/>
  <c r="D95" i="10"/>
  <c r="G95" i="10" s="1"/>
  <c r="D96" i="10"/>
  <c r="D97" i="10"/>
  <c r="G97" i="10" s="1"/>
  <c r="D98" i="10"/>
  <c r="D99" i="10"/>
  <c r="D100" i="10"/>
  <c r="D101" i="10"/>
  <c r="G101" i="10" s="1"/>
  <c r="D102" i="10"/>
  <c r="D103" i="10"/>
  <c r="D104" i="10"/>
  <c r="D105" i="10"/>
  <c r="D106" i="10"/>
  <c r="D107" i="10"/>
  <c r="D108" i="10"/>
  <c r="D89" i="10"/>
  <c r="C90" i="10"/>
  <c r="C91" i="10"/>
  <c r="G91" i="10" s="1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G107" i="10" s="1"/>
  <c r="C108" i="10"/>
  <c r="C89" i="10"/>
  <c r="G99" i="10"/>
  <c r="G105" i="10"/>
  <c r="G106" i="10"/>
  <c r="G103" i="10"/>
  <c r="G102" i="10"/>
  <c r="G98" i="10"/>
  <c r="G94" i="10"/>
  <c r="G90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Z38" i="10"/>
  <c r="G89" i="10" l="1"/>
  <c r="G92" i="10"/>
  <c r="G96" i="10"/>
  <c r="G100" i="10"/>
  <c r="G104" i="10"/>
  <c r="G108" i="10"/>
  <c r="S25" i="6"/>
  <c r="S26" i="6"/>
  <c r="S27" i="6"/>
  <c r="S28" i="6"/>
  <c r="S29" i="6"/>
  <c r="S30" i="6"/>
  <c r="S31" i="6"/>
  <c r="S24" i="6"/>
  <c r="S37" i="6"/>
  <c r="S38" i="6"/>
  <c r="S39" i="6"/>
  <c r="S40" i="6"/>
  <c r="S41" i="6"/>
  <c r="S42" i="6"/>
  <c r="S43" i="6"/>
  <c r="S36" i="6"/>
  <c r="C74" i="6"/>
  <c r="C75" i="6"/>
  <c r="C77" i="6"/>
  <c r="C78" i="6"/>
  <c r="C79" i="6"/>
  <c r="C81" i="6"/>
  <c r="C82" i="6"/>
  <c r="C83" i="6"/>
  <c r="C85" i="6"/>
  <c r="C86" i="6"/>
  <c r="C87" i="6"/>
  <c r="C89" i="6"/>
  <c r="C90" i="6"/>
  <c r="C91" i="6"/>
  <c r="C73" i="6"/>
  <c r="C118" i="6"/>
  <c r="C122" i="6"/>
  <c r="C126" i="6"/>
  <c r="C130" i="6"/>
  <c r="C134" i="6"/>
  <c r="H115" i="6"/>
  <c r="C119" i="6" s="1"/>
  <c r="H93" i="6"/>
  <c r="C105" i="6" s="1"/>
  <c r="H71" i="6"/>
  <c r="C76" i="6" s="1"/>
  <c r="H49" i="6"/>
  <c r="C59" i="6" s="1"/>
  <c r="E27" i="6"/>
  <c r="E25" i="6"/>
  <c r="Q4" i="6"/>
  <c r="E49" i="6" s="1"/>
  <c r="C97" i="6" l="1"/>
  <c r="C133" i="6"/>
  <c r="C129" i="6"/>
  <c r="C125" i="6"/>
  <c r="C121" i="6"/>
  <c r="C113" i="6"/>
  <c r="C117" i="6"/>
  <c r="C132" i="6"/>
  <c r="C128" i="6"/>
  <c r="C124" i="6"/>
  <c r="C120" i="6"/>
  <c r="C109" i="6"/>
  <c r="C67" i="6"/>
  <c r="C135" i="6"/>
  <c r="C131" i="6"/>
  <c r="C127" i="6"/>
  <c r="C123" i="6"/>
  <c r="C88" i="6"/>
  <c r="C84" i="6"/>
  <c r="C80" i="6"/>
  <c r="C51" i="6"/>
  <c r="C52" i="6"/>
  <c r="C54" i="6"/>
  <c r="C56" i="6"/>
  <c r="C58" i="6"/>
  <c r="C60" i="6"/>
  <c r="C62" i="6"/>
  <c r="C64" i="6"/>
  <c r="C66" i="6"/>
  <c r="C68" i="6"/>
  <c r="C95" i="6"/>
  <c r="C96" i="6"/>
  <c r="C98" i="6"/>
  <c r="C100" i="6"/>
  <c r="C102" i="6"/>
  <c r="C104" i="6"/>
  <c r="C106" i="6"/>
  <c r="C108" i="6"/>
  <c r="C110" i="6"/>
  <c r="C112" i="6"/>
  <c r="C103" i="6"/>
  <c r="C65" i="6"/>
  <c r="C57" i="6"/>
  <c r="Q5" i="6"/>
  <c r="C111" i="6"/>
  <c r="C107" i="6"/>
  <c r="C101" i="6"/>
  <c r="C63" i="6"/>
  <c r="C55" i="6"/>
  <c r="C99" i="6"/>
  <c r="C69" i="6"/>
  <c r="C61" i="6"/>
  <c r="C53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29" i="6"/>
  <c r="F27" i="8"/>
  <c r="E26" i="8"/>
  <c r="F26" i="8" s="1"/>
  <c r="C24" i="8"/>
  <c r="D26" i="8"/>
  <c r="D7" i="8"/>
  <c r="C26" i="8"/>
  <c r="N45" i="4"/>
  <c r="O45" i="4" s="1"/>
  <c r="A25" i="8"/>
  <c r="Q6" i="6" l="1"/>
  <c r="E71" i="6"/>
  <c r="B49" i="9" a="1"/>
  <c r="B49" i="9" s="1"/>
  <c r="F49" i="9" a="1"/>
  <c r="F49" i="9"/>
  <c r="B33" i="9" a="1"/>
  <c r="B33" i="9" s="1"/>
  <c r="F33" i="9" a="1"/>
  <c r="F33" i="9"/>
  <c r="G8" i="8"/>
  <c r="G7" i="8"/>
  <c r="C16" i="8"/>
  <c r="C17" i="8" s="1"/>
  <c r="C18" i="8" s="1"/>
  <c r="C19" i="8" s="1"/>
  <c r="C20" i="8" s="1"/>
  <c r="C21" i="8" s="1"/>
  <c r="C22" i="8" s="1"/>
  <c r="C15" i="8"/>
  <c r="C13" i="8"/>
  <c r="D13" i="8" s="1"/>
  <c r="E13" i="8" s="1"/>
  <c r="B13" i="8"/>
  <c r="A22" i="8"/>
  <c r="A16" i="8"/>
  <c r="A17" i="8" s="1"/>
  <c r="A18" i="8" s="1"/>
  <c r="A19" i="8" s="1"/>
  <c r="A20" i="8" s="1"/>
  <c r="A21" i="8" s="1"/>
  <c r="A15" i="8"/>
  <c r="E12" i="8"/>
  <c r="D12" i="8"/>
  <c r="C12" i="8"/>
  <c r="B12" i="8"/>
  <c r="F8" i="8"/>
  <c r="F7" i="8"/>
  <c r="P44" i="4"/>
  <c r="E8" i="8"/>
  <c r="E7" i="8"/>
  <c r="D8" i="8"/>
  <c r="C8" i="8"/>
  <c r="C7" i="8"/>
  <c r="C6" i="8"/>
  <c r="N43" i="4"/>
  <c r="O43" i="4"/>
  <c r="O42" i="4"/>
  <c r="N41" i="4"/>
  <c r="N42" i="4"/>
  <c r="B17" i="9" a="1"/>
  <c r="B17" i="9" s="1"/>
  <c r="F17" i="9" a="1"/>
  <c r="F17" i="9" s="1"/>
  <c r="Q7" i="6" l="1"/>
  <c r="E115" i="6" s="1"/>
  <c r="E93" i="6"/>
  <c r="J15" i="4"/>
  <c r="C2" i="6" l="1"/>
  <c r="D2" i="6"/>
  <c r="C3" i="6"/>
  <c r="D3" i="6" s="1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C20" i="6"/>
  <c r="C21" i="6"/>
  <c r="D21" i="6" s="1"/>
  <c r="B20" i="6"/>
  <c r="B21" i="6"/>
  <c r="B19" i="6"/>
  <c r="D19" i="6" s="1"/>
  <c r="B23" i="6"/>
  <c r="D20" i="6" l="1"/>
  <c r="L23" i="3"/>
  <c r="L22" i="3"/>
  <c r="R39" i="3"/>
  <c r="R41" i="3"/>
  <c r="R47" i="3"/>
  <c r="F38" i="5"/>
  <c r="C7" i="4"/>
  <c r="U36" i="5"/>
  <c r="F26" i="5"/>
  <c r="J18" i="5"/>
  <c r="M5" i="5"/>
  <c r="G35" i="5"/>
  <c r="V28" i="5"/>
  <c r="F34" i="5"/>
  <c r="F32" i="5"/>
  <c r="L5" i="5"/>
  <c r="I22" i="4"/>
  <c r="I19" i="4"/>
  <c r="J23" i="5"/>
  <c r="B44" i="5"/>
  <c r="B42" i="5"/>
  <c r="B40" i="5"/>
  <c r="F24" i="5"/>
  <c r="F18" i="5"/>
  <c r="F16" i="5"/>
  <c r="F10" i="5"/>
  <c r="F8" i="5"/>
  <c r="E5" i="5"/>
  <c r="F22" i="5"/>
  <c r="B2" i="5"/>
  <c r="J5" i="5" l="1"/>
  <c r="J13" i="5"/>
  <c r="J21" i="5"/>
  <c r="J7" i="5"/>
  <c r="J15" i="5"/>
  <c r="M44" i="5"/>
  <c r="M46" i="5"/>
  <c r="F6" i="5"/>
  <c r="J11" i="5"/>
  <c r="F14" i="5"/>
  <c r="J19" i="5"/>
  <c r="N46" i="5"/>
  <c r="L27" i="5"/>
  <c r="M32" i="5"/>
  <c r="M40" i="5"/>
  <c r="M30" i="5"/>
  <c r="E24" i="5"/>
  <c r="G23" i="5"/>
  <c r="O28" i="5" s="1"/>
  <c r="E22" i="5"/>
  <c r="G21" i="5"/>
  <c r="O30" i="5" s="1"/>
  <c r="E20" i="5"/>
  <c r="G19" i="5"/>
  <c r="O32" i="5" s="1"/>
  <c r="E18" i="5"/>
  <c r="G17" i="5"/>
  <c r="O34" i="5" s="1"/>
  <c r="E16" i="5"/>
  <c r="G15" i="5"/>
  <c r="O36" i="5" s="1"/>
  <c r="E14" i="5"/>
  <c r="G13" i="5"/>
  <c r="O38" i="5" s="1"/>
  <c r="E12" i="5"/>
  <c r="G11" i="5"/>
  <c r="O40" i="5" s="1"/>
  <c r="E10" i="5"/>
  <c r="G9" i="5"/>
  <c r="O42" i="5" s="1"/>
  <c r="E8" i="5"/>
  <c r="G7" i="5"/>
  <c r="O44" i="5" s="1"/>
  <c r="E6" i="5"/>
  <c r="G5" i="5"/>
  <c r="O46" i="5" s="1"/>
  <c r="B27" i="5"/>
  <c r="E23" i="5"/>
  <c r="E21" i="5"/>
  <c r="B35" i="5"/>
  <c r="J24" i="5"/>
  <c r="F23" i="5"/>
  <c r="J22" i="5"/>
  <c r="F21" i="5"/>
  <c r="J20" i="5"/>
  <c r="F19" i="5"/>
  <c r="F17" i="5"/>
  <c r="J16" i="5"/>
  <c r="F15" i="5"/>
  <c r="J14" i="5"/>
  <c r="F13" i="5"/>
  <c r="J12" i="5"/>
  <c r="F11" i="5"/>
  <c r="J10" i="5"/>
  <c r="F9" i="5"/>
  <c r="J8" i="5"/>
  <c r="F7" i="5"/>
  <c r="F5" i="5"/>
  <c r="B33" i="5"/>
  <c r="G24" i="5"/>
  <c r="O27" i="5" s="1"/>
  <c r="G22" i="5"/>
  <c r="O29" i="5" s="1"/>
  <c r="G20" i="5"/>
  <c r="O31" i="5" s="1"/>
  <c r="E19" i="5"/>
  <c r="G18" i="5"/>
  <c r="O33" i="5" s="1"/>
  <c r="E17" i="5"/>
  <c r="G16" i="5"/>
  <c r="O35" i="5" s="1"/>
  <c r="E15" i="5"/>
  <c r="G14" i="5"/>
  <c r="O37" i="5" s="1"/>
  <c r="E13" i="5"/>
  <c r="G12" i="5"/>
  <c r="O39" i="5" s="1"/>
  <c r="E11" i="5"/>
  <c r="G10" i="5"/>
  <c r="O41" i="5" s="1"/>
  <c r="E9" i="5"/>
  <c r="G8" i="5"/>
  <c r="O43" i="5" s="1"/>
  <c r="E7" i="5"/>
  <c r="G6" i="5"/>
  <c r="O45" i="5" s="1"/>
  <c r="J9" i="5"/>
  <c r="F12" i="5"/>
  <c r="J17" i="5"/>
  <c r="F20" i="5"/>
  <c r="M38" i="5"/>
  <c r="L16" i="5" l="1"/>
  <c r="M16" i="5" s="1"/>
  <c r="N42" i="5"/>
  <c r="L31" i="5"/>
  <c r="L35" i="5"/>
  <c r="N38" i="5"/>
  <c r="L39" i="5"/>
  <c r="N34" i="5"/>
  <c r="L22" i="5"/>
  <c r="M22" i="5" s="1"/>
  <c r="L20" i="5"/>
  <c r="M20" i="5" s="1"/>
  <c r="M42" i="5"/>
  <c r="M29" i="5"/>
  <c r="L7" i="5"/>
  <c r="M7" i="5" s="1"/>
  <c r="M33" i="5"/>
  <c r="L11" i="5"/>
  <c r="M11" i="5" s="1"/>
  <c r="L15" i="5"/>
  <c r="M15" i="5" s="1"/>
  <c r="M37" i="5"/>
  <c r="M41" i="5"/>
  <c r="L19" i="5"/>
  <c r="M19" i="5" s="1"/>
  <c r="M45" i="5"/>
  <c r="L23" i="5"/>
  <c r="M23" i="5" s="1"/>
  <c r="N30" i="5"/>
  <c r="L43" i="5"/>
  <c r="L28" i="5"/>
  <c r="N45" i="5"/>
  <c r="L32" i="5"/>
  <c r="N41" i="5"/>
  <c r="L36" i="5"/>
  <c r="N37" i="5"/>
  <c r="L40" i="5"/>
  <c r="N33" i="5"/>
  <c r="L44" i="5"/>
  <c r="N29" i="5"/>
  <c r="L6" i="5"/>
  <c r="M6" i="5" s="1"/>
  <c r="M28" i="5"/>
  <c r="L29" i="5"/>
  <c r="N44" i="5"/>
  <c r="L37" i="5"/>
  <c r="N36" i="5"/>
  <c r="L45" i="5"/>
  <c r="N28" i="5"/>
  <c r="L24" i="5"/>
  <c r="M24" i="5" s="1"/>
  <c r="L18" i="5"/>
  <c r="M18" i="5" s="1"/>
  <c r="N40" i="5"/>
  <c r="L33" i="5"/>
  <c r="N32" i="5"/>
  <c r="L41" i="5"/>
  <c r="M34" i="5"/>
  <c r="L12" i="5"/>
  <c r="M12" i="5" s="1"/>
  <c r="M27" i="5"/>
  <c r="M31" i="5"/>
  <c r="L9" i="5"/>
  <c r="M9" i="5" s="1"/>
  <c r="L13" i="5"/>
  <c r="M13" i="5" s="1"/>
  <c r="M35" i="5"/>
  <c r="L17" i="5"/>
  <c r="M17" i="5" s="1"/>
  <c r="M39" i="5"/>
  <c r="L21" i="5"/>
  <c r="M21" i="5" s="1"/>
  <c r="M43" i="5"/>
  <c r="N43" i="5"/>
  <c r="L30" i="5"/>
  <c r="N39" i="5"/>
  <c r="L34" i="5"/>
  <c r="L38" i="5"/>
  <c r="N35" i="5"/>
  <c r="N31" i="5"/>
  <c r="L42" i="5"/>
  <c r="L46" i="5"/>
  <c r="N27" i="5"/>
  <c r="L8" i="5"/>
  <c r="M8" i="5" s="1"/>
  <c r="L10" i="5"/>
  <c r="M10" i="5" s="1"/>
  <c r="L14" i="5"/>
  <c r="M14" i="5" s="1"/>
  <c r="M36" i="5"/>
  <c r="G50" i="3" l="1"/>
  <c r="H15" i="3"/>
  <c r="I15" i="3"/>
  <c r="G15" i="3"/>
  <c r="H13" i="3"/>
  <c r="I13" i="3"/>
  <c r="G13" i="3"/>
  <c r="H12" i="3"/>
  <c r="I12" i="3"/>
  <c r="G12" i="3"/>
  <c r="I2" i="3"/>
  <c r="I3" i="3"/>
  <c r="I4" i="3"/>
  <c r="I5" i="3"/>
  <c r="I6" i="3"/>
  <c r="I7" i="3"/>
  <c r="I8" i="3"/>
  <c r="I9" i="3"/>
  <c r="I10" i="3"/>
  <c r="I11" i="3"/>
  <c r="I14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G16" i="3"/>
  <c r="H16" i="3"/>
  <c r="H29" i="3"/>
  <c r="H30" i="3"/>
  <c r="G30" i="3"/>
  <c r="G29" i="3"/>
  <c r="H28" i="3"/>
  <c r="G28" i="3"/>
  <c r="H27" i="3"/>
  <c r="G27" i="3"/>
  <c r="H26" i="3"/>
  <c r="G26" i="3"/>
  <c r="H24" i="3"/>
  <c r="H25" i="3"/>
  <c r="G25" i="3"/>
  <c r="G24" i="3"/>
  <c r="H23" i="3"/>
  <c r="G23" i="3"/>
  <c r="H22" i="3"/>
  <c r="G22" i="3"/>
  <c r="H20" i="3"/>
  <c r="H21" i="3"/>
  <c r="G21" i="3"/>
  <c r="G20" i="3"/>
  <c r="H18" i="3"/>
  <c r="H19" i="3"/>
  <c r="G19" i="3"/>
  <c r="G18" i="3"/>
  <c r="H17" i="3"/>
  <c r="G17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H50" i="3"/>
  <c r="H14" i="3"/>
  <c r="G14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H2" i="3"/>
  <c r="G2" i="3"/>
  <c r="D2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16" i="2"/>
  <c r="C23" i="2"/>
  <c r="C22" i="2"/>
  <c r="C21" i="2"/>
  <c r="C20" i="2"/>
  <c r="C19" i="2"/>
  <c r="C18" i="2"/>
  <c r="C17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73" i="2"/>
  <c r="B72" i="2"/>
  <c r="B7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2" i="2"/>
  <c r="K142" i="1" l="1"/>
  <c r="K138" i="1"/>
  <c r="K134" i="1"/>
  <c r="K130" i="1"/>
  <c r="K126" i="1"/>
  <c r="K122" i="1"/>
  <c r="K118" i="1"/>
  <c r="K114" i="1"/>
  <c r="K110" i="1"/>
  <c r="K106" i="1"/>
  <c r="K102" i="1"/>
  <c r="K98" i="1"/>
  <c r="K94" i="1"/>
  <c r="K90" i="1"/>
  <c r="K86" i="1"/>
  <c r="K82" i="1"/>
  <c r="K78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K3" i="1"/>
  <c r="J3" i="1"/>
  <c r="K145" i="1"/>
  <c r="K144" i="1"/>
  <c r="K143" i="1"/>
  <c r="K141" i="1"/>
  <c r="K140" i="1"/>
  <c r="K139" i="1"/>
  <c r="K137" i="1"/>
  <c r="K136" i="1"/>
  <c r="K135" i="1"/>
  <c r="K133" i="1"/>
  <c r="K132" i="1"/>
  <c r="K131" i="1"/>
  <c r="K129" i="1"/>
  <c r="K128" i="1"/>
  <c r="K127" i="1"/>
  <c r="K125" i="1"/>
  <c r="K124" i="1"/>
  <c r="K123" i="1"/>
  <c r="K121" i="1"/>
  <c r="K120" i="1"/>
  <c r="K119" i="1"/>
  <c r="K117" i="1"/>
  <c r="K116" i="1"/>
  <c r="K115" i="1"/>
  <c r="K113" i="1"/>
  <c r="K112" i="1"/>
  <c r="K111" i="1"/>
  <c r="K109" i="1"/>
  <c r="K108" i="1"/>
  <c r="K107" i="1"/>
  <c r="K105" i="1"/>
  <c r="K104" i="1"/>
  <c r="K103" i="1"/>
  <c r="K101" i="1"/>
  <c r="K100" i="1"/>
  <c r="K99" i="1"/>
  <c r="K97" i="1"/>
  <c r="K96" i="1"/>
  <c r="K95" i="1"/>
  <c r="K93" i="1"/>
  <c r="K92" i="1"/>
  <c r="K91" i="1"/>
  <c r="K89" i="1"/>
  <c r="K88" i="1"/>
  <c r="K87" i="1"/>
  <c r="K85" i="1"/>
  <c r="K84" i="1"/>
  <c r="K83" i="1"/>
  <c r="K81" i="1"/>
  <c r="K80" i="1"/>
  <c r="K79" i="1"/>
  <c r="K77" i="1"/>
  <c r="K76" i="1"/>
  <c r="K75" i="1"/>
  <c r="G74" i="1"/>
  <c r="K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<sst xmlns="http://schemas.openxmlformats.org/spreadsheetml/2006/main" count="432" uniqueCount="190">
  <si>
    <t>Original Data</t>
  </si>
  <si>
    <t>Modified Data</t>
  </si>
  <si>
    <t>Polyline=true</t>
  </si>
  <si>
    <t>Multiplied Data with 1000</t>
  </si>
  <si>
    <t>x</t>
  </si>
  <si>
    <t>Y_up</t>
  </si>
  <si>
    <t>Y_low</t>
  </si>
  <si>
    <t>No</t>
  </si>
  <si>
    <t>X</t>
  </si>
  <si>
    <t>No.</t>
  </si>
  <si>
    <t>real (m)</t>
  </si>
  <si>
    <t>measured (unit)</t>
  </si>
  <si>
    <t>scale(1:...)</t>
  </si>
  <si>
    <t>Station</t>
  </si>
  <si>
    <t>X (measured)</t>
  </si>
  <si>
    <t>Zu (measured)</t>
  </si>
  <si>
    <t>ZL (measured)</t>
  </si>
  <si>
    <t>D. (measured)</t>
  </si>
  <si>
    <t>D.(real)</t>
  </si>
  <si>
    <t>S_ekivalen</t>
  </si>
  <si>
    <t>Position from DATUM</t>
  </si>
  <si>
    <t>z</t>
  </si>
  <si>
    <t>wing LE hor</t>
  </si>
  <si>
    <t>htp LE hor</t>
  </si>
  <si>
    <t>vtp LE horizontal</t>
  </si>
  <si>
    <t>wing LE vert</t>
  </si>
  <si>
    <t>HTP LE vert</t>
  </si>
  <si>
    <t>VTP LE vertical</t>
  </si>
  <si>
    <t>CG Horizontal</t>
  </si>
  <si>
    <t>CG Vertical</t>
  </si>
  <si>
    <t>Cruise</t>
  </si>
  <si>
    <t>Cruise speed</t>
  </si>
  <si>
    <t>km/h</t>
  </si>
  <si>
    <t>m/s</t>
  </si>
  <si>
    <t>Cruise Alt.</t>
  </si>
  <si>
    <t>km</t>
  </si>
  <si>
    <t>m</t>
  </si>
  <si>
    <t>Sound speed at cruise alt</t>
  </si>
  <si>
    <t>source:</t>
  </si>
  <si>
    <t>https://www.digitaldutch.com/atmoscalc/</t>
  </si>
  <si>
    <t>Mach cruise</t>
  </si>
  <si>
    <t>mach</t>
  </si>
  <si>
    <t>CG</t>
  </si>
  <si>
    <t>MAC</t>
  </si>
  <si>
    <t>Xac</t>
  </si>
  <si>
    <t>VTP chord</t>
  </si>
  <si>
    <t>S_VTP</t>
  </si>
  <si>
    <t>Engine Area</t>
  </si>
  <si>
    <t>Phete</t>
  </si>
  <si>
    <t>Phetep</t>
  </si>
  <si>
    <t>M</t>
  </si>
  <si>
    <t>T/Ts</t>
  </si>
  <si>
    <t>Approx</t>
  </si>
  <si>
    <t>PW308 C</t>
  </si>
  <si>
    <t>Maximum Thrust @ sea level</t>
  </si>
  <si>
    <t>Thrust (N)</t>
  </si>
  <si>
    <t>Wing Area</t>
  </si>
  <si>
    <t>b/2</t>
  </si>
  <si>
    <t>MOMENT</t>
  </si>
  <si>
    <t>C2</t>
  </si>
  <si>
    <t>DUE</t>
  </si>
  <si>
    <t>TO</t>
  </si>
  <si>
    <t>DEFLECTION---------</t>
  </si>
  <si>
    <t>(PER</t>
  </si>
  <si>
    <t>DEGREE)---</t>
  </si>
  <si>
    <t>DELTA</t>
  </si>
  <si>
    <t>D(CL)</t>
  </si>
  <si>
    <t>D(CM)</t>
  </si>
  <si>
    <t>D(CL</t>
  </si>
  <si>
    <t>MAX)</t>
  </si>
  <si>
    <t>D(CD</t>
  </si>
  <si>
    <t>MIN)</t>
  </si>
  <si>
    <t>(CLA)D</t>
  </si>
  <si>
    <t>(CH)A</t>
  </si>
  <si>
    <t>(CH)D</t>
  </si>
  <si>
    <t>NDM</t>
  </si>
  <si>
    <t>a---------INCREMENTS DUE TO DEFLECTION------------DERIVATIVES (PER DEGREE)---</t>
  </si>
  <si>
    <t>Single slotted</t>
  </si>
  <si>
    <t>***</t>
  </si>
  <si>
    <t>NOTE</t>
  </si>
  <si>
    <t>*</t>
  </si>
  <si>
    <t>HINGE</t>
  </si>
  <si>
    <t>DERIVATIVES</t>
  </si>
  <si>
    <t>ARE</t>
  </si>
  <si>
    <t>BASED</t>
  </si>
  <si>
    <t>ON</t>
  </si>
  <si>
    <t>TWICE</t>
  </si>
  <si>
    <t>THE</t>
  </si>
  <si>
    <t>AREA-MOMENT</t>
  </si>
  <si>
    <t>OF</t>
  </si>
  <si>
    <t>CONTROL</t>
  </si>
  <si>
    <t>ABOUT</t>
  </si>
  <si>
    <t>ITS</t>
  </si>
  <si>
    <t>LINE</t>
  </si>
  <si>
    <t>multiplier</t>
  </si>
  <si>
    <t>chord increase</t>
  </si>
  <si>
    <t>c'-c</t>
  </si>
  <si>
    <t>c'</t>
  </si>
  <si>
    <t>5 deg</t>
  </si>
  <si>
    <t>10 deg</t>
  </si>
  <si>
    <t>20 deg</t>
  </si>
  <si>
    <t>single slotted</t>
  </si>
  <si>
    <t>double slotted</t>
  </si>
  <si>
    <t>inner flap</t>
  </si>
  <si>
    <t>plain flap</t>
  </si>
  <si>
    <t>outer flap</t>
  </si>
  <si>
    <t>D(CL MAX)</t>
  </si>
  <si>
    <t>D(CD MIN)</t>
  </si>
  <si>
    <t>Slats</t>
  </si>
  <si>
    <t>sound speed</t>
  </si>
  <si>
    <t>at sea level</t>
  </si>
  <si>
    <t>V (m/s)</t>
  </si>
  <si>
    <t>V_sound</t>
  </si>
  <si>
    <t>Thrust over altitude</t>
  </si>
  <si>
    <t>Altitude(km)</t>
  </si>
  <si>
    <t>rho(kg/m^3)</t>
  </si>
  <si>
    <t>V_sound(m/s)</t>
  </si>
  <si>
    <t>T (N)</t>
  </si>
  <si>
    <t>Maximum Thrust @ 8 km</t>
  </si>
  <si>
    <t>Maximum Thrust @ 2 km</t>
  </si>
  <si>
    <t>Maximum Thrust @ 4 km</t>
  </si>
  <si>
    <t>Maximum Thrust @ 6 km</t>
  </si>
  <si>
    <t>Thrust (lbf)</t>
  </si>
  <si>
    <t>TSFC</t>
  </si>
  <si>
    <r>
      <t>y = -2E-12x</t>
    </r>
    <r>
      <rPr>
        <vertAlign val="superscript"/>
        <sz val="9"/>
        <color rgb="FF595959"/>
        <rFont val="Calibri"/>
        <family val="2"/>
        <scheme val="minor"/>
      </rPr>
      <t>3</t>
    </r>
    <r>
      <rPr>
        <sz val="9"/>
        <color rgb="FF595959"/>
        <rFont val="Calibri"/>
        <family val="2"/>
        <scheme val="minor"/>
      </rPr>
      <t xml:space="preserve"> + 5E-08x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- 0.0002x + 3.8701</t>
    </r>
  </si>
  <si>
    <t>R² = 0.9953</t>
  </si>
  <si>
    <t>Clean Wing</t>
  </si>
  <si>
    <t>-----------------------</t>
  </si>
  <si>
    <t>FLIGHT</t>
  </si>
  <si>
    <t>CONDITIONS</t>
  </si>
  <si>
    <t>------------------------</t>
  </si>
  <si>
    <t>--------------</t>
  </si>
  <si>
    <t>REFERENCE</t>
  </si>
  <si>
    <t>DIMENSIONS</t>
  </si>
  <si>
    <t>------------</t>
  </si>
  <si>
    <t>MACH</t>
  </si>
  <si>
    <t>ALTITUDE</t>
  </si>
  <si>
    <t>VELOCITY</t>
  </si>
  <si>
    <t>PRESSURE</t>
  </si>
  <si>
    <t>TEMPERATURE</t>
  </si>
  <si>
    <t>REYNOLDS</t>
  </si>
  <si>
    <t>REF.</t>
  </si>
  <si>
    <t>LENGTH</t>
  </si>
  <si>
    <t>CENTER</t>
  </si>
  <si>
    <t>NUMBER</t>
  </si>
  <si>
    <t>AREA</t>
  </si>
  <si>
    <t>LONG.</t>
  </si>
  <si>
    <t>LAT.</t>
  </si>
  <si>
    <t>HORIZ</t>
  </si>
  <si>
    <t>VERT</t>
  </si>
  <si>
    <t>M/SEC</t>
  </si>
  <si>
    <t>N/</t>
  </si>
  <si>
    <t>M**2</t>
  </si>
  <si>
    <t>DEG</t>
  </si>
  <si>
    <t>K</t>
  </si>
  <si>
    <t>1/</t>
  </si>
  <si>
    <t>a-------------------DERIVATIVE (PER DEGREE)-------------------</t>
  </si>
  <si>
    <t>ALPHA</t>
  </si>
  <si>
    <t>CD</t>
  </si>
  <si>
    <t>CL</t>
  </si>
  <si>
    <t>CM</t>
  </si>
  <si>
    <t>CN</t>
  </si>
  <si>
    <t>CA</t>
  </si>
  <si>
    <t>XCP</t>
  </si>
  <si>
    <t>CLA</t>
  </si>
  <si>
    <t>CMA</t>
  </si>
  <si>
    <t>CYB</t>
  </si>
  <si>
    <t>CNB</t>
  </si>
  <si>
    <t>CLB</t>
  </si>
  <si>
    <t>NA</t>
  </si>
  <si>
    <t>Complete</t>
  </si>
  <si>
    <t>https://www.fsdeveloper.com/forum/threads/finding-real-world-oswald-e-and-cd-induced.424644/</t>
  </si>
  <si>
    <t>https://www.mathworks.com/matlabcentral/fileexchange/38800-oswald-efficiency-estimation-function</t>
  </si>
  <si>
    <t>DEGREE)-------------------</t>
  </si>
  <si>
    <t>L/D</t>
  </si>
  <si>
    <t>Flap Effect</t>
  </si>
  <si>
    <t>Take Off</t>
  </si>
  <si>
    <t xml:space="preserve"> de=20</t>
  </si>
  <si>
    <r>
      <t>e(</t>
    </r>
    <r>
      <rPr>
        <sz val="11"/>
        <color theme="1"/>
        <rFont val="Calibri"/>
        <family val="2"/>
      </rPr>
      <t>Λ=0)</t>
    </r>
  </si>
  <si>
    <r>
      <t>e(</t>
    </r>
    <r>
      <rPr>
        <sz val="11"/>
        <color theme="1"/>
        <rFont val="Calibri"/>
        <family val="2"/>
      </rPr>
      <t>Λ=25)</t>
    </r>
  </si>
  <si>
    <t xml:space="preserve"> de=40</t>
  </si>
  <si>
    <t>Fuel Consumption</t>
  </si>
  <si>
    <t>lbm/hr</t>
  </si>
  <si>
    <t>kg/s</t>
  </si>
  <si>
    <t>Polynomial</t>
  </si>
  <si>
    <t>A</t>
  </si>
  <si>
    <t>B</t>
  </si>
  <si>
    <t>C</t>
  </si>
  <si>
    <t>-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</si>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</sst>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2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 vertical="center"/>
    </xf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6" fillId="0" borderId="0" xfId="0" applyFont="1"/>
    <xf numFmtId="0" fontId="18" fillId="34" borderId="0" xfId="0" applyFont="1" applyFill="1"/>
    <xf numFmtId="0" fontId="0" fillId="33" borderId="10" xfId="0" applyFill="1" applyBorder="1"/>
    <xf numFmtId="2" fontId="0" fillId="35" borderId="10" xfId="0" applyNumberFormat="1" applyFill="1" applyBorder="1"/>
    <xf numFmtId="0" fontId="0" fillId="0" borderId="10" xfId="0" applyBorder="1"/>
    <xf numFmtId="2" fontId="0" fillId="35" borderId="11" xfId="0" applyNumberFormat="1" applyFill="1" applyBorder="1"/>
    <xf numFmtId="165" fontId="0" fillId="0" borderId="0" xfId="0" applyNumberFormat="1"/>
    <xf numFmtId="9" fontId="0" fillId="0" borderId="0" xfId="42" applyFont="1"/>
    <xf numFmtId="165" fontId="0" fillId="35" borderId="10" xfId="0" applyNumberFormat="1" applyFill="1" applyBorder="1"/>
    <xf numFmtId="164" fontId="0" fillId="36" borderId="0" xfId="0" applyNumberFormat="1" applyFill="1"/>
    <xf numFmtId="2" fontId="0" fillId="33" borderId="10" xfId="0" applyNumberFormat="1" applyFill="1" applyBorder="1"/>
    <xf numFmtId="11" fontId="0" fillId="0" borderId="0" xfId="0" applyNumberFormat="1"/>
    <xf numFmtId="0" fontId="0" fillId="0" borderId="12" xfId="0" applyBorder="1"/>
    <xf numFmtId="0" fontId="0" fillId="0" borderId="0" xfId="0" applyBorder="1"/>
    <xf numFmtId="0" fontId="0" fillId="0" borderId="13" xfId="0" applyBorder="1"/>
    <xf numFmtId="11" fontId="0" fillId="0" borderId="0" xfId="0" applyNumberFormat="1" applyBorder="1"/>
    <xf numFmtId="0" fontId="0" fillId="0" borderId="14" xfId="0" applyBorder="1"/>
    <xf numFmtId="0" fontId="0" fillId="0" borderId="15" xfId="0" applyBorder="1"/>
    <xf numFmtId="11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3" borderId="12" xfId="0" applyFill="1" applyBorder="1"/>
    <xf numFmtId="0" fontId="0" fillId="33" borderId="0" xfId="0" applyFill="1" applyBorder="1"/>
    <xf numFmtId="9" fontId="0" fillId="0" borderId="0" xfId="0" applyNumberFormat="1"/>
    <xf numFmtId="0" fontId="19" fillId="0" borderId="0" xfId="0" applyFont="1" applyAlignment="1">
      <alignment horizontal="center" vertical="center" readingOrder="1"/>
    </xf>
    <xf numFmtId="0" fontId="16" fillId="0" borderId="0" xfId="43" applyFont="1"/>
    <xf numFmtId="0" fontId="1" fillId="0" borderId="0" xfId="43"/>
    <xf numFmtId="11" fontId="1" fillId="0" borderId="0" xfId="43" applyNumberFormat="1"/>
    <xf numFmtId="165" fontId="1" fillId="0" borderId="0" xfId="43" applyNumberFormat="1"/>
    <xf numFmtId="0" fontId="16" fillId="0" borderId="10" xfId="43" applyFont="1" applyBorder="1"/>
    <xf numFmtId="0" fontId="1" fillId="0" borderId="10" xfId="43" applyBorder="1"/>
    <xf numFmtId="166" fontId="0" fillId="0" borderId="0" xfId="0" applyNumberFormat="1"/>
    <xf numFmtId="0" fontId="16" fillId="0" borderId="1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36" borderId="10" xfId="0" applyNumberFormat="1" applyFill="1" applyBorder="1"/>
    <xf numFmtId="165" fontId="0" fillId="0" borderId="10" xfId="0" applyNumberFormat="1" applyBorder="1"/>
    <xf numFmtId="2" fontId="1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C2A9BD2-D29D-4B9A-A8CF-DBCA37ADC2D0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63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6350">
                <a:solidFill>
                  <a:srgbClr val="FFC000"/>
                </a:solidFill>
              </a:ln>
              <a:effectLst/>
            </c:spPr>
          </c:marker>
          <c:xVal>
            <c:numRef>
              <c:f>foilmod!$F$3:$F$145</c:f>
              <c:numCache>
                <c:formatCode>General</c:formatCode>
                <c:ptCount val="143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0.94799460000000002</c:v>
                </c:pt>
                <c:pt idx="11">
                  <c:v>0.93633460000000002</c:v>
                </c:pt>
                <c:pt idx="12">
                  <c:v>0.92253359999999995</c:v>
                </c:pt>
                <c:pt idx="13">
                  <c:v>0.90619050000000001</c:v>
                </c:pt>
                <c:pt idx="14">
                  <c:v>0.88682349999999999</c:v>
                </c:pt>
                <c:pt idx="15">
                  <c:v>0.86385639999999997</c:v>
                </c:pt>
                <c:pt idx="16">
                  <c:v>0.84073240000000005</c:v>
                </c:pt>
                <c:pt idx="17">
                  <c:v>0.81748279999999995</c:v>
                </c:pt>
                <c:pt idx="18">
                  <c:v>0.79410550000000002</c:v>
                </c:pt>
                <c:pt idx="19">
                  <c:v>0.77059979999999995</c:v>
                </c:pt>
                <c:pt idx="20">
                  <c:v>0.74696580000000001</c:v>
                </c:pt>
                <c:pt idx="21">
                  <c:v>0.7231995</c:v>
                </c:pt>
                <c:pt idx="22">
                  <c:v>0.69930270000000005</c:v>
                </c:pt>
                <c:pt idx="23">
                  <c:v>0.6752726</c:v>
                </c:pt>
                <c:pt idx="24">
                  <c:v>0.6511093</c:v>
                </c:pt>
                <c:pt idx="25">
                  <c:v>0.62681039999999999</c:v>
                </c:pt>
                <c:pt idx="26">
                  <c:v>0.60237569999999996</c:v>
                </c:pt>
                <c:pt idx="27">
                  <c:v>0.57780430000000005</c:v>
                </c:pt>
                <c:pt idx="28">
                  <c:v>0.55309370000000002</c:v>
                </c:pt>
                <c:pt idx="29">
                  <c:v>0.52824260000000001</c:v>
                </c:pt>
                <c:pt idx="30">
                  <c:v>0.50325140000000002</c:v>
                </c:pt>
                <c:pt idx="31">
                  <c:v>0.47811969999999998</c:v>
                </c:pt>
                <c:pt idx="32">
                  <c:v>0.45284410000000003</c:v>
                </c:pt>
                <c:pt idx="33">
                  <c:v>0.42742229999999998</c:v>
                </c:pt>
                <c:pt idx="34">
                  <c:v>0.40185670000000001</c:v>
                </c:pt>
                <c:pt idx="35">
                  <c:v>0.3761446</c:v>
                </c:pt>
                <c:pt idx="36">
                  <c:v>0.35028300000000001</c:v>
                </c:pt>
                <c:pt idx="37">
                  <c:v>0.32427260000000002</c:v>
                </c:pt>
                <c:pt idx="38">
                  <c:v>0.29811130000000002</c:v>
                </c:pt>
                <c:pt idx="39">
                  <c:v>0.27179779999999998</c:v>
                </c:pt>
                <c:pt idx="40">
                  <c:v>0.24533099999999999</c:v>
                </c:pt>
                <c:pt idx="41">
                  <c:v>0.2187096</c:v>
                </c:pt>
                <c:pt idx="42">
                  <c:v>0.19193270000000001</c:v>
                </c:pt>
                <c:pt idx="43">
                  <c:v>0.16499759999999999</c:v>
                </c:pt>
                <c:pt idx="44">
                  <c:v>0.1378963</c:v>
                </c:pt>
                <c:pt idx="45">
                  <c:v>0.1149796</c:v>
                </c:pt>
                <c:pt idx="46">
                  <c:v>9.5635399999999995E-2</c:v>
                </c:pt>
                <c:pt idx="47">
                  <c:v>7.9336599999999993E-2</c:v>
                </c:pt>
                <c:pt idx="48">
                  <c:v>6.5630300000000003E-2</c:v>
                </c:pt>
                <c:pt idx="49">
                  <c:v>5.4124800000000001E-2</c:v>
                </c:pt>
                <c:pt idx="50">
                  <c:v>4.4485200000000003E-2</c:v>
                </c:pt>
                <c:pt idx="51">
                  <c:v>3.6426100000000003E-2</c:v>
                </c:pt>
                <c:pt idx="52">
                  <c:v>2.9700799999999999E-2</c:v>
                </c:pt>
                <c:pt idx="53">
                  <c:v>2.4106699999999998E-2</c:v>
                </c:pt>
                <c:pt idx="54">
                  <c:v>1.94609E-2</c:v>
                </c:pt>
                <c:pt idx="55">
                  <c:v>1.56171E-2</c:v>
                </c:pt>
                <c:pt idx="56">
                  <c:v>1.24479E-2</c:v>
                </c:pt>
                <c:pt idx="57">
                  <c:v>9.8413000000000007E-3</c:v>
                </c:pt>
                <c:pt idx="58">
                  <c:v>7.7111999999999997E-3</c:v>
                </c:pt>
                <c:pt idx="59">
                  <c:v>5.9750999999999997E-3</c:v>
                </c:pt>
                <c:pt idx="60">
                  <c:v>4.5703999999999996E-3</c:v>
                </c:pt>
                <c:pt idx="61">
                  <c:v>3.4428000000000002E-3</c:v>
                </c:pt>
                <c:pt idx="62">
                  <c:v>2.5441000000000001E-3</c:v>
                </c:pt>
                <c:pt idx="63">
                  <c:v>1.8364E-3</c:v>
                </c:pt>
                <c:pt idx="64">
                  <c:v>1.2868000000000001E-3</c:v>
                </c:pt>
                <c:pt idx="65">
                  <c:v>8.6569999999999995E-4</c:v>
                </c:pt>
                <c:pt idx="66">
                  <c:v>5.5080000000000005E-4</c:v>
                </c:pt>
                <c:pt idx="67">
                  <c:v>3.232E-4</c:v>
                </c:pt>
                <c:pt idx="68">
                  <c:v>1.6750000000000001E-4</c:v>
                </c:pt>
                <c:pt idx="69">
                  <c:v>6.9599999999999998E-5</c:v>
                </c:pt>
                <c:pt idx="70">
                  <c:v>1.6500000000000001E-5</c:v>
                </c:pt>
                <c:pt idx="71">
                  <c:v>0</c:v>
                </c:pt>
                <c:pt idx="72">
                  <c:v>1.6500000000000001E-5</c:v>
                </c:pt>
                <c:pt idx="73">
                  <c:v>6.9599999999999998E-5</c:v>
                </c:pt>
                <c:pt idx="74">
                  <c:v>1.6750000000000001E-4</c:v>
                </c:pt>
                <c:pt idx="75">
                  <c:v>3.232E-4</c:v>
                </c:pt>
                <c:pt idx="76">
                  <c:v>5.5080000000000005E-4</c:v>
                </c:pt>
                <c:pt idx="77">
                  <c:v>8.6569999999999995E-4</c:v>
                </c:pt>
                <c:pt idx="78">
                  <c:v>1.2868000000000001E-3</c:v>
                </c:pt>
                <c:pt idx="79">
                  <c:v>1.8364E-3</c:v>
                </c:pt>
                <c:pt idx="80">
                  <c:v>2.5441000000000001E-3</c:v>
                </c:pt>
                <c:pt idx="81">
                  <c:v>3.4428000000000002E-3</c:v>
                </c:pt>
                <c:pt idx="82">
                  <c:v>4.5703999999999996E-3</c:v>
                </c:pt>
                <c:pt idx="83">
                  <c:v>5.9750999999999997E-3</c:v>
                </c:pt>
                <c:pt idx="84">
                  <c:v>7.7111999999999997E-3</c:v>
                </c:pt>
                <c:pt idx="85">
                  <c:v>9.8413000000000007E-3</c:v>
                </c:pt>
                <c:pt idx="86">
                  <c:v>1.24479E-2</c:v>
                </c:pt>
                <c:pt idx="87">
                  <c:v>1.56171E-2</c:v>
                </c:pt>
                <c:pt idx="88">
                  <c:v>1.94609E-2</c:v>
                </c:pt>
                <c:pt idx="89">
                  <c:v>2.4106699999999998E-2</c:v>
                </c:pt>
                <c:pt idx="90">
                  <c:v>2.9700799999999999E-2</c:v>
                </c:pt>
                <c:pt idx="91">
                  <c:v>3.6426100000000003E-2</c:v>
                </c:pt>
                <c:pt idx="92">
                  <c:v>4.4485200000000003E-2</c:v>
                </c:pt>
                <c:pt idx="93">
                  <c:v>5.4124800000000001E-2</c:v>
                </c:pt>
                <c:pt idx="94">
                  <c:v>6.5630300000000003E-2</c:v>
                </c:pt>
                <c:pt idx="95">
                  <c:v>7.9336599999999993E-2</c:v>
                </c:pt>
                <c:pt idx="96">
                  <c:v>9.5635399999999995E-2</c:v>
                </c:pt>
                <c:pt idx="97">
                  <c:v>0.1149796</c:v>
                </c:pt>
                <c:pt idx="98">
                  <c:v>0.1378963</c:v>
                </c:pt>
                <c:pt idx="99">
                  <c:v>0.16499759999999999</c:v>
                </c:pt>
                <c:pt idx="100">
                  <c:v>0.19193270000000001</c:v>
                </c:pt>
                <c:pt idx="101">
                  <c:v>0.2187096</c:v>
                </c:pt>
                <c:pt idx="102">
                  <c:v>0.24533099999999999</c:v>
                </c:pt>
                <c:pt idx="103">
                  <c:v>0.27179779999999998</c:v>
                </c:pt>
                <c:pt idx="104">
                  <c:v>0.29811130000000002</c:v>
                </c:pt>
                <c:pt idx="105">
                  <c:v>0.32427260000000002</c:v>
                </c:pt>
                <c:pt idx="106">
                  <c:v>0.35028300000000001</c:v>
                </c:pt>
                <c:pt idx="107">
                  <c:v>0.3761446</c:v>
                </c:pt>
                <c:pt idx="108">
                  <c:v>0.40185670000000001</c:v>
                </c:pt>
                <c:pt idx="109">
                  <c:v>0.42742229999999998</c:v>
                </c:pt>
                <c:pt idx="110">
                  <c:v>0.45284410000000003</c:v>
                </c:pt>
                <c:pt idx="111">
                  <c:v>0.47811969999999998</c:v>
                </c:pt>
                <c:pt idx="112">
                  <c:v>0.50325140000000002</c:v>
                </c:pt>
                <c:pt idx="113">
                  <c:v>0.52824260000000001</c:v>
                </c:pt>
                <c:pt idx="114">
                  <c:v>0.55309370000000002</c:v>
                </c:pt>
                <c:pt idx="115">
                  <c:v>0.57780430000000005</c:v>
                </c:pt>
                <c:pt idx="116">
                  <c:v>0.60237569999999996</c:v>
                </c:pt>
                <c:pt idx="117">
                  <c:v>0.62681039999999999</c:v>
                </c:pt>
                <c:pt idx="118">
                  <c:v>0.6511093</c:v>
                </c:pt>
                <c:pt idx="119">
                  <c:v>0.6752726</c:v>
                </c:pt>
                <c:pt idx="120">
                  <c:v>0.69930270000000005</c:v>
                </c:pt>
                <c:pt idx="121">
                  <c:v>0.7231995</c:v>
                </c:pt>
                <c:pt idx="122">
                  <c:v>0.74696580000000001</c:v>
                </c:pt>
                <c:pt idx="123">
                  <c:v>0.77059979999999995</c:v>
                </c:pt>
                <c:pt idx="124">
                  <c:v>0.79410550000000002</c:v>
                </c:pt>
                <c:pt idx="125">
                  <c:v>0.81748279999999995</c:v>
                </c:pt>
                <c:pt idx="126">
                  <c:v>0.84073240000000005</c:v>
                </c:pt>
                <c:pt idx="127">
                  <c:v>0.86385639999999997</c:v>
                </c:pt>
                <c:pt idx="128">
                  <c:v>0.88682349999999999</c:v>
                </c:pt>
                <c:pt idx="129">
                  <c:v>0.90619050000000001</c:v>
                </c:pt>
                <c:pt idx="130">
                  <c:v>0.92253359999999995</c:v>
                </c:pt>
                <c:pt idx="131">
                  <c:v>0.93633460000000002</c:v>
                </c:pt>
                <c:pt idx="132">
                  <c:v>0.94799460000000002</c:v>
                </c:pt>
                <c:pt idx="133">
                  <c:v>0.95785109999999996</c:v>
                </c:pt>
                <c:pt idx="134">
                  <c:v>0.96618599999999999</c:v>
                </c:pt>
                <c:pt idx="135">
                  <c:v>0.97323610000000005</c:v>
                </c:pt>
                <c:pt idx="136">
                  <c:v>0.97920200000000002</c:v>
                </c:pt>
                <c:pt idx="137">
                  <c:v>0.98425079999999998</c:v>
                </c:pt>
                <c:pt idx="138">
                  <c:v>0.98852519999999999</c:v>
                </c:pt>
                <c:pt idx="139">
                  <c:v>0.99214380000000002</c:v>
                </c:pt>
                <c:pt idx="140">
                  <c:v>0.99520799999999998</c:v>
                </c:pt>
                <c:pt idx="141">
                  <c:v>0.997803</c:v>
                </c:pt>
                <c:pt idx="142">
                  <c:v>1</c:v>
                </c:pt>
              </c:numCache>
            </c:numRef>
          </c:xVal>
          <c:yVal>
            <c:numRef>
              <c:f>foilmod!$G$3:$G$145</c:f>
              <c:numCache>
                <c:formatCode>General</c:formatCode>
                <c:ptCount val="143"/>
                <c:pt idx="0">
                  <c:v>0</c:v>
                </c:pt>
                <c:pt idx="1">
                  <c:v>1.3875999999999999E-3</c:v>
                </c:pt>
                <c:pt idx="2">
                  <c:v>1.6999999999999999E-3</c:v>
                </c:pt>
                <c:pt idx="3">
                  <c:v>2.6280000000000001E-3</c:v>
                </c:pt>
                <c:pt idx="4">
                  <c:v>3.8140000000000001E-3</c:v>
                </c:pt>
                <c:pt idx="5">
                  <c:v>5.0606000000000002E-3</c:v>
                </c:pt>
                <c:pt idx="6">
                  <c:v>6.7210999999999998E-3</c:v>
                </c:pt>
                <c:pt idx="7">
                  <c:v>8.2015000000000005E-3</c:v>
                </c:pt>
                <c:pt idx="8">
                  <c:v>1.0134000000000001E-2</c:v>
                </c:pt>
                <c:pt idx="9">
                  <c:v>1.20144E-2</c:v>
                </c:pt>
                <c:pt idx="10">
                  <c:v>1.47038E-2</c:v>
                </c:pt>
                <c:pt idx="11">
                  <c:v>1.7726499999999999E-2</c:v>
                </c:pt>
                <c:pt idx="12">
                  <c:v>2.1113799999999999E-2</c:v>
                </c:pt>
                <c:pt idx="13">
                  <c:v>2.5495199999999999E-2</c:v>
                </c:pt>
                <c:pt idx="14">
                  <c:v>2.9505099999999999E-2</c:v>
                </c:pt>
                <c:pt idx="15">
                  <c:v>3.5291500000000003E-2</c:v>
                </c:pt>
                <c:pt idx="16">
                  <c:v>3.9783800000000001E-2</c:v>
                </c:pt>
                <c:pt idx="17">
                  <c:v>4.4842E-2</c:v>
                </c:pt>
                <c:pt idx="18">
                  <c:v>4.9027000000000001E-2</c:v>
                </c:pt>
                <c:pt idx="19">
                  <c:v>5.3550500000000001E-2</c:v>
                </c:pt>
                <c:pt idx="20">
                  <c:v>5.7364999999999999E-2</c:v>
                </c:pt>
                <c:pt idx="21">
                  <c:v>6.1066200000000001E-2</c:v>
                </c:pt>
                <c:pt idx="22">
                  <c:v>6.4694020000000005E-2</c:v>
                </c:pt>
                <c:pt idx="23">
                  <c:v>6.7554199999999995E-2</c:v>
                </c:pt>
                <c:pt idx="24">
                  <c:v>7.0198999999999998E-2</c:v>
                </c:pt>
                <c:pt idx="25">
                  <c:v>7.2961300000000007E-2</c:v>
                </c:pt>
                <c:pt idx="26">
                  <c:v>7.5241000000000002E-2</c:v>
                </c:pt>
                <c:pt idx="27">
                  <c:v>7.7216839999999995E-2</c:v>
                </c:pt>
                <c:pt idx="28">
                  <c:v>7.8674099999999997E-2</c:v>
                </c:pt>
                <c:pt idx="29">
                  <c:v>7.9209000000000002E-2</c:v>
                </c:pt>
                <c:pt idx="30">
                  <c:v>8.0202999999999997E-2</c:v>
                </c:pt>
                <c:pt idx="31">
                  <c:v>8.0080999999999999E-2</c:v>
                </c:pt>
                <c:pt idx="32">
                  <c:v>8.0603999999999995E-2</c:v>
                </c:pt>
                <c:pt idx="33">
                  <c:v>7.9883300000000004E-2</c:v>
                </c:pt>
                <c:pt idx="34">
                  <c:v>7.9301999999999997E-2</c:v>
                </c:pt>
                <c:pt idx="35">
                  <c:v>7.8629599999999994E-2</c:v>
                </c:pt>
                <c:pt idx="36">
                  <c:v>7.7518299999999998E-2</c:v>
                </c:pt>
                <c:pt idx="37">
                  <c:v>7.5849020000000003E-2</c:v>
                </c:pt>
                <c:pt idx="38">
                  <c:v>7.3594939999999998E-2</c:v>
                </c:pt>
                <c:pt idx="39">
                  <c:v>7.1198700000000004E-2</c:v>
                </c:pt>
                <c:pt idx="40">
                  <c:v>6.8235799999999999E-2</c:v>
                </c:pt>
                <c:pt idx="41">
                  <c:v>6.5050700000000003E-2</c:v>
                </c:pt>
                <c:pt idx="42">
                  <c:v>6.16214E-2</c:v>
                </c:pt>
                <c:pt idx="43">
                  <c:v>5.7908899999999999E-2</c:v>
                </c:pt>
                <c:pt idx="44">
                  <c:v>5.3052200000000001E-2</c:v>
                </c:pt>
                <c:pt idx="45">
                  <c:v>4.8792299999999997E-2</c:v>
                </c:pt>
                <c:pt idx="46">
                  <c:v>4.47742E-2</c:v>
                </c:pt>
                <c:pt idx="47">
                  <c:v>4.0837199999999997E-2</c:v>
                </c:pt>
                <c:pt idx="48">
                  <c:v>3.7613800000000003E-2</c:v>
                </c:pt>
                <c:pt idx="49">
                  <c:v>3.41278E-2</c:v>
                </c:pt>
                <c:pt idx="50">
                  <c:v>3.1191199999999999E-2</c:v>
                </c:pt>
                <c:pt idx="51">
                  <c:v>2.8731699999999999E-2</c:v>
                </c:pt>
                <c:pt idx="52">
                  <c:v>2.6224500000000001E-2</c:v>
                </c:pt>
                <c:pt idx="53">
                  <c:v>2.3800399999999999E-2</c:v>
                </c:pt>
                <c:pt idx="54">
                  <c:v>2.1454500000000001E-2</c:v>
                </c:pt>
                <c:pt idx="55">
                  <c:v>1.9622000000000001E-2</c:v>
                </c:pt>
                <c:pt idx="56">
                  <c:v>1.7303700000000002E-2</c:v>
                </c:pt>
                <c:pt idx="57">
                  <c:v>1.5798400000000001E-2</c:v>
                </c:pt>
                <c:pt idx="58">
                  <c:v>1.36951E-2</c:v>
                </c:pt>
                <c:pt idx="59">
                  <c:v>1.22208E-2</c:v>
                </c:pt>
                <c:pt idx="60">
                  <c:v>1.07419E-2</c:v>
                </c:pt>
                <c:pt idx="61">
                  <c:v>9.2163000000000002E-3</c:v>
                </c:pt>
                <c:pt idx="62">
                  <c:v>8.2958000000000007E-3</c:v>
                </c:pt>
                <c:pt idx="63">
                  <c:v>6.5783999999999999E-3</c:v>
                </c:pt>
                <c:pt idx="64">
                  <c:v>5.8598000000000001E-3</c:v>
                </c:pt>
                <c:pt idx="65">
                  <c:v>5.1342999999999996E-3</c:v>
                </c:pt>
                <c:pt idx="66">
                  <c:v>4.0959000000000004E-3</c:v>
                </c:pt>
                <c:pt idx="67">
                  <c:v>3.1381999999999998E-3</c:v>
                </c:pt>
                <c:pt idx="68">
                  <c:v>2.2553999999999999E-3</c:v>
                </c:pt>
                <c:pt idx="69">
                  <c:v>1.4415999999999999E-3</c:v>
                </c:pt>
                <c:pt idx="70">
                  <c:v>6.914E-4</c:v>
                </c:pt>
                <c:pt idx="71">
                  <c:v>0</c:v>
                </c:pt>
                <c:pt idx="72">
                  <c:v>-6.914E-4</c:v>
                </c:pt>
                <c:pt idx="73">
                  <c:v>-1.5416E-3</c:v>
                </c:pt>
                <c:pt idx="74">
                  <c:v>-2.0554000000000002E-3</c:v>
                </c:pt>
                <c:pt idx="75">
                  <c:v>-3.1381999999999998E-3</c:v>
                </c:pt>
                <c:pt idx="76">
                  <c:v>-4.0959000000000004E-3</c:v>
                </c:pt>
                <c:pt idx="77">
                  <c:v>-5.1342999999999996E-3</c:v>
                </c:pt>
                <c:pt idx="78">
                  <c:v>-6.9598000000000004E-3</c:v>
                </c:pt>
                <c:pt idx="79">
                  <c:v>-8.9783999999999992E-3</c:v>
                </c:pt>
                <c:pt idx="80">
                  <c:v>-1.0205799999999999E-2</c:v>
                </c:pt>
                <c:pt idx="81">
                  <c:v>-1.10163E-2</c:v>
                </c:pt>
                <c:pt idx="82">
                  <c:v>-1.27419E-2</c:v>
                </c:pt>
                <c:pt idx="83">
                  <c:v>-1.3708E-2</c:v>
                </c:pt>
                <c:pt idx="84">
                  <c:v>-1.4995100000000001E-2</c:v>
                </c:pt>
                <c:pt idx="85">
                  <c:v>-1.58984E-2</c:v>
                </c:pt>
                <c:pt idx="86">
                  <c:v>-1.73537E-2</c:v>
                </c:pt>
                <c:pt idx="87">
                  <c:v>-1.8322000000000001E-2</c:v>
                </c:pt>
                <c:pt idx="88">
                  <c:v>-1.94545E-2</c:v>
                </c:pt>
                <c:pt idx="89">
                  <c:v>-2.08004E-2</c:v>
                </c:pt>
                <c:pt idx="90">
                  <c:v>-2.19245E-2</c:v>
                </c:pt>
                <c:pt idx="91">
                  <c:v>-2.3531699999999999E-2</c:v>
                </c:pt>
                <c:pt idx="92">
                  <c:v>-2.4991200000000002E-2</c:v>
                </c:pt>
                <c:pt idx="93">
                  <c:v>-2.6827799999999999E-2</c:v>
                </c:pt>
                <c:pt idx="94">
                  <c:v>-2.89138E-2</c:v>
                </c:pt>
                <c:pt idx="95">
                  <c:v>-3.0837199999999999E-2</c:v>
                </c:pt>
                <c:pt idx="96">
                  <c:v>-3.2874199999999999E-2</c:v>
                </c:pt>
                <c:pt idx="97">
                  <c:v>-3.50923E-2</c:v>
                </c:pt>
                <c:pt idx="98">
                  <c:v>-3.7452199999999998E-2</c:v>
                </c:pt>
                <c:pt idx="99">
                  <c:v>-3.9968900000000002E-2</c:v>
                </c:pt>
                <c:pt idx="100">
                  <c:v>-4.1821400000000002E-2</c:v>
                </c:pt>
                <c:pt idx="101">
                  <c:v>-4.4050699999999998E-2</c:v>
                </c:pt>
                <c:pt idx="102">
                  <c:v>-4.6035800000000002E-2</c:v>
                </c:pt>
                <c:pt idx="103">
                  <c:v>-4.8098700000000001E-2</c:v>
                </c:pt>
                <c:pt idx="104">
                  <c:v>-4.9749399999999999E-2</c:v>
                </c:pt>
                <c:pt idx="105">
                  <c:v>-5.1049020000000001E-2</c:v>
                </c:pt>
                <c:pt idx="106">
                  <c:v>-5.2518299999999997E-2</c:v>
                </c:pt>
                <c:pt idx="107">
                  <c:v>-5.3769600000000001E-2</c:v>
                </c:pt>
                <c:pt idx="108">
                  <c:v>-5.4880199999999997E-2</c:v>
                </c:pt>
                <c:pt idx="109">
                  <c:v>-5.5583300000000002E-2</c:v>
                </c:pt>
                <c:pt idx="110">
                  <c:v>-5.6435100000000002E-2</c:v>
                </c:pt>
                <c:pt idx="111">
                  <c:v>-5.6866100000000003E-2</c:v>
                </c:pt>
                <c:pt idx="112">
                  <c:v>-5.6730299999999997E-2</c:v>
                </c:pt>
                <c:pt idx="113">
                  <c:v>-5.5992090000000001E-2</c:v>
                </c:pt>
                <c:pt idx="114">
                  <c:v>-5.4974099999999998E-2</c:v>
                </c:pt>
                <c:pt idx="115">
                  <c:v>-5.3868399999999997E-2</c:v>
                </c:pt>
                <c:pt idx="116">
                  <c:v>-5.2424100000000001E-2</c:v>
                </c:pt>
                <c:pt idx="117">
                  <c:v>-5.0161299999999999E-2</c:v>
                </c:pt>
                <c:pt idx="118">
                  <c:v>-4.7898999999999997E-2</c:v>
                </c:pt>
                <c:pt idx="119">
                  <c:v>-4.49542E-2</c:v>
                </c:pt>
                <c:pt idx="120">
                  <c:v>-4.20402E-2</c:v>
                </c:pt>
                <c:pt idx="121">
                  <c:v>-3.8191200000000002E-2</c:v>
                </c:pt>
                <c:pt idx="122">
                  <c:v>-3.4736499999999997E-2</c:v>
                </c:pt>
                <c:pt idx="123">
                  <c:v>-3.0350499999999999E-2</c:v>
                </c:pt>
                <c:pt idx="124">
                  <c:v>-2.6042699999999998E-2</c:v>
                </c:pt>
                <c:pt idx="125">
                  <c:v>-2.0984200000000001E-2</c:v>
                </c:pt>
                <c:pt idx="126">
                  <c:v>-1.6583799999999999E-2</c:v>
                </c:pt>
                <c:pt idx="127">
                  <c:v>-1.1801499999999999E-2</c:v>
                </c:pt>
                <c:pt idx="128">
                  <c:v>-7.3150999999999997E-3</c:v>
                </c:pt>
                <c:pt idx="129">
                  <c:v>-3.5152E-3</c:v>
                </c:pt>
                <c:pt idx="130">
                  <c:v>-1.2538E-3</c:v>
                </c:pt>
                <c:pt idx="131">
                  <c:v>7.2650000000000004E-4</c:v>
                </c:pt>
                <c:pt idx="132">
                  <c:v>1.3037999999999999E-3</c:v>
                </c:pt>
                <c:pt idx="133">
                  <c:v>1.7811000000000001E-3</c:v>
                </c:pt>
                <c:pt idx="134">
                  <c:v>2.0584000000000002E-3</c:v>
                </c:pt>
                <c:pt idx="135">
                  <c:v>1.5357000000000001E-3</c:v>
                </c:pt>
                <c:pt idx="136">
                  <c:v>1.3129999999999999E-3</c:v>
                </c:pt>
                <c:pt idx="137">
                  <c:v>1.1130000000000001E-3</c:v>
                </c:pt>
                <c:pt idx="138">
                  <c:v>1.013E-3</c:v>
                </c:pt>
                <c:pt idx="139">
                  <c:v>5.13E-4</c:v>
                </c:pt>
                <c:pt idx="140">
                  <c:v>1.13E-4</c:v>
                </c:pt>
                <c:pt idx="141">
                  <c:v>1.2999999999999999E-5</c:v>
                </c:pt>
                <c:pt idx="1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43-4F2D-9D0B-4F9E46FE6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197600"/>
        <c:axId val="208002128"/>
      </c:scatterChart>
      <c:valAx>
        <c:axId val="301197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2128"/>
        <c:crosses val="autoZero"/>
        <c:crossBetween val="midCat"/>
      </c:valAx>
      <c:valAx>
        <c:axId val="208002128"/>
        <c:scaling>
          <c:orientation val="minMax"/>
          <c:max val="0.1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9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63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foilmod!$F$3:$F$145</c:f>
              <c:numCache>
                <c:formatCode>General</c:formatCode>
                <c:ptCount val="143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0.94799460000000002</c:v>
                </c:pt>
                <c:pt idx="11">
                  <c:v>0.93633460000000002</c:v>
                </c:pt>
                <c:pt idx="12">
                  <c:v>0.92253359999999995</c:v>
                </c:pt>
                <c:pt idx="13">
                  <c:v>0.90619050000000001</c:v>
                </c:pt>
                <c:pt idx="14">
                  <c:v>0.88682349999999999</c:v>
                </c:pt>
                <c:pt idx="15">
                  <c:v>0.86385639999999997</c:v>
                </c:pt>
                <c:pt idx="16">
                  <c:v>0.84073240000000005</c:v>
                </c:pt>
                <c:pt idx="17">
                  <c:v>0.81748279999999995</c:v>
                </c:pt>
                <c:pt idx="18">
                  <c:v>0.79410550000000002</c:v>
                </c:pt>
                <c:pt idx="19">
                  <c:v>0.77059979999999995</c:v>
                </c:pt>
                <c:pt idx="20">
                  <c:v>0.74696580000000001</c:v>
                </c:pt>
                <c:pt idx="21">
                  <c:v>0.7231995</c:v>
                </c:pt>
                <c:pt idx="22">
                  <c:v>0.69930270000000005</c:v>
                </c:pt>
                <c:pt idx="23">
                  <c:v>0.6752726</c:v>
                </c:pt>
                <c:pt idx="24">
                  <c:v>0.6511093</c:v>
                </c:pt>
                <c:pt idx="25">
                  <c:v>0.62681039999999999</c:v>
                </c:pt>
                <c:pt idx="26">
                  <c:v>0.60237569999999996</c:v>
                </c:pt>
                <c:pt idx="27">
                  <c:v>0.57780430000000005</c:v>
                </c:pt>
                <c:pt idx="28">
                  <c:v>0.55309370000000002</c:v>
                </c:pt>
                <c:pt idx="29">
                  <c:v>0.52824260000000001</c:v>
                </c:pt>
                <c:pt idx="30">
                  <c:v>0.50325140000000002</c:v>
                </c:pt>
                <c:pt idx="31">
                  <c:v>0.47811969999999998</c:v>
                </c:pt>
                <c:pt idx="32">
                  <c:v>0.45284410000000003</c:v>
                </c:pt>
                <c:pt idx="33">
                  <c:v>0.42742229999999998</c:v>
                </c:pt>
                <c:pt idx="34">
                  <c:v>0.40185670000000001</c:v>
                </c:pt>
                <c:pt idx="35">
                  <c:v>0.3761446</c:v>
                </c:pt>
                <c:pt idx="36">
                  <c:v>0.35028300000000001</c:v>
                </c:pt>
                <c:pt idx="37">
                  <c:v>0.32427260000000002</c:v>
                </c:pt>
                <c:pt idx="38">
                  <c:v>0.29811130000000002</c:v>
                </c:pt>
                <c:pt idx="39">
                  <c:v>0.27179779999999998</c:v>
                </c:pt>
                <c:pt idx="40">
                  <c:v>0.24533099999999999</c:v>
                </c:pt>
                <c:pt idx="41">
                  <c:v>0.2187096</c:v>
                </c:pt>
                <c:pt idx="42">
                  <c:v>0.19193270000000001</c:v>
                </c:pt>
                <c:pt idx="43">
                  <c:v>0.16499759999999999</c:v>
                </c:pt>
                <c:pt idx="44">
                  <c:v>0.1378963</c:v>
                </c:pt>
                <c:pt idx="45">
                  <c:v>0.1149796</c:v>
                </c:pt>
                <c:pt idx="46">
                  <c:v>9.5635399999999995E-2</c:v>
                </c:pt>
                <c:pt idx="47">
                  <c:v>7.9336599999999993E-2</c:v>
                </c:pt>
                <c:pt idx="48">
                  <c:v>6.5630300000000003E-2</c:v>
                </c:pt>
                <c:pt idx="49">
                  <c:v>5.4124800000000001E-2</c:v>
                </c:pt>
                <c:pt idx="50">
                  <c:v>4.4485200000000003E-2</c:v>
                </c:pt>
                <c:pt idx="51">
                  <c:v>3.6426100000000003E-2</c:v>
                </c:pt>
                <c:pt idx="52">
                  <c:v>2.9700799999999999E-2</c:v>
                </c:pt>
                <c:pt idx="53">
                  <c:v>2.4106699999999998E-2</c:v>
                </c:pt>
                <c:pt idx="54">
                  <c:v>1.94609E-2</c:v>
                </c:pt>
                <c:pt idx="55">
                  <c:v>1.56171E-2</c:v>
                </c:pt>
                <c:pt idx="56">
                  <c:v>1.24479E-2</c:v>
                </c:pt>
                <c:pt idx="57">
                  <c:v>9.8413000000000007E-3</c:v>
                </c:pt>
                <c:pt idx="58">
                  <c:v>7.7111999999999997E-3</c:v>
                </c:pt>
                <c:pt idx="59">
                  <c:v>5.9750999999999997E-3</c:v>
                </c:pt>
                <c:pt idx="60">
                  <c:v>4.5703999999999996E-3</c:v>
                </c:pt>
                <c:pt idx="61">
                  <c:v>3.4428000000000002E-3</c:v>
                </c:pt>
                <c:pt idx="62">
                  <c:v>2.5441000000000001E-3</c:v>
                </c:pt>
                <c:pt idx="63">
                  <c:v>1.8364E-3</c:v>
                </c:pt>
                <c:pt idx="64">
                  <c:v>1.2868000000000001E-3</c:v>
                </c:pt>
                <c:pt idx="65">
                  <c:v>8.6569999999999995E-4</c:v>
                </c:pt>
                <c:pt idx="66">
                  <c:v>5.5080000000000005E-4</c:v>
                </c:pt>
                <c:pt idx="67">
                  <c:v>3.232E-4</c:v>
                </c:pt>
                <c:pt idx="68">
                  <c:v>1.6750000000000001E-4</c:v>
                </c:pt>
                <c:pt idx="69">
                  <c:v>6.9599999999999998E-5</c:v>
                </c:pt>
                <c:pt idx="70">
                  <c:v>1.6500000000000001E-5</c:v>
                </c:pt>
                <c:pt idx="71">
                  <c:v>0</c:v>
                </c:pt>
                <c:pt idx="72">
                  <c:v>1.6500000000000001E-5</c:v>
                </c:pt>
                <c:pt idx="73">
                  <c:v>6.9599999999999998E-5</c:v>
                </c:pt>
                <c:pt idx="74">
                  <c:v>1.6750000000000001E-4</c:v>
                </c:pt>
                <c:pt idx="75">
                  <c:v>3.232E-4</c:v>
                </c:pt>
                <c:pt idx="76">
                  <c:v>5.5080000000000005E-4</c:v>
                </c:pt>
                <c:pt idx="77">
                  <c:v>8.6569999999999995E-4</c:v>
                </c:pt>
                <c:pt idx="78">
                  <c:v>1.2868000000000001E-3</c:v>
                </c:pt>
                <c:pt idx="79">
                  <c:v>1.8364E-3</c:v>
                </c:pt>
                <c:pt idx="80">
                  <c:v>2.5441000000000001E-3</c:v>
                </c:pt>
                <c:pt idx="81">
                  <c:v>3.4428000000000002E-3</c:v>
                </c:pt>
                <c:pt idx="82">
                  <c:v>4.5703999999999996E-3</c:v>
                </c:pt>
                <c:pt idx="83">
                  <c:v>5.9750999999999997E-3</c:v>
                </c:pt>
                <c:pt idx="84">
                  <c:v>7.7111999999999997E-3</c:v>
                </c:pt>
                <c:pt idx="85">
                  <c:v>9.8413000000000007E-3</c:v>
                </c:pt>
                <c:pt idx="86">
                  <c:v>1.24479E-2</c:v>
                </c:pt>
                <c:pt idx="87">
                  <c:v>1.56171E-2</c:v>
                </c:pt>
                <c:pt idx="88">
                  <c:v>1.94609E-2</c:v>
                </c:pt>
                <c:pt idx="89">
                  <c:v>2.4106699999999998E-2</c:v>
                </c:pt>
                <c:pt idx="90">
                  <c:v>2.9700799999999999E-2</c:v>
                </c:pt>
                <c:pt idx="91">
                  <c:v>3.6426100000000003E-2</c:v>
                </c:pt>
                <c:pt idx="92">
                  <c:v>4.4485200000000003E-2</c:v>
                </c:pt>
                <c:pt idx="93">
                  <c:v>5.4124800000000001E-2</c:v>
                </c:pt>
                <c:pt idx="94">
                  <c:v>6.5630300000000003E-2</c:v>
                </c:pt>
                <c:pt idx="95">
                  <c:v>7.9336599999999993E-2</c:v>
                </c:pt>
                <c:pt idx="96">
                  <c:v>9.5635399999999995E-2</c:v>
                </c:pt>
                <c:pt idx="97">
                  <c:v>0.1149796</c:v>
                </c:pt>
                <c:pt idx="98">
                  <c:v>0.1378963</c:v>
                </c:pt>
                <c:pt idx="99">
                  <c:v>0.16499759999999999</c:v>
                </c:pt>
                <c:pt idx="100">
                  <c:v>0.19193270000000001</c:v>
                </c:pt>
                <c:pt idx="101">
                  <c:v>0.2187096</c:v>
                </c:pt>
                <c:pt idx="102">
                  <c:v>0.24533099999999999</c:v>
                </c:pt>
                <c:pt idx="103">
                  <c:v>0.27179779999999998</c:v>
                </c:pt>
                <c:pt idx="104">
                  <c:v>0.29811130000000002</c:v>
                </c:pt>
                <c:pt idx="105">
                  <c:v>0.32427260000000002</c:v>
                </c:pt>
                <c:pt idx="106">
                  <c:v>0.35028300000000001</c:v>
                </c:pt>
                <c:pt idx="107">
                  <c:v>0.3761446</c:v>
                </c:pt>
                <c:pt idx="108">
                  <c:v>0.40185670000000001</c:v>
                </c:pt>
                <c:pt idx="109">
                  <c:v>0.42742229999999998</c:v>
                </c:pt>
                <c:pt idx="110">
                  <c:v>0.45284410000000003</c:v>
                </c:pt>
                <c:pt idx="111">
                  <c:v>0.47811969999999998</c:v>
                </c:pt>
                <c:pt idx="112">
                  <c:v>0.50325140000000002</c:v>
                </c:pt>
                <c:pt idx="113">
                  <c:v>0.52824260000000001</c:v>
                </c:pt>
                <c:pt idx="114">
                  <c:v>0.55309370000000002</c:v>
                </c:pt>
                <c:pt idx="115">
                  <c:v>0.57780430000000005</c:v>
                </c:pt>
                <c:pt idx="116">
                  <c:v>0.60237569999999996</c:v>
                </c:pt>
                <c:pt idx="117">
                  <c:v>0.62681039999999999</c:v>
                </c:pt>
                <c:pt idx="118">
                  <c:v>0.6511093</c:v>
                </c:pt>
                <c:pt idx="119">
                  <c:v>0.6752726</c:v>
                </c:pt>
                <c:pt idx="120">
                  <c:v>0.69930270000000005</c:v>
                </c:pt>
                <c:pt idx="121">
                  <c:v>0.7231995</c:v>
                </c:pt>
                <c:pt idx="122">
                  <c:v>0.74696580000000001</c:v>
                </c:pt>
                <c:pt idx="123">
                  <c:v>0.77059979999999995</c:v>
                </c:pt>
                <c:pt idx="124">
                  <c:v>0.79410550000000002</c:v>
                </c:pt>
                <c:pt idx="125">
                  <c:v>0.81748279999999995</c:v>
                </c:pt>
                <c:pt idx="126">
                  <c:v>0.84073240000000005</c:v>
                </c:pt>
                <c:pt idx="127">
                  <c:v>0.86385639999999997</c:v>
                </c:pt>
                <c:pt idx="128">
                  <c:v>0.88682349999999999</c:v>
                </c:pt>
                <c:pt idx="129">
                  <c:v>0.90619050000000001</c:v>
                </c:pt>
                <c:pt idx="130">
                  <c:v>0.92253359999999995</c:v>
                </c:pt>
                <c:pt idx="131">
                  <c:v>0.93633460000000002</c:v>
                </c:pt>
                <c:pt idx="132">
                  <c:v>0.94799460000000002</c:v>
                </c:pt>
                <c:pt idx="133">
                  <c:v>0.95785109999999996</c:v>
                </c:pt>
                <c:pt idx="134">
                  <c:v>0.96618599999999999</c:v>
                </c:pt>
                <c:pt idx="135">
                  <c:v>0.97323610000000005</c:v>
                </c:pt>
                <c:pt idx="136">
                  <c:v>0.97920200000000002</c:v>
                </c:pt>
                <c:pt idx="137">
                  <c:v>0.98425079999999998</c:v>
                </c:pt>
                <c:pt idx="138">
                  <c:v>0.98852519999999999</c:v>
                </c:pt>
                <c:pt idx="139">
                  <c:v>0.99214380000000002</c:v>
                </c:pt>
                <c:pt idx="140">
                  <c:v>0.99520799999999998</c:v>
                </c:pt>
                <c:pt idx="141">
                  <c:v>0.997803</c:v>
                </c:pt>
                <c:pt idx="142">
                  <c:v>1</c:v>
                </c:pt>
              </c:numCache>
            </c:numRef>
          </c:xVal>
          <c:yVal>
            <c:numRef>
              <c:f>foilmod!$G$3:$G$145</c:f>
              <c:numCache>
                <c:formatCode>General</c:formatCode>
                <c:ptCount val="143"/>
                <c:pt idx="0">
                  <c:v>0</c:v>
                </c:pt>
                <c:pt idx="1">
                  <c:v>1.3875999999999999E-3</c:v>
                </c:pt>
                <c:pt idx="2">
                  <c:v>1.6999999999999999E-3</c:v>
                </c:pt>
                <c:pt idx="3">
                  <c:v>2.6280000000000001E-3</c:v>
                </c:pt>
                <c:pt idx="4">
                  <c:v>3.8140000000000001E-3</c:v>
                </c:pt>
                <c:pt idx="5">
                  <c:v>5.0606000000000002E-3</c:v>
                </c:pt>
                <c:pt idx="6">
                  <c:v>6.7210999999999998E-3</c:v>
                </c:pt>
                <c:pt idx="7">
                  <c:v>8.2015000000000005E-3</c:v>
                </c:pt>
                <c:pt idx="8">
                  <c:v>1.0134000000000001E-2</c:v>
                </c:pt>
                <c:pt idx="9">
                  <c:v>1.20144E-2</c:v>
                </c:pt>
                <c:pt idx="10">
                  <c:v>1.47038E-2</c:v>
                </c:pt>
                <c:pt idx="11">
                  <c:v>1.7726499999999999E-2</c:v>
                </c:pt>
                <c:pt idx="12">
                  <c:v>2.1113799999999999E-2</c:v>
                </c:pt>
                <c:pt idx="13">
                  <c:v>2.5495199999999999E-2</c:v>
                </c:pt>
                <c:pt idx="14">
                  <c:v>2.9505099999999999E-2</c:v>
                </c:pt>
                <c:pt idx="15">
                  <c:v>3.5291500000000003E-2</c:v>
                </c:pt>
                <c:pt idx="16">
                  <c:v>3.9783800000000001E-2</c:v>
                </c:pt>
                <c:pt idx="17">
                  <c:v>4.4842E-2</c:v>
                </c:pt>
                <c:pt idx="18">
                  <c:v>4.9027000000000001E-2</c:v>
                </c:pt>
                <c:pt idx="19">
                  <c:v>5.3550500000000001E-2</c:v>
                </c:pt>
                <c:pt idx="20">
                  <c:v>5.7364999999999999E-2</c:v>
                </c:pt>
                <c:pt idx="21">
                  <c:v>6.1066200000000001E-2</c:v>
                </c:pt>
                <c:pt idx="22">
                  <c:v>6.4694020000000005E-2</c:v>
                </c:pt>
                <c:pt idx="23">
                  <c:v>6.7554199999999995E-2</c:v>
                </c:pt>
                <c:pt idx="24">
                  <c:v>7.0198999999999998E-2</c:v>
                </c:pt>
                <c:pt idx="25">
                  <c:v>7.2961300000000007E-2</c:v>
                </c:pt>
                <c:pt idx="26">
                  <c:v>7.5241000000000002E-2</c:v>
                </c:pt>
                <c:pt idx="27">
                  <c:v>7.7216839999999995E-2</c:v>
                </c:pt>
                <c:pt idx="28">
                  <c:v>7.8674099999999997E-2</c:v>
                </c:pt>
                <c:pt idx="29">
                  <c:v>7.9209000000000002E-2</c:v>
                </c:pt>
                <c:pt idx="30">
                  <c:v>8.0202999999999997E-2</c:v>
                </c:pt>
                <c:pt idx="31">
                  <c:v>8.0080999999999999E-2</c:v>
                </c:pt>
                <c:pt idx="32">
                  <c:v>8.0603999999999995E-2</c:v>
                </c:pt>
                <c:pt idx="33">
                  <c:v>7.9883300000000004E-2</c:v>
                </c:pt>
                <c:pt idx="34">
                  <c:v>7.9301999999999997E-2</c:v>
                </c:pt>
                <c:pt idx="35">
                  <c:v>7.8629599999999994E-2</c:v>
                </c:pt>
                <c:pt idx="36">
                  <c:v>7.7518299999999998E-2</c:v>
                </c:pt>
                <c:pt idx="37">
                  <c:v>7.5849020000000003E-2</c:v>
                </c:pt>
                <c:pt idx="38">
                  <c:v>7.3594939999999998E-2</c:v>
                </c:pt>
                <c:pt idx="39">
                  <c:v>7.1198700000000004E-2</c:v>
                </c:pt>
                <c:pt idx="40">
                  <c:v>6.8235799999999999E-2</c:v>
                </c:pt>
                <c:pt idx="41">
                  <c:v>6.5050700000000003E-2</c:v>
                </c:pt>
                <c:pt idx="42">
                  <c:v>6.16214E-2</c:v>
                </c:pt>
                <c:pt idx="43">
                  <c:v>5.7908899999999999E-2</c:v>
                </c:pt>
                <c:pt idx="44">
                  <c:v>5.3052200000000001E-2</c:v>
                </c:pt>
                <c:pt idx="45">
                  <c:v>4.8792299999999997E-2</c:v>
                </c:pt>
                <c:pt idx="46">
                  <c:v>4.47742E-2</c:v>
                </c:pt>
                <c:pt idx="47">
                  <c:v>4.0837199999999997E-2</c:v>
                </c:pt>
                <c:pt idx="48">
                  <c:v>3.7613800000000003E-2</c:v>
                </c:pt>
                <c:pt idx="49">
                  <c:v>3.41278E-2</c:v>
                </c:pt>
                <c:pt idx="50">
                  <c:v>3.1191199999999999E-2</c:v>
                </c:pt>
                <c:pt idx="51">
                  <c:v>2.8731699999999999E-2</c:v>
                </c:pt>
                <c:pt idx="52">
                  <c:v>2.6224500000000001E-2</c:v>
                </c:pt>
                <c:pt idx="53">
                  <c:v>2.3800399999999999E-2</c:v>
                </c:pt>
                <c:pt idx="54">
                  <c:v>2.1454500000000001E-2</c:v>
                </c:pt>
                <c:pt idx="55">
                  <c:v>1.9622000000000001E-2</c:v>
                </c:pt>
                <c:pt idx="56">
                  <c:v>1.7303700000000002E-2</c:v>
                </c:pt>
                <c:pt idx="57">
                  <c:v>1.5798400000000001E-2</c:v>
                </c:pt>
                <c:pt idx="58">
                  <c:v>1.36951E-2</c:v>
                </c:pt>
                <c:pt idx="59">
                  <c:v>1.22208E-2</c:v>
                </c:pt>
                <c:pt idx="60">
                  <c:v>1.07419E-2</c:v>
                </c:pt>
                <c:pt idx="61">
                  <c:v>9.2163000000000002E-3</c:v>
                </c:pt>
                <c:pt idx="62">
                  <c:v>8.2958000000000007E-3</c:v>
                </c:pt>
                <c:pt idx="63">
                  <c:v>6.5783999999999999E-3</c:v>
                </c:pt>
                <c:pt idx="64">
                  <c:v>5.8598000000000001E-3</c:v>
                </c:pt>
                <c:pt idx="65">
                  <c:v>5.1342999999999996E-3</c:v>
                </c:pt>
                <c:pt idx="66">
                  <c:v>4.0959000000000004E-3</c:v>
                </c:pt>
                <c:pt idx="67">
                  <c:v>3.1381999999999998E-3</c:v>
                </c:pt>
                <c:pt idx="68">
                  <c:v>2.2553999999999999E-3</c:v>
                </c:pt>
                <c:pt idx="69">
                  <c:v>1.4415999999999999E-3</c:v>
                </c:pt>
                <c:pt idx="70">
                  <c:v>6.914E-4</c:v>
                </c:pt>
                <c:pt idx="71">
                  <c:v>0</c:v>
                </c:pt>
                <c:pt idx="72">
                  <c:v>-6.914E-4</c:v>
                </c:pt>
                <c:pt idx="73">
                  <c:v>-1.5416E-3</c:v>
                </c:pt>
                <c:pt idx="74">
                  <c:v>-2.0554000000000002E-3</c:v>
                </c:pt>
                <c:pt idx="75">
                  <c:v>-3.1381999999999998E-3</c:v>
                </c:pt>
                <c:pt idx="76">
                  <c:v>-4.0959000000000004E-3</c:v>
                </c:pt>
                <c:pt idx="77">
                  <c:v>-5.1342999999999996E-3</c:v>
                </c:pt>
                <c:pt idx="78">
                  <c:v>-6.9598000000000004E-3</c:v>
                </c:pt>
                <c:pt idx="79">
                  <c:v>-8.9783999999999992E-3</c:v>
                </c:pt>
                <c:pt idx="80">
                  <c:v>-1.0205799999999999E-2</c:v>
                </c:pt>
                <c:pt idx="81">
                  <c:v>-1.10163E-2</c:v>
                </c:pt>
                <c:pt idx="82">
                  <c:v>-1.27419E-2</c:v>
                </c:pt>
                <c:pt idx="83">
                  <c:v>-1.3708E-2</c:v>
                </c:pt>
                <c:pt idx="84">
                  <c:v>-1.4995100000000001E-2</c:v>
                </c:pt>
                <c:pt idx="85">
                  <c:v>-1.58984E-2</c:v>
                </c:pt>
                <c:pt idx="86">
                  <c:v>-1.73537E-2</c:v>
                </c:pt>
                <c:pt idx="87">
                  <c:v>-1.8322000000000001E-2</c:v>
                </c:pt>
                <c:pt idx="88">
                  <c:v>-1.94545E-2</c:v>
                </c:pt>
                <c:pt idx="89">
                  <c:v>-2.08004E-2</c:v>
                </c:pt>
                <c:pt idx="90">
                  <c:v>-2.19245E-2</c:v>
                </c:pt>
                <c:pt idx="91">
                  <c:v>-2.3531699999999999E-2</c:v>
                </c:pt>
                <c:pt idx="92">
                  <c:v>-2.4991200000000002E-2</c:v>
                </c:pt>
                <c:pt idx="93">
                  <c:v>-2.6827799999999999E-2</c:v>
                </c:pt>
                <c:pt idx="94">
                  <c:v>-2.89138E-2</c:v>
                </c:pt>
                <c:pt idx="95">
                  <c:v>-3.0837199999999999E-2</c:v>
                </c:pt>
                <c:pt idx="96">
                  <c:v>-3.2874199999999999E-2</c:v>
                </c:pt>
                <c:pt idx="97">
                  <c:v>-3.50923E-2</c:v>
                </c:pt>
                <c:pt idx="98">
                  <c:v>-3.7452199999999998E-2</c:v>
                </c:pt>
                <c:pt idx="99">
                  <c:v>-3.9968900000000002E-2</c:v>
                </c:pt>
                <c:pt idx="100">
                  <c:v>-4.1821400000000002E-2</c:v>
                </c:pt>
                <c:pt idx="101">
                  <c:v>-4.4050699999999998E-2</c:v>
                </c:pt>
                <c:pt idx="102">
                  <c:v>-4.6035800000000002E-2</c:v>
                </c:pt>
                <c:pt idx="103">
                  <c:v>-4.8098700000000001E-2</c:v>
                </c:pt>
                <c:pt idx="104">
                  <c:v>-4.9749399999999999E-2</c:v>
                </c:pt>
                <c:pt idx="105">
                  <c:v>-5.1049020000000001E-2</c:v>
                </c:pt>
                <c:pt idx="106">
                  <c:v>-5.2518299999999997E-2</c:v>
                </c:pt>
                <c:pt idx="107">
                  <c:v>-5.3769600000000001E-2</c:v>
                </c:pt>
                <c:pt idx="108">
                  <c:v>-5.4880199999999997E-2</c:v>
                </c:pt>
                <c:pt idx="109">
                  <c:v>-5.5583300000000002E-2</c:v>
                </c:pt>
                <c:pt idx="110">
                  <c:v>-5.6435100000000002E-2</c:v>
                </c:pt>
                <c:pt idx="111">
                  <c:v>-5.6866100000000003E-2</c:v>
                </c:pt>
                <c:pt idx="112">
                  <c:v>-5.6730299999999997E-2</c:v>
                </c:pt>
                <c:pt idx="113">
                  <c:v>-5.5992090000000001E-2</c:v>
                </c:pt>
                <c:pt idx="114">
                  <c:v>-5.4974099999999998E-2</c:v>
                </c:pt>
                <c:pt idx="115">
                  <c:v>-5.3868399999999997E-2</c:v>
                </c:pt>
                <c:pt idx="116">
                  <c:v>-5.2424100000000001E-2</c:v>
                </c:pt>
                <c:pt idx="117">
                  <c:v>-5.0161299999999999E-2</c:v>
                </c:pt>
                <c:pt idx="118">
                  <c:v>-4.7898999999999997E-2</c:v>
                </c:pt>
                <c:pt idx="119">
                  <c:v>-4.49542E-2</c:v>
                </c:pt>
                <c:pt idx="120">
                  <c:v>-4.20402E-2</c:v>
                </c:pt>
                <c:pt idx="121">
                  <c:v>-3.8191200000000002E-2</c:v>
                </c:pt>
                <c:pt idx="122">
                  <c:v>-3.4736499999999997E-2</c:v>
                </c:pt>
                <c:pt idx="123">
                  <c:v>-3.0350499999999999E-2</c:v>
                </c:pt>
                <c:pt idx="124">
                  <c:v>-2.6042699999999998E-2</c:v>
                </c:pt>
                <c:pt idx="125">
                  <c:v>-2.0984200000000001E-2</c:v>
                </c:pt>
                <c:pt idx="126">
                  <c:v>-1.6583799999999999E-2</c:v>
                </c:pt>
                <c:pt idx="127">
                  <c:v>-1.1801499999999999E-2</c:v>
                </c:pt>
                <c:pt idx="128">
                  <c:v>-7.3150999999999997E-3</c:v>
                </c:pt>
                <c:pt idx="129">
                  <c:v>-3.5152E-3</c:v>
                </c:pt>
                <c:pt idx="130">
                  <c:v>-1.2538E-3</c:v>
                </c:pt>
                <c:pt idx="131">
                  <c:v>7.2650000000000004E-4</c:v>
                </c:pt>
                <c:pt idx="132">
                  <c:v>1.3037999999999999E-3</c:v>
                </c:pt>
                <c:pt idx="133">
                  <c:v>1.7811000000000001E-3</c:v>
                </c:pt>
                <c:pt idx="134">
                  <c:v>2.0584000000000002E-3</c:v>
                </c:pt>
                <c:pt idx="135">
                  <c:v>1.5357000000000001E-3</c:v>
                </c:pt>
                <c:pt idx="136">
                  <c:v>1.3129999999999999E-3</c:v>
                </c:pt>
                <c:pt idx="137">
                  <c:v>1.1130000000000001E-3</c:v>
                </c:pt>
                <c:pt idx="138">
                  <c:v>1.013E-3</c:v>
                </c:pt>
                <c:pt idx="139">
                  <c:v>5.13E-4</c:v>
                </c:pt>
                <c:pt idx="140">
                  <c:v>1.13E-4</c:v>
                </c:pt>
                <c:pt idx="141">
                  <c:v>1.2999999999999999E-5</c:v>
                </c:pt>
                <c:pt idx="1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B8-4D23-B7D7-4A80E91A9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197600"/>
        <c:axId val="208002128"/>
      </c:scatterChart>
      <c:valAx>
        <c:axId val="301197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2128"/>
        <c:crosses val="autoZero"/>
        <c:crossBetween val="midCat"/>
      </c:valAx>
      <c:valAx>
        <c:axId val="208002128"/>
        <c:scaling>
          <c:orientation val="minMax"/>
          <c:max val="0.1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9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63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foilmod!$F$3:$F$145</c:f>
              <c:numCache>
                <c:formatCode>General</c:formatCode>
                <c:ptCount val="143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0.94799460000000002</c:v>
                </c:pt>
                <c:pt idx="11">
                  <c:v>0.93633460000000002</c:v>
                </c:pt>
                <c:pt idx="12">
                  <c:v>0.92253359999999995</c:v>
                </c:pt>
                <c:pt idx="13">
                  <c:v>0.90619050000000001</c:v>
                </c:pt>
                <c:pt idx="14">
                  <c:v>0.88682349999999999</c:v>
                </c:pt>
                <c:pt idx="15">
                  <c:v>0.86385639999999997</c:v>
                </c:pt>
                <c:pt idx="16">
                  <c:v>0.84073240000000005</c:v>
                </c:pt>
                <c:pt idx="17">
                  <c:v>0.81748279999999995</c:v>
                </c:pt>
                <c:pt idx="18">
                  <c:v>0.79410550000000002</c:v>
                </c:pt>
                <c:pt idx="19">
                  <c:v>0.77059979999999995</c:v>
                </c:pt>
                <c:pt idx="20">
                  <c:v>0.74696580000000001</c:v>
                </c:pt>
                <c:pt idx="21">
                  <c:v>0.7231995</c:v>
                </c:pt>
                <c:pt idx="22">
                  <c:v>0.69930270000000005</c:v>
                </c:pt>
                <c:pt idx="23">
                  <c:v>0.6752726</c:v>
                </c:pt>
                <c:pt idx="24">
                  <c:v>0.6511093</c:v>
                </c:pt>
                <c:pt idx="25">
                  <c:v>0.62681039999999999</c:v>
                </c:pt>
                <c:pt idx="26">
                  <c:v>0.60237569999999996</c:v>
                </c:pt>
                <c:pt idx="27">
                  <c:v>0.57780430000000005</c:v>
                </c:pt>
                <c:pt idx="28">
                  <c:v>0.55309370000000002</c:v>
                </c:pt>
                <c:pt idx="29">
                  <c:v>0.52824260000000001</c:v>
                </c:pt>
                <c:pt idx="30">
                  <c:v>0.50325140000000002</c:v>
                </c:pt>
                <c:pt idx="31">
                  <c:v>0.47811969999999998</c:v>
                </c:pt>
                <c:pt idx="32">
                  <c:v>0.45284410000000003</c:v>
                </c:pt>
                <c:pt idx="33">
                  <c:v>0.42742229999999998</c:v>
                </c:pt>
                <c:pt idx="34">
                  <c:v>0.40185670000000001</c:v>
                </c:pt>
                <c:pt idx="35">
                  <c:v>0.3761446</c:v>
                </c:pt>
                <c:pt idx="36">
                  <c:v>0.35028300000000001</c:v>
                </c:pt>
                <c:pt idx="37">
                  <c:v>0.32427260000000002</c:v>
                </c:pt>
                <c:pt idx="38">
                  <c:v>0.29811130000000002</c:v>
                </c:pt>
                <c:pt idx="39">
                  <c:v>0.27179779999999998</c:v>
                </c:pt>
                <c:pt idx="40">
                  <c:v>0.24533099999999999</c:v>
                </c:pt>
                <c:pt idx="41">
                  <c:v>0.2187096</c:v>
                </c:pt>
                <c:pt idx="42">
                  <c:v>0.19193270000000001</c:v>
                </c:pt>
                <c:pt idx="43">
                  <c:v>0.16499759999999999</c:v>
                </c:pt>
                <c:pt idx="44">
                  <c:v>0.1378963</c:v>
                </c:pt>
                <c:pt idx="45">
                  <c:v>0.1149796</c:v>
                </c:pt>
                <c:pt idx="46">
                  <c:v>9.5635399999999995E-2</c:v>
                </c:pt>
                <c:pt idx="47">
                  <c:v>7.9336599999999993E-2</c:v>
                </c:pt>
                <c:pt idx="48">
                  <c:v>6.5630300000000003E-2</c:v>
                </c:pt>
                <c:pt idx="49">
                  <c:v>5.4124800000000001E-2</c:v>
                </c:pt>
                <c:pt idx="50">
                  <c:v>4.4485200000000003E-2</c:v>
                </c:pt>
                <c:pt idx="51">
                  <c:v>3.6426100000000003E-2</c:v>
                </c:pt>
                <c:pt idx="52">
                  <c:v>2.9700799999999999E-2</c:v>
                </c:pt>
                <c:pt idx="53">
                  <c:v>2.4106699999999998E-2</c:v>
                </c:pt>
                <c:pt idx="54">
                  <c:v>1.94609E-2</c:v>
                </c:pt>
                <c:pt idx="55">
                  <c:v>1.56171E-2</c:v>
                </c:pt>
                <c:pt idx="56">
                  <c:v>1.24479E-2</c:v>
                </c:pt>
                <c:pt idx="57">
                  <c:v>9.8413000000000007E-3</c:v>
                </c:pt>
                <c:pt idx="58">
                  <c:v>7.7111999999999997E-3</c:v>
                </c:pt>
                <c:pt idx="59">
                  <c:v>5.9750999999999997E-3</c:v>
                </c:pt>
                <c:pt idx="60">
                  <c:v>4.5703999999999996E-3</c:v>
                </c:pt>
                <c:pt idx="61">
                  <c:v>3.4428000000000002E-3</c:v>
                </c:pt>
                <c:pt idx="62">
                  <c:v>2.5441000000000001E-3</c:v>
                </c:pt>
                <c:pt idx="63">
                  <c:v>1.8364E-3</c:v>
                </c:pt>
                <c:pt idx="64">
                  <c:v>1.2868000000000001E-3</c:v>
                </c:pt>
                <c:pt idx="65">
                  <c:v>8.6569999999999995E-4</c:v>
                </c:pt>
                <c:pt idx="66">
                  <c:v>5.5080000000000005E-4</c:v>
                </c:pt>
                <c:pt idx="67">
                  <c:v>3.232E-4</c:v>
                </c:pt>
                <c:pt idx="68">
                  <c:v>1.6750000000000001E-4</c:v>
                </c:pt>
                <c:pt idx="69">
                  <c:v>6.9599999999999998E-5</c:v>
                </c:pt>
                <c:pt idx="70">
                  <c:v>1.6500000000000001E-5</c:v>
                </c:pt>
                <c:pt idx="71">
                  <c:v>0</c:v>
                </c:pt>
                <c:pt idx="72">
                  <c:v>1.6500000000000001E-5</c:v>
                </c:pt>
                <c:pt idx="73">
                  <c:v>6.9599999999999998E-5</c:v>
                </c:pt>
                <c:pt idx="74">
                  <c:v>1.6750000000000001E-4</c:v>
                </c:pt>
                <c:pt idx="75">
                  <c:v>3.232E-4</c:v>
                </c:pt>
                <c:pt idx="76">
                  <c:v>5.5080000000000005E-4</c:v>
                </c:pt>
                <c:pt idx="77">
                  <c:v>8.6569999999999995E-4</c:v>
                </c:pt>
                <c:pt idx="78">
                  <c:v>1.2868000000000001E-3</c:v>
                </c:pt>
                <c:pt idx="79">
                  <c:v>1.8364E-3</c:v>
                </c:pt>
                <c:pt idx="80">
                  <c:v>2.5441000000000001E-3</c:v>
                </c:pt>
                <c:pt idx="81">
                  <c:v>3.4428000000000002E-3</c:v>
                </c:pt>
                <c:pt idx="82">
                  <c:v>4.5703999999999996E-3</c:v>
                </c:pt>
                <c:pt idx="83">
                  <c:v>5.9750999999999997E-3</c:v>
                </c:pt>
                <c:pt idx="84">
                  <c:v>7.7111999999999997E-3</c:v>
                </c:pt>
                <c:pt idx="85">
                  <c:v>9.8413000000000007E-3</c:v>
                </c:pt>
                <c:pt idx="86">
                  <c:v>1.24479E-2</c:v>
                </c:pt>
                <c:pt idx="87">
                  <c:v>1.56171E-2</c:v>
                </c:pt>
                <c:pt idx="88">
                  <c:v>1.94609E-2</c:v>
                </c:pt>
                <c:pt idx="89">
                  <c:v>2.4106699999999998E-2</c:v>
                </c:pt>
                <c:pt idx="90">
                  <c:v>2.9700799999999999E-2</c:v>
                </c:pt>
                <c:pt idx="91">
                  <c:v>3.6426100000000003E-2</c:v>
                </c:pt>
                <c:pt idx="92">
                  <c:v>4.4485200000000003E-2</c:v>
                </c:pt>
                <c:pt idx="93">
                  <c:v>5.4124800000000001E-2</c:v>
                </c:pt>
                <c:pt idx="94">
                  <c:v>6.5630300000000003E-2</c:v>
                </c:pt>
                <c:pt idx="95">
                  <c:v>7.9336599999999993E-2</c:v>
                </c:pt>
                <c:pt idx="96">
                  <c:v>9.5635399999999995E-2</c:v>
                </c:pt>
                <c:pt idx="97">
                  <c:v>0.1149796</c:v>
                </c:pt>
                <c:pt idx="98">
                  <c:v>0.1378963</c:v>
                </c:pt>
                <c:pt idx="99">
                  <c:v>0.16499759999999999</c:v>
                </c:pt>
                <c:pt idx="100">
                  <c:v>0.19193270000000001</c:v>
                </c:pt>
                <c:pt idx="101">
                  <c:v>0.2187096</c:v>
                </c:pt>
                <c:pt idx="102">
                  <c:v>0.24533099999999999</c:v>
                </c:pt>
                <c:pt idx="103">
                  <c:v>0.27179779999999998</c:v>
                </c:pt>
                <c:pt idx="104">
                  <c:v>0.29811130000000002</c:v>
                </c:pt>
                <c:pt idx="105">
                  <c:v>0.32427260000000002</c:v>
                </c:pt>
                <c:pt idx="106">
                  <c:v>0.35028300000000001</c:v>
                </c:pt>
                <c:pt idx="107">
                  <c:v>0.3761446</c:v>
                </c:pt>
                <c:pt idx="108">
                  <c:v>0.40185670000000001</c:v>
                </c:pt>
                <c:pt idx="109">
                  <c:v>0.42742229999999998</c:v>
                </c:pt>
                <c:pt idx="110">
                  <c:v>0.45284410000000003</c:v>
                </c:pt>
                <c:pt idx="111">
                  <c:v>0.47811969999999998</c:v>
                </c:pt>
                <c:pt idx="112">
                  <c:v>0.50325140000000002</c:v>
                </c:pt>
                <c:pt idx="113">
                  <c:v>0.52824260000000001</c:v>
                </c:pt>
                <c:pt idx="114">
                  <c:v>0.55309370000000002</c:v>
                </c:pt>
                <c:pt idx="115">
                  <c:v>0.57780430000000005</c:v>
                </c:pt>
                <c:pt idx="116">
                  <c:v>0.60237569999999996</c:v>
                </c:pt>
                <c:pt idx="117">
                  <c:v>0.62681039999999999</c:v>
                </c:pt>
                <c:pt idx="118">
                  <c:v>0.6511093</c:v>
                </c:pt>
                <c:pt idx="119">
                  <c:v>0.6752726</c:v>
                </c:pt>
                <c:pt idx="120">
                  <c:v>0.69930270000000005</c:v>
                </c:pt>
                <c:pt idx="121">
                  <c:v>0.7231995</c:v>
                </c:pt>
                <c:pt idx="122">
                  <c:v>0.74696580000000001</c:v>
                </c:pt>
                <c:pt idx="123">
                  <c:v>0.77059979999999995</c:v>
                </c:pt>
                <c:pt idx="124">
                  <c:v>0.79410550000000002</c:v>
                </c:pt>
                <c:pt idx="125">
                  <c:v>0.81748279999999995</c:v>
                </c:pt>
                <c:pt idx="126">
                  <c:v>0.84073240000000005</c:v>
                </c:pt>
                <c:pt idx="127">
                  <c:v>0.86385639999999997</c:v>
                </c:pt>
                <c:pt idx="128">
                  <c:v>0.88682349999999999</c:v>
                </c:pt>
                <c:pt idx="129">
                  <c:v>0.90619050000000001</c:v>
                </c:pt>
                <c:pt idx="130">
                  <c:v>0.92253359999999995</c:v>
                </c:pt>
                <c:pt idx="131">
                  <c:v>0.93633460000000002</c:v>
                </c:pt>
                <c:pt idx="132">
                  <c:v>0.94799460000000002</c:v>
                </c:pt>
                <c:pt idx="133">
                  <c:v>0.95785109999999996</c:v>
                </c:pt>
                <c:pt idx="134">
                  <c:v>0.96618599999999999</c:v>
                </c:pt>
                <c:pt idx="135">
                  <c:v>0.97323610000000005</c:v>
                </c:pt>
                <c:pt idx="136">
                  <c:v>0.97920200000000002</c:v>
                </c:pt>
                <c:pt idx="137">
                  <c:v>0.98425079999999998</c:v>
                </c:pt>
                <c:pt idx="138">
                  <c:v>0.98852519999999999</c:v>
                </c:pt>
                <c:pt idx="139">
                  <c:v>0.99214380000000002</c:v>
                </c:pt>
                <c:pt idx="140">
                  <c:v>0.99520799999999998</c:v>
                </c:pt>
                <c:pt idx="141">
                  <c:v>0.997803</c:v>
                </c:pt>
                <c:pt idx="142">
                  <c:v>1</c:v>
                </c:pt>
              </c:numCache>
            </c:numRef>
          </c:xVal>
          <c:yVal>
            <c:numRef>
              <c:f>foilmod!$G$3:$G$145</c:f>
              <c:numCache>
                <c:formatCode>General</c:formatCode>
                <c:ptCount val="143"/>
                <c:pt idx="0">
                  <c:v>0</c:v>
                </c:pt>
                <c:pt idx="1">
                  <c:v>1.3875999999999999E-3</c:v>
                </c:pt>
                <c:pt idx="2">
                  <c:v>1.6999999999999999E-3</c:v>
                </c:pt>
                <c:pt idx="3">
                  <c:v>2.6280000000000001E-3</c:v>
                </c:pt>
                <c:pt idx="4">
                  <c:v>3.8140000000000001E-3</c:v>
                </c:pt>
                <c:pt idx="5">
                  <c:v>5.0606000000000002E-3</c:v>
                </c:pt>
                <c:pt idx="6">
                  <c:v>6.7210999999999998E-3</c:v>
                </c:pt>
                <c:pt idx="7">
                  <c:v>8.2015000000000005E-3</c:v>
                </c:pt>
                <c:pt idx="8">
                  <c:v>1.0134000000000001E-2</c:v>
                </c:pt>
                <c:pt idx="9">
                  <c:v>1.20144E-2</c:v>
                </c:pt>
                <c:pt idx="10">
                  <c:v>1.47038E-2</c:v>
                </c:pt>
                <c:pt idx="11">
                  <c:v>1.7726499999999999E-2</c:v>
                </c:pt>
                <c:pt idx="12">
                  <c:v>2.1113799999999999E-2</c:v>
                </c:pt>
                <c:pt idx="13">
                  <c:v>2.5495199999999999E-2</c:v>
                </c:pt>
                <c:pt idx="14">
                  <c:v>2.9505099999999999E-2</c:v>
                </c:pt>
                <c:pt idx="15">
                  <c:v>3.5291500000000003E-2</c:v>
                </c:pt>
                <c:pt idx="16">
                  <c:v>3.9783800000000001E-2</c:v>
                </c:pt>
                <c:pt idx="17">
                  <c:v>4.4842E-2</c:v>
                </c:pt>
                <c:pt idx="18">
                  <c:v>4.9027000000000001E-2</c:v>
                </c:pt>
                <c:pt idx="19">
                  <c:v>5.3550500000000001E-2</c:v>
                </c:pt>
                <c:pt idx="20">
                  <c:v>5.7364999999999999E-2</c:v>
                </c:pt>
                <c:pt idx="21">
                  <c:v>6.1066200000000001E-2</c:v>
                </c:pt>
                <c:pt idx="22">
                  <c:v>6.4694020000000005E-2</c:v>
                </c:pt>
                <c:pt idx="23">
                  <c:v>6.7554199999999995E-2</c:v>
                </c:pt>
                <c:pt idx="24">
                  <c:v>7.0198999999999998E-2</c:v>
                </c:pt>
                <c:pt idx="25">
                  <c:v>7.2961300000000007E-2</c:v>
                </c:pt>
                <c:pt idx="26">
                  <c:v>7.5241000000000002E-2</c:v>
                </c:pt>
                <c:pt idx="27">
                  <c:v>7.7216839999999995E-2</c:v>
                </c:pt>
                <c:pt idx="28">
                  <c:v>7.8674099999999997E-2</c:v>
                </c:pt>
                <c:pt idx="29">
                  <c:v>7.9209000000000002E-2</c:v>
                </c:pt>
                <c:pt idx="30">
                  <c:v>8.0202999999999997E-2</c:v>
                </c:pt>
                <c:pt idx="31">
                  <c:v>8.0080999999999999E-2</c:v>
                </c:pt>
                <c:pt idx="32">
                  <c:v>8.0603999999999995E-2</c:v>
                </c:pt>
                <c:pt idx="33">
                  <c:v>7.9883300000000004E-2</c:v>
                </c:pt>
                <c:pt idx="34">
                  <c:v>7.9301999999999997E-2</c:v>
                </c:pt>
                <c:pt idx="35">
                  <c:v>7.8629599999999994E-2</c:v>
                </c:pt>
                <c:pt idx="36">
                  <c:v>7.7518299999999998E-2</c:v>
                </c:pt>
                <c:pt idx="37">
                  <c:v>7.5849020000000003E-2</c:v>
                </c:pt>
                <c:pt idx="38">
                  <c:v>7.3594939999999998E-2</c:v>
                </c:pt>
                <c:pt idx="39">
                  <c:v>7.1198700000000004E-2</c:v>
                </c:pt>
                <c:pt idx="40">
                  <c:v>6.8235799999999999E-2</c:v>
                </c:pt>
                <c:pt idx="41">
                  <c:v>6.5050700000000003E-2</c:v>
                </c:pt>
                <c:pt idx="42">
                  <c:v>6.16214E-2</c:v>
                </c:pt>
                <c:pt idx="43">
                  <c:v>5.7908899999999999E-2</c:v>
                </c:pt>
                <c:pt idx="44">
                  <c:v>5.3052200000000001E-2</c:v>
                </c:pt>
                <c:pt idx="45">
                  <c:v>4.8792299999999997E-2</c:v>
                </c:pt>
                <c:pt idx="46">
                  <c:v>4.47742E-2</c:v>
                </c:pt>
                <c:pt idx="47">
                  <c:v>4.0837199999999997E-2</c:v>
                </c:pt>
                <c:pt idx="48">
                  <c:v>3.7613800000000003E-2</c:v>
                </c:pt>
                <c:pt idx="49">
                  <c:v>3.41278E-2</c:v>
                </c:pt>
                <c:pt idx="50">
                  <c:v>3.1191199999999999E-2</c:v>
                </c:pt>
                <c:pt idx="51">
                  <c:v>2.8731699999999999E-2</c:v>
                </c:pt>
                <c:pt idx="52">
                  <c:v>2.6224500000000001E-2</c:v>
                </c:pt>
                <c:pt idx="53">
                  <c:v>2.3800399999999999E-2</c:v>
                </c:pt>
                <c:pt idx="54">
                  <c:v>2.1454500000000001E-2</c:v>
                </c:pt>
                <c:pt idx="55">
                  <c:v>1.9622000000000001E-2</c:v>
                </c:pt>
                <c:pt idx="56">
                  <c:v>1.7303700000000002E-2</c:v>
                </c:pt>
                <c:pt idx="57">
                  <c:v>1.5798400000000001E-2</c:v>
                </c:pt>
                <c:pt idx="58">
                  <c:v>1.36951E-2</c:v>
                </c:pt>
                <c:pt idx="59">
                  <c:v>1.22208E-2</c:v>
                </c:pt>
                <c:pt idx="60">
                  <c:v>1.07419E-2</c:v>
                </c:pt>
                <c:pt idx="61">
                  <c:v>9.2163000000000002E-3</c:v>
                </c:pt>
                <c:pt idx="62">
                  <c:v>8.2958000000000007E-3</c:v>
                </c:pt>
                <c:pt idx="63">
                  <c:v>6.5783999999999999E-3</c:v>
                </c:pt>
                <c:pt idx="64">
                  <c:v>5.8598000000000001E-3</c:v>
                </c:pt>
                <c:pt idx="65">
                  <c:v>5.1342999999999996E-3</c:v>
                </c:pt>
                <c:pt idx="66">
                  <c:v>4.0959000000000004E-3</c:v>
                </c:pt>
                <c:pt idx="67">
                  <c:v>3.1381999999999998E-3</c:v>
                </c:pt>
                <c:pt idx="68">
                  <c:v>2.2553999999999999E-3</c:v>
                </c:pt>
                <c:pt idx="69">
                  <c:v>1.4415999999999999E-3</c:v>
                </c:pt>
                <c:pt idx="70">
                  <c:v>6.914E-4</c:v>
                </c:pt>
                <c:pt idx="71">
                  <c:v>0</c:v>
                </c:pt>
                <c:pt idx="72">
                  <c:v>-6.914E-4</c:v>
                </c:pt>
                <c:pt idx="73">
                  <c:v>-1.5416E-3</c:v>
                </c:pt>
                <c:pt idx="74">
                  <c:v>-2.0554000000000002E-3</c:v>
                </c:pt>
                <c:pt idx="75">
                  <c:v>-3.1381999999999998E-3</c:v>
                </c:pt>
                <c:pt idx="76">
                  <c:v>-4.0959000000000004E-3</c:v>
                </c:pt>
                <c:pt idx="77">
                  <c:v>-5.1342999999999996E-3</c:v>
                </c:pt>
                <c:pt idx="78">
                  <c:v>-6.9598000000000004E-3</c:v>
                </c:pt>
                <c:pt idx="79">
                  <c:v>-8.9783999999999992E-3</c:v>
                </c:pt>
                <c:pt idx="80">
                  <c:v>-1.0205799999999999E-2</c:v>
                </c:pt>
                <c:pt idx="81">
                  <c:v>-1.10163E-2</c:v>
                </c:pt>
                <c:pt idx="82">
                  <c:v>-1.27419E-2</c:v>
                </c:pt>
                <c:pt idx="83">
                  <c:v>-1.3708E-2</c:v>
                </c:pt>
                <c:pt idx="84">
                  <c:v>-1.4995100000000001E-2</c:v>
                </c:pt>
                <c:pt idx="85">
                  <c:v>-1.58984E-2</c:v>
                </c:pt>
                <c:pt idx="86">
                  <c:v>-1.73537E-2</c:v>
                </c:pt>
                <c:pt idx="87">
                  <c:v>-1.8322000000000001E-2</c:v>
                </c:pt>
                <c:pt idx="88">
                  <c:v>-1.94545E-2</c:v>
                </c:pt>
                <c:pt idx="89">
                  <c:v>-2.08004E-2</c:v>
                </c:pt>
                <c:pt idx="90">
                  <c:v>-2.19245E-2</c:v>
                </c:pt>
                <c:pt idx="91">
                  <c:v>-2.3531699999999999E-2</c:v>
                </c:pt>
                <c:pt idx="92">
                  <c:v>-2.4991200000000002E-2</c:v>
                </c:pt>
                <c:pt idx="93">
                  <c:v>-2.6827799999999999E-2</c:v>
                </c:pt>
                <c:pt idx="94">
                  <c:v>-2.89138E-2</c:v>
                </c:pt>
                <c:pt idx="95">
                  <c:v>-3.0837199999999999E-2</c:v>
                </c:pt>
                <c:pt idx="96">
                  <c:v>-3.2874199999999999E-2</c:v>
                </c:pt>
                <c:pt idx="97">
                  <c:v>-3.50923E-2</c:v>
                </c:pt>
                <c:pt idx="98">
                  <c:v>-3.7452199999999998E-2</c:v>
                </c:pt>
                <c:pt idx="99">
                  <c:v>-3.9968900000000002E-2</c:v>
                </c:pt>
                <c:pt idx="100">
                  <c:v>-4.1821400000000002E-2</c:v>
                </c:pt>
                <c:pt idx="101">
                  <c:v>-4.4050699999999998E-2</c:v>
                </c:pt>
                <c:pt idx="102">
                  <c:v>-4.6035800000000002E-2</c:v>
                </c:pt>
                <c:pt idx="103">
                  <c:v>-4.8098700000000001E-2</c:v>
                </c:pt>
                <c:pt idx="104">
                  <c:v>-4.9749399999999999E-2</c:v>
                </c:pt>
                <c:pt idx="105">
                  <c:v>-5.1049020000000001E-2</c:v>
                </c:pt>
                <c:pt idx="106">
                  <c:v>-5.2518299999999997E-2</c:v>
                </c:pt>
                <c:pt idx="107">
                  <c:v>-5.3769600000000001E-2</c:v>
                </c:pt>
                <c:pt idx="108">
                  <c:v>-5.4880199999999997E-2</c:v>
                </c:pt>
                <c:pt idx="109">
                  <c:v>-5.5583300000000002E-2</c:v>
                </c:pt>
                <c:pt idx="110">
                  <c:v>-5.6435100000000002E-2</c:v>
                </c:pt>
                <c:pt idx="111">
                  <c:v>-5.6866100000000003E-2</c:v>
                </c:pt>
                <c:pt idx="112">
                  <c:v>-5.6730299999999997E-2</c:v>
                </c:pt>
                <c:pt idx="113">
                  <c:v>-5.5992090000000001E-2</c:v>
                </c:pt>
                <c:pt idx="114">
                  <c:v>-5.4974099999999998E-2</c:v>
                </c:pt>
                <c:pt idx="115">
                  <c:v>-5.3868399999999997E-2</c:v>
                </c:pt>
                <c:pt idx="116">
                  <c:v>-5.2424100000000001E-2</c:v>
                </c:pt>
                <c:pt idx="117">
                  <c:v>-5.0161299999999999E-2</c:v>
                </c:pt>
                <c:pt idx="118">
                  <c:v>-4.7898999999999997E-2</c:v>
                </c:pt>
                <c:pt idx="119">
                  <c:v>-4.49542E-2</c:v>
                </c:pt>
                <c:pt idx="120">
                  <c:v>-4.20402E-2</c:v>
                </c:pt>
                <c:pt idx="121">
                  <c:v>-3.8191200000000002E-2</c:v>
                </c:pt>
                <c:pt idx="122">
                  <c:v>-3.4736499999999997E-2</c:v>
                </c:pt>
                <c:pt idx="123">
                  <c:v>-3.0350499999999999E-2</c:v>
                </c:pt>
                <c:pt idx="124">
                  <c:v>-2.6042699999999998E-2</c:v>
                </c:pt>
                <c:pt idx="125">
                  <c:v>-2.0984200000000001E-2</c:v>
                </c:pt>
                <c:pt idx="126">
                  <c:v>-1.6583799999999999E-2</c:v>
                </c:pt>
                <c:pt idx="127">
                  <c:v>-1.1801499999999999E-2</c:v>
                </c:pt>
                <c:pt idx="128">
                  <c:v>-7.3150999999999997E-3</c:v>
                </c:pt>
                <c:pt idx="129">
                  <c:v>-3.5152E-3</c:v>
                </c:pt>
                <c:pt idx="130">
                  <c:v>-1.2538E-3</c:v>
                </c:pt>
                <c:pt idx="131">
                  <c:v>7.2650000000000004E-4</c:v>
                </c:pt>
                <c:pt idx="132">
                  <c:v>1.3037999999999999E-3</c:v>
                </c:pt>
                <c:pt idx="133">
                  <c:v>1.7811000000000001E-3</c:v>
                </c:pt>
                <c:pt idx="134">
                  <c:v>2.0584000000000002E-3</c:v>
                </c:pt>
                <c:pt idx="135">
                  <c:v>1.5357000000000001E-3</c:v>
                </c:pt>
                <c:pt idx="136">
                  <c:v>1.3129999999999999E-3</c:v>
                </c:pt>
                <c:pt idx="137">
                  <c:v>1.1130000000000001E-3</c:v>
                </c:pt>
                <c:pt idx="138">
                  <c:v>1.013E-3</c:v>
                </c:pt>
                <c:pt idx="139">
                  <c:v>5.13E-4</c:v>
                </c:pt>
                <c:pt idx="140">
                  <c:v>1.13E-4</c:v>
                </c:pt>
                <c:pt idx="141">
                  <c:v>1.2999999999999999E-5</c:v>
                </c:pt>
                <c:pt idx="1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0-4CD6-B102-1A81E0FC8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197600"/>
        <c:axId val="208002128"/>
      </c:scatterChart>
      <c:valAx>
        <c:axId val="301197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2128"/>
        <c:crosses val="autoZero"/>
        <c:crossBetween val="midCat"/>
      </c:valAx>
      <c:valAx>
        <c:axId val="208002128"/>
        <c:scaling>
          <c:orientation val="minMax"/>
          <c:max val="0.1"/>
          <c:min val="-7.500000000000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97600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175">
                <a:solidFill>
                  <a:srgbClr val="FFFF00"/>
                </a:solidFill>
              </a:ln>
              <a:effectLst/>
            </c:spPr>
          </c:marker>
          <c:xVal>
            <c:numRef>
              <c:f>'49_point'!$G$2:$G$50</c:f>
              <c:numCache>
                <c:formatCode>0.00000</c:formatCode>
                <c:ptCount val="49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0.93633460000000002</c:v>
                </c:pt>
                <c:pt idx="11">
                  <c:v>0.90619050000000001</c:v>
                </c:pt>
                <c:pt idx="12">
                  <c:v>0.84073240000000005</c:v>
                </c:pt>
                <c:pt idx="13">
                  <c:v>0.79410550000000002</c:v>
                </c:pt>
                <c:pt idx="14">
                  <c:v>0.74696580000000001</c:v>
                </c:pt>
                <c:pt idx="15">
                  <c:v>0.69930270000000005</c:v>
                </c:pt>
                <c:pt idx="16">
                  <c:v>0.6511093</c:v>
                </c:pt>
                <c:pt idx="17">
                  <c:v>0.60237569999999996</c:v>
                </c:pt>
                <c:pt idx="18">
                  <c:v>0.55309370000000002</c:v>
                </c:pt>
                <c:pt idx="19">
                  <c:v>0.50325140000000002</c:v>
                </c:pt>
                <c:pt idx="20">
                  <c:v>0.47811969999999998</c:v>
                </c:pt>
                <c:pt idx="21">
                  <c:v>0.42742229999999998</c:v>
                </c:pt>
                <c:pt idx="22">
                  <c:v>0.3761446</c:v>
                </c:pt>
                <c:pt idx="23">
                  <c:v>0.32427260000000002</c:v>
                </c:pt>
                <c:pt idx="24">
                  <c:v>0.29811130000000002</c:v>
                </c:pt>
                <c:pt idx="25">
                  <c:v>0.24533099999999999</c:v>
                </c:pt>
                <c:pt idx="26">
                  <c:v>0.19193270000000001</c:v>
                </c:pt>
                <c:pt idx="27">
                  <c:v>0.1378963</c:v>
                </c:pt>
                <c:pt idx="28">
                  <c:v>9.5635399999999995E-2</c:v>
                </c:pt>
                <c:pt idx="29">
                  <c:v>4.4485200000000003E-2</c:v>
                </c:pt>
                <c:pt idx="30">
                  <c:v>2.4106699999999998E-2</c:v>
                </c:pt>
                <c:pt idx="31">
                  <c:v>1.94609E-2</c:v>
                </c:pt>
                <c:pt idx="32">
                  <c:v>1.56171E-2</c:v>
                </c:pt>
                <c:pt idx="33">
                  <c:v>1.24479E-2</c:v>
                </c:pt>
                <c:pt idx="34">
                  <c:v>9.8413000000000007E-3</c:v>
                </c:pt>
                <c:pt idx="35">
                  <c:v>7.7111999999999997E-3</c:v>
                </c:pt>
                <c:pt idx="36">
                  <c:v>5.9750999999999997E-3</c:v>
                </c:pt>
                <c:pt idx="37">
                  <c:v>4.5703999999999996E-3</c:v>
                </c:pt>
                <c:pt idx="38">
                  <c:v>3.4428000000000002E-3</c:v>
                </c:pt>
                <c:pt idx="39">
                  <c:v>2.5441000000000001E-3</c:v>
                </c:pt>
                <c:pt idx="40">
                  <c:v>1.8364E-3</c:v>
                </c:pt>
                <c:pt idx="41">
                  <c:v>1.2868000000000001E-3</c:v>
                </c:pt>
                <c:pt idx="42">
                  <c:v>8.6569999999999995E-4</c:v>
                </c:pt>
                <c:pt idx="43">
                  <c:v>5.5080000000000005E-4</c:v>
                </c:pt>
                <c:pt idx="44">
                  <c:v>3.232E-4</c:v>
                </c:pt>
                <c:pt idx="45">
                  <c:v>1.6750000000000001E-4</c:v>
                </c:pt>
                <c:pt idx="46">
                  <c:v>6.9599999999999998E-5</c:v>
                </c:pt>
                <c:pt idx="47">
                  <c:v>1.6500000000000001E-5</c:v>
                </c:pt>
                <c:pt idx="48">
                  <c:v>0</c:v>
                </c:pt>
              </c:numCache>
            </c:numRef>
          </c:xVal>
          <c:yVal>
            <c:numRef>
              <c:f>'49_point'!$H$2:$H$50</c:f>
              <c:numCache>
                <c:formatCode>0.00000</c:formatCode>
                <c:ptCount val="49"/>
                <c:pt idx="0">
                  <c:v>0</c:v>
                </c:pt>
                <c:pt idx="1">
                  <c:v>1.3875999999999999E-3</c:v>
                </c:pt>
                <c:pt idx="2">
                  <c:v>1.6999999999999999E-3</c:v>
                </c:pt>
                <c:pt idx="3">
                  <c:v>2.6280000000000001E-3</c:v>
                </c:pt>
                <c:pt idx="4">
                  <c:v>3.8140000000000001E-3</c:v>
                </c:pt>
                <c:pt idx="5">
                  <c:v>5.0606000000000002E-3</c:v>
                </c:pt>
                <c:pt idx="6">
                  <c:v>6.7210999999999998E-3</c:v>
                </c:pt>
                <c:pt idx="7">
                  <c:v>8.2015000000000005E-3</c:v>
                </c:pt>
                <c:pt idx="8">
                  <c:v>1.0134000000000001E-2</c:v>
                </c:pt>
                <c:pt idx="9">
                  <c:v>1.20144E-2</c:v>
                </c:pt>
                <c:pt idx="10">
                  <c:v>1.7726499999999999E-2</c:v>
                </c:pt>
                <c:pt idx="11">
                  <c:v>2.5495199999999999E-2</c:v>
                </c:pt>
                <c:pt idx="12">
                  <c:v>3.9783800000000001E-2</c:v>
                </c:pt>
                <c:pt idx="13">
                  <c:v>4.9027000000000001E-2</c:v>
                </c:pt>
                <c:pt idx="14">
                  <c:v>5.7364999999999999E-2</c:v>
                </c:pt>
                <c:pt idx="15">
                  <c:v>6.4694020000000005E-2</c:v>
                </c:pt>
                <c:pt idx="16">
                  <c:v>7.0198999999999998E-2</c:v>
                </c:pt>
                <c:pt idx="17">
                  <c:v>7.5241000000000002E-2</c:v>
                </c:pt>
                <c:pt idx="18">
                  <c:v>7.8674099999999997E-2</c:v>
                </c:pt>
                <c:pt idx="19">
                  <c:v>8.0202999999999997E-2</c:v>
                </c:pt>
                <c:pt idx="20">
                  <c:v>8.0080999999999999E-2</c:v>
                </c:pt>
                <c:pt idx="21">
                  <c:v>7.9883300000000004E-2</c:v>
                </c:pt>
                <c:pt idx="22">
                  <c:v>7.8629599999999994E-2</c:v>
                </c:pt>
                <c:pt idx="23">
                  <c:v>7.5849020000000003E-2</c:v>
                </c:pt>
                <c:pt idx="24">
                  <c:v>7.3594939999999998E-2</c:v>
                </c:pt>
                <c:pt idx="25">
                  <c:v>6.8235799999999999E-2</c:v>
                </c:pt>
                <c:pt idx="26">
                  <c:v>6.16214E-2</c:v>
                </c:pt>
                <c:pt idx="27">
                  <c:v>5.3052200000000001E-2</c:v>
                </c:pt>
                <c:pt idx="28">
                  <c:v>4.47742E-2</c:v>
                </c:pt>
                <c:pt idx="29">
                  <c:v>3.1191199999999999E-2</c:v>
                </c:pt>
                <c:pt idx="30">
                  <c:v>2.3800399999999999E-2</c:v>
                </c:pt>
                <c:pt idx="31">
                  <c:v>2.1454500000000001E-2</c:v>
                </c:pt>
                <c:pt idx="32">
                  <c:v>1.9622000000000001E-2</c:v>
                </c:pt>
                <c:pt idx="33">
                  <c:v>1.7303700000000002E-2</c:v>
                </c:pt>
                <c:pt idx="34">
                  <c:v>1.5798400000000001E-2</c:v>
                </c:pt>
                <c:pt idx="35">
                  <c:v>1.36951E-2</c:v>
                </c:pt>
                <c:pt idx="36">
                  <c:v>1.22208E-2</c:v>
                </c:pt>
                <c:pt idx="37">
                  <c:v>1.07419E-2</c:v>
                </c:pt>
                <c:pt idx="38">
                  <c:v>9.2163000000000002E-3</c:v>
                </c:pt>
                <c:pt idx="39">
                  <c:v>8.2958000000000007E-3</c:v>
                </c:pt>
                <c:pt idx="40">
                  <c:v>6.5783999999999999E-3</c:v>
                </c:pt>
                <c:pt idx="41">
                  <c:v>5.8598000000000001E-3</c:v>
                </c:pt>
                <c:pt idx="42">
                  <c:v>5.1342999999999996E-3</c:v>
                </c:pt>
                <c:pt idx="43">
                  <c:v>4.0959000000000004E-3</c:v>
                </c:pt>
                <c:pt idx="44">
                  <c:v>3.1381999999999998E-3</c:v>
                </c:pt>
                <c:pt idx="45">
                  <c:v>2.2553999999999999E-3</c:v>
                </c:pt>
                <c:pt idx="46">
                  <c:v>1.4415999999999999E-3</c:v>
                </c:pt>
                <c:pt idx="47">
                  <c:v>6.914E-4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50-4F9D-B087-9531925F9403}"/>
            </c:ext>
          </c:extLst>
        </c:ser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'49_point'!$G$2:$G$50</c:f>
              <c:numCache>
                <c:formatCode>0.00000</c:formatCode>
                <c:ptCount val="49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0.93633460000000002</c:v>
                </c:pt>
                <c:pt idx="11">
                  <c:v>0.90619050000000001</c:v>
                </c:pt>
                <c:pt idx="12">
                  <c:v>0.84073240000000005</c:v>
                </c:pt>
                <c:pt idx="13">
                  <c:v>0.79410550000000002</c:v>
                </c:pt>
                <c:pt idx="14">
                  <c:v>0.74696580000000001</c:v>
                </c:pt>
                <c:pt idx="15">
                  <c:v>0.69930270000000005</c:v>
                </c:pt>
                <c:pt idx="16">
                  <c:v>0.6511093</c:v>
                </c:pt>
                <c:pt idx="17">
                  <c:v>0.60237569999999996</c:v>
                </c:pt>
                <c:pt idx="18">
                  <c:v>0.55309370000000002</c:v>
                </c:pt>
                <c:pt idx="19">
                  <c:v>0.50325140000000002</c:v>
                </c:pt>
                <c:pt idx="20">
                  <c:v>0.47811969999999998</c:v>
                </c:pt>
                <c:pt idx="21">
                  <c:v>0.42742229999999998</c:v>
                </c:pt>
                <c:pt idx="22">
                  <c:v>0.3761446</c:v>
                </c:pt>
                <c:pt idx="23">
                  <c:v>0.32427260000000002</c:v>
                </c:pt>
                <c:pt idx="24">
                  <c:v>0.29811130000000002</c:v>
                </c:pt>
                <c:pt idx="25">
                  <c:v>0.24533099999999999</c:v>
                </c:pt>
                <c:pt idx="26">
                  <c:v>0.19193270000000001</c:v>
                </c:pt>
                <c:pt idx="27">
                  <c:v>0.1378963</c:v>
                </c:pt>
                <c:pt idx="28">
                  <c:v>9.5635399999999995E-2</c:v>
                </c:pt>
                <c:pt idx="29">
                  <c:v>4.4485200000000003E-2</c:v>
                </c:pt>
                <c:pt idx="30">
                  <c:v>2.4106699999999998E-2</c:v>
                </c:pt>
                <c:pt idx="31">
                  <c:v>1.94609E-2</c:v>
                </c:pt>
                <c:pt idx="32">
                  <c:v>1.56171E-2</c:v>
                </c:pt>
                <c:pt idx="33">
                  <c:v>1.24479E-2</c:v>
                </c:pt>
                <c:pt idx="34">
                  <c:v>9.8413000000000007E-3</c:v>
                </c:pt>
                <c:pt idx="35">
                  <c:v>7.7111999999999997E-3</c:v>
                </c:pt>
                <c:pt idx="36">
                  <c:v>5.9750999999999997E-3</c:v>
                </c:pt>
                <c:pt idx="37">
                  <c:v>4.5703999999999996E-3</c:v>
                </c:pt>
                <c:pt idx="38">
                  <c:v>3.4428000000000002E-3</c:v>
                </c:pt>
                <c:pt idx="39">
                  <c:v>2.5441000000000001E-3</c:v>
                </c:pt>
                <c:pt idx="40">
                  <c:v>1.8364E-3</c:v>
                </c:pt>
                <c:pt idx="41">
                  <c:v>1.2868000000000001E-3</c:v>
                </c:pt>
                <c:pt idx="42">
                  <c:v>8.6569999999999995E-4</c:v>
                </c:pt>
                <c:pt idx="43">
                  <c:v>5.5080000000000005E-4</c:v>
                </c:pt>
                <c:pt idx="44">
                  <c:v>3.232E-4</c:v>
                </c:pt>
                <c:pt idx="45">
                  <c:v>1.6750000000000001E-4</c:v>
                </c:pt>
                <c:pt idx="46">
                  <c:v>6.9599999999999998E-5</c:v>
                </c:pt>
                <c:pt idx="47">
                  <c:v>1.6500000000000001E-5</c:v>
                </c:pt>
                <c:pt idx="48">
                  <c:v>0</c:v>
                </c:pt>
              </c:numCache>
            </c:numRef>
          </c:xVal>
          <c:yVal>
            <c:numRef>
              <c:f>'49_point'!$I$2:$I$50</c:f>
              <c:numCache>
                <c:formatCode>0.00000</c:formatCode>
                <c:ptCount val="49"/>
                <c:pt idx="0">
                  <c:v>0</c:v>
                </c:pt>
                <c:pt idx="1">
                  <c:v>1.2999999999999999E-5</c:v>
                </c:pt>
                <c:pt idx="2">
                  <c:v>1.13E-4</c:v>
                </c:pt>
                <c:pt idx="3">
                  <c:v>5.13E-4</c:v>
                </c:pt>
                <c:pt idx="4">
                  <c:v>1.013E-3</c:v>
                </c:pt>
                <c:pt idx="5">
                  <c:v>1.1130000000000001E-3</c:v>
                </c:pt>
                <c:pt idx="6">
                  <c:v>1.3129999999999999E-3</c:v>
                </c:pt>
                <c:pt idx="7">
                  <c:v>1.5357000000000001E-3</c:v>
                </c:pt>
                <c:pt idx="8">
                  <c:v>2.0584000000000002E-3</c:v>
                </c:pt>
                <c:pt idx="9">
                  <c:v>1.7811000000000001E-3</c:v>
                </c:pt>
                <c:pt idx="10">
                  <c:v>7.2650000000000004E-4</c:v>
                </c:pt>
                <c:pt idx="11">
                  <c:v>-3.5152E-3</c:v>
                </c:pt>
                <c:pt idx="12">
                  <c:v>-1.6583799999999999E-2</c:v>
                </c:pt>
                <c:pt idx="13">
                  <c:v>-2.6042699999999998E-2</c:v>
                </c:pt>
                <c:pt idx="14">
                  <c:v>-3.4736499999999997E-2</c:v>
                </c:pt>
                <c:pt idx="15">
                  <c:v>-4.20402E-2</c:v>
                </c:pt>
                <c:pt idx="16">
                  <c:v>-4.7898999999999997E-2</c:v>
                </c:pt>
                <c:pt idx="17">
                  <c:v>-5.2424100000000001E-2</c:v>
                </c:pt>
                <c:pt idx="18">
                  <c:v>-5.4974099999999998E-2</c:v>
                </c:pt>
                <c:pt idx="19">
                  <c:v>-5.6730299999999997E-2</c:v>
                </c:pt>
                <c:pt idx="20">
                  <c:v>-5.6866100000000003E-2</c:v>
                </c:pt>
                <c:pt idx="21">
                  <c:v>-5.5583300000000002E-2</c:v>
                </c:pt>
                <c:pt idx="22">
                  <c:v>-5.3769600000000001E-2</c:v>
                </c:pt>
                <c:pt idx="23">
                  <c:v>-5.1049020000000001E-2</c:v>
                </c:pt>
                <c:pt idx="24">
                  <c:v>-4.9749399999999999E-2</c:v>
                </c:pt>
                <c:pt idx="25">
                  <c:v>-4.6035800000000002E-2</c:v>
                </c:pt>
                <c:pt idx="26">
                  <c:v>-4.1821400000000002E-2</c:v>
                </c:pt>
                <c:pt idx="27">
                  <c:v>-3.7452199999999998E-2</c:v>
                </c:pt>
                <c:pt idx="28">
                  <c:v>-3.2874199999999999E-2</c:v>
                </c:pt>
                <c:pt idx="29">
                  <c:v>-2.4991200000000002E-2</c:v>
                </c:pt>
                <c:pt idx="30">
                  <c:v>-2.08004E-2</c:v>
                </c:pt>
                <c:pt idx="31">
                  <c:v>-1.94545E-2</c:v>
                </c:pt>
                <c:pt idx="32">
                  <c:v>-1.8322000000000001E-2</c:v>
                </c:pt>
                <c:pt idx="33">
                  <c:v>-1.73537E-2</c:v>
                </c:pt>
                <c:pt idx="34">
                  <c:v>-1.58984E-2</c:v>
                </c:pt>
                <c:pt idx="35">
                  <c:v>-1.4995100000000001E-2</c:v>
                </c:pt>
                <c:pt idx="36">
                  <c:v>-1.3708E-2</c:v>
                </c:pt>
                <c:pt idx="37">
                  <c:v>-1.27419E-2</c:v>
                </c:pt>
                <c:pt idx="38">
                  <c:v>-1.10163E-2</c:v>
                </c:pt>
                <c:pt idx="39">
                  <c:v>-1.0205799999999999E-2</c:v>
                </c:pt>
                <c:pt idx="40">
                  <c:v>-8.9783999999999992E-3</c:v>
                </c:pt>
                <c:pt idx="41">
                  <c:v>-6.9598000000000004E-3</c:v>
                </c:pt>
                <c:pt idx="42">
                  <c:v>-5.1342999999999996E-3</c:v>
                </c:pt>
                <c:pt idx="43">
                  <c:v>-4.0959000000000004E-3</c:v>
                </c:pt>
                <c:pt idx="44">
                  <c:v>-3.1381999999999998E-3</c:v>
                </c:pt>
                <c:pt idx="45">
                  <c:v>-2.0554000000000002E-3</c:v>
                </c:pt>
                <c:pt idx="46">
                  <c:v>-1.5416E-3</c:v>
                </c:pt>
                <c:pt idx="47">
                  <c:v>-6.914E-4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50-4F9D-B087-9531925F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7568"/>
        <c:axId val="219562976"/>
      </c:scatterChart>
      <c:valAx>
        <c:axId val="20958756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62976"/>
        <c:crosses val="autoZero"/>
        <c:crossBetween val="midCat"/>
        <c:majorUnit val="0.1"/>
      </c:valAx>
      <c:valAx>
        <c:axId val="219562976"/>
        <c:scaling>
          <c:orientation val="minMax"/>
          <c:max val="0.1"/>
          <c:min val="-7.500000000000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7568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Fuselage Station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685471013736018E-2"/>
          <c:y val="0.16484438675612015"/>
          <c:w val="0.89988665872999296"/>
          <c:h val="0.7862667414639574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('Body Coordinate'!$E$5:$E$24,'Body Coordinate'!$N$27:$N$46)</c:f>
              <c:numCache>
                <c:formatCode>0.00</c:formatCode>
                <c:ptCount val="40"/>
                <c:pt idx="0">
                  <c:v>0</c:v>
                </c:pt>
                <c:pt idx="1">
                  <c:v>0.2</c:v>
                </c:pt>
                <c:pt idx="2">
                  <c:v>0.7</c:v>
                </c:pt>
                <c:pt idx="3">
                  <c:v>1.6</c:v>
                </c:pt>
                <c:pt idx="4">
                  <c:v>2.5</c:v>
                </c:pt>
                <c:pt idx="5">
                  <c:v>3.5368421052632</c:v>
                </c:pt>
                <c:pt idx="6">
                  <c:v>6.4105263157895198</c:v>
                </c:pt>
                <c:pt idx="7">
                  <c:v>7.4789473684210197</c:v>
                </c:pt>
                <c:pt idx="8">
                  <c:v>8.5473684210526208</c:v>
                </c:pt>
                <c:pt idx="9">
                  <c:v>9.6157894736842202</c:v>
                </c:pt>
                <c:pt idx="10">
                  <c:v>10.6842105263158</c:v>
                </c:pt>
                <c:pt idx="11">
                  <c:v>11.752631578947399</c:v>
                </c:pt>
                <c:pt idx="12">
                  <c:v>12.821052631579001</c:v>
                </c:pt>
                <c:pt idx="13">
                  <c:v>13.8894736842105</c:v>
                </c:pt>
                <c:pt idx="14">
                  <c:v>14.9578947368421</c:v>
                </c:pt>
                <c:pt idx="15">
                  <c:v>16.026315789473699</c:v>
                </c:pt>
                <c:pt idx="16">
                  <c:v>17.094736842105299</c:v>
                </c:pt>
                <c:pt idx="17">
                  <c:v>18.163157894736798</c:v>
                </c:pt>
                <c:pt idx="18">
                  <c:v>19.350000000000001</c:v>
                </c:pt>
                <c:pt idx="19">
                  <c:v>19.515000000000001</c:v>
                </c:pt>
                <c:pt idx="20">
                  <c:v>19.515000000000001</c:v>
                </c:pt>
                <c:pt idx="21">
                  <c:v>19.350000000000001</c:v>
                </c:pt>
                <c:pt idx="22">
                  <c:v>18.163157894736798</c:v>
                </c:pt>
                <c:pt idx="23">
                  <c:v>17.094736842105299</c:v>
                </c:pt>
                <c:pt idx="24">
                  <c:v>16.026315789473699</c:v>
                </c:pt>
                <c:pt idx="25">
                  <c:v>14.9578947368421</c:v>
                </c:pt>
                <c:pt idx="26">
                  <c:v>13.8894736842105</c:v>
                </c:pt>
                <c:pt idx="27">
                  <c:v>12.821052631579001</c:v>
                </c:pt>
                <c:pt idx="28">
                  <c:v>11.752631578947399</c:v>
                </c:pt>
                <c:pt idx="29">
                  <c:v>10.6842105263158</c:v>
                </c:pt>
                <c:pt idx="30">
                  <c:v>9.6157894736842202</c:v>
                </c:pt>
                <c:pt idx="31">
                  <c:v>8.5473684210526208</c:v>
                </c:pt>
                <c:pt idx="32">
                  <c:v>7.4789473684210197</c:v>
                </c:pt>
                <c:pt idx="33">
                  <c:v>6.4105263157895198</c:v>
                </c:pt>
                <c:pt idx="34">
                  <c:v>3.5368421052632</c:v>
                </c:pt>
                <c:pt idx="35">
                  <c:v>2.5</c:v>
                </c:pt>
                <c:pt idx="36">
                  <c:v>1.6</c:v>
                </c:pt>
                <c:pt idx="37">
                  <c:v>0.7</c:v>
                </c:pt>
                <c:pt idx="38">
                  <c:v>0.2</c:v>
                </c:pt>
                <c:pt idx="39">
                  <c:v>0</c:v>
                </c:pt>
              </c:numCache>
            </c:numRef>
          </c:xVal>
          <c:yVal>
            <c:numRef>
              <c:f>('Body Coordinate'!$F$5:$F$24,'Body Coordinate'!$O$27:$O$46)</c:f>
              <c:numCache>
                <c:formatCode>0.00</c:formatCode>
                <c:ptCount val="40"/>
                <c:pt idx="0">
                  <c:v>0</c:v>
                </c:pt>
                <c:pt idx="1">
                  <c:v>0.18</c:v>
                </c:pt>
                <c:pt idx="2">
                  <c:v>0.48</c:v>
                </c:pt>
                <c:pt idx="3">
                  <c:v>0.78</c:v>
                </c:pt>
                <c:pt idx="4">
                  <c:v>1.35</c:v>
                </c:pt>
                <c:pt idx="5">
                  <c:v>1.7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1.79</c:v>
                </c:pt>
                <c:pt idx="13">
                  <c:v>1.75</c:v>
                </c:pt>
                <c:pt idx="14">
                  <c:v>1.68</c:v>
                </c:pt>
                <c:pt idx="15">
                  <c:v>1.6</c:v>
                </c:pt>
                <c:pt idx="16">
                  <c:v>1.53</c:v>
                </c:pt>
                <c:pt idx="17">
                  <c:v>1.45</c:v>
                </c:pt>
                <c:pt idx="18">
                  <c:v>1.34</c:v>
                </c:pt>
                <c:pt idx="19">
                  <c:v>1.25</c:v>
                </c:pt>
                <c:pt idx="20">
                  <c:v>1.25</c:v>
                </c:pt>
                <c:pt idx="21">
                  <c:v>0.9</c:v>
                </c:pt>
                <c:pt idx="22">
                  <c:v>0.4</c:v>
                </c:pt>
                <c:pt idx="23">
                  <c:v>0.1</c:v>
                </c:pt>
                <c:pt idx="24">
                  <c:v>-0.12</c:v>
                </c:pt>
                <c:pt idx="25">
                  <c:v>-0.36</c:v>
                </c:pt>
                <c:pt idx="26">
                  <c:v>-0.5</c:v>
                </c:pt>
                <c:pt idx="27">
                  <c:v>-0.62</c:v>
                </c:pt>
                <c:pt idx="28">
                  <c:v>-0.73</c:v>
                </c:pt>
                <c:pt idx="29">
                  <c:v>-0.77</c:v>
                </c:pt>
                <c:pt idx="30">
                  <c:v>-0.82099999999999995</c:v>
                </c:pt>
                <c:pt idx="31">
                  <c:v>-0.82399999999999995</c:v>
                </c:pt>
                <c:pt idx="32">
                  <c:v>-0.78</c:v>
                </c:pt>
                <c:pt idx="33">
                  <c:v>-0.69399999999999995</c:v>
                </c:pt>
                <c:pt idx="34">
                  <c:v>-0.62</c:v>
                </c:pt>
                <c:pt idx="35">
                  <c:v>-0.56000000000000005</c:v>
                </c:pt>
                <c:pt idx="36">
                  <c:v>-0.5</c:v>
                </c:pt>
                <c:pt idx="37">
                  <c:v>-0.35</c:v>
                </c:pt>
                <c:pt idx="38">
                  <c:v>-0.13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60-4CEA-80FF-CEC943487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699776"/>
        <c:axId val="179772064"/>
      </c:scatterChart>
      <c:valAx>
        <c:axId val="32769977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72064"/>
        <c:crosses val="autoZero"/>
        <c:crossBetween val="midCat"/>
        <c:majorUnit val="2.5"/>
      </c:valAx>
      <c:valAx>
        <c:axId val="179772064"/>
        <c:scaling>
          <c:orientation val="minMax"/>
          <c:max val="7.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solidFill>
            <a:sysClr val="window" lastClr="FFFFFF"/>
          </a:solidFill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99776"/>
        <c:crosses val="autoZero"/>
        <c:crossBetween val="midCat"/>
        <c:majorUnit val="1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Fuselage Station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685471013736018E-2"/>
          <c:y val="0.16484438675612015"/>
          <c:w val="0.89988665872999296"/>
          <c:h val="0.7862667414639574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('Body Coordinate'!$E$5:$E$24,'Body Coordinate'!$N$27:$N$46)</c:f>
              <c:numCache>
                <c:formatCode>0.00</c:formatCode>
                <c:ptCount val="40"/>
                <c:pt idx="0">
                  <c:v>0</c:v>
                </c:pt>
                <c:pt idx="1">
                  <c:v>0.2</c:v>
                </c:pt>
                <c:pt idx="2">
                  <c:v>0.7</c:v>
                </c:pt>
                <c:pt idx="3">
                  <c:v>1.6</c:v>
                </c:pt>
                <c:pt idx="4">
                  <c:v>2.5</c:v>
                </c:pt>
                <c:pt idx="5">
                  <c:v>3.5368421052632</c:v>
                </c:pt>
                <c:pt idx="6">
                  <c:v>6.4105263157895198</c:v>
                </c:pt>
                <c:pt idx="7">
                  <c:v>7.4789473684210197</c:v>
                </c:pt>
                <c:pt idx="8">
                  <c:v>8.5473684210526208</c:v>
                </c:pt>
                <c:pt idx="9">
                  <c:v>9.6157894736842202</c:v>
                </c:pt>
                <c:pt idx="10">
                  <c:v>10.6842105263158</c:v>
                </c:pt>
                <c:pt idx="11">
                  <c:v>11.752631578947399</c:v>
                </c:pt>
                <c:pt idx="12">
                  <c:v>12.821052631579001</c:v>
                </c:pt>
                <c:pt idx="13">
                  <c:v>13.8894736842105</c:v>
                </c:pt>
                <c:pt idx="14">
                  <c:v>14.9578947368421</c:v>
                </c:pt>
                <c:pt idx="15">
                  <c:v>16.026315789473699</c:v>
                </c:pt>
                <c:pt idx="16">
                  <c:v>17.094736842105299</c:v>
                </c:pt>
                <c:pt idx="17">
                  <c:v>18.163157894736798</c:v>
                </c:pt>
                <c:pt idx="18">
                  <c:v>19.350000000000001</c:v>
                </c:pt>
                <c:pt idx="19">
                  <c:v>19.515000000000001</c:v>
                </c:pt>
                <c:pt idx="20">
                  <c:v>19.515000000000001</c:v>
                </c:pt>
                <c:pt idx="21">
                  <c:v>19.350000000000001</c:v>
                </c:pt>
                <c:pt idx="22">
                  <c:v>18.163157894736798</c:v>
                </c:pt>
                <c:pt idx="23">
                  <c:v>17.094736842105299</c:v>
                </c:pt>
                <c:pt idx="24">
                  <c:v>16.026315789473699</c:v>
                </c:pt>
                <c:pt idx="25">
                  <c:v>14.9578947368421</c:v>
                </c:pt>
                <c:pt idx="26">
                  <c:v>13.8894736842105</c:v>
                </c:pt>
                <c:pt idx="27">
                  <c:v>12.821052631579001</c:v>
                </c:pt>
                <c:pt idx="28">
                  <c:v>11.752631578947399</c:v>
                </c:pt>
                <c:pt idx="29">
                  <c:v>10.6842105263158</c:v>
                </c:pt>
                <c:pt idx="30">
                  <c:v>9.6157894736842202</c:v>
                </c:pt>
                <c:pt idx="31">
                  <c:v>8.5473684210526208</c:v>
                </c:pt>
                <c:pt idx="32">
                  <c:v>7.4789473684210197</c:v>
                </c:pt>
                <c:pt idx="33">
                  <c:v>6.4105263157895198</c:v>
                </c:pt>
                <c:pt idx="34">
                  <c:v>3.5368421052632</c:v>
                </c:pt>
                <c:pt idx="35">
                  <c:v>2.5</c:v>
                </c:pt>
                <c:pt idx="36">
                  <c:v>1.6</c:v>
                </c:pt>
                <c:pt idx="37">
                  <c:v>0.7</c:v>
                </c:pt>
                <c:pt idx="38">
                  <c:v>0.2</c:v>
                </c:pt>
                <c:pt idx="39">
                  <c:v>0</c:v>
                </c:pt>
              </c:numCache>
            </c:numRef>
          </c:xVal>
          <c:yVal>
            <c:numRef>
              <c:f>('Body Coordinate'!$F$5:$F$24,'Body Coordinate'!$O$27:$O$46)</c:f>
              <c:numCache>
                <c:formatCode>0.00</c:formatCode>
                <c:ptCount val="40"/>
                <c:pt idx="0">
                  <c:v>0</c:v>
                </c:pt>
                <c:pt idx="1">
                  <c:v>0.18</c:v>
                </c:pt>
                <c:pt idx="2">
                  <c:v>0.48</c:v>
                </c:pt>
                <c:pt idx="3">
                  <c:v>0.78</c:v>
                </c:pt>
                <c:pt idx="4">
                  <c:v>1.35</c:v>
                </c:pt>
                <c:pt idx="5">
                  <c:v>1.7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1.79</c:v>
                </c:pt>
                <c:pt idx="13">
                  <c:v>1.75</c:v>
                </c:pt>
                <c:pt idx="14">
                  <c:v>1.68</c:v>
                </c:pt>
                <c:pt idx="15">
                  <c:v>1.6</c:v>
                </c:pt>
                <c:pt idx="16">
                  <c:v>1.53</c:v>
                </c:pt>
                <c:pt idx="17">
                  <c:v>1.45</c:v>
                </c:pt>
                <c:pt idx="18">
                  <c:v>1.34</c:v>
                </c:pt>
                <c:pt idx="19">
                  <c:v>1.25</c:v>
                </c:pt>
                <c:pt idx="20">
                  <c:v>1.25</c:v>
                </c:pt>
                <c:pt idx="21">
                  <c:v>0.9</c:v>
                </c:pt>
                <c:pt idx="22">
                  <c:v>0.4</c:v>
                </c:pt>
                <c:pt idx="23">
                  <c:v>0.1</c:v>
                </c:pt>
                <c:pt idx="24">
                  <c:v>-0.12</c:v>
                </c:pt>
                <c:pt idx="25">
                  <c:v>-0.36</c:v>
                </c:pt>
                <c:pt idx="26">
                  <c:v>-0.5</c:v>
                </c:pt>
                <c:pt idx="27">
                  <c:v>-0.62</c:v>
                </c:pt>
                <c:pt idx="28">
                  <c:v>-0.73</c:v>
                </c:pt>
                <c:pt idx="29">
                  <c:v>-0.77</c:v>
                </c:pt>
                <c:pt idx="30">
                  <c:v>-0.82099999999999995</c:v>
                </c:pt>
                <c:pt idx="31">
                  <c:v>-0.82399999999999995</c:v>
                </c:pt>
                <c:pt idx="32">
                  <c:v>-0.78</c:v>
                </c:pt>
                <c:pt idx="33">
                  <c:v>-0.69399999999999995</c:v>
                </c:pt>
                <c:pt idx="34">
                  <c:v>-0.62</c:v>
                </c:pt>
                <c:pt idx="35">
                  <c:v>-0.56000000000000005</c:v>
                </c:pt>
                <c:pt idx="36">
                  <c:v>-0.5</c:v>
                </c:pt>
                <c:pt idx="37">
                  <c:v>-0.35</c:v>
                </c:pt>
                <c:pt idx="38">
                  <c:v>-0.13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C-42D4-B7A9-EC2DF18C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699776"/>
        <c:axId val="179772064"/>
      </c:scatterChart>
      <c:valAx>
        <c:axId val="32769977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72064"/>
        <c:crosses val="autoZero"/>
        <c:crossBetween val="midCat"/>
        <c:majorUnit val="2.5"/>
      </c:valAx>
      <c:valAx>
        <c:axId val="179772064"/>
        <c:scaling>
          <c:orientation val="minMax"/>
          <c:max val="7.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solidFill>
            <a:sysClr val="window" lastClr="FFFFFF"/>
          </a:solidFill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99776"/>
        <c:crosses val="autoZero"/>
        <c:crossBetween val="midCat"/>
        <c:majorUnit val="1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FLAP!$B$6:$B$14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FLAP!$C$6:$C$14</c:f>
              <c:numCache>
                <c:formatCode>General</c:formatCode>
                <c:ptCount val="9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9.8000000000000004E-2</c:v>
                </c:pt>
                <c:pt idx="4">
                  <c:v>0.13</c:v>
                </c:pt>
                <c:pt idx="5">
                  <c:v>0.152</c:v>
                </c:pt>
                <c:pt idx="6">
                  <c:v>0.16900000000000001</c:v>
                </c:pt>
                <c:pt idx="7">
                  <c:v>0.182</c:v>
                </c:pt>
                <c:pt idx="8">
                  <c:v>0.189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E6-4DFF-AEB1-535F5EA2DA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FLAP!$B$21:$B$29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FLAP!$C$21:$C$29</c:f>
              <c:numCache>
                <c:formatCode>General</c:formatCode>
                <c:ptCount val="9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9.8000000000000004E-2</c:v>
                </c:pt>
                <c:pt idx="4">
                  <c:v>0.13</c:v>
                </c:pt>
                <c:pt idx="5">
                  <c:v>0.152</c:v>
                </c:pt>
                <c:pt idx="6">
                  <c:v>0.16900000000000001</c:v>
                </c:pt>
                <c:pt idx="7">
                  <c:v>0.182</c:v>
                </c:pt>
                <c:pt idx="8">
                  <c:v>0.189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E6-4DFF-AEB1-535F5EA2DAE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FLAP!$B$37:$B$45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FLAP!$C$37:$C$45</c:f>
              <c:numCache>
                <c:formatCode>General</c:formatCode>
                <c:ptCount val="9"/>
                <c:pt idx="0">
                  <c:v>0</c:v>
                </c:pt>
                <c:pt idx="1">
                  <c:v>8.9999999999999993E-3</c:v>
                </c:pt>
                <c:pt idx="2">
                  <c:v>3.6999999999999998E-2</c:v>
                </c:pt>
                <c:pt idx="3">
                  <c:v>6.6000000000000003E-2</c:v>
                </c:pt>
                <c:pt idx="4">
                  <c:v>9.5000000000000001E-2</c:v>
                </c:pt>
                <c:pt idx="5">
                  <c:v>0.12</c:v>
                </c:pt>
                <c:pt idx="6">
                  <c:v>0.13900000000000001</c:v>
                </c:pt>
                <c:pt idx="7">
                  <c:v>0.155</c:v>
                </c:pt>
                <c:pt idx="8">
                  <c:v>0.17100000000000001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E6-4DFF-AEB1-535F5EA2D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549200"/>
        <c:axId val="222326480"/>
      </c:scatterChart>
      <c:valAx>
        <c:axId val="2205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26480"/>
        <c:crosses val="autoZero"/>
        <c:crossBetween val="midCat"/>
      </c:valAx>
      <c:valAx>
        <c:axId val="22232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4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Engine Setting Uninstalled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175">
                <a:solidFill>
                  <a:srgbClr val="FFFF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5296885059178923E-2"/>
                  <c:y val="0.35926801847928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Engine_PW308C!$A$2:$A$18</c:f>
              <c:numCache>
                <c:formatCode>0.00</c:formatCode>
                <c:ptCount val="17"/>
                <c:pt idx="0" formatCode="General">
                  <c:v>0</c:v>
                </c:pt>
                <c:pt idx="1">
                  <c:v>5.2631578947369598E-2</c:v>
                </c:pt>
                <c:pt idx="2">
                  <c:v>0.105263157894738</c:v>
                </c:pt>
                <c:pt idx="3">
                  <c:v>0.157894736842107</c:v>
                </c:pt>
                <c:pt idx="4">
                  <c:v>0.210526315789475</c:v>
                </c:pt>
                <c:pt idx="5">
                  <c:v>0.26315789473684298</c:v>
                </c:pt>
                <c:pt idx="6">
                  <c:v>0.31578947368421201</c:v>
                </c:pt>
                <c:pt idx="7">
                  <c:v>0.36842105263157998</c:v>
                </c:pt>
                <c:pt idx="8">
                  <c:v>0.42105263157894801</c:v>
                </c:pt>
                <c:pt idx="9">
                  <c:v>0.47368421052631698</c:v>
                </c:pt>
                <c:pt idx="10">
                  <c:v>0.52631578947368496</c:v>
                </c:pt>
                <c:pt idx="11">
                  <c:v>0.57894736842105299</c:v>
                </c:pt>
                <c:pt idx="12">
                  <c:v>0.63157894736842202</c:v>
                </c:pt>
                <c:pt idx="13">
                  <c:v>0.68421052631579005</c:v>
                </c:pt>
                <c:pt idx="14">
                  <c:v>0.73684210526315896</c:v>
                </c:pt>
                <c:pt idx="15">
                  <c:v>0.78947368421052699</c:v>
                </c:pt>
                <c:pt idx="16">
                  <c:v>0.84210526315789502</c:v>
                </c:pt>
              </c:numCache>
            </c:numRef>
          </c:xVal>
          <c:yVal>
            <c:numRef>
              <c:f>Engine_PW308C!$B$2:$B$18</c:f>
              <c:numCache>
                <c:formatCode>General</c:formatCode>
                <c:ptCount val="17"/>
                <c:pt idx="0">
                  <c:v>1</c:v>
                </c:pt>
                <c:pt idx="1">
                  <c:v>0.94699999999999995</c:v>
                </c:pt>
                <c:pt idx="2">
                  <c:v>0.90400000000000003</c:v>
                </c:pt>
                <c:pt idx="3">
                  <c:v>0.86399999999999999</c:v>
                </c:pt>
                <c:pt idx="4">
                  <c:v>0.83099999999999996</c:v>
                </c:pt>
                <c:pt idx="5">
                  <c:v>0.80800000000000005</c:v>
                </c:pt>
                <c:pt idx="6">
                  <c:v>0.78839999999999999</c:v>
                </c:pt>
                <c:pt idx="7">
                  <c:v>0.77229999999999999</c:v>
                </c:pt>
                <c:pt idx="8">
                  <c:v>0.75600000000000001</c:v>
                </c:pt>
                <c:pt idx="9">
                  <c:v>0.73799999999999999</c:v>
                </c:pt>
                <c:pt idx="10">
                  <c:v>0.71899999999999997</c:v>
                </c:pt>
                <c:pt idx="11">
                  <c:v>0.70299999999999996</c:v>
                </c:pt>
                <c:pt idx="12">
                  <c:v>0.69010000000000005</c:v>
                </c:pt>
                <c:pt idx="13">
                  <c:v>0.68500000000000005</c:v>
                </c:pt>
                <c:pt idx="14">
                  <c:v>0.67900000000000005</c:v>
                </c:pt>
                <c:pt idx="15">
                  <c:v>0.67800000000000005</c:v>
                </c:pt>
                <c:pt idx="16">
                  <c:v>0.67600000000000005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A5-4BE1-9B62-1B8C9E3CB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90064"/>
        <c:axId val="307854128"/>
      </c:scatterChart>
      <c:valAx>
        <c:axId val="31259006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54128"/>
        <c:crosses val="autoZero"/>
        <c:crossBetween val="midCat"/>
      </c:valAx>
      <c:valAx>
        <c:axId val="30785412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(N) VS Speed (m/s)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3409776902887138"/>
          <c:w val="0.83004418197725283"/>
          <c:h val="0.75850284339457563"/>
        </c:manualLayout>
      </c:layout>
      <c:scatterChart>
        <c:scatterStyle val="smoothMarker"/>
        <c:varyColors val="0"/>
        <c:ser>
          <c:idx val="0"/>
          <c:order val="0"/>
          <c:tx>
            <c:v>at sea level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55-49F6-88CC-3370E6491F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3250437445319334E-2"/>
                  <c:y val="-0.150835156022163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Engine_PW308C!$C$29:$C$47</c:f>
              <c:numCache>
                <c:formatCode>0.00</c:formatCode>
                <c:ptCount val="19"/>
                <c:pt idx="0">
                  <c:v>0</c:v>
                </c:pt>
                <c:pt idx="1">
                  <c:v>51.044099999999993</c:v>
                </c:pt>
                <c:pt idx="2">
                  <c:v>68.058800000000005</c:v>
                </c:pt>
                <c:pt idx="3">
                  <c:v>102.08819999999999</c:v>
                </c:pt>
                <c:pt idx="4">
                  <c:v>119.10289999999999</c:v>
                </c:pt>
                <c:pt idx="5">
                  <c:v>139.52053999999998</c:v>
                </c:pt>
                <c:pt idx="6">
                  <c:v>149.72935999999999</c:v>
                </c:pt>
                <c:pt idx="7">
                  <c:v>159.93817999999999</c:v>
                </c:pt>
                <c:pt idx="8">
                  <c:v>170.14699999999999</c:v>
                </c:pt>
                <c:pt idx="9">
                  <c:v>180.35581999999999</c:v>
                </c:pt>
                <c:pt idx="10">
                  <c:v>190.56464</c:v>
                </c:pt>
                <c:pt idx="11">
                  <c:v>200.77345999999997</c:v>
                </c:pt>
                <c:pt idx="12">
                  <c:v>210.98227999999997</c:v>
                </c:pt>
                <c:pt idx="13">
                  <c:v>221.19110000000001</c:v>
                </c:pt>
                <c:pt idx="14">
                  <c:v>231.39992000000001</c:v>
                </c:pt>
                <c:pt idx="15">
                  <c:v>241.60873999999998</c:v>
                </c:pt>
                <c:pt idx="16">
                  <c:v>251.81755999999999</c:v>
                </c:pt>
                <c:pt idx="17">
                  <c:v>262.02638000000002</c:v>
                </c:pt>
                <c:pt idx="18">
                  <c:v>272.23520000000002</c:v>
                </c:pt>
              </c:numCache>
            </c:numRef>
          </c:xVal>
          <c:yVal>
            <c:numRef>
              <c:f>Engine_PW308C!$B$29:$B$47</c:f>
              <c:numCache>
                <c:formatCode>0.00</c:formatCode>
                <c:ptCount val="19"/>
                <c:pt idx="0">
                  <c:v>31149.175000000003</c:v>
                </c:pt>
                <c:pt idx="1">
                  <c:v>27899.848412500003</c:v>
                </c:pt>
                <c:pt idx="2">
                  <c:v>26966.8514</c:v>
                </c:pt>
                <c:pt idx="3">
                  <c:v>25326.025149999998</c:v>
                </c:pt>
                <c:pt idx="4">
                  <c:v>24618.195912499999</c:v>
                </c:pt>
                <c:pt idx="5">
                  <c:v>23867.874648500001</c:v>
                </c:pt>
                <c:pt idx="6">
                  <c:v>23533.244215999999</c:v>
                </c:pt>
                <c:pt idx="7">
                  <c:v>23225.633916499999</c:v>
                </c:pt>
                <c:pt idx="8">
                  <c:v>22945.043750000001</c:v>
                </c:pt>
                <c:pt idx="9">
                  <c:v>22691.473716500001</c:v>
                </c:pt>
                <c:pt idx="10">
                  <c:v>22464.923815999999</c:v>
                </c:pt>
                <c:pt idx="11">
                  <c:v>22265.394048500002</c:v>
                </c:pt>
                <c:pt idx="12">
                  <c:v>22092.884414</c:v>
                </c:pt>
                <c:pt idx="13">
                  <c:v>21947.394912500004</c:v>
                </c:pt>
                <c:pt idx="14">
                  <c:v>21828.925544000002</c:v>
                </c:pt>
                <c:pt idx="15">
                  <c:v>21737.476308500005</c:v>
                </c:pt>
                <c:pt idx="16">
                  <c:v>21673.047206000003</c:v>
                </c:pt>
                <c:pt idx="17">
                  <c:v>21635.638236500003</c:v>
                </c:pt>
                <c:pt idx="18">
                  <c:v>21625.249400000004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61-480F-88D8-91799D04B201}"/>
            </c:ext>
          </c:extLst>
        </c:ser>
        <c:ser>
          <c:idx val="1"/>
          <c:order val="1"/>
          <c:tx>
            <c:v>at 2km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55-49F6-88CC-3370E6491F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599343832020998"/>
                  <c:y val="-0.12565179352580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Engine_PW308C!$C$51:$C$69</c:f>
              <c:numCache>
                <c:formatCode>0.00</c:formatCode>
                <c:ptCount val="19"/>
                <c:pt idx="0">
                  <c:v>0</c:v>
                </c:pt>
                <c:pt idx="1">
                  <c:v>49.879349999999995</c:v>
                </c:pt>
                <c:pt idx="2">
                  <c:v>66.505800000000008</c:v>
                </c:pt>
                <c:pt idx="3">
                  <c:v>99.75869999999999</c:v>
                </c:pt>
                <c:pt idx="4">
                  <c:v>116.38515</c:v>
                </c:pt>
                <c:pt idx="5">
                  <c:v>136.33688999999998</c:v>
                </c:pt>
                <c:pt idx="6">
                  <c:v>146.31276</c:v>
                </c:pt>
                <c:pt idx="7">
                  <c:v>156.28862999999998</c:v>
                </c:pt>
                <c:pt idx="8">
                  <c:v>166.2645</c:v>
                </c:pt>
                <c:pt idx="9">
                  <c:v>176.24037000000001</c:v>
                </c:pt>
                <c:pt idx="10">
                  <c:v>186.21624000000003</c:v>
                </c:pt>
                <c:pt idx="11">
                  <c:v>196.19210999999999</c:v>
                </c:pt>
                <c:pt idx="12">
                  <c:v>206.16798</c:v>
                </c:pt>
                <c:pt idx="13">
                  <c:v>216.14385000000001</c:v>
                </c:pt>
                <c:pt idx="14">
                  <c:v>226.11972</c:v>
                </c:pt>
                <c:pt idx="15">
                  <c:v>236.09558999999999</c:v>
                </c:pt>
                <c:pt idx="16">
                  <c:v>246.07146</c:v>
                </c:pt>
                <c:pt idx="17">
                  <c:v>256.04732999999999</c:v>
                </c:pt>
                <c:pt idx="18">
                  <c:v>266.02320000000003</c:v>
                </c:pt>
              </c:numCache>
            </c:numRef>
          </c:xVal>
          <c:yVal>
            <c:numRef>
              <c:f>Engine_PW308C!$B$51:$B$69</c:f>
              <c:numCache>
                <c:formatCode>0.00</c:formatCode>
                <c:ptCount val="19"/>
                <c:pt idx="0">
                  <c:v>26947.420770233617</c:v>
                </c:pt>
                <c:pt idx="1">
                  <c:v>24143.28914226023</c:v>
                </c:pt>
                <c:pt idx="2">
                  <c:v>23338.12340680584</c:v>
                </c:pt>
                <c:pt idx="3">
                  <c:v>21922.109146702176</c:v>
                </c:pt>
                <c:pt idx="4">
                  <c:v>21311.260622052901</c:v>
                </c:pt>
                <c:pt idx="5">
                  <c:v>20663.741965228022</c:v>
                </c:pt>
                <c:pt idx="6">
                  <c:v>20374.959734760501</c:v>
                </c:pt>
                <c:pt idx="7">
                  <c:v>20109.495569589599</c:v>
                </c:pt>
                <c:pt idx="8">
                  <c:v>19867.349469715304</c:v>
                </c:pt>
                <c:pt idx="9">
                  <c:v>19648.521435137623</c:v>
                </c:pt>
                <c:pt idx="10">
                  <c:v>19453.011465856558</c:v>
                </c:pt>
                <c:pt idx="11">
                  <c:v>19280.819561872111</c:v>
                </c:pt>
                <c:pt idx="12">
                  <c:v>19131.945723184268</c:v>
                </c:pt>
                <c:pt idx="13">
                  <c:v>19006.389949793047</c:v>
                </c:pt>
                <c:pt idx="14">
                  <c:v>18904.152241698433</c:v>
                </c:pt>
                <c:pt idx="15">
                  <c:v>18825.232598900438</c:v>
                </c:pt>
                <c:pt idx="16">
                  <c:v>18769.631021399055</c:v>
                </c:pt>
                <c:pt idx="17">
                  <c:v>18737.347509194282</c:v>
                </c:pt>
                <c:pt idx="18">
                  <c:v>18728.382062286128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55-49F6-88CC-3370E6491F20}"/>
            </c:ext>
          </c:extLst>
        </c:ser>
        <c:ser>
          <c:idx val="2"/>
          <c:order val="2"/>
          <c:tx>
            <c:v>at 4km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655-49F6-88CC-3370E6491F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Engine_PW308C!$C$73:$C$91</c:f>
              <c:numCache>
                <c:formatCode>0.00</c:formatCode>
                <c:ptCount val="19"/>
                <c:pt idx="0">
                  <c:v>0</c:v>
                </c:pt>
                <c:pt idx="1">
                  <c:v>48.68685</c:v>
                </c:pt>
                <c:pt idx="2">
                  <c:v>64.915800000000004</c:v>
                </c:pt>
                <c:pt idx="3">
                  <c:v>97.373699999999999</c:v>
                </c:pt>
                <c:pt idx="4">
                  <c:v>113.60265</c:v>
                </c:pt>
                <c:pt idx="5">
                  <c:v>133.07739000000001</c:v>
                </c:pt>
                <c:pt idx="6">
                  <c:v>142.81476000000001</c:v>
                </c:pt>
                <c:pt idx="7">
                  <c:v>152.55213000000001</c:v>
                </c:pt>
                <c:pt idx="8">
                  <c:v>162.2895</c:v>
                </c:pt>
                <c:pt idx="9">
                  <c:v>172.02687</c:v>
                </c:pt>
                <c:pt idx="10">
                  <c:v>181.76424000000003</c:v>
                </c:pt>
                <c:pt idx="11">
                  <c:v>191.50161</c:v>
                </c:pt>
                <c:pt idx="12">
                  <c:v>201.23898</c:v>
                </c:pt>
                <c:pt idx="13">
                  <c:v>210.97635000000002</c:v>
                </c:pt>
                <c:pt idx="14">
                  <c:v>220.71372000000002</c:v>
                </c:pt>
                <c:pt idx="15">
                  <c:v>230.45108999999999</c:v>
                </c:pt>
                <c:pt idx="16">
                  <c:v>240.18845999999999</c:v>
                </c:pt>
                <c:pt idx="17">
                  <c:v>249.92583000000002</c:v>
                </c:pt>
                <c:pt idx="18">
                  <c:v>259.66320000000002</c:v>
                </c:pt>
              </c:numCache>
            </c:numRef>
          </c:xVal>
          <c:yVal>
            <c:numRef>
              <c:f>Engine_PW308C!$B$73:$B$91</c:f>
              <c:numCache>
                <c:formatCode>0.00</c:formatCode>
                <c:ptCount val="19"/>
                <c:pt idx="0">
                  <c:v>23159.017292890854</c:v>
                </c:pt>
                <c:pt idx="1">
                  <c:v>20756.284233357736</c:v>
                </c:pt>
                <c:pt idx="2">
                  <c:v>20066.374276321327</c:v>
                </c:pt>
                <c:pt idx="3">
                  <c:v>18853.055956460459</c:v>
                </c:pt>
                <c:pt idx="4">
                  <c:v>18329.647593635997</c:v>
                </c:pt>
                <c:pt idx="5">
                  <c:v>17774.818259699899</c:v>
                </c:pt>
                <c:pt idx="6">
                  <c:v>17527.373879690003</c:v>
                </c:pt>
                <c:pt idx="7">
                  <c:v>17299.90969098554</c:v>
                </c:pt>
                <c:pt idx="8">
                  <c:v>17092.425693586509</c:v>
                </c:pt>
                <c:pt idx="9">
                  <c:v>16904.92188749291</c:v>
                </c:pt>
                <c:pt idx="10">
                  <c:v>16737.398272704748</c:v>
                </c:pt>
                <c:pt idx="11">
                  <c:v>16589.854849222018</c:v>
                </c:pt>
                <c:pt idx="12">
                  <c:v>16462.291617044721</c:v>
                </c:pt>
                <c:pt idx="13">
                  <c:v>16354.708576172859</c:v>
                </c:pt>
                <c:pt idx="14">
                  <c:v>16267.105726606427</c:v>
                </c:pt>
                <c:pt idx="15">
                  <c:v>16199.483068345435</c:v>
                </c:pt>
                <c:pt idx="16">
                  <c:v>16151.840601389871</c:v>
                </c:pt>
                <c:pt idx="17">
                  <c:v>16124.178325739744</c:v>
                </c:pt>
                <c:pt idx="18">
                  <c:v>16116.496241395051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55-49F6-88CC-3370E6491F20}"/>
            </c:ext>
          </c:extLst>
        </c:ser>
        <c:ser>
          <c:idx val="3"/>
          <c:order val="3"/>
          <c:tx>
            <c:v>at 6km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55-49F6-88CC-3370E6491F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Engine_PW308C!$C$95:$C$113</c:f>
              <c:numCache>
                <c:formatCode>0.00</c:formatCode>
                <c:ptCount val="19"/>
                <c:pt idx="0">
                  <c:v>0</c:v>
                </c:pt>
                <c:pt idx="1">
                  <c:v>47.464199999999998</c:v>
                </c:pt>
                <c:pt idx="2">
                  <c:v>63.285600000000002</c:v>
                </c:pt>
                <c:pt idx="3">
                  <c:v>94.928399999999996</c:v>
                </c:pt>
                <c:pt idx="4">
                  <c:v>110.74979999999999</c:v>
                </c:pt>
                <c:pt idx="5">
                  <c:v>129.73548</c:v>
                </c:pt>
                <c:pt idx="6">
                  <c:v>139.22832</c:v>
                </c:pt>
                <c:pt idx="7">
                  <c:v>148.72116</c:v>
                </c:pt>
                <c:pt idx="8">
                  <c:v>158.214</c:v>
                </c:pt>
                <c:pt idx="9">
                  <c:v>167.70684</c:v>
                </c:pt>
                <c:pt idx="10">
                  <c:v>177.19968000000003</c:v>
                </c:pt>
                <c:pt idx="11">
                  <c:v>186.69252</c:v>
                </c:pt>
                <c:pt idx="12">
                  <c:v>196.18536</c:v>
                </c:pt>
                <c:pt idx="13">
                  <c:v>205.6782</c:v>
                </c:pt>
                <c:pt idx="14">
                  <c:v>215.17104</c:v>
                </c:pt>
                <c:pt idx="15">
                  <c:v>224.66387999999998</c:v>
                </c:pt>
                <c:pt idx="16">
                  <c:v>234.15672000000001</c:v>
                </c:pt>
                <c:pt idx="17">
                  <c:v>243.64956000000001</c:v>
                </c:pt>
                <c:pt idx="18">
                  <c:v>253.14240000000001</c:v>
                </c:pt>
              </c:numCache>
            </c:numRef>
          </c:xVal>
          <c:yVal>
            <c:numRef>
              <c:f>Engine_PW308C!$B$95:$B$113</c:f>
              <c:numCache>
                <c:formatCode>0.00</c:formatCode>
                <c:ptCount val="19"/>
                <c:pt idx="0">
                  <c:v>19760.803943239487</c:v>
                </c:pt>
                <c:pt idx="1">
                  <c:v>17718.127034526249</c:v>
                </c:pt>
                <c:pt idx="2">
                  <c:v>17131.601980176911</c:v>
                </c:pt>
                <c:pt idx="3">
                  <c:v>16100.102744310845</c:v>
                </c:pt>
                <c:pt idx="4">
                  <c:v>15655.12856279412</c:v>
                </c:pt>
                <c:pt idx="5">
                  <c:v>15183.441929020399</c:v>
                </c:pt>
                <c:pt idx="6">
                  <c:v>14973.077769243408</c:v>
                </c:pt>
                <c:pt idx="7">
                  <c:v>14779.699714206332</c:v>
                </c:pt>
                <c:pt idx="8">
                  <c:v>14603.307763909168</c:v>
                </c:pt>
                <c:pt idx="9">
                  <c:v>14443.901918351916</c:v>
                </c:pt>
                <c:pt idx="10">
                  <c:v>14301.482177534579</c:v>
                </c:pt>
                <c:pt idx="11">
                  <c:v>14176.048541457158</c:v>
                </c:pt>
                <c:pt idx="12">
                  <c:v>14067.601010119646</c:v>
                </c:pt>
                <c:pt idx="13">
                  <c:v>13976.139583522052</c:v>
                </c:pt>
                <c:pt idx="14">
                  <c:v>13901.664261664368</c:v>
                </c:pt>
                <c:pt idx="15">
                  <c:v>13844.175044546599</c:v>
                </c:pt>
                <c:pt idx="16">
                  <c:v>13803.671932168741</c:v>
                </c:pt>
                <c:pt idx="17">
                  <c:v>13780.1549245308</c:v>
                </c:pt>
                <c:pt idx="18">
                  <c:v>13773.624021632771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55-49F6-88CC-3370E6491F20}"/>
            </c:ext>
          </c:extLst>
        </c:ser>
        <c:ser>
          <c:idx val="4"/>
          <c:order val="4"/>
          <c:tx>
            <c:v>at 8km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655-49F6-88CC-3370E6491F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Engine_PW308C!$C$117:$C$135</c:f>
              <c:numCache>
                <c:formatCode>0.00</c:formatCode>
                <c:ptCount val="19"/>
                <c:pt idx="0">
                  <c:v>0</c:v>
                </c:pt>
                <c:pt idx="1">
                  <c:v>46.209449999999997</c:v>
                </c:pt>
                <c:pt idx="2">
                  <c:v>61.6126</c:v>
                </c:pt>
                <c:pt idx="3">
                  <c:v>92.418899999999994</c:v>
                </c:pt>
                <c:pt idx="4">
                  <c:v>107.82204999999999</c:v>
                </c:pt>
                <c:pt idx="5">
                  <c:v>126.30582999999999</c:v>
                </c:pt>
                <c:pt idx="6">
                  <c:v>135.54772</c:v>
                </c:pt>
                <c:pt idx="7">
                  <c:v>144.78960999999998</c:v>
                </c:pt>
                <c:pt idx="8">
                  <c:v>154.03149999999999</c:v>
                </c:pt>
                <c:pt idx="9">
                  <c:v>163.27339000000001</c:v>
                </c:pt>
                <c:pt idx="10">
                  <c:v>172.51528000000002</c:v>
                </c:pt>
                <c:pt idx="11">
                  <c:v>181.75716999999997</c:v>
                </c:pt>
                <c:pt idx="12">
                  <c:v>190.99905999999999</c:v>
                </c:pt>
                <c:pt idx="13">
                  <c:v>200.24095</c:v>
                </c:pt>
                <c:pt idx="14">
                  <c:v>209.48284000000001</c:v>
                </c:pt>
                <c:pt idx="15">
                  <c:v>218.72472999999999</c:v>
                </c:pt>
                <c:pt idx="16">
                  <c:v>227.96661999999998</c:v>
                </c:pt>
                <c:pt idx="17">
                  <c:v>237.20850999999999</c:v>
                </c:pt>
                <c:pt idx="18">
                  <c:v>246.4504</c:v>
                </c:pt>
              </c:numCache>
            </c:numRef>
          </c:xVal>
          <c:yVal>
            <c:numRef>
              <c:f>Engine_PW308C!$B$117:$B$135</c:f>
              <c:numCache>
                <c:formatCode>0.00</c:formatCode>
                <c:ptCount val="19"/>
                <c:pt idx="0">
                  <c:v>16729.831125180765</c:v>
                </c:pt>
                <c:pt idx="1">
                  <c:v>15008.299563690021</c:v>
                </c:pt>
                <c:pt idx="2">
                  <c:v>14513.986739003751</c:v>
                </c:pt>
                <c:pt idx="3">
                  <c:v>13644.657633347175</c:v>
                </c:pt>
                <c:pt idx="4">
                  <c:v>13269.641352376873</c:v>
                </c:pt>
                <c:pt idx="5">
                  <c:v>12872.112294447534</c:v>
                </c:pt>
                <c:pt idx="6">
                  <c:v>12694.821143351737</c:v>
                </c:pt>
                <c:pt idx="7">
                  <c:v>12531.845577501859</c:v>
                </c:pt>
                <c:pt idx="8">
                  <c:v>12383.185596897896</c:v>
                </c:pt>
                <c:pt idx="9">
                  <c:v>12248.841201539848</c:v>
                </c:pt>
                <c:pt idx="10">
                  <c:v>12128.812391427717</c:v>
                </c:pt>
                <c:pt idx="11">
                  <c:v>12023.099166561502</c:v>
                </c:pt>
                <c:pt idx="12">
                  <c:v>11931.7015269412</c:v>
                </c:pt>
                <c:pt idx="13">
                  <c:v>11854.619472566819</c:v>
                </c:pt>
                <c:pt idx="14">
                  <c:v>11791.853003438351</c:v>
                </c:pt>
                <c:pt idx="15">
                  <c:v>11743.402119555802</c:v>
                </c:pt>
                <c:pt idx="16">
                  <c:v>11709.266820919165</c:v>
                </c:pt>
                <c:pt idx="17">
                  <c:v>11689.447107528445</c:v>
                </c:pt>
                <c:pt idx="18">
                  <c:v>11683.942979383643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55-49F6-88CC-3370E6491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930208"/>
        <c:axId val="403697184"/>
      </c:scatterChart>
      <c:valAx>
        <c:axId val="4099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97184"/>
        <c:crosses val="autoZero"/>
        <c:crossBetween val="midCat"/>
      </c:valAx>
      <c:valAx>
        <c:axId val="40369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302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0834361329833771"/>
          <c:y val="0.6902314814814815"/>
          <c:w val="0.80275721784776899"/>
          <c:h val="0.19386628754738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T/O TSFC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3243238335164837E-2"/>
                  <c:y val="-9.10666812468964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F5-48F6-A3D8-6000D4F0F1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9.0723187640894987E-2"/>
                  <c:y val="0.17183265232157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Engine_PW308C!$R$24:$R$31</c:f>
              <c:numCache>
                <c:formatCode>General</c:formatCode>
                <c:ptCount val="8"/>
                <c:pt idx="0">
                  <c:v>10000</c:v>
                </c:pt>
                <c:pt idx="1">
                  <c:v>8900</c:v>
                </c:pt>
                <c:pt idx="2">
                  <c:v>7100</c:v>
                </c:pt>
                <c:pt idx="3">
                  <c:v>5650</c:v>
                </c:pt>
                <c:pt idx="4">
                  <c:v>4500</c:v>
                </c:pt>
                <c:pt idx="5">
                  <c:v>3550</c:v>
                </c:pt>
                <c:pt idx="6">
                  <c:v>2750</c:v>
                </c:pt>
                <c:pt idx="7">
                  <c:v>2000</c:v>
                </c:pt>
              </c:numCache>
            </c:numRef>
          </c:xVal>
          <c:yVal>
            <c:numRef>
              <c:f>Engine_PW308C!$S$24:$S$31</c:f>
              <c:numCache>
                <c:formatCode>General</c:formatCode>
                <c:ptCount val="8"/>
                <c:pt idx="0">
                  <c:v>0.42799999999999999</c:v>
                </c:pt>
                <c:pt idx="1">
                  <c:v>0.41399999999999998</c:v>
                </c:pt>
                <c:pt idx="2">
                  <c:v>0.39500000000000002</c:v>
                </c:pt>
                <c:pt idx="3">
                  <c:v>0.378</c:v>
                </c:pt>
                <c:pt idx="4">
                  <c:v>0.36499999999999999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5-48F6-A3D8-6000D4F0F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07296"/>
        <c:axId val="300923456"/>
      </c:scatterChart>
      <c:valAx>
        <c:axId val="353207296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lbf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23456"/>
        <c:crosses val="autoZero"/>
        <c:crossBetween val="midCat"/>
        <c:majorUnit val="1000"/>
      </c:valAx>
      <c:valAx>
        <c:axId val="3009234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TSFC (lbm/hr/lbf)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072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T/O TSFC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3243238335164837E-2"/>
                  <c:y val="-9.10666812468964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CE-417A-8B66-714E653ECD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9.0723187640894987E-2"/>
                  <c:y val="0.17183265232157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Engine_PW308C!$R$24:$R$31</c:f>
              <c:numCache>
                <c:formatCode>General</c:formatCode>
                <c:ptCount val="8"/>
                <c:pt idx="0">
                  <c:v>10000</c:v>
                </c:pt>
                <c:pt idx="1">
                  <c:v>8900</c:v>
                </c:pt>
                <c:pt idx="2">
                  <c:v>7100</c:v>
                </c:pt>
                <c:pt idx="3">
                  <c:v>5650</c:v>
                </c:pt>
                <c:pt idx="4">
                  <c:v>4500</c:v>
                </c:pt>
                <c:pt idx="5">
                  <c:v>3550</c:v>
                </c:pt>
                <c:pt idx="6">
                  <c:v>2750</c:v>
                </c:pt>
                <c:pt idx="7">
                  <c:v>2000</c:v>
                </c:pt>
              </c:numCache>
            </c:numRef>
          </c:xVal>
          <c:yVal>
            <c:numRef>
              <c:f>Engine_PW308C!$S$24:$S$31</c:f>
              <c:numCache>
                <c:formatCode>General</c:formatCode>
                <c:ptCount val="8"/>
                <c:pt idx="0">
                  <c:v>0.42799999999999999</c:v>
                </c:pt>
                <c:pt idx="1">
                  <c:v>0.41399999999999998</c:v>
                </c:pt>
                <c:pt idx="2">
                  <c:v>0.39500000000000002</c:v>
                </c:pt>
                <c:pt idx="3">
                  <c:v>0.378</c:v>
                </c:pt>
                <c:pt idx="4">
                  <c:v>0.36499999999999999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CE-417A-8B66-714E653E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07296"/>
        <c:axId val="300923456"/>
      </c:scatterChart>
      <c:valAx>
        <c:axId val="353207296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lbf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23456"/>
        <c:crosses val="autoZero"/>
        <c:crossBetween val="midCat"/>
        <c:majorUnit val="1000"/>
      </c:valAx>
      <c:valAx>
        <c:axId val="3009234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TSFC (lbm/hr/lbf)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072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175">
                <a:solidFill>
                  <a:srgbClr val="FFFF00"/>
                </a:solidFill>
              </a:ln>
              <a:effectLst/>
            </c:spPr>
          </c:marker>
          <c:xVal>
            <c:numRef>
              <c:f>'49_point'!$G$2:$G$50</c:f>
              <c:numCache>
                <c:formatCode>0.00000</c:formatCode>
                <c:ptCount val="49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0.93633460000000002</c:v>
                </c:pt>
                <c:pt idx="11">
                  <c:v>0.90619050000000001</c:v>
                </c:pt>
                <c:pt idx="12">
                  <c:v>0.84073240000000005</c:v>
                </c:pt>
                <c:pt idx="13">
                  <c:v>0.79410550000000002</c:v>
                </c:pt>
                <c:pt idx="14">
                  <c:v>0.74696580000000001</c:v>
                </c:pt>
                <c:pt idx="15">
                  <c:v>0.69930270000000005</c:v>
                </c:pt>
                <c:pt idx="16">
                  <c:v>0.6511093</c:v>
                </c:pt>
                <c:pt idx="17">
                  <c:v>0.60237569999999996</c:v>
                </c:pt>
                <c:pt idx="18">
                  <c:v>0.55309370000000002</c:v>
                </c:pt>
                <c:pt idx="19">
                  <c:v>0.50325140000000002</c:v>
                </c:pt>
                <c:pt idx="20">
                  <c:v>0.47811969999999998</c:v>
                </c:pt>
                <c:pt idx="21">
                  <c:v>0.42742229999999998</c:v>
                </c:pt>
                <c:pt idx="22">
                  <c:v>0.3761446</c:v>
                </c:pt>
                <c:pt idx="23">
                  <c:v>0.32427260000000002</c:v>
                </c:pt>
                <c:pt idx="24">
                  <c:v>0.29811130000000002</c:v>
                </c:pt>
                <c:pt idx="25">
                  <c:v>0.24533099999999999</c:v>
                </c:pt>
                <c:pt idx="26">
                  <c:v>0.19193270000000001</c:v>
                </c:pt>
                <c:pt idx="27">
                  <c:v>0.1378963</c:v>
                </c:pt>
                <c:pt idx="28">
                  <c:v>9.5635399999999995E-2</c:v>
                </c:pt>
                <c:pt idx="29">
                  <c:v>4.4485200000000003E-2</c:v>
                </c:pt>
                <c:pt idx="30">
                  <c:v>2.4106699999999998E-2</c:v>
                </c:pt>
                <c:pt idx="31">
                  <c:v>1.94609E-2</c:v>
                </c:pt>
                <c:pt idx="32">
                  <c:v>1.56171E-2</c:v>
                </c:pt>
                <c:pt idx="33">
                  <c:v>1.24479E-2</c:v>
                </c:pt>
                <c:pt idx="34">
                  <c:v>9.8413000000000007E-3</c:v>
                </c:pt>
                <c:pt idx="35">
                  <c:v>7.7111999999999997E-3</c:v>
                </c:pt>
                <c:pt idx="36">
                  <c:v>5.9750999999999997E-3</c:v>
                </c:pt>
                <c:pt idx="37">
                  <c:v>4.5703999999999996E-3</c:v>
                </c:pt>
                <c:pt idx="38">
                  <c:v>3.4428000000000002E-3</c:v>
                </c:pt>
                <c:pt idx="39">
                  <c:v>2.5441000000000001E-3</c:v>
                </c:pt>
                <c:pt idx="40">
                  <c:v>1.8364E-3</c:v>
                </c:pt>
                <c:pt idx="41">
                  <c:v>1.2868000000000001E-3</c:v>
                </c:pt>
                <c:pt idx="42">
                  <c:v>8.6569999999999995E-4</c:v>
                </c:pt>
                <c:pt idx="43">
                  <c:v>5.5080000000000005E-4</c:v>
                </c:pt>
                <c:pt idx="44">
                  <c:v>3.232E-4</c:v>
                </c:pt>
                <c:pt idx="45">
                  <c:v>1.6750000000000001E-4</c:v>
                </c:pt>
                <c:pt idx="46">
                  <c:v>6.9599999999999998E-5</c:v>
                </c:pt>
                <c:pt idx="47">
                  <c:v>1.6500000000000001E-5</c:v>
                </c:pt>
                <c:pt idx="48">
                  <c:v>0</c:v>
                </c:pt>
              </c:numCache>
            </c:numRef>
          </c:xVal>
          <c:yVal>
            <c:numRef>
              <c:f>'49_point'!$H$2:$H$50</c:f>
              <c:numCache>
                <c:formatCode>0.00000</c:formatCode>
                <c:ptCount val="49"/>
                <c:pt idx="0">
                  <c:v>0</c:v>
                </c:pt>
                <c:pt idx="1">
                  <c:v>1.3875999999999999E-3</c:v>
                </c:pt>
                <c:pt idx="2">
                  <c:v>1.6999999999999999E-3</c:v>
                </c:pt>
                <c:pt idx="3">
                  <c:v>2.6280000000000001E-3</c:v>
                </c:pt>
                <c:pt idx="4">
                  <c:v>3.8140000000000001E-3</c:v>
                </c:pt>
                <c:pt idx="5">
                  <c:v>5.0606000000000002E-3</c:v>
                </c:pt>
                <c:pt idx="6">
                  <c:v>6.7210999999999998E-3</c:v>
                </c:pt>
                <c:pt idx="7">
                  <c:v>8.2015000000000005E-3</c:v>
                </c:pt>
                <c:pt idx="8">
                  <c:v>1.0134000000000001E-2</c:v>
                </c:pt>
                <c:pt idx="9">
                  <c:v>1.20144E-2</c:v>
                </c:pt>
                <c:pt idx="10">
                  <c:v>1.7726499999999999E-2</c:v>
                </c:pt>
                <c:pt idx="11">
                  <c:v>2.5495199999999999E-2</c:v>
                </c:pt>
                <c:pt idx="12">
                  <c:v>3.9783800000000001E-2</c:v>
                </c:pt>
                <c:pt idx="13">
                  <c:v>4.9027000000000001E-2</c:v>
                </c:pt>
                <c:pt idx="14">
                  <c:v>5.7364999999999999E-2</c:v>
                </c:pt>
                <c:pt idx="15">
                  <c:v>6.4694020000000005E-2</c:v>
                </c:pt>
                <c:pt idx="16">
                  <c:v>7.0198999999999998E-2</c:v>
                </c:pt>
                <c:pt idx="17">
                  <c:v>7.5241000000000002E-2</c:v>
                </c:pt>
                <c:pt idx="18">
                  <c:v>7.8674099999999997E-2</c:v>
                </c:pt>
                <c:pt idx="19">
                  <c:v>8.0202999999999997E-2</c:v>
                </c:pt>
                <c:pt idx="20">
                  <c:v>8.0080999999999999E-2</c:v>
                </c:pt>
                <c:pt idx="21">
                  <c:v>7.9883300000000004E-2</c:v>
                </c:pt>
                <c:pt idx="22">
                  <c:v>7.8629599999999994E-2</c:v>
                </c:pt>
                <c:pt idx="23">
                  <c:v>7.5849020000000003E-2</c:v>
                </c:pt>
                <c:pt idx="24">
                  <c:v>7.3594939999999998E-2</c:v>
                </c:pt>
                <c:pt idx="25">
                  <c:v>6.8235799999999999E-2</c:v>
                </c:pt>
                <c:pt idx="26">
                  <c:v>6.16214E-2</c:v>
                </c:pt>
                <c:pt idx="27">
                  <c:v>5.3052200000000001E-2</c:v>
                </c:pt>
                <c:pt idx="28">
                  <c:v>4.47742E-2</c:v>
                </c:pt>
                <c:pt idx="29">
                  <c:v>3.1191199999999999E-2</c:v>
                </c:pt>
                <c:pt idx="30">
                  <c:v>2.3800399999999999E-2</c:v>
                </c:pt>
                <c:pt idx="31">
                  <c:v>2.1454500000000001E-2</c:v>
                </c:pt>
                <c:pt idx="32">
                  <c:v>1.9622000000000001E-2</c:v>
                </c:pt>
                <c:pt idx="33">
                  <c:v>1.7303700000000002E-2</c:v>
                </c:pt>
                <c:pt idx="34">
                  <c:v>1.5798400000000001E-2</c:v>
                </c:pt>
                <c:pt idx="35">
                  <c:v>1.36951E-2</c:v>
                </c:pt>
                <c:pt idx="36">
                  <c:v>1.22208E-2</c:v>
                </c:pt>
                <c:pt idx="37">
                  <c:v>1.07419E-2</c:v>
                </c:pt>
                <c:pt idx="38">
                  <c:v>9.2163000000000002E-3</c:v>
                </c:pt>
                <c:pt idx="39">
                  <c:v>8.2958000000000007E-3</c:v>
                </c:pt>
                <c:pt idx="40">
                  <c:v>6.5783999999999999E-3</c:v>
                </c:pt>
                <c:pt idx="41">
                  <c:v>5.8598000000000001E-3</c:v>
                </c:pt>
                <c:pt idx="42">
                  <c:v>5.1342999999999996E-3</c:v>
                </c:pt>
                <c:pt idx="43">
                  <c:v>4.0959000000000004E-3</c:v>
                </c:pt>
                <c:pt idx="44">
                  <c:v>3.1381999999999998E-3</c:v>
                </c:pt>
                <c:pt idx="45">
                  <c:v>2.2553999999999999E-3</c:v>
                </c:pt>
                <c:pt idx="46">
                  <c:v>1.4415999999999999E-3</c:v>
                </c:pt>
                <c:pt idx="47">
                  <c:v>6.914E-4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D7-4721-8B91-01B3CEB0B9B6}"/>
            </c:ext>
          </c:extLst>
        </c:ser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'49_point'!$G$2:$G$50</c:f>
              <c:numCache>
                <c:formatCode>0.00000</c:formatCode>
                <c:ptCount val="49"/>
                <c:pt idx="0">
                  <c:v>1</c:v>
                </c:pt>
                <c:pt idx="1">
                  <c:v>0.997803</c:v>
                </c:pt>
                <c:pt idx="2">
                  <c:v>0.99520799999999998</c:v>
                </c:pt>
                <c:pt idx="3">
                  <c:v>0.99214380000000002</c:v>
                </c:pt>
                <c:pt idx="4">
                  <c:v>0.98852519999999999</c:v>
                </c:pt>
                <c:pt idx="5">
                  <c:v>0.98425079999999998</c:v>
                </c:pt>
                <c:pt idx="6">
                  <c:v>0.97920200000000002</c:v>
                </c:pt>
                <c:pt idx="7">
                  <c:v>0.97323610000000005</c:v>
                </c:pt>
                <c:pt idx="8">
                  <c:v>0.96618599999999999</c:v>
                </c:pt>
                <c:pt idx="9">
                  <c:v>0.95785109999999996</c:v>
                </c:pt>
                <c:pt idx="10">
                  <c:v>0.93633460000000002</c:v>
                </c:pt>
                <c:pt idx="11">
                  <c:v>0.90619050000000001</c:v>
                </c:pt>
                <c:pt idx="12">
                  <c:v>0.84073240000000005</c:v>
                </c:pt>
                <c:pt idx="13">
                  <c:v>0.79410550000000002</c:v>
                </c:pt>
                <c:pt idx="14">
                  <c:v>0.74696580000000001</c:v>
                </c:pt>
                <c:pt idx="15">
                  <c:v>0.69930270000000005</c:v>
                </c:pt>
                <c:pt idx="16">
                  <c:v>0.6511093</c:v>
                </c:pt>
                <c:pt idx="17">
                  <c:v>0.60237569999999996</c:v>
                </c:pt>
                <c:pt idx="18">
                  <c:v>0.55309370000000002</c:v>
                </c:pt>
                <c:pt idx="19">
                  <c:v>0.50325140000000002</c:v>
                </c:pt>
                <c:pt idx="20">
                  <c:v>0.47811969999999998</c:v>
                </c:pt>
                <c:pt idx="21">
                  <c:v>0.42742229999999998</c:v>
                </c:pt>
                <c:pt idx="22">
                  <c:v>0.3761446</c:v>
                </c:pt>
                <c:pt idx="23">
                  <c:v>0.32427260000000002</c:v>
                </c:pt>
                <c:pt idx="24">
                  <c:v>0.29811130000000002</c:v>
                </c:pt>
                <c:pt idx="25">
                  <c:v>0.24533099999999999</c:v>
                </c:pt>
                <c:pt idx="26">
                  <c:v>0.19193270000000001</c:v>
                </c:pt>
                <c:pt idx="27">
                  <c:v>0.1378963</c:v>
                </c:pt>
                <c:pt idx="28">
                  <c:v>9.5635399999999995E-2</c:v>
                </c:pt>
                <c:pt idx="29">
                  <c:v>4.4485200000000003E-2</c:v>
                </c:pt>
                <c:pt idx="30">
                  <c:v>2.4106699999999998E-2</c:v>
                </c:pt>
                <c:pt idx="31">
                  <c:v>1.94609E-2</c:v>
                </c:pt>
                <c:pt idx="32">
                  <c:v>1.56171E-2</c:v>
                </c:pt>
                <c:pt idx="33">
                  <c:v>1.24479E-2</c:v>
                </c:pt>
                <c:pt idx="34">
                  <c:v>9.8413000000000007E-3</c:v>
                </c:pt>
                <c:pt idx="35">
                  <c:v>7.7111999999999997E-3</c:v>
                </c:pt>
                <c:pt idx="36">
                  <c:v>5.9750999999999997E-3</c:v>
                </c:pt>
                <c:pt idx="37">
                  <c:v>4.5703999999999996E-3</c:v>
                </c:pt>
                <c:pt idx="38">
                  <c:v>3.4428000000000002E-3</c:v>
                </c:pt>
                <c:pt idx="39">
                  <c:v>2.5441000000000001E-3</c:v>
                </c:pt>
                <c:pt idx="40">
                  <c:v>1.8364E-3</c:v>
                </c:pt>
                <c:pt idx="41">
                  <c:v>1.2868000000000001E-3</c:v>
                </c:pt>
                <c:pt idx="42">
                  <c:v>8.6569999999999995E-4</c:v>
                </c:pt>
                <c:pt idx="43">
                  <c:v>5.5080000000000005E-4</c:v>
                </c:pt>
                <c:pt idx="44">
                  <c:v>3.232E-4</c:v>
                </c:pt>
                <c:pt idx="45">
                  <c:v>1.6750000000000001E-4</c:v>
                </c:pt>
                <c:pt idx="46">
                  <c:v>6.9599999999999998E-5</c:v>
                </c:pt>
                <c:pt idx="47">
                  <c:v>1.6500000000000001E-5</c:v>
                </c:pt>
                <c:pt idx="48">
                  <c:v>0</c:v>
                </c:pt>
              </c:numCache>
            </c:numRef>
          </c:xVal>
          <c:yVal>
            <c:numRef>
              <c:f>'49_point'!$I$2:$I$50</c:f>
              <c:numCache>
                <c:formatCode>0.00000</c:formatCode>
                <c:ptCount val="49"/>
                <c:pt idx="0">
                  <c:v>0</c:v>
                </c:pt>
                <c:pt idx="1">
                  <c:v>1.2999999999999999E-5</c:v>
                </c:pt>
                <c:pt idx="2">
                  <c:v>1.13E-4</c:v>
                </c:pt>
                <c:pt idx="3">
                  <c:v>5.13E-4</c:v>
                </c:pt>
                <c:pt idx="4">
                  <c:v>1.013E-3</c:v>
                </c:pt>
                <c:pt idx="5">
                  <c:v>1.1130000000000001E-3</c:v>
                </c:pt>
                <c:pt idx="6">
                  <c:v>1.3129999999999999E-3</c:v>
                </c:pt>
                <c:pt idx="7">
                  <c:v>1.5357000000000001E-3</c:v>
                </c:pt>
                <c:pt idx="8">
                  <c:v>2.0584000000000002E-3</c:v>
                </c:pt>
                <c:pt idx="9">
                  <c:v>1.7811000000000001E-3</c:v>
                </c:pt>
                <c:pt idx="10">
                  <c:v>7.2650000000000004E-4</c:v>
                </c:pt>
                <c:pt idx="11">
                  <c:v>-3.5152E-3</c:v>
                </c:pt>
                <c:pt idx="12">
                  <c:v>-1.6583799999999999E-2</c:v>
                </c:pt>
                <c:pt idx="13">
                  <c:v>-2.6042699999999998E-2</c:v>
                </c:pt>
                <c:pt idx="14">
                  <c:v>-3.4736499999999997E-2</c:v>
                </c:pt>
                <c:pt idx="15">
                  <c:v>-4.20402E-2</c:v>
                </c:pt>
                <c:pt idx="16">
                  <c:v>-4.7898999999999997E-2</c:v>
                </c:pt>
                <c:pt idx="17">
                  <c:v>-5.2424100000000001E-2</c:v>
                </c:pt>
                <c:pt idx="18">
                  <c:v>-5.4974099999999998E-2</c:v>
                </c:pt>
                <c:pt idx="19">
                  <c:v>-5.6730299999999997E-2</c:v>
                </c:pt>
                <c:pt idx="20">
                  <c:v>-5.6866100000000003E-2</c:v>
                </c:pt>
                <c:pt idx="21">
                  <c:v>-5.5583300000000002E-2</c:v>
                </c:pt>
                <c:pt idx="22">
                  <c:v>-5.3769600000000001E-2</c:v>
                </c:pt>
                <c:pt idx="23">
                  <c:v>-5.1049020000000001E-2</c:v>
                </c:pt>
                <c:pt idx="24">
                  <c:v>-4.9749399999999999E-2</c:v>
                </c:pt>
                <c:pt idx="25">
                  <c:v>-4.6035800000000002E-2</c:v>
                </c:pt>
                <c:pt idx="26">
                  <c:v>-4.1821400000000002E-2</c:v>
                </c:pt>
                <c:pt idx="27">
                  <c:v>-3.7452199999999998E-2</c:v>
                </c:pt>
                <c:pt idx="28">
                  <c:v>-3.2874199999999999E-2</c:v>
                </c:pt>
                <c:pt idx="29">
                  <c:v>-2.4991200000000002E-2</c:v>
                </c:pt>
                <c:pt idx="30">
                  <c:v>-2.08004E-2</c:v>
                </c:pt>
                <c:pt idx="31">
                  <c:v>-1.94545E-2</c:v>
                </c:pt>
                <c:pt idx="32">
                  <c:v>-1.8322000000000001E-2</c:v>
                </c:pt>
                <c:pt idx="33">
                  <c:v>-1.73537E-2</c:v>
                </c:pt>
                <c:pt idx="34">
                  <c:v>-1.58984E-2</c:v>
                </c:pt>
                <c:pt idx="35">
                  <c:v>-1.4995100000000001E-2</c:v>
                </c:pt>
                <c:pt idx="36">
                  <c:v>-1.3708E-2</c:v>
                </c:pt>
                <c:pt idx="37">
                  <c:v>-1.27419E-2</c:v>
                </c:pt>
                <c:pt idx="38">
                  <c:v>-1.10163E-2</c:v>
                </c:pt>
                <c:pt idx="39">
                  <c:v>-1.0205799999999999E-2</c:v>
                </c:pt>
                <c:pt idx="40">
                  <c:v>-8.9783999999999992E-3</c:v>
                </c:pt>
                <c:pt idx="41">
                  <c:v>-6.9598000000000004E-3</c:v>
                </c:pt>
                <c:pt idx="42">
                  <c:v>-5.1342999999999996E-3</c:v>
                </c:pt>
                <c:pt idx="43">
                  <c:v>-4.0959000000000004E-3</c:v>
                </c:pt>
                <c:pt idx="44">
                  <c:v>-3.1381999999999998E-3</c:v>
                </c:pt>
                <c:pt idx="45">
                  <c:v>-2.0554000000000002E-3</c:v>
                </c:pt>
                <c:pt idx="46">
                  <c:v>-1.5416E-3</c:v>
                </c:pt>
                <c:pt idx="47">
                  <c:v>-6.914E-4</c:v>
                </c:pt>
                <c:pt idx="4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D7-4721-8B91-01B3CEB0B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7568"/>
        <c:axId val="219562976"/>
      </c:scatterChart>
      <c:valAx>
        <c:axId val="20958756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62976"/>
        <c:crosses val="autoZero"/>
        <c:crossBetween val="midCat"/>
        <c:majorUnit val="0.1"/>
      </c:valAx>
      <c:valAx>
        <c:axId val="219562976"/>
        <c:scaling>
          <c:orientation val="minMax"/>
          <c:max val="0.1"/>
          <c:min val="-7.500000000000001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7568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 VS AoA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048556430446191E-2"/>
          <c:y val="0.17908875941590893"/>
          <c:w val="0.90972922134733158"/>
          <c:h val="0.76998545460455214"/>
        </c:manualLayout>
      </c:layout>
      <c:scatterChart>
        <c:scatterStyle val="smoothMarker"/>
        <c:varyColors val="0"/>
        <c:ser>
          <c:idx val="0"/>
          <c:order val="0"/>
          <c:tx>
            <c:v>Clean Wing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AERODYNAMIC!$B$11:$B$30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AERODYNAMIC!$D$11:$D$30</c:f>
              <c:numCache>
                <c:formatCode>General</c:formatCode>
                <c:ptCount val="20"/>
                <c:pt idx="0">
                  <c:v>-0.80400000000000005</c:v>
                </c:pt>
                <c:pt idx="1">
                  <c:v>-0.29399999999999998</c:v>
                </c:pt>
                <c:pt idx="2">
                  <c:v>-0.16800000000000001</c:v>
                </c:pt>
                <c:pt idx="3">
                  <c:v>-4.5999999999999999E-2</c:v>
                </c:pt>
                <c:pt idx="4">
                  <c:v>7.3999999999999996E-2</c:v>
                </c:pt>
                <c:pt idx="5">
                  <c:v>0.19800000000000001</c:v>
                </c:pt>
                <c:pt idx="6">
                  <c:v>0.32700000000000001</c:v>
                </c:pt>
                <c:pt idx="7">
                  <c:v>0.45800000000000002</c:v>
                </c:pt>
                <c:pt idx="8">
                  <c:v>0.72399999999999998</c:v>
                </c:pt>
                <c:pt idx="9">
                  <c:v>0.79100000000000004</c:v>
                </c:pt>
                <c:pt idx="10">
                  <c:v>0.84899999999999998</c:v>
                </c:pt>
                <c:pt idx="11">
                  <c:v>0.93799999999999994</c:v>
                </c:pt>
                <c:pt idx="12">
                  <c:v>1.002</c:v>
                </c:pt>
                <c:pt idx="13">
                  <c:v>1.038</c:v>
                </c:pt>
                <c:pt idx="14">
                  <c:v>1.0509999999999999</c:v>
                </c:pt>
                <c:pt idx="15">
                  <c:v>1.0620000000000001</c:v>
                </c:pt>
                <c:pt idx="16">
                  <c:v>1.0329999999999999</c:v>
                </c:pt>
                <c:pt idx="17">
                  <c:v>0.96</c:v>
                </c:pt>
                <c:pt idx="18">
                  <c:v>0.879</c:v>
                </c:pt>
                <c:pt idx="19">
                  <c:v>0.78900000000000003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01-4B0D-8633-98AC0EFB5F1D}"/>
            </c:ext>
          </c:extLst>
        </c:ser>
        <c:ser>
          <c:idx val="1"/>
          <c:order val="1"/>
          <c:tx>
            <c:v>Full Config.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AERODYNAMIC!$B$41:$B$60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AERODYNAMIC!$D$41:$D$60</c:f>
              <c:numCache>
                <c:formatCode>General</c:formatCode>
                <c:ptCount val="20"/>
                <c:pt idx="0">
                  <c:v>-1.32</c:v>
                </c:pt>
                <c:pt idx="1">
                  <c:v>-0.629</c:v>
                </c:pt>
                <c:pt idx="2">
                  <c:v>-0.41899999999999998</c:v>
                </c:pt>
                <c:pt idx="3">
                  <c:v>-0.20499999999999999</c:v>
                </c:pt>
                <c:pt idx="4">
                  <c:v>8.0000000000000002E-3</c:v>
                </c:pt>
                <c:pt idx="5">
                  <c:v>0.219</c:v>
                </c:pt>
                <c:pt idx="6">
                  <c:v>0.43</c:v>
                </c:pt>
                <c:pt idx="7">
                  <c:v>0.63400000000000001</c:v>
                </c:pt>
                <c:pt idx="8">
                  <c:v>1.008</c:v>
                </c:pt>
                <c:pt idx="9">
                  <c:v>1.0940000000000001</c:v>
                </c:pt>
                <c:pt idx="10">
                  <c:v>1.177</c:v>
                </c:pt>
                <c:pt idx="11">
                  <c:v>1.2949999999999999</c:v>
                </c:pt>
                <c:pt idx="12">
                  <c:v>1.3759999999999999</c:v>
                </c:pt>
                <c:pt idx="13">
                  <c:v>1.421</c:v>
                </c:pt>
                <c:pt idx="14">
                  <c:v>1.4319999999999999</c:v>
                </c:pt>
                <c:pt idx="15">
                  <c:v>1.446</c:v>
                </c:pt>
                <c:pt idx="16">
                  <c:v>1.46</c:v>
                </c:pt>
                <c:pt idx="17">
                  <c:v>1.4079999999999999</c:v>
                </c:pt>
                <c:pt idx="18">
                  <c:v>1.3260000000000001</c:v>
                </c:pt>
                <c:pt idx="19">
                  <c:v>1.212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01-4B0D-8633-98AC0EFB5F1D}"/>
            </c:ext>
          </c:extLst>
        </c:ser>
        <c:ser>
          <c:idx val="2"/>
          <c:order val="2"/>
          <c:tx>
            <c:v>TO(de=20)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AERODYNAMIC!$B$65:$B$84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AERODYNAMIC!$D$65:$D$84</c:f>
              <c:numCache>
                <c:formatCode>General</c:formatCode>
                <c:ptCount val="20"/>
                <c:pt idx="0">
                  <c:v>-1.1030000000000002</c:v>
                </c:pt>
                <c:pt idx="1">
                  <c:v>-0.41200000000000003</c:v>
                </c:pt>
                <c:pt idx="2">
                  <c:v>-0.20199999999999996</c:v>
                </c:pt>
                <c:pt idx="3">
                  <c:v>1.2000000000000011E-2</c:v>
                </c:pt>
                <c:pt idx="4">
                  <c:v>0.22500000000000001</c:v>
                </c:pt>
                <c:pt idx="5">
                  <c:v>0.436</c:v>
                </c:pt>
                <c:pt idx="6">
                  <c:v>0.64700000000000002</c:v>
                </c:pt>
                <c:pt idx="7">
                  <c:v>0.85099999999999998</c:v>
                </c:pt>
                <c:pt idx="8">
                  <c:v>1.2250000000000001</c:v>
                </c:pt>
                <c:pt idx="9">
                  <c:v>1.3109999999999999</c:v>
                </c:pt>
                <c:pt idx="10">
                  <c:v>1.3940000000000001</c:v>
                </c:pt>
                <c:pt idx="11">
                  <c:v>1.512</c:v>
                </c:pt>
                <c:pt idx="12">
                  <c:v>1.593</c:v>
                </c:pt>
                <c:pt idx="13">
                  <c:v>1.6379999999999999</c:v>
                </c:pt>
                <c:pt idx="14">
                  <c:v>1.649</c:v>
                </c:pt>
                <c:pt idx="15">
                  <c:v>1.6629999999999998</c:v>
                </c:pt>
                <c:pt idx="16">
                  <c:v>1.677</c:v>
                </c:pt>
                <c:pt idx="17">
                  <c:v>1.625</c:v>
                </c:pt>
                <c:pt idx="18">
                  <c:v>1.5430000000000001</c:v>
                </c:pt>
                <c:pt idx="19">
                  <c:v>1.4289999999999998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01-4B0D-8633-98AC0EFB5F1D}"/>
            </c:ext>
          </c:extLst>
        </c:ser>
        <c:ser>
          <c:idx val="3"/>
          <c:order val="3"/>
          <c:tx>
            <c:v>Land (de=40)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AERODYNAMIC!$B$89:$B$108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AERODYNAMIC!$D$89:$D$108</c:f>
              <c:numCache>
                <c:formatCode>General</c:formatCode>
                <c:ptCount val="20"/>
                <c:pt idx="0">
                  <c:v>-0.97799999999999998</c:v>
                </c:pt>
                <c:pt idx="1">
                  <c:v>-0.28699999999999992</c:v>
                </c:pt>
                <c:pt idx="2">
                  <c:v>-7.6999999999999957E-2</c:v>
                </c:pt>
                <c:pt idx="3">
                  <c:v>0.13700000000000004</c:v>
                </c:pt>
                <c:pt idx="4">
                  <c:v>0.35000000000000003</c:v>
                </c:pt>
                <c:pt idx="5">
                  <c:v>0.56100000000000005</c:v>
                </c:pt>
                <c:pt idx="6">
                  <c:v>0.77200000000000002</c:v>
                </c:pt>
                <c:pt idx="7">
                  <c:v>0.97600000000000009</c:v>
                </c:pt>
                <c:pt idx="8">
                  <c:v>1.35</c:v>
                </c:pt>
                <c:pt idx="9">
                  <c:v>1.4360000000000002</c:v>
                </c:pt>
                <c:pt idx="10">
                  <c:v>1.5190000000000001</c:v>
                </c:pt>
                <c:pt idx="11">
                  <c:v>1.637</c:v>
                </c:pt>
                <c:pt idx="12">
                  <c:v>1.718</c:v>
                </c:pt>
                <c:pt idx="13">
                  <c:v>1.7630000000000001</c:v>
                </c:pt>
                <c:pt idx="14">
                  <c:v>1.774</c:v>
                </c:pt>
                <c:pt idx="15">
                  <c:v>1.788</c:v>
                </c:pt>
                <c:pt idx="16">
                  <c:v>1.802</c:v>
                </c:pt>
                <c:pt idx="17">
                  <c:v>1.75</c:v>
                </c:pt>
                <c:pt idx="18">
                  <c:v>1.6680000000000001</c:v>
                </c:pt>
                <c:pt idx="19">
                  <c:v>1.554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01-4B0D-8633-98AC0EFB5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06736"/>
        <c:axId val="401387904"/>
      </c:scatterChart>
      <c:valAx>
        <c:axId val="45520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AoA (deg)</a:t>
                </a:r>
              </a:p>
            </c:rich>
          </c:tx>
          <c:layout>
            <c:manualLayout>
              <c:xMode val="edge"/>
              <c:yMode val="edge"/>
              <c:x val="0.85035061242344701"/>
              <c:y val="0.55333317081494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87904"/>
        <c:crosses val="autoZero"/>
        <c:crossBetween val="midCat"/>
      </c:valAx>
      <c:valAx>
        <c:axId val="4013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CL</a:t>
                </a:r>
              </a:p>
            </c:rich>
          </c:tx>
          <c:layout>
            <c:manualLayout>
              <c:xMode val="edge"/>
              <c:yMode val="edge"/>
              <c:x val="0.38167344706911643"/>
              <c:y val="0.10664228890893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0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797156605424322"/>
          <c:y val="0.78051534579849335"/>
          <c:w val="0.60202843394575678"/>
          <c:h val="0.14809130282863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4798665791776028"/>
          <c:w val="0.89019685039370078"/>
          <c:h val="0.74461395450568679"/>
        </c:manualLayout>
      </c:layout>
      <c:scatterChart>
        <c:scatterStyle val="smoothMarker"/>
        <c:varyColors val="0"/>
        <c:ser>
          <c:idx val="0"/>
          <c:order val="0"/>
          <c:tx>
            <c:v>clean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2.7777777777777776E-2"/>
                  <c:y val="8.33333333333332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23.48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8E-44EA-B11A-A2087CC74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AERODYNAMIC!$B$41:$B$60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AERODYNAMIC!$O$41:$O$60</c:f>
              <c:numCache>
                <c:formatCode>General</c:formatCode>
                <c:ptCount val="20"/>
                <c:pt idx="0">
                  <c:v>-14.505494505494507</c:v>
                </c:pt>
                <c:pt idx="1">
                  <c:v>-20.966666666666669</c:v>
                </c:pt>
                <c:pt idx="2">
                  <c:v>-19.045454545454547</c:v>
                </c:pt>
                <c:pt idx="3">
                  <c:v>-12.058823529411763</c:v>
                </c:pt>
                <c:pt idx="4">
                  <c:v>0.53333333333333333</c:v>
                </c:pt>
                <c:pt idx="5">
                  <c:v>13.6875</c:v>
                </c:pt>
                <c:pt idx="6">
                  <c:v>21.5</c:v>
                </c:pt>
                <c:pt idx="7">
                  <c:v>23.481481481481481</c:v>
                </c:pt>
                <c:pt idx="8">
                  <c:v>19.764705882352942</c:v>
                </c:pt>
                <c:pt idx="9">
                  <c:v>18.542372881355934</c:v>
                </c:pt>
                <c:pt idx="10">
                  <c:v>17.308823529411764</c:v>
                </c:pt>
                <c:pt idx="11">
                  <c:v>15.416666666666664</c:v>
                </c:pt>
                <c:pt idx="12">
                  <c:v>13.898989898989898</c:v>
                </c:pt>
                <c:pt idx="13">
                  <c:v>12.801801801801801</c:v>
                </c:pt>
                <c:pt idx="14">
                  <c:v>11.834710743801653</c:v>
                </c:pt>
                <c:pt idx="15">
                  <c:v>11.385826771653543</c:v>
                </c:pt>
                <c:pt idx="16">
                  <c:v>11.060606060606061</c:v>
                </c:pt>
                <c:pt idx="17">
                  <c:v>10.83076923076923</c:v>
                </c:pt>
                <c:pt idx="18">
                  <c:v>10.693548387096774</c:v>
                </c:pt>
                <c:pt idx="19">
                  <c:v>10.271186440677967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8E-44EA-B11A-A2087CC74D99}"/>
            </c:ext>
          </c:extLst>
        </c:ser>
        <c:ser>
          <c:idx val="1"/>
          <c:order val="1"/>
          <c:tx>
            <c:v>flap20deg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4.1666666666666664E-2"/>
                  <c:y val="-8.333333333333332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24.48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8E-44EA-B11A-A2087CC74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AERODYNAMIC!$B$65:$B$84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AERODYNAMIC!$G$65:$G$84</c:f>
              <c:numCache>
                <c:formatCode>General</c:formatCode>
                <c:ptCount val="20"/>
                <c:pt idx="0">
                  <c:v>-11.168489266909683</c:v>
                </c:pt>
                <c:pt idx="1">
                  <c:v>-10.911016949152543</c:v>
                </c:pt>
                <c:pt idx="2">
                  <c:v>-6.7876344086021492</c:v>
                </c:pt>
                <c:pt idx="3">
                  <c:v>0.48465266558966114</c:v>
                </c:pt>
                <c:pt idx="4">
                  <c:v>9.8857644991212652</c:v>
                </c:pt>
                <c:pt idx="5">
                  <c:v>18.350168350168349</c:v>
                </c:pt>
                <c:pt idx="6">
                  <c:v>23.30691642651297</c:v>
                </c:pt>
                <c:pt idx="7">
                  <c:v>24.482163406214038</c:v>
                </c:pt>
                <c:pt idx="8">
                  <c:v>20.847515316541866</c:v>
                </c:pt>
                <c:pt idx="9">
                  <c:v>19.637507489514679</c:v>
                </c:pt>
                <c:pt idx="10">
                  <c:v>18.40021119324182</c:v>
                </c:pt>
                <c:pt idx="11">
                  <c:v>16.477768090671315</c:v>
                </c:pt>
                <c:pt idx="12">
                  <c:v>14.921318846009742</c:v>
                </c:pt>
                <c:pt idx="13">
                  <c:v>13.792522734927584</c:v>
                </c:pt>
                <c:pt idx="14">
                  <c:v>12.806772289530912</c:v>
                </c:pt>
                <c:pt idx="15">
                  <c:v>12.340457108934402</c:v>
                </c:pt>
                <c:pt idx="16">
                  <c:v>11.999141385231827</c:v>
                </c:pt>
                <c:pt idx="17">
                  <c:v>11.795876887340302</c:v>
                </c:pt>
                <c:pt idx="18">
                  <c:v>11.710686095931999</c:v>
                </c:pt>
                <c:pt idx="19">
                  <c:v>11.362913486005089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8E-44EA-B11A-A2087CC74D99}"/>
            </c:ext>
          </c:extLst>
        </c:ser>
        <c:ser>
          <c:idx val="2"/>
          <c:order val="2"/>
          <c:tx>
            <c:v>flap40deg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1.3888888888888864E-2"/>
                  <c:y val="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5C-4146-B1BF-0A043A563A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AERODYNAMIC!$B$89:$B$108</c:f>
              <c:numCache>
                <c:formatCode>General</c:formatCode>
                <c:ptCount val="20"/>
                <c:pt idx="0">
                  <c:v>-16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</c:numCache>
            </c:numRef>
          </c:xVal>
          <c:yVal>
            <c:numRef>
              <c:f>AERODYNAMIC!$G$89:$G$108</c:f>
              <c:numCache>
                <c:formatCode>0.00</c:formatCode>
                <c:ptCount val="20"/>
                <c:pt idx="0">
                  <c:v>-8.3226959407709984</c:v>
                </c:pt>
                <c:pt idx="1">
                  <c:v>-5.0787471244027591</c:v>
                </c:pt>
                <c:pt idx="2">
                  <c:v>-1.5873015873015865</c:v>
                </c:pt>
                <c:pt idx="3">
                  <c:v>3.1487014479430027</c:v>
                </c:pt>
                <c:pt idx="4">
                  <c:v>8.4317032040472188</c:v>
                </c:pt>
                <c:pt idx="5">
                  <c:v>13.196894848270997</c:v>
                </c:pt>
                <c:pt idx="6">
                  <c:v>16.598580950333265</c:v>
                </c:pt>
                <c:pt idx="7">
                  <c:v>18.239581386656699</c:v>
                </c:pt>
                <c:pt idx="8">
                  <c:v>17.417107470003874</c:v>
                </c:pt>
                <c:pt idx="9">
                  <c:v>16.793357502046547</c:v>
                </c:pt>
                <c:pt idx="10">
                  <c:v>16.07237329383134</c:v>
                </c:pt>
                <c:pt idx="11">
                  <c:v>14.813139082435979</c:v>
                </c:pt>
                <c:pt idx="12">
                  <c:v>13.688152338459085</c:v>
                </c:pt>
                <c:pt idx="13">
                  <c:v>12.820885753763363</c:v>
                </c:pt>
                <c:pt idx="14">
                  <c:v>12.026303301471087</c:v>
                </c:pt>
                <c:pt idx="15">
                  <c:v>11.647449677545437</c:v>
                </c:pt>
                <c:pt idx="16">
                  <c:v>11.368367926313796</c:v>
                </c:pt>
                <c:pt idx="17">
                  <c:v>11.181394160117563</c:v>
                </c:pt>
                <c:pt idx="18">
                  <c:v>11.082320111620492</c:v>
                </c:pt>
                <c:pt idx="19">
                  <c:v>10.753581067054183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C-4146-B1BF-0A043A563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33760"/>
        <c:axId val="313266384"/>
      </c:scatterChart>
      <c:valAx>
        <c:axId val="214133760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AoA (deg)</a:t>
                </a:r>
              </a:p>
            </c:rich>
          </c:tx>
          <c:layout>
            <c:manualLayout>
              <c:xMode val="edge"/>
              <c:yMode val="edge"/>
              <c:x val="0.83338757655293083"/>
              <c:y val="0.81386555847185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66384"/>
        <c:crosses val="autoZero"/>
        <c:crossBetween val="midCat"/>
      </c:valAx>
      <c:valAx>
        <c:axId val="313266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L/D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4.52817876932050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6032458442694666"/>
          <c:y val="0.23189814814814816"/>
          <c:w val="0.34601727909011376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9.xml"/><Relationship Id="rId7" Type="http://schemas.openxmlformats.org/officeDocument/2006/relationships/chart" Target="../charts/chart10.xml"/><Relationship Id="rId2" Type="http://schemas.openxmlformats.org/officeDocument/2006/relationships/chart" Target="../charts/chart8.xml"/><Relationship Id="rId1" Type="http://schemas.openxmlformats.org/officeDocument/2006/relationships/image" Target="../media/image3.emf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image" Target="../media/image7.png"/><Relationship Id="rId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17</xdr:row>
      <xdr:rowOff>76199</xdr:rowOff>
    </xdr:from>
    <xdr:to>
      <xdr:col>21</xdr:col>
      <xdr:colOff>180975</xdr:colOff>
      <xdr:row>29</xdr:row>
      <xdr:rowOff>57150</xdr:rowOff>
    </xdr:to>
    <xdr:pic>
      <xdr:nvPicPr>
        <xdr:cNvPr id="3" name="Picture 2" descr="'V2C' laminar transonic aerofoil profile, designed by Vincent Levasseur of Dassault Aviation.">
          <a:extLst>
            <a:ext uri="{FF2B5EF4-FFF2-40B4-BE49-F238E27FC236}">
              <a16:creationId xmlns:a16="http://schemas.microsoft.com/office/drawing/2014/main" id="{4A318628-B5F8-4907-89A1-28B5F42B666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69" b="29038"/>
        <a:stretch/>
      </xdr:blipFill>
      <xdr:spPr bwMode="auto">
        <a:xfrm>
          <a:off x="4886325" y="3314699"/>
          <a:ext cx="8096250" cy="2266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428624</xdr:colOff>
      <xdr:row>17</xdr:row>
      <xdr:rowOff>38100</xdr:rowOff>
    </xdr:from>
    <xdr:to>
      <xdr:col>20</xdr:col>
      <xdr:colOff>200025</xdr:colOff>
      <xdr:row>25</xdr:row>
      <xdr:rowOff>85726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46340E-C640-4EAC-BE7A-6A9B4894F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0</xdr:colOff>
      <xdr:row>2</xdr:row>
      <xdr:rowOff>47624</xdr:rowOff>
    </xdr:from>
    <xdr:to>
      <xdr:col>25</xdr:col>
      <xdr:colOff>171450</xdr:colOff>
      <xdr:row>14</xdr:row>
      <xdr:rowOff>28575</xdr:rowOff>
    </xdr:to>
    <xdr:pic>
      <xdr:nvPicPr>
        <xdr:cNvPr id="8" name="Picture 7" descr="'V2C' laminar transonic aerofoil profile, designed by Vincent Levasseur of Dassault Aviation.">
          <a:extLst>
            <a:ext uri="{FF2B5EF4-FFF2-40B4-BE49-F238E27FC236}">
              <a16:creationId xmlns:a16="http://schemas.microsoft.com/office/drawing/2014/main" id="{9F574595-B891-47D8-B690-8710234C7E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69" b="29038"/>
        <a:stretch/>
      </xdr:blipFill>
      <xdr:spPr bwMode="auto">
        <a:xfrm>
          <a:off x="7419975" y="428624"/>
          <a:ext cx="8096250" cy="2266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419101</xdr:colOff>
      <xdr:row>2</xdr:row>
      <xdr:rowOff>9525</xdr:rowOff>
    </xdr:from>
    <xdr:to>
      <xdr:col>24</xdr:col>
      <xdr:colOff>161925</xdr:colOff>
      <xdr:row>10</xdr:row>
      <xdr:rowOff>57151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F6DF68-EB73-4B89-AD3F-9B1049E11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3</xdr:row>
      <xdr:rowOff>182479</xdr:rowOff>
    </xdr:from>
    <xdr:to>
      <xdr:col>18</xdr:col>
      <xdr:colOff>20638</xdr:colOff>
      <xdr:row>15</xdr:row>
      <xdr:rowOff>163430</xdr:rowOff>
    </xdr:to>
    <xdr:pic>
      <xdr:nvPicPr>
        <xdr:cNvPr id="2" name="Picture 1" descr="'V2C' laminar transonic aerofoil profile, designed by Vincent Levasseur of Dassault Aviation.">
          <a:extLst>
            <a:ext uri="{FF2B5EF4-FFF2-40B4-BE49-F238E27FC236}">
              <a16:creationId xmlns:a16="http://schemas.microsoft.com/office/drawing/2014/main" id="{24C2DCFA-7D82-4D32-96E6-69D65043FD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69" b="29038"/>
        <a:stretch/>
      </xdr:blipFill>
      <xdr:spPr bwMode="auto">
        <a:xfrm>
          <a:off x="3362325" y="753979"/>
          <a:ext cx="8116888" cy="2266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397629</xdr:colOff>
      <xdr:row>3</xdr:row>
      <xdr:rowOff>142875</xdr:rowOff>
    </xdr:from>
    <xdr:to>
      <xdr:col>17</xdr:col>
      <xdr:colOff>26074</xdr:colOff>
      <xdr:row>12</xdr:row>
      <xdr:rowOff>162928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C828EB-450D-41D0-B9A5-07C11815C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2</xdr:row>
      <xdr:rowOff>178859</xdr:rowOff>
    </xdr:from>
    <xdr:to>
      <xdr:col>12</xdr:col>
      <xdr:colOff>139700</xdr:colOff>
      <xdr:row>14</xdr:row>
      <xdr:rowOff>159810</xdr:rowOff>
    </xdr:to>
    <xdr:pic>
      <xdr:nvPicPr>
        <xdr:cNvPr id="3" name="Picture 2" descr="'V2C' laminar transonic aerofoil profile, designed by Vincent Levasseur of Dassault Aviation.">
          <a:extLst>
            <a:ext uri="{FF2B5EF4-FFF2-40B4-BE49-F238E27FC236}">
              <a16:creationId xmlns:a16="http://schemas.microsoft.com/office/drawing/2014/main" id="{9675B521-E959-4FA8-A9E0-3BF14F5F5BC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69" b="29038"/>
        <a:stretch/>
      </xdr:blipFill>
      <xdr:spPr bwMode="auto">
        <a:xfrm>
          <a:off x="196850" y="559859"/>
          <a:ext cx="8155517" cy="2266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223306</xdr:colOff>
      <xdr:row>2</xdr:row>
      <xdr:rowOff>140759</xdr:rowOff>
    </xdr:from>
    <xdr:to>
      <xdr:col>11</xdr:col>
      <xdr:colOff>201084</xdr:colOff>
      <xdr:row>11</xdr:row>
      <xdr:rowOff>161459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23637A-0A06-47EA-B6D8-984E9149E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160193</xdr:colOff>
      <xdr:row>0</xdr:row>
      <xdr:rowOff>85724</xdr:rowOff>
    </xdr:from>
    <xdr:to>
      <xdr:col>25</xdr:col>
      <xdr:colOff>455469</xdr:colOff>
      <xdr:row>25</xdr:row>
      <xdr:rowOff>12584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4A3B077-6D56-46FF-B17C-DD2C63F16A4A}"/>
            </a:ext>
          </a:extLst>
        </xdr:cNvPr>
        <xdr:cNvGrpSpPr/>
      </xdr:nvGrpSpPr>
      <xdr:grpSpPr>
        <a:xfrm>
          <a:off x="5321011" y="85724"/>
          <a:ext cx="7690140" cy="4498860"/>
          <a:chOff x="6334125" y="1304924"/>
          <a:chExt cx="7724776" cy="466078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2BF19C97-1E65-4EDE-A513-7B2D4602CDE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858" t="36845" r="8724" b="31874"/>
          <a:stretch/>
        </xdr:blipFill>
        <xdr:spPr>
          <a:xfrm>
            <a:off x="6688204" y="1304924"/>
            <a:ext cx="5743575" cy="3332019"/>
          </a:xfrm>
          <a:prstGeom prst="rect">
            <a:avLst/>
          </a:prstGeom>
        </xdr:spPr>
      </xdr:pic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8DB2D2B6-048F-4FF4-A21F-5255DEDEDDF7}"/>
              </a:ext>
            </a:extLst>
          </xdr:cNvPr>
          <xdr:cNvGraphicFramePr>
            <a:graphicFrameLocks/>
          </xdr:cNvGraphicFramePr>
        </xdr:nvGraphicFramePr>
        <xdr:xfrm>
          <a:off x="6334125" y="1438275"/>
          <a:ext cx="7724776" cy="45274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608771</xdr:colOff>
      <xdr:row>7</xdr:row>
      <xdr:rowOff>24848</xdr:rowOff>
    </xdr:from>
    <xdr:to>
      <xdr:col>17</xdr:col>
      <xdr:colOff>290639</xdr:colOff>
      <xdr:row>39</xdr:row>
      <xdr:rowOff>43134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00CBD-4EC2-476B-9B63-6C06D78D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7901" y="1358348"/>
          <a:ext cx="3972260" cy="6114286"/>
        </a:xfrm>
        <a:prstGeom prst="rect">
          <a:avLst/>
        </a:prstGeom>
      </xdr:spPr>
    </xdr:pic>
    <xdr:clientData/>
  </xdr:twoCellAnchor>
  <xdr:twoCellAnchor>
    <xdr:from>
      <xdr:col>0</xdr:col>
      <xdr:colOff>405850</xdr:colOff>
      <xdr:row>13</xdr:row>
      <xdr:rowOff>66278</xdr:rowOff>
    </xdr:from>
    <xdr:to>
      <xdr:col>14</xdr:col>
      <xdr:colOff>129624</xdr:colOff>
      <xdr:row>48</xdr:row>
      <xdr:rowOff>37702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DF1FF14-617C-4742-AF54-2455FCFAFCA0}"/>
            </a:ext>
          </a:extLst>
        </xdr:cNvPr>
        <xdr:cNvGrpSpPr/>
      </xdr:nvGrpSpPr>
      <xdr:grpSpPr>
        <a:xfrm>
          <a:off x="405850" y="2542778"/>
          <a:ext cx="8304557" cy="6638924"/>
          <a:chOff x="5754344" y="1152541"/>
          <a:chExt cx="8304557" cy="6638924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B7C3844-C761-4496-9095-A316E7A923A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7858" t="13176" r="8724" b="23719"/>
          <a:stretch/>
        </xdr:blipFill>
        <xdr:spPr>
          <a:xfrm>
            <a:off x="5754344" y="1152541"/>
            <a:ext cx="5743575" cy="6638924"/>
          </a:xfrm>
          <a:prstGeom prst="rect">
            <a:avLst/>
          </a:prstGeom>
        </xdr:spPr>
      </xdr:pic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28F56224-4D93-440A-A61E-133919223498}"/>
              </a:ext>
            </a:extLst>
          </xdr:cNvPr>
          <xdr:cNvGraphicFramePr>
            <a:graphicFrameLocks/>
          </xdr:cNvGraphicFramePr>
        </xdr:nvGraphicFramePr>
        <xdr:xfrm>
          <a:off x="6334125" y="1454840"/>
          <a:ext cx="7724776" cy="45274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4</xdr:row>
      <xdr:rowOff>52387</xdr:rowOff>
    </xdr:from>
    <xdr:to>
      <xdr:col>18</xdr:col>
      <xdr:colOff>200025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1747E-E45F-4C1B-BB25-8FDB49BBE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3</xdr:row>
      <xdr:rowOff>0</xdr:rowOff>
    </xdr:from>
    <xdr:to>
      <xdr:col>12</xdr:col>
      <xdr:colOff>466724</xdr:colOff>
      <xdr:row>17</xdr:row>
      <xdr:rowOff>69622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AEBAD-7F04-4C6C-B8EB-44C978B9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60000">
          <a:off x="3209924" y="571500"/>
          <a:ext cx="4600575" cy="273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600075</xdr:colOff>
      <xdr:row>1</xdr:row>
      <xdr:rowOff>85725</xdr:rowOff>
    </xdr:from>
    <xdr:to>
      <xdr:col>12</xdr:col>
      <xdr:colOff>371475</xdr:colOff>
      <xdr:row>14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B04818-818A-4436-950E-846EE51C3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490537</xdr:colOff>
      <xdr:row>14</xdr:row>
      <xdr:rowOff>57150</xdr:rowOff>
    </xdr:from>
    <xdr:to>
      <xdr:col>14</xdr:col>
      <xdr:colOff>185737</xdr:colOff>
      <xdr:row>28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3BAAE9-D79C-45FA-B765-39577C0E2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142875</xdr:colOff>
      <xdr:row>0</xdr:row>
      <xdr:rowOff>123825</xdr:rowOff>
    </xdr:from>
    <xdr:to>
      <xdr:col>23</xdr:col>
      <xdr:colOff>513846</xdr:colOff>
      <xdr:row>19</xdr:row>
      <xdr:rowOff>75754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48D16F-2932-4C7E-B479-3F8B105B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34650" y="123825"/>
          <a:ext cx="4028571" cy="35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514350</xdr:colOff>
      <xdr:row>0</xdr:row>
      <xdr:rowOff>95250</xdr:rowOff>
    </xdr:from>
    <xdr:to>
      <xdr:col>23</xdr:col>
      <xdr:colOff>123825</xdr:colOff>
      <xdr:row>16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F76377-6CD7-488F-8D74-2BFBF72D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95250"/>
          <a:ext cx="3267075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247650</xdr:colOff>
      <xdr:row>15</xdr:row>
      <xdr:rowOff>38100</xdr:rowOff>
    </xdr:from>
    <xdr:to>
      <xdr:col>26</xdr:col>
      <xdr:colOff>599265</xdr:colOff>
      <xdr:row>46</xdr:row>
      <xdr:rowOff>84981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2BC737A-305E-4AE1-989D-EF613B90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01250" y="2895600"/>
          <a:ext cx="6476190" cy="5952381"/>
        </a:xfrm>
        <a:prstGeom prst="rect">
          <a:avLst/>
        </a:prstGeom>
      </xdr:spPr>
    </xdr:pic>
    <xdr:clientData/>
  </xdr:twoCellAnchor>
  <xdr:twoCellAnchor>
    <xdr:from>
      <xdr:col>13</xdr:col>
      <xdr:colOff>404812</xdr:colOff>
      <xdr:row>21</xdr:row>
      <xdr:rowOff>95668</xdr:rowOff>
    </xdr:from>
    <xdr:to>
      <xdr:col>20</xdr:col>
      <xdr:colOff>514350</xdr:colOff>
      <xdr:row>41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3B858C-11D2-4059-AFDA-B9804CD2B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495300</xdr:colOff>
      <xdr:row>40</xdr:row>
      <xdr:rowOff>161925</xdr:rowOff>
    </xdr:from>
    <xdr:to>
      <xdr:col>16</xdr:col>
      <xdr:colOff>633413</xdr:colOff>
      <xdr:row>61</xdr:row>
      <xdr:rowOff>66256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BD7910C-9B81-4070-BB52-D6F3F57C4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190499</xdr:rowOff>
    </xdr:from>
    <xdr:to>
      <xdr:col>17</xdr:col>
      <xdr:colOff>318761</xdr:colOff>
      <xdr:row>15</xdr:row>
      <xdr:rowOff>113538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7648D-582B-42AF-9D7E-8F7DD2A36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499"/>
          <a:ext cx="5195561" cy="2780539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16</xdr:row>
      <xdr:rowOff>180975</xdr:rowOff>
    </xdr:from>
    <xdr:to>
      <xdr:col>19</xdr:col>
      <xdr:colOff>228040</xdr:colOff>
      <xdr:row>28</xdr:row>
      <xdr:rowOff>161926</xdr:rowOff>
    </xdr:to>
    <xdr:pic>
      <xdr:nvPicPr>
        <xdr:cNvPr id="4" name="Picture 3" descr="'V2C' laminar transonic aerofoil profile, designed by Vincent Levasseur of Dassault Aviation.">
          <a:extLst>
            <a:ext uri="{FF2B5EF4-FFF2-40B4-BE49-F238E27FC236}">
              <a16:creationId xmlns:a16="http://schemas.microsoft.com/office/drawing/2014/main" id="{F1729FC6-F9E8-4CE8-BA9D-B11B9627A82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69" b="29038"/>
        <a:stretch/>
      </xdr:blipFill>
      <xdr:spPr bwMode="auto">
        <a:xfrm>
          <a:off x="3743325" y="3228975"/>
          <a:ext cx="8067115" cy="2266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381001</xdr:colOff>
      <xdr:row>8</xdr:row>
      <xdr:rowOff>9524</xdr:rowOff>
    </xdr:from>
    <xdr:to>
      <xdr:col>18</xdr:col>
      <xdr:colOff>531577</xdr:colOff>
      <xdr:row>23</xdr:row>
      <xdr:rowOff>71583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B23A02-C395-4CEE-80E1-8F147A8BD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1" y="1533524"/>
          <a:ext cx="8075376" cy="2919559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8</xdr:row>
      <xdr:rowOff>104775</xdr:rowOff>
    </xdr:from>
    <xdr:to>
      <xdr:col>17</xdr:col>
      <xdr:colOff>119532</xdr:colOff>
      <xdr:row>17</xdr:row>
      <xdr:rowOff>125475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38851B-FD7B-411E-BD57-B92267A4E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13</xdr:row>
      <xdr:rowOff>57150</xdr:rowOff>
    </xdr:from>
    <xdr:to>
      <xdr:col>14</xdr:col>
      <xdr:colOff>204787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7DDD9-3B3D-4D52-A0BA-4F9070D6A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39</xdr:row>
      <xdr:rowOff>180975</xdr:rowOff>
    </xdr:from>
    <xdr:to>
      <xdr:col>18</xdr:col>
      <xdr:colOff>38100</xdr:colOff>
      <xdr:row>54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EC4B3F-72C0-4215-9253-A1A081262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342900</xdr:colOff>
      <xdr:row>32</xdr:row>
      <xdr:rowOff>133350</xdr:rowOff>
    </xdr:from>
    <xdr:to>
      <xdr:col>27</xdr:col>
      <xdr:colOff>180309</xdr:colOff>
      <xdr:row>53</xdr:row>
      <xdr:rowOff>189993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D8E31-2F4A-40CD-B2E6-BBCA6E8F8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5700" y="6229350"/>
          <a:ext cx="5323809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5"/>
  <sheetViews>
    <sheetView topLeftCell="G13" workbookViewId="0">
      <selection activeCell="F3" sqref="F3:G145"/>
    </sheetView>
  </sheetViews>
  <sheetFormatPr defaultRowHeight="15" x14ac:dyDescent="0.25"/>
  <cols>
    <col min="7" max="7" width="10.7109375" bestFit="1" customWidth="1"/>
  </cols>
  <sheetData>
    <row r="1" spans="2:11" x14ac:dyDescent="0.25">
      <c r="B1" t="s">
        <v>0</v>
      </c>
      <c r="E1" t="s">
        <v>1</v>
      </c>
      <c r="I1" t="s">
        <v>3</v>
      </c>
    </row>
    <row r="2" spans="2:11" x14ac:dyDescent="0.25">
      <c r="E2" t="s">
        <v>2</v>
      </c>
      <c r="I2" t="s">
        <v>2</v>
      </c>
    </row>
    <row r="3" spans="2:11" x14ac:dyDescent="0.25"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I3">
        <v>1</v>
      </c>
      <c r="J3" s="1">
        <f>F3*1000</f>
        <v>1000</v>
      </c>
      <c r="K3" s="1">
        <f>G3*1000</f>
        <v>0</v>
      </c>
    </row>
    <row r="4" spans="2:11" x14ac:dyDescent="0.25">
      <c r="B4">
        <v>1.6500000000000001E-5</v>
      </c>
      <c r="C4">
        <v>-6.914E-4</v>
      </c>
      <c r="D4">
        <v>2</v>
      </c>
      <c r="E4">
        <v>1</v>
      </c>
      <c r="F4">
        <v>0.997803</v>
      </c>
      <c r="G4">
        <v>1.3875999999999999E-3</v>
      </c>
      <c r="I4">
        <v>1</v>
      </c>
      <c r="J4" s="1">
        <f t="shared" ref="J4:J67" si="0">F4*1000</f>
        <v>997.803</v>
      </c>
      <c r="K4" s="1">
        <f t="shared" ref="K4:K67" si="1">G4*1000</f>
        <v>1.3875999999999999</v>
      </c>
    </row>
    <row r="5" spans="2:11" x14ac:dyDescent="0.25">
      <c r="B5">
        <v>6.9599999999999998E-5</v>
      </c>
      <c r="C5">
        <v>-1.5416E-3</v>
      </c>
      <c r="D5">
        <v>3</v>
      </c>
      <c r="E5">
        <v>1</v>
      </c>
      <c r="F5">
        <v>0.99520799999999998</v>
      </c>
      <c r="G5">
        <v>1.6999999999999999E-3</v>
      </c>
      <c r="I5">
        <v>1</v>
      </c>
      <c r="J5" s="1">
        <f t="shared" si="0"/>
        <v>995.20799999999997</v>
      </c>
      <c r="K5" s="1">
        <f t="shared" si="1"/>
        <v>1.7</v>
      </c>
    </row>
    <row r="6" spans="2:11" x14ac:dyDescent="0.25">
      <c r="B6">
        <v>1.6750000000000001E-4</v>
      </c>
      <c r="C6">
        <v>-2.0554000000000002E-3</v>
      </c>
      <c r="D6">
        <v>4</v>
      </c>
      <c r="E6">
        <v>1</v>
      </c>
      <c r="F6">
        <v>0.99214380000000002</v>
      </c>
      <c r="G6">
        <v>2.6280000000000001E-3</v>
      </c>
      <c r="I6">
        <v>1</v>
      </c>
      <c r="J6" s="1">
        <f t="shared" si="0"/>
        <v>992.14380000000006</v>
      </c>
      <c r="K6" s="1">
        <f t="shared" si="1"/>
        <v>2.6280000000000001</v>
      </c>
    </row>
    <row r="7" spans="2:11" x14ac:dyDescent="0.25">
      <c r="B7">
        <v>3.232E-4</v>
      </c>
      <c r="C7">
        <v>-3.1381999999999998E-3</v>
      </c>
      <c r="D7">
        <v>5</v>
      </c>
      <c r="E7">
        <v>1</v>
      </c>
      <c r="F7">
        <v>0.98852519999999999</v>
      </c>
      <c r="G7">
        <v>3.8140000000000001E-3</v>
      </c>
      <c r="I7">
        <v>1</v>
      </c>
      <c r="J7" s="1">
        <f t="shared" si="0"/>
        <v>988.52520000000004</v>
      </c>
      <c r="K7" s="1">
        <f t="shared" si="1"/>
        <v>3.8140000000000001</v>
      </c>
    </row>
    <row r="8" spans="2:11" x14ac:dyDescent="0.25">
      <c r="B8">
        <v>5.5080000000000005E-4</v>
      </c>
      <c r="C8">
        <v>-4.0959000000000004E-3</v>
      </c>
      <c r="D8">
        <v>6</v>
      </c>
      <c r="E8">
        <v>1</v>
      </c>
      <c r="F8">
        <v>0.98425079999999998</v>
      </c>
      <c r="G8">
        <v>5.0606000000000002E-3</v>
      </c>
      <c r="I8">
        <v>1</v>
      </c>
      <c r="J8" s="1">
        <f t="shared" si="0"/>
        <v>984.25080000000003</v>
      </c>
      <c r="K8" s="1">
        <f t="shared" si="1"/>
        <v>5.0606</v>
      </c>
    </row>
    <row r="9" spans="2:11" x14ac:dyDescent="0.25">
      <c r="B9">
        <v>8.6569999999999995E-4</v>
      </c>
      <c r="C9">
        <v>-5.1342999999999996E-3</v>
      </c>
      <c r="D9">
        <v>7</v>
      </c>
      <c r="E9">
        <v>1</v>
      </c>
      <c r="F9">
        <v>0.97920200000000002</v>
      </c>
      <c r="G9">
        <v>6.7210999999999998E-3</v>
      </c>
      <c r="I9">
        <v>1</v>
      </c>
      <c r="J9" s="1">
        <f t="shared" si="0"/>
        <v>979.202</v>
      </c>
      <c r="K9" s="1">
        <f t="shared" si="1"/>
        <v>6.7210999999999999</v>
      </c>
    </row>
    <row r="10" spans="2:11" x14ac:dyDescent="0.25">
      <c r="B10">
        <v>1.2868000000000001E-3</v>
      </c>
      <c r="C10">
        <v>-6.9598000000000004E-3</v>
      </c>
      <c r="D10">
        <v>8</v>
      </c>
      <c r="E10">
        <v>1</v>
      </c>
      <c r="F10">
        <v>0.97323610000000005</v>
      </c>
      <c r="G10">
        <v>8.2015000000000005E-3</v>
      </c>
      <c r="I10">
        <v>1</v>
      </c>
      <c r="J10" s="1">
        <f t="shared" si="0"/>
        <v>973.23610000000008</v>
      </c>
      <c r="K10" s="1">
        <f t="shared" si="1"/>
        <v>8.2015000000000011</v>
      </c>
    </row>
    <row r="11" spans="2:11" x14ac:dyDescent="0.25">
      <c r="B11">
        <v>1.8364E-3</v>
      </c>
      <c r="C11">
        <v>-8.9783999999999992E-3</v>
      </c>
      <c r="D11">
        <v>9</v>
      </c>
      <c r="E11">
        <v>1</v>
      </c>
      <c r="F11">
        <v>0.96618599999999999</v>
      </c>
      <c r="G11">
        <v>1.0134000000000001E-2</v>
      </c>
      <c r="I11">
        <v>1</v>
      </c>
      <c r="J11" s="1">
        <f t="shared" si="0"/>
        <v>966.18600000000004</v>
      </c>
      <c r="K11" s="1">
        <f t="shared" si="1"/>
        <v>10.134</v>
      </c>
    </row>
    <row r="12" spans="2:11" x14ac:dyDescent="0.25">
      <c r="B12">
        <v>2.5441000000000001E-3</v>
      </c>
      <c r="C12">
        <v>-1.0205799999999999E-2</v>
      </c>
      <c r="D12">
        <v>10</v>
      </c>
      <c r="E12">
        <v>1</v>
      </c>
      <c r="F12">
        <v>0.95785109999999996</v>
      </c>
      <c r="G12">
        <v>1.20144E-2</v>
      </c>
      <c r="I12">
        <v>1</v>
      </c>
      <c r="J12" s="1">
        <f t="shared" si="0"/>
        <v>957.85109999999997</v>
      </c>
      <c r="K12" s="1">
        <f t="shared" si="1"/>
        <v>12.0144</v>
      </c>
    </row>
    <row r="13" spans="2:11" x14ac:dyDescent="0.25">
      <c r="B13">
        <v>3.4428000000000002E-3</v>
      </c>
      <c r="C13">
        <v>-1.10163E-2</v>
      </c>
      <c r="D13">
        <v>11</v>
      </c>
      <c r="E13">
        <v>1</v>
      </c>
      <c r="F13">
        <v>0.94799460000000002</v>
      </c>
      <c r="G13">
        <v>1.47038E-2</v>
      </c>
      <c r="I13">
        <v>1</v>
      </c>
      <c r="J13" s="1">
        <f t="shared" si="0"/>
        <v>947.99459999999999</v>
      </c>
      <c r="K13" s="1">
        <f t="shared" si="1"/>
        <v>14.703799999999999</v>
      </c>
    </row>
    <row r="14" spans="2:11" x14ac:dyDescent="0.25">
      <c r="B14">
        <v>4.5703999999999996E-3</v>
      </c>
      <c r="C14">
        <v>-1.27419E-2</v>
      </c>
      <c r="D14">
        <v>12</v>
      </c>
      <c r="E14">
        <v>1</v>
      </c>
      <c r="F14">
        <v>0.93633460000000002</v>
      </c>
      <c r="G14">
        <v>1.7726499999999999E-2</v>
      </c>
      <c r="I14">
        <v>1</v>
      </c>
      <c r="J14" s="1">
        <f t="shared" si="0"/>
        <v>936.33460000000002</v>
      </c>
      <c r="K14" s="1">
        <f t="shared" si="1"/>
        <v>17.726499999999998</v>
      </c>
    </row>
    <row r="15" spans="2:11" x14ac:dyDescent="0.25">
      <c r="B15">
        <v>5.9750999999999997E-3</v>
      </c>
      <c r="C15">
        <v>-1.3708E-2</v>
      </c>
      <c r="D15">
        <v>13</v>
      </c>
      <c r="E15">
        <v>1</v>
      </c>
      <c r="F15">
        <v>0.92253359999999995</v>
      </c>
      <c r="G15">
        <v>2.1113799999999999E-2</v>
      </c>
      <c r="I15">
        <v>1</v>
      </c>
      <c r="J15" s="1">
        <f t="shared" si="0"/>
        <v>922.53359999999998</v>
      </c>
      <c r="K15" s="1">
        <f t="shared" si="1"/>
        <v>21.113799999999998</v>
      </c>
    </row>
    <row r="16" spans="2:11" x14ac:dyDescent="0.25">
      <c r="B16">
        <v>7.7111999999999997E-3</v>
      </c>
      <c r="C16">
        <v>-1.4995100000000001E-2</v>
      </c>
      <c r="D16">
        <v>14</v>
      </c>
      <c r="E16">
        <v>1</v>
      </c>
      <c r="F16">
        <v>0.90619050000000001</v>
      </c>
      <c r="G16">
        <v>2.5495199999999999E-2</v>
      </c>
      <c r="I16">
        <v>1</v>
      </c>
      <c r="J16" s="1">
        <f t="shared" si="0"/>
        <v>906.19050000000004</v>
      </c>
      <c r="K16" s="1">
        <f t="shared" si="1"/>
        <v>25.495200000000001</v>
      </c>
    </row>
    <row r="17" spans="2:11" x14ac:dyDescent="0.25">
      <c r="B17">
        <v>9.8413000000000007E-3</v>
      </c>
      <c r="C17">
        <v>-1.58984E-2</v>
      </c>
      <c r="D17">
        <v>15</v>
      </c>
      <c r="E17">
        <v>1</v>
      </c>
      <c r="F17">
        <v>0.88682349999999999</v>
      </c>
      <c r="G17">
        <v>2.9505099999999999E-2</v>
      </c>
      <c r="I17">
        <v>1</v>
      </c>
      <c r="J17" s="1">
        <f t="shared" si="0"/>
        <v>886.82349999999997</v>
      </c>
      <c r="K17" s="1">
        <f t="shared" si="1"/>
        <v>29.505099999999999</v>
      </c>
    </row>
    <row r="18" spans="2:11" x14ac:dyDescent="0.25">
      <c r="B18">
        <v>1.24479E-2</v>
      </c>
      <c r="C18">
        <v>-1.73537E-2</v>
      </c>
      <c r="D18">
        <v>16</v>
      </c>
      <c r="E18">
        <v>1</v>
      </c>
      <c r="F18">
        <v>0.86385639999999997</v>
      </c>
      <c r="G18">
        <v>3.5291500000000003E-2</v>
      </c>
      <c r="I18">
        <v>1</v>
      </c>
      <c r="J18" s="1">
        <f t="shared" si="0"/>
        <v>863.85640000000001</v>
      </c>
      <c r="K18" s="1">
        <f t="shared" si="1"/>
        <v>35.291500000000006</v>
      </c>
    </row>
    <row r="19" spans="2:11" x14ac:dyDescent="0.25">
      <c r="B19">
        <v>1.56171E-2</v>
      </c>
      <c r="C19">
        <v>-1.8322000000000001E-2</v>
      </c>
      <c r="D19">
        <v>17</v>
      </c>
      <c r="E19">
        <v>1</v>
      </c>
      <c r="F19">
        <v>0.84073240000000005</v>
      </c>
      <c r="G19">
        <v>3.9783800000000001E-2</v>
      </c>
      <c r="I19">
        <v>1</v>
      </c>
      <c r="J19" s="1">
        <f t="shared" si="0"/>
        <v>840.7324000000001</v>
      </c>
      <c r="K19" s="1">
        <f t="shared" si="1"/>
        <v>39.783799999999999</v>
      </c>
    </row>
    <row r="20" spans="2:11" x14ac:dyDescent="0.25">
      <c r="B20">
        <v>1.94609E-2</v>
      </c>
      <c r="C20">
        <v>-1.94545E-2</v>
      </c>
      <c r="D20">
        <v>18</v>
      </c>
      <c r="E20">
        <v>1</v>
      </c>
      <c r="F20">
        <v>0.81748279999999995</v>
      </c>
      <c r="G20">
        <v>4.4842E-2</v>
      </c>
      <c r="I20">
        <v>1</v>
      </c>
      <c r="J20" s="1">
        <f t="shared" si="0"/>
        <v>817.4828</v>
      </c>
      <c r="K20" s="1">
        <f t="shared" si="1"/>
        <v>44.841999999999999</v>
      </c>
    </row>
    <row r="21" spans="2:11" x14ac:dyDescent="0.25">
      <c r="B21">
        <v>2.4106699999999998E-2</v>
      </c>
      <c r="C21">
        <v>-2.08004E-2</v>
      </c>
      <c r="D21">
        <v>19</v>
      </c>
      <c r="E21">
        <v>1</v>
      </c>
      <c r="F21">
        <v>0.79410550000000002</v>
      </c>
      <c r="G21">
        <v>4.9027000000000001E-2</v>
      </c>
      <c r="I21">
        <v>1</v>
      </c>
      <c r="J21" s="1">
        <f t="shared" si="0"/>
        <v>794.10550000000001</v>
      </c>
      <c r="K21" s="1">
        <f t="shared" si="1"/>
        <v>49.027000000000001</v>
      </c>
    </row>
    <row r="22" spans="2:11" x14ac:dyDescent="0.25">
      <c r="B22">
        <v>2.9700799999999999E-2</v>
      </c>
      <c r="C22">
        <v>-2.19245E-2</v>
      </c>
      <c r="D22">
        <v>20</v>
      </c>
      <c r="E22">
        <v>1</v>
      </c>
      <c r="F22">
        <v>0.77059979999999995</v>
      </c>
      <c r="G22">
        <v>5.3550500000000001E-2</v>
      </c>
      <c r="I22">
        <v>1</v>
      </c>
      <c r="J22" s="1">
        <f t="shared" si="0"/>
        <v>770.59979999999996</v>
      </c>
      <c r="K22" s="1">
        <f t="shared" si="1"/>
        <v>53.5505</v>
      </c>
    </row>
    <row r="23" spans="2:11" x14ac:dyDescent="0.25">
      <c r="B23">
        <v>3.6426100000000003E-2</v>
      </c>
      <c r="C23">
        <v>-2.3531699999999999E-2</v>
      </c>
      <c r="D23">
        <v>21</v>
      </c>
      <c r="E23">
        <v>1</v>
      </c>
      <c r="F23">
        <v>0.74696580000000001</v>
      </c>
      <c r="G23">
        <v>5.7364999999999999E-2</v>
      </c>
      <c r="I23">
        <v>1</v>
      </c>
      <c r="J23" s="1">
        <f t="shared" si="0"/>
        <v>746.96580000000006</v>
      </c>
      <c r="K23" s="1">
        <f t="shared" si="1"/>
        <v>57.365000000000002</v>
      </c>
    </row>
    <row r="24" spans="2:11" x14ac:dyDescent="0.25">
      <c r="B24">
        <v>4.4485200000000003E-2</v>
      </c>
      <c r="C24">
        <v>-2.4991200000000002E-2</v>
      </c>
      <c r="D24">
        <v>22</v>
      </c>
      <c r="E24">
        <v>1</v>
      </c>
      <c r="F24">
        <v>0.7231995</v>
      </c>
      <c r="G24">
        <v>6.1066200000000001E-2</v>
      </c>
      <c r="I24">
        <v>1</v>
      </c>
      <c r="J24" s="1">
        <f t="shared" si="0"/>
        <v>723.19949999999994</v>
      </c>
      <c r="K24" s="1">
        <f t="shared" si="1"/>
        <v>61.066200000000002</v>
      </c>
    </row>
    <row r="25" spans="2:11" x14ac:dyDescent="0.25">
      <c r="B25">
        <v>5.4124800000000001E-2</v>
      </c>
      <c r="C25">
        <v>-2.6827799999999999E-2</v>
      </c>
      <c r="D25">
        <v>23</v>
      </c>
      <c r="E25">
        <v>1</v>
      </c>
      <c r="F25">
        <v>0.69930270000000005</v>
      </c>
      <c r="G25">
        <v>6.4694020000000005E-2</v>
      </c>
      <c r="I25">
        <v>1</v>
      </c>
      <c r="J25" s="1">
        <f t="shared" si="0"/>
        <v>699.30270000000007</v>
      </c>
      <c r="K25" s="1">
        <f t="shared" si="1"/>
        <v>64.694020000000009</v>
      </c>
    </row>
    <row r="26" spans="2:11" x14ac:dyDescent="0.25">
      <c r="B26">
        <v>6.5630300000000003E-2</v>
      </c>
      <c r="C26">
        <v>-2.89138E-2</v>
      </c>
      <c r="D26">
        <v>24</v>
      </c>
      <c r="E26">
        <v>1</v>
      </c>
      <c r="F26">
        <v>0.6752726</v>
      </c>
      <c r="G26">
        <v>6.7554199999999995E-2</v>
      </c>
      <c r="I26">
        <v>1</v>
      </c>
      <c r="J26" s="1">
        <f t="shared" si="0"/>
        <v>675.27260000000001</v>
      </c>
      <c r="K26" s="1">
        <f t="shared" si="1"/>
        <v>67.554199999999994</v>
      </c>
    </row>
    <row r="27" spans="2:11" x14ac:dyDescent="0.25">
      <c r="B27">
        <v>7.9336599999999993E-2</v>
      </c>
      <c r="C27">
        <v>-3.0837199999999999E-2</v>
      </c>
      <c r="D27">
        <v>25</v>
      </c>
      <c r="E27">
        <v>1</v>
      </c>
      <c r="F27">
        <v>0.6511093</v>
      </c>
      <c r="G27">
        <v>7.0198999999999998E-2</v>
      </c>
      <c r="I27">
        <v>1</v>
      </c>
      <c r="J27" s="1">
        <f t="shared" si="0"/>
        <v>651.10929999999996</v>
      </c>
      <c r="K27" s="1">
        <f t="shared" si="1"/>
        <v>70.198999999999998</v>
      </c>
    </row>
    <row r="28" spans="2:11" x14ac:dyDescent="0.25">
      <c r="B28">
        <v>9.5635399999999995E-2</v>
      </c>
      <c r="C28">
        <v>-3.2874199999999999E-2</v>
      </c>
      <c r="D28">
        <v>26</v>
      </c>
      <c r="E28">
        <v>1</v>
      </c>
      <c r="F28">
        <v>0.62681039999999999</v>
      </c>
      <c r="G28">
        <v>7.2961300000000007E-2</v>
      </c>
      <c r="I28">
        <v>1</v>
      </c>
      <c r="J28" s="1">
        <f t="shared" si="0"/>
        <v>626.81039999999996</v>
      </c>
      <c r="K28" s="1">
        <f t="shared" si="1"/>
        <v>72.961300000000008</v>
      </c>
    </row>
    <row r="29" spans="2:11" x14ac:dyDescent="0.25">
      <c r="B29">
        <v>0.1149796</v>
      </c>
      <c r="C29">
        <v>-3.50923E-2</v>
      </c>
      <c r="D29">
        <v>27</v>
      </c>
      <c r="E29">
        <v>1</v>
      </c>
      <c r="F29">
        <v>0.60237569999999996</v>
      </c>
      <c r="G29">
        <v>7.5241000000000002E-2</v>
      </c>
      <c r="I29">
        <v>1</v>
      </c>
      <c r="J29" s="1">
        <f t="shared" si="0"/>
        <v>602.37569999999994</v>
      </c>
      <c r="K29" s="1">
        <f t="shared" si="1"/>
        <v>75.241</v>
      </c>
    </row>
    <row r="30" spans="2:11" x14ac:dyDescent="0.25">
      <c r="B30">
        <v>0.1378963</v>
      </c>
      <c r="C30">
        <v>-3.7452199999999998E-2</v>
      </c>
      <c r="D30">
        <v>28</v>
      </c>
      <c r="E30">
        <v>1</v>
      </c>
      <c r="F30">
        <v>0.57780430000000005</v>
      </c>
      <c r="G30">
        <v>7.7216839999999995E-2</v>
      </c>
      <c r="I30">
        <v>1</v>
      </c>
      <c r="J30" s="1">
        <f t="shared" si="0"/>
        <v>577.80430000000001</v>
      </c>
      <c r="K30" s="1">
        <f t="shared" si="1"/>
        <v>77.216839999999991</v>
      </c>
    </row>
    <row r="31" spans="2:11" x14ac:dyDescent="0.25">
      <c r="B31">
        <v>0.16499759999999999</v>
      </c>
      <c r="C31">
        <v>-3.9968900000000002E-2</v>
      </c>
      <c r="D31">
        <v>29</v>
      </c>
      <c r="E31">
        <v>1</v>
      </c>
      <c r="F31">
        <v>0.55309370000000002</v>
      </c>
      <c r="G31">
        <v>7.8674099999999997E-2</v>
      </c>
      <c r="I31">
        <v>1</v>
      </c>
      <c r="J31" s="1">
        <f t="shared" si="0"/>
        <v>553.09370000000001</v>
      </c>
      <c r="K31" s="1">
        <f t="shared" si="1"/>
        <v>78.674099999999996</v>
      </c>
    </row>
    <row r="32" spans="2:11" x14ac:dyDescent="0.25">
      <c r="B32">
        <v>0.19193270000000001</v>
      </c>
      <c r="C32">
        <v>-4.1821400000000002E-2</v>
      </c>
      <c r="D32">
        <v>30</v>
      </c>
      <c r="E32">
        <v>1</v>
      </c>
      <c r="F32">
        <v>0.52824260000000001</v>
      </c>
      <c r="G32">
        <v>7.9209000000000002E-2</v>
      </c>
      <c r="I32">
        <v>1</v>
      </c>
      <c r="J32" s="1">
        <f t="shared" si="0"/>
        <v>528.24260000000004</v>
      </c>
      <c r="K32" s="1">
        <f t="shared" si="1"/>
        <v>79.209000000000003</v>
      </c>
    </row>
    <row r="33" spans="2:11" x14ac:dyDescent="0.25">
      <c r="B33">
        <v>0.2187096</v>
      </c>
      <c r="C33">
        <v>-4.4050699999999998E-2</v>
      </c>
      <c r="D33">
        <v>31</v>
      </c>
      <c r="E33">
        <v>1</v>
      </c>
      <c r="F33">
        <v>0.50325140000000002</v>
      </c>
      <c r="G33">
        <v>8.0202999999999997E-2</v>
      </c>
      <c r="I33">
        <v>1</v>
      </c>
      <c r="J33" s="1">
        <f t="shared" si="0"/>
        <v>503.25139999999999</v>
      </c>
      <c r="K33" s="1">
        <f t="shared" si="1"/>
        <v>80.203000000000003</v>
      </c>
    </row>
    <row r="34" spans="2:11" x14ac:dyDescent="0.25">
      <c r="B34">
        <v>0.24533099999999999</v>
      </c>
      <c r="C34">
        <v>-4.6035800000000002E-2</v>
      </c>
      <c r="D34">
        <v>32</v>
      </c>
      <c r="E34">
        <v>1</v>
      </c>
      <c r="F34">
        <v>0.47811969999999998</v>
      </c>
      <c r="G34">
        <v>8.0080999999999999E-2</v>
      </c>
      <c r="I34">
        <v>1</v>
      </c>
      <c r="J34" s="1">
        <f t="shared" si="0"/>
        <v>478.11969999999997</v>
      </c>
      <c r="K34" s="1">
        <f t="shared" si="1"/>
        <v>80.081000000000003</v>
      </c>
    </row>
    <row r="35" spans="2:11" x14ac:dyDescent="0.25">
      <c r="B35">
        <v>0.27179779999999998</v>
      </c>
      <c r="C35">
        <v>-4.8098700000000001E-2</v>
      </c>
      <c r="D35">
        <v>33</v>
      </c>
      <c r="E35">
        <v>1</v>
      </c>
      <c r="F35">
        <v>0.45284410000000003</v>
      </c>
      <c r="G35">
        <v>8.0603999999999995E-2</v>
      </c>
      <c r="I35">
        <v>1</v>
      </c>
      <c r="J35" s="1">
        <f t="shared" si="0"/>
        <v>452.84410000000003</v>
      </c>
      <c r="K35" s="1">
        <f t="shared" si="1"/>
        <v>80.603999999999999</v>
      </c>
    </row>
    <row r="36" spans="2:11" x14ac:dyDescent="0.25">
      <c r="B36">
        <v>0.29811130000000002</v>
      </c>
      <c r="C36">
        <v>-4.9749399999999999E-2</v>
      </c>
      <c r="D36">
        <v>34</v>
      </c>
      <c r="E36">
        <v>1</v>
      </c>
      <c r="F36">
        <v>0.42742229999999998</v>
      </c>
      <c r="G36">
        <v>7.9883300000000004E-2</v>
      </c>
      <c r="I36">
        <v>1</v>
      </c>
      <c r="J36" s="1">
        <f t="shared" si="0"/>
        <v>427.42229999999995</v>
      </c>
      <c r="K36" s="1">
        <f t="shared" si="1"/>
        <v>79.883300000000006</v>
      </c>
    </row>
    <row r="37" spans="2:11" x14ac:dyDescent="0.25">
      <c r="B37">
        <v>0.32427260000000002</v>
      </c>
      <c r="C37">
        <v>-5.1049020000000001E-2</v>
      </c>
      <c r="D37">
        <v>35</v>
      </c>
      <c r="E37">
        <v>1</v>
      </c>
      <c r="F37">
        <v>0.40185670000000001</v>
      </c>
      <c r="G37">
        <v>7.9301999999999997E-2</v>
      </c>
      <c r="I37">
        <v>1</v>
      </c>
      <c r="J37" s="1">
        <f t="shared" si="0"/>
        <v>401.85669999999999</v>
      </c>
      <c r="K37" s="1">
        <f t="shared" si="1"/>
        <v>79.301999999999992</v>
      </c>
    </row>
    <row r="38" spans="2:11" x14ac:dyDescent="0.25">
      <c r="B38">
        <v>0.35028300000000001</v>
      </c>
      <c r="C38">
        <v>-5.2518299999999997E-2</v>
      </c>
      <c r="D38">
        <v>36</v>
      </c>
      <c r="E38">
        <v>1</v>
      </c>
      <c r="F38">
        <v>0.3761446</v>
      </c>
      <c r="G38">
        <v>7.8629599999999994E-2</v>
      </c>
      <c r="I38">
        <v>1</v>
      </c>
      <c r="J38" s="1">
        <f t="shared" si="0"/>
        <v>376.14459999999997</v>
      </c>
      <c r="K38" s="1">
        <f t="shared" si="1"/>
        <v>78.629599999999996</v>
      </c>
    </row>
    <row r="39" spans="2:11" x14ac:dyDescent="0.25">
      <c r="B39">
        <v>0.3761446</v>
      </c>
      <c r="C39">
        <v>-5.3769600000000001E-2</v>
      </c>
      <c r="D39">
        <v>37</v>
      </c>
      <c r="E39">
        <v>1</v>
      </c>
      <c r="F39">
        <v>0.35028300000000001</v>
      </c>
      <c r="G39">
        <v>7.7518299999999998E-2</v>
      </c>
      <c r="I39">
        <v>1</v>
      </c>
      <c r="J39" s="1">
        <f t="shared" si="0"/>
        <v>350.28300000000002</v>
      </c>
      <c r="K39" s="1">
        <f t="shared" si="1"/>
        <v>77.518299999999996</v>
      </c>
    </row>
    <row r="40" spans="2:11" x14ac:dyDescent="0.25">
      <c r="B40">
        <v>0.40185670000000001</v>
      </c>
      <c r="C40">
        <v>-5.4880199999999997E-2</v>
      </c>
      <c r="D40">
        <v>38</v>
      </c>
      <c r="E40">
        <v>1</v>
      </c>
      <c r="F40">
        <v>0.32427260000000002</v>
      </c>
      <c r="G40">
        <v>7.5849020000000003E-2</v>
      </c>
      <c r="I40">
        <v>1</v>
      </c>
      <c r="J40" s="1">
        <f t="shared" si="0"/>
        <v>324.27260000000001</v>
      </c>
      <c r="K40" s="1">
        <f t="shared" si="1"/>
        <v>75.84902000000001</v>
      </c>
    </row>
    <row r="41" spans="2:11" x14ac:dyDescent="0.25">
      <c r="B41">
        <v>0.42742229999999998</v>
      </c>
      <c r="C41">
        <v>-5.5583300000000002E-2</v>
      </c>
      <c r="D41">
        <v>39</v>
      </c>
      <c r="E41">
        <v>1</v>
      </c>
      <c r="F41">
        <v>0.29811130000000002</v>
      </c>
      <c r="G41">
        <v>7.3594939999999998E-2</v>
      </c>
      <c r="I41">
        <v>1</v>
      </c>
      <c r="J41" s="1">
        <f t="shared" si="0"/>
        <v>298.11130000000003</v>
      </c>
      <c r="K41" s="1">
        <f t="shared" si="1"/>
        <v>73.594939999999994</v>
      </c>
    </row>
    <row r="42" spans="2:11" x14ac:dyDescent="0.25">
      <c r="B42">
        <v>0.45284410000000003</v>
      </c>
      <c r="C42">
        <v>-5.6435100000000002E-2</v>
      </c>
      <c r="D42">
        <v>40</v>
      </c>
      <c r="E42">
        <v>1</v>
      </c>
      <c r="F42">
        <v>0.27179779999999998</v>
      </c>
      <c r="G42">
        <v>7.1198700000000004E-2</v>
      </c>
      <c r="I42">
        <v>1</v>
      </c>
      <c r="J42" s="1">
        <f t="shared" si="0"/>
        <v>271.7978</v>
      </c>
      <c r="K42" s="1">
        <f t="shared" si="1"/>
        <v>71.198700000000002</v>
      </c>
    </row>
    <row r="43" spans="2:11" x14ac:dyDescent="0.25">
      <c r="B43">
        <v>0.47811969999999998</v>
      </c>
      <c r="C43">
        <v>-5.6866100000000003E-2</v>
      </c>
      <c r="D43">
        <v>41</v>
      </c>
      <c r="E43">
        <v>1</v>
      </c>
      <c r="F43">
        <v>0.24533099999999999</v>
      </c>
      <c r="G43">
        <v>6.8235799999999999E-2</v>
      </c>
      <c r="I43">
        <v>1</v>
      </c>
      <c r="J43" s="1">
        <f t="shared" si="0"/>
        <v>245.33099999999999</v>
      </c>
      <c r="K43" s="1">
        <f t="shared" si="1"/>
        <v>68.235799999999998</v>
      </c>
    </row>
    <row r="44" spans="2:11" x14ac:dyDescent="0.25">
      <c r="B44">
        <v>0.50325140000000002</v>
      </c>
      <c r="C44">
        <v>-5.6730299999999997E-2</v>
      </c>
      <c r="D44">
        <v>42</v>
      </c>
      <c r="E44">
        <v>1</v>
      </c>
      <c r="F44">
        <v>0.2187096</v>
      </c>
      <c r="G44">
        <v>6.5050700000000003E-2</v>
      </c>
      <c r="I44">
        <v>1</v>
      </c>
      <c r="J44" s="1">
        <f t="shared" si="0"/>
        <v>218.70959999999999</v>
      </c>
      <c r="K44" s="1">
        <f t="shared" si="1"/>
        <v>65.050700000000006</v>
      </c>
    </row>
    <row r="45" spans="2:11" x14ac:dyDescent="0.25">
      <c r="B45">
        <v>0.52824260000000001</v>
      </c>
      <c r="C45">
        <v>-5.5992090000000001E-2</v>
      </c>
      <c r="D45">
        <v>43</v>
      </c>
      <c r="E45">
        <v>1</v>
      </c>
      <c r="F45">
        <v>0.19193270000000001</v>
      </c>
      <c r="G45">
        <v>6.16214E-2</v>
      </c>
      <c r="I45">
        <v>1</v>
      </c>
      <c r="J45" s="1">
        <f t="shared" si="0"/>
        <v>191.93270000000001</v>
      </c>
      <c r="K45" s="1">
        <f t="shared" si="1"/>
        <v>61.621400000000001</v>
      </c>
    </row>
    <row r="46" spans="2:11" x14ac:dyDescent="0.25">
      <c r="B46">
        <v>0.55309370000000002</v>
      </c>
      <c r="C46">
        <v>-5.4974099999999998E-2</v>
      </c>
      <c r="D46">
        <v>44</v>
      </c>
      <c r="E46">
        <v>1</v>
      </c>
      <c r="F46">
        <v>0.16499759999999999</v>
      </c>
      <c r="G46">
        <v>5.7908899999999999E-2</v>
      </c>
      <c r="I46">
        <v>1</v>
      </c>
      <c r="J46" s="1">
        <f t="shared" si="0"/>
        <v>164.99760000000001</v>
      </c>
      <c r="K46" s="1">
        <f t="shared" si="1"/>
        <v>57.908900000000003</v>
      </c>
    </row>
    <row r="47" spans="2:11" x14ac:dyDescent="0.25">
      <c r="B47">
        <v>0.57780430000000005</v>
      </c>
      <c r="C47">
        <v>-5.3868399999999997E-2</v>
      </c>
      <c r="D47">
        <v>45</v>
      </c>
      <c r="E47">
        <v>1</v>
      </c>
      <c r="F47">
        <v>0.1378963</v>
      </c>
      <c r="G47">
        <v>5.3052200000000001E-2</v>
      </c>
      <c r="I47">
        <v>1</v>
      </c>
      <c r="J47" s="1">
        <f t="shared" si="0"/>
        <v>137.8963</v>
      </c>
      <c r="K47" s="1">
        <f t="shared" si="1"/>
        <v>53.052199999999999</v>
      </c>
    </row>
    <row r="48" spans="2:11" x14ac:dyDescent="0.25">
      <c r="B48">
        <v>0.60237569999999996</v>
      </c>
      <c r="C48">
        <v>-5.2424100000000001E-2</v>
      </c>
      <c r="D48">
        <v>46</v>
      </c>
      <c r="E48">
        <v>1</v>
      </c>
      <c r="F48">
        <v>0.1149796</v>
      </c>
      <c r="G48">
        <v>4.8792299999999997E-2</v>
      </c>
      <c r="I48">
        <v>1</v>
      </c>
      <c r="J48" s="1">
        <f t="shared" si="0"/>
        <v>114.9796</v>
      </c>
      <c r="K48" s="1">
        <f t="shared" si="1"/>
        <v>48.792299999999997</v>
      </c>
    </row>
    <row r="49" spans="2:11" x14ac:dyDescent="0.25">
      <c r="B49">
        <v>0.62681039999999999</v>
      </c>
      <c r="C49">
        <v>-5.0161299999999999E-2</v>
      </c>
      <c r="D49">
        <v>47</v>
      </c>
      <c r="E49">
        <v>1</v>
      </c>
      <c r="F49">
        <v>9.5635399999999995E-2</v>
      </c>
      <c r="G49">
        <v>4.47742E-2</v>
      </c>
      <c r="I49">
        <v>1</v>
      </c>
      <c r="J49" s="1">
        <f t="shared" si="0"/>
        <v>95.63539999999999</v>
      </c>
      <c r="K49" s="1">
        <f t="shared" si="1"/>
        <v>44.7742</v>
      </c>
    </row>
    <row r="50" spans="2:11" x14ac:dyDescent="0.25">
      <c r="B50">
        <v>0.6511093</v>
      </c>
      <c r="C50">
        <v>-4.7898999999999997E-2</v>
      </c>
      <c r="D50">
        <v>48</v>
      </c>
      <c r="E50">
        <v>1</v>
      </c>
      <c r="F50">
        <v>7.9336599999999993E-2</v>
      </c>
      <c r="G50">
        <v>4.0837199999999997E-2</v>
      </c>
      <c r="I50">
        <v>1</v>
      </c>
      <c r="J50" s="1">
        <f t="shared" si="0"/>
        <v>79.33659999999999</v>
      </c>
      <c r="K50" s="1">
        <f t="shared" si="1"/>
        <v>40.837199999999996</v>
      </c>
    </row>
    <row r="51" spans="2:11" x14ac:dyDescent="0.25">
      <c r="B51">
        <v>0.6752726</v>
      </c>
      <c r="C51">
        <v>-4.49542E-2</v>
      </c>
      <c r="D51">
        <v>49</v>
      </c>
      <c r="E51">
        <v>1</v>
      </c>
      <c r="F51">
        <v>6.5630300000000003E-2</v>
      </c>
      <c r="G51">
        <v>3.7613800000000003E-2</v>
      </c>
      <c r="I51">
        <v>1</v>
      </c>
      <c r="J51" s="1">
        <f t="shared" si="0"/>
        <v>65.630300000000005</v>
      </c>
      <c r="K51" s="1">
        <f t="shared" si="1"/>
        <v>37.613800000000005</v>
      </c>
    </row>
    <row r="52" spans="2:11" x14ac:dyDescent="0.25">
      <c r="B52">
        <v>0.69930270000000005</v>
      </c>
      <c r="C52">
        <v>-4.20402E-2</v>
      </c>
      <c r="D52">
        <v>50</v>
      </c>
      <c r="E52">
        <v>1</v>
      </c>
      <c r="F52">
        <v>5.4124800000000001E-2</v>
      </c>
      <c r="G52">
        <v>3.41278E-2</v>
      </c>
      <c r="I52">
        <v>1</v>
      </c>
      <c r="J52" s="1">
        <f t="shared" si="0"/>
        <v>54.1248</v>
      </c>
      <c r="K52" s="1">
        <f t="shared" si="1"/>
        <v>34.127800000000001</v>
      </c>
    </row>
    <row r="53" spans="2:11" x14ac:dyDescent="0.25">
      <c r="B53">
        <v>0.7231995</v>
      </c>
      <c r="C53">
        <v>-3.8191200000000002E-2</v>
      </c>
      <c r="D53">
        <v>51</v>
      </c>
      <c r="E53">
        <v>1</v>
      </c>
      <c r="F53">
        <v>4.4485200000000003E-2</v>
      </c>
      <c r="G53">
        <v>3.1191199999999999E-2</v>
      </c>
      <c r="I53">
        <v>1</v>
      </c>
      <c r="J53" s="1">
        <f t="shared" si="0"/>
        <v>44.485200000000006</v>
      </c>
      <c r="K53" s="1">
        <f t="shared" si="1"/>
        <v>31.191199999999998</v>
      </c>
    </row>
    <row r="54" spans="2:11" x14ac:dyDescent="0.25">
      <c r="B54">
        <v>0.74696580000000001</v>
      </c>
      <c r="C54">
        <v>-3.4736499999999997E-2</v>
      </c>
      <c r="D54">
        <v>52</v>
      </c>
      <c r="E54">
        <v>1</v>
      </c>
      <c r="F54">
        <v>3.6426100000000003E-2</v>
      </c>
      <c r="G54">
        <v>2.8731699999999999E-2</v>
      </c>
      <c r="I54">
        <v>1</v>
      </c>
      <c r="J54" s="1">
        <f t="shared" si="0"/>
        <v>36.426100000000005</v>
      </c>
      <c r="K54" s="1">
        <f t="shared" si="1"/>
        <v>28.7317</v>
      </c>
    </row>
    <row r="55" spans="2:11" x14ac:dyDescent="0.25">
      <c r="B55">
        <v>0.77059979999999995</v>
      </c>
      <c r="C55">
        <v>-3.0350499999999999E-2</v>
      </c>
      <c r="D55">
        <v>53</v>
      </c>
      <c r="E55">
        <v>1</v>
      </c>
      <c r="F55">
        <v>2.9700799999999999E-2</v>
      </c>
      <c r="G55">
        <v>2.6224500000000001E-2</v>
      </c>
      <c r="I55">
        <v>1</v>
      </c>
      <c r="J55" s="1">
        <f t="shared" si="0"/>
        <v>29.700800000000001</v>
      </c>
      <c r="K55" s="1">
        <f t="shared" si="1"/>
        <v>26.224500000000003</v>
      </c>
    </row>
    <row r="56" spans="2:11" x14ac:dyDescent="0.25">
      <c r="B56">
        <v>0.79410550000000002</v>
      </c>
      <c r="C56">
        <v>-2.6042699999999998E-2</v>
      </c>
      <c r="D56">
        <v>54</v>
      </c>
      <c r="E56">
        <v>1</v>
      </c>
      <c r="F56">
        <v>2.4106699999999998E-2</v>
      </c>
      <c r="G56">
        <v>2.3800399999999999E-2</v>
      </c>
      <c r="I56">
        <v>1</v>
      </c>
      <c r="J56" s="1">
        <f t="shared" si="0"/>
        <v>24.1067</v>
      </c>
      <c r="K56" s="1">
        <f t="shared" si="1"/>
        <v>23.8004</v>
      </c>
    </row>
    <row r="57" spans="2:11" x14ac:dyDescent="0.25">
      <c r="B57">
        <v>0.81748279999999995</v>
      </c>
      <c r="C57">
        <v>-2.0984200000000001E-2</v>
      </c>
      <c r="D57">
        <v>55</v>
      </c>
      <c r="E57">
        <v>1</v>
      </c>
      <c r="F57">
        <v>1.94609E-2</v>
      </c>
      <c r="G57">
        <v>2.1454500000000001E-2</v>
      </c>
      <c r="I57">
        <v>1</v>
      </c>
      <c r="J57" s="1">
        <f t="shared" si="0"/>
        <v>19.460899999999999</v>
      </c>
      <c r="K57" s="1">
        <f t="shared" si="1"/>
        <v>21.454500000000003</v>
      </c>
    </row>
    <row r="58" spans="2:11" x14ac:dyDescent="0.25">
      <c r="B58">
        <v>0.84073240000000005</v>
      </c>
      <c r="C58">
        <v>-1.6583799999999999E-2</v>
      </c>
      <c r="D58">
        <v>56</v>
      </c>
      <c r="E58">
        <v>1</v>
      </c>
      <c r="F58">
        <v>1.56171E-2</v>
      </c>
      <c r="G58">
        <v>1.9622000000000001E-2</v>
      </c>
      <c r="I58">
        <v>1</v>
      </c>
      <c r="J58" s="1">
        <f t="shared" si="0"/>
        <v>15.617100000000001</v>
      </c>
      <c r="K58" s="1">
        <f t="shared" si="1"/>
        <v>19.622</v>
      </c>
    </row>
    <row r="59" spans="2:11" x14ac:dyDescent="0.25">
      <c r="B59">
        <v>0.86385639999999997</v>
      </c>
      <c r="C59">
        <v>-1.1801499999999999E-2</v>
      </c>
      <c r="D59">
        <v>57</v>
      </c>
      <c r="E59">
        <v>1</v>
      </c>
      <c r="F59">
        <v>1.24479E-2</v>
      </c>
      <c r="G59">
        <v>1.7303700000000002E-2</v>
      </c>
      <c r="I59">
        <v>1</v>
      </c>
      <c r="J59" s="1">
        <f t="shared" si="0"/>
        <v>12.447899999999999</v>
      </c>
      <c r="K59" s="1">
        <f t="shared" si="1"/>
        <v>17.303700000000003</v>
      </c>
    </row>
    <row r="60" spans="2:11" x14ac:dyDescent="0.25">
      <c r="B60">
        <v>0.88682349999999999</v>
      </c>
      <c r="C60">
        <v>-7.3150999999999997E-3</v>
      </c>
      <c r="D60">
        <v>58</v>
      </c>
      <c r="E60">
        <v>1</v>
      </c>
      <c r="F60">
        <v>9.8413000000000007E-3</v>
      </c>
      <c r="G60">
        <v>1.5798400000000001E-2</v>
      </c>
      <c r="I60">
        <v>1</v>
      </c>
      <c r="J60" s="1">
        <f t="shared" si="0"/>
        <v>9.8413000000000004</v>
      </c>
      <c r="K60" s="1">
        <f t="shared" si="1"/>
        <v>15.798400000000001</v>
      </c>
    </row>
    <row r="61" spans="2:11" x14ac:dyDescent="0.25">
      <c r="B61">
        <v>0.90619050000000001</v>
      </c>
      <c r="C61">
        <v>-3.5152E-3</v>
      </c>
      <c r="D61">
        <v>59</v>
      </c>
      <c r="E61">
        <v>1</v>
      </c>
      <c r="F61">
        <v>7.7111999999999997E-3</v>
      </c>
      <c r="G61">
        <v>1.36951E-2</v>
      </c>
      <c r="I61">
        <v>1</v>
      </c>
      <c r="J61" s="1">
        <f t="shared" si="0"/>
        <v>7.7111999999999998</v>
      </c>
      <c r="K61" s="1">
        <f t="shared" si="1"/>
        <v>13.6951</v>
      </c>
    </row>
    <row r="62" spans="2:11" x14ac:dyDescent="0.25">
      <c r="B62">
        <v>0.92253359999999995</v>
      </c>
      <c r="C62">
        <v>-1.2538E-3</v>
      </c>
      <c r="D62">
        <v>60</v>
      </c>
      <c r="E62">
        <v>1</v>
      </c>
      <c r="F62">
        <v>5.9750999999999997E-3</v>
      </c>
      <c r="G62">
        <v>1.22208E-2</v>
      </c>
      <c r="I62">
        <v>1</v>
      </c>
      <c r="J62" s="1">
        <f t="shared" si="0"/>
        <v>5.9750999999999994</v>
      </c>
      <c r="K62" s="1">
        <f t="shared" si="1"/>
        <v>12.220800000000001</v>
      </c>
    </row>
    <row r="63" spans="2:11" x14ac:dyDescent="0.25">
      <c r="B63">
        <v>0.93633460000000002</v>
      </c>
      <c r="C63">
        <v>7.2650000000000004E-4</v>
      </c>
      <c r="D63">
        <v>61</v>
      </c>
      <c r="E63">
        <v>1</v>
      </c>
      <c r="F63">
        <v>4.5703999999999996E-3</v>
      </c>
      <c r="G63">
        <v>1.07419E-2</v>
      </c>
      <c r="I63">
        <v>1</v>
      </c>
      <c r="J63" s="1">
        <f t="shared" si="0"/>
        <v>4.5703999999999994</v>
      </c>
      <c r="K63" s="1">
        <f t="shared" si="1"/>
        <v>10.741900000000001</v>
      </c>
    </row>
    <row r="64" spans="2:11" x14ac:dyDescent="0.25">
      <c r="B64">
        <v>0.94799460000000002</v>
      </c>
      <c r="C64">
        <v>1.3037999999999999E-3</v>
      </c>
      <c r="D64">
        <v>62</v>
      </c>
      <c r="E64">
        <v>1</v>
      </c>
      <c r="F64">
        <v>3.4428000000000002E-3</v>
      </c>
      <c r="G64">
        <v>9.2163000000000002E-3</v>
      </c>
      <c r="I64">
        <v>1</v>
      </c>
      <c r="J64" s="1">
        <f t="shared" si="0"/>
        <v>3.4428000000000001</v>
      </c>
      <c r="K64" s="1">
        <f t="shared" si="1"/>
        <v>9.2163000000000004</v>
      </c>
    </row>
    <row r="65" spans="2:11" x14ac:dyDescent="0.25">
      <c r="B65">
        <v>0.95785109999999996</v>
      </c>
      <c r="C65">
        <v>1.7811000000000001E-3</v>
      </c>
      <c r="D65">
        <v>63</v>
      </c>
      <c r="E65">
        <v>1</v>
      </c>
      <c r="F65">
        <v>2.5441000000000001E-3</v>
      </c>
      <c r="G65">
        <v>8.2958000000000007E-3</v>
      </c>
      <c r="I65">
        <v>1</v>
      </c>
      <c r="J65" s="1">
        <f t="shared" si="0"/>
        <v>2.5441000000000003</v>
      </c>
      <c r="K65" s="1">
        <f t="shared" si="1"/>
        <v>8.2958000000000016</v>
      </c>
    </row>
    <row r="66" spans="2:11" x14ac:dyDescent="0.25">
      <c r="B66">
        <v>0.96618599999999999</v>
      </c>
      <c r="C66">
        <v>2.0584000000000002E-3</v>
      </c>
      <c r="D66">
        <v>64</v>
      </c>
      <c r="E66">
        <v>1</v>
      </c>
      <c r="F66">
        <v>1.8364E-3</v>
      </c>
      <c r="G66">
        <v>6.5783999999999999E-3</v>
      </c>
      <c r="I66">
        <v>1</v>
      </c>
      <c r="J66" s="1">
        <f t="shared" si="0"/>
        <v>1.8364</v>
      </c>
      <c r="K66" s="1">
        <f t="shared" si="1"/>
        <v>6.5784000000000002</v>
      </c>
    </row>
    <row r="67" spans="2:11" x14ac:dyDescent="0.25">
      <c r="B67">
        <v>0.97323610000000005</v>
      </c>
      <c r="C67">
        <v>1.5357000000000001E-3</v>
      </c>
      <c r="D67">
        <v>65</v>
      </c>
      <c r="E67">
        <v>1</v>
      </c>
      <c r="F67">
        <v>1.2868000000000001E-3</v>
      </c>
      <c r="G67">
        <v>5.8598000000000001E-3</v>
      </c>
      <c r="I67">
        <v>1</v>
      </c>
      <c r="J67" s="1">
        <f t="shared" si="0"/>
        <v>1.2867999999999999</v>
      </c>
      <c r="K67" s="1">
        <f t="shared" si="1"/>
        <v>5.8597999999999999</v>
      </c>
    </row>
    <row r="68" spans="2:11" x14ac:dyDescent="0.25">
      <c r="B68">
        <v>0.97920200000000002</v>
      </c>
      <c r="C68">
        <v>1.3129999999999999E-3</v>
      </c>
      <c r="D68">
        <v>66</v>
      </c>
      <c r="E68">
        <v>1</v>
      </c>
      <c r="F68">
        <v>8.6569999999999995E-4</v>
      </c>
      <c r="G68">
        <v>5.1342999999999996E-3</v>
      </c>
      <c r="I68">
        <v>1</v>
      </c>
      <c r="J68" s="1">
        <f t="shared" ref="J68:J131" si="2">F68*1000</f>
        <v>0.86569999999999991</v>
      </c>
      <c r="K68" s="1">
        <f t="shared" ref="K68:K131" si="3">G68*1000</f>
        <v>5.1342999999999996</v>
      </c>
    </row>
    <row r="69" spans="2:11" x14ac:dyDescent="0.25">
      <c r="B69">
        <v>0.98425079999999998</v>
      </c>
      <c r="C69">
        <v>1.1130000000000001E-3</v>
      </c>
      <c r="D69">
        <v>67</v>
      </c>
      <c r="E69">
        <v>1</v>
      </c>
      <c r="F69">
        <v>5.5080000000000005E-4</v>
      </c>
      <c r="G69">
        <v>4.0959000000000004E-3</v>
      </c>
      <c r="I69">
        <v>1</v>
      </c>
      <c r="J69" s="1">
        <f t="shared" si="2"/>
        <v>0.55080000000000007</v>
      </c>
      <c r="K69" s="1">
        <f t="shared" si="3"/>
        <v>4.0959000000000003</v>
      </c>
    </row>
    <row r="70" spans="2:11" x14ac:dyDescent="0.25">
      <c r="B70">
        <v>0.98852519999999999</v>
      </c>
      <c r="C70">
        <v>1.013E-3</v>
      </c>
      <c r="D70">
        <v>68</v>
      </c>
      <c r="E70">
        <v>1</v>
      </c>
      <c r="F70">
        <v>3.232E-4</v>
      </c>
      <c r="G70">
        <v>3.1381999999999998E-3</v>
      </c>
      <c r="I70">
        <v>1</v>
      </c>
      <c r="J70" s="1">
        <f t="shared" si="2"/>
        <v>0.32319999999999999</v>
      </c>
      <c r="K70" s="1">
        <f t="shared" si="3"/>
        <v>3.1381999999999999</v>
      </c>
    </row>
    <row r="71" spans="2:11" x14ac:dyDescent="0.25">
      <c r="B71">
        <v>0.99214380000000002</v>
      </c>
      <c r="C71">
        <v>5.13E-4</v>
      </c>
      <c r="D71">
        <v>69</v>
      </c>
      <c r="E71">
        <v>1</v>
      </c>
      <c r="F71">
        <v>1.6750000000000001E-4</v>
      </c>
      <c r="G71">
        <v>2.2553999999999999E-3</v>
      </c>
      <c r="I71">
        <v>1</v>
      </c>
      <c r="J71" s="1">
        <f t="shared" si="2"/>
        <v>0.16750000000000001</v>
      </c>
      <c r="K71" s="1">
        <f t="shared" si="3"/>
        <v>2.2553999999999998</v>
      </c>
    </row>
    <row r="72" spans="2:11" x14ac:dyDescent="0.25">
      <c r="B72">
        <v>0.99520799999999998</v>
      </c>
      <c r="C72">
        <v>1.13E-4</v>
      </c>
      <c r="D72">
        <v>70</v>
      </c>
      <c r="E72">
        <v>1</v>
      </c>
      <c r="F72">
        <v>6.9599999999999998E-5</v>
      </c>
      <c r="G72">
        <v>1.4415999999999999E-3</v>
      </c>
      <c r="I72">
        <v>1</v>
      </c>
      <c r="J72" s="1">
        <f t="shared" si="2"/>
        <v>6.9599999999999995E-2</v>
      </c>
      <c r="K72" s="1">
        <f t="shared" si="3"/>
        <v>1.4416</v>
      </c>
    </row>
    <row r="73" spans="2:11" x14ac:dyDescent="0.25">
      <c r="B73">
        <v>0.997803</v>
      </c>
      <c r="C73">
        <v>1.2999999999999999E-5</v>
      </c>
      <c r="D73">
        <v>71</v>
      </c>
      <c r="E73">
        <v>1</v>
      </c>
      <c r="F73">
        <v>1.6500000000000001E-5</v>
      </c>
      <c r="G73">
        <v>6.914E-4</v>
      </c>
      <c r="I73">
        <v>1</v>
      </c>
      <c r="J73" s="1">
        <f t="shared" si="2"/>
        <v>1.6500000000000001E-2</v>
      </c>
      <c r="K73" s="1">
        <f t="shared" si="3"/>
        <v>0.69140000000000001</v>
      </c>
    </row>
    <row r="74" spans="2:11" x14ac:dyDescent="0.25">
      <c r="B74">
        <v>1</v>
      </c>
      <c r="C74">
        <v>0</v>
      </c>
      <c r="D74">
        <v>1</v>
      </c>
      <c r="E74">
        <v>1</v>
      </c>
      <c r="F74">
        <v>0</v>
      </c>
      <c r="G74">
        <f>-C3</f>
        <v>0</v>
      </c>
      <c r="I74">
        <v>1</v>
      </c>
      <c r="J74" s="1">
        <f t="shared" si="2"/>
        <v>0</v>
      </c>
      <c r="K74" s="1">
        <f t="shared" si="3"/>
        <v>0</v>
      </c>
    </row>
    <row r="75" spans="2:11" x14ac:dyDescent="0.25">
      <c r="D75">
        <v>2</v>
      </c>
      <c r="E75">
        <v>1</v>
      </c>
      <c r="F75">
        <v>1.6500000000000001E-5</v>
      </c>
      <c r="G75">
        <v>-6.914E-4</v>
      </c>
      <c r="I75">
        <v>1</v>
      </c>
      <c r="J75" s="1">
        <f t="shared" si="2"/>
        <v>1.6500000000000001E-2</v>
      </c>
      <c r="K75" s="1">
        <f t="shared" si="3"/>
        <v>-0.69140000000000001</v>
      </c>
    </row>
    <row r="76" spans="2:11" x14ac:dyDescent="0.25">
      <c r="D76">
        <v>3</v>
      </c>
      <c r="E76">
        <v>1</v>
      </c>
      <c r="F76">
        <v>6.9599999999999998E-5</v>
      </c>
      <c r="G76">
        <v>-1.5416E-3</v>
      </c>
      <c r="I76">
        <v>1</v>
      </c>
      <c r="J76" s="1">
        <f t="shared" si="2"/>
        <v>6.9599999999999995E-2</v>
      </c>
      <c r="K76" s="1">
        <f t="shared" si="3"/>
        <v>-1.5415999999999999</v>
      </c>
    </row>
    <row r="77" spans="2:11" x14ac:dyDescent="0.25">
      <c r="D77">
        <v>4</v>
      </c>
      <c r="E77">
        <v>1</v>
      </c>
      <c r="F77">
        <v>1.6750000000000001E-4</v>
      </c>
      <c r="G77">
        <v>-2.0554000000000002E-3</v>
      </c>
      <c r="I77">
        <v>1</v>
      </c>
      <c r="J77" s="1">
        <f t="shared" si="2"/>
        <v>0.16750000000000001</v>
      </c>
      <c r="K77" s="1">
        <f t="shared" si="3"/>
        <v>-2.0554000000000001</v>
      </c>
    </row>
    <row r="78" spans="2:11" x14ac:dyDescent="0.25">
      <c r="D78">
        <v>5</v>
      </c>
      <c r="E78">
        <v>1</v>
      </c>
      <c r="F78">
        <v>3.232E-4</v>
      </c>
      <c r="G78">
        <v>-3.1381999999999998E-3</v>
      </c>
      <c r="I78">
        <v>1</v>
      </c>
      <c r="J78" s="1">
        <f t="shared" si="2"/>
        <v>0.32319999999999999</v>
      </c>
      <c r="K78" s="1">
        <f t="shared" si="3"/>
        <v>-3.1381999999999999</v>
      </c>
    </row>
    <row r="79" spans="2:11" x14ac:dyDescent="0.25">
      <c r="D79">
        <v>6</v>
      </c>
      <c r="E79">
        <v>1</v>
      </c>
      <c r="F79">
        <v>5.5080000000000005E-4</v>
      </c>
      <c r="G79">
        <v>-4.0959000000000004E-3</v>
      </c>
      <c r="I79">
        <v>1</v>
      </c>
      <c r="J79" s="1">
        <f t="shared" si="2"/>
        <v>0.55080000000000007</v>
      </c>
      <c r="K79" s="1">
        <f t="shared" si="3"/>
        <v>-4.0959000000000003</v>
      </c>
    </row>
    <row r="80" spans="2:11" x14ac:dyDescent="0.25">
      <c r="D80">
        <v>7</v>
      </c>
      <c r="E80">
        <v>1</v>
      </c>
      <c r="F80">
        <v>8.6569999999999995E-4</v>
      </c>
      <c r="G80">
        <v>-5.1342999999999996E-3</v>
      </c>
      <c r="I80">
        <v>1</v>
      </c>
      <c r="J80" s="1">
        <f t="shared" si="2"/>
        <v>0.86569999999999991</v>
      </c>
      <c r="K80" s="1">
        <f t="shared" si="3"/>
        <v>-5.1342999999999996</v>
      </c>
    </row>
    <row r="81" spans="4:11" x14ac:dyDescent="0.25">
      <c r="D81">
        <v>8</v>
      </c>
      <c r="E81">
        <v>1</v>
      </c>
      <c r="F81">
        <v>1.2868000000000001E-3</v>
      </c>
      <c r="G81">
        <v>-6.9598000000000004E-3</v>
      </c>
      <c r="I81">
        <v>1</v>
      </c>
      <c r="J81" s="1">
        <f t="shared" si="2"/>
        <v>1.2867999999999999</v>
      </c>
      <c r="K81" s="1">
        <f t="shared" si="3"/>
        <v>-6.9598000000000004</v>
      </c>
    </row>
    <row r="82" spans="4:11" x14ac:dyDescent="0.25">
      <c r="D82">
        <v>9</v>
      </c>
      <c r="E82">
        <v>1</v>
      </c>
      <c r="F82">
        <v>1.8364E-3</v>
      </c>
      <c r="G82">
        <v>-8.9783999999999992E-3</v>
      </c>
      <c r="I82">
        <v>1</v>
      </c>
      <c r="J82" s="1">
        <f t="shared" si="2"/>
        <v>1.8364</v>
      </c>
      <c r="K82" s="1">
        <f t="shared" si="3"/>
        <v>-8.9783999999999988</v>
      </c>
    </row>
    <row r="83" spans="4:11" x14ac:dyDescent="0.25">
      <c r="D83">
        <v>10</v>
      </c>
      <c r="E83">
        <v>1</v>
      </c>
      <c r="F83">
        <v>2.5441000000000001E-3</v>
      </c>
      <c r="G83">
        <v>-1.0205799999999999E-2</v>
      </c>
      <c r="I83">
        <v>1</v>
      </c>
      <c r="J83" s="1">
        <f t="shared" si="2"/>
        <v>2.5441000000000003</v>
      </c>
      <c r="K83" s="1">
        <f t="shared" si="3"/>
        <v>-10.2058</v>
      </c>
    </row>
    <row r="84" spans="4:11" x14ac:dyDescent="0.25">
      <c r="D84">
        <v>11</v>
      </c>
      <c r="E84">
        <v>1</v>
      </c>
      <c r="F84">
        <v>3.4428000000000002E-3</v>
      </c>
      <c r="G84">
        <v>-1.10163E-2</v>
      </c>
      <c r="I84">
        <v>1</v>
      </c>
      <c r="J84" s="1">
        <f t="shared" si="2"/>
        <v>3.4428000000000001</v>
      </c>
      <c r="K84" s="1">
        <f t="shared" si="3"/>
        <v>-11.016299999999999</v>
      </c>
    </row>
    <row r="85" spans="4:11" x14ac:dyDescent="0.25">
      <c r="D85">
        <v>12</v>
      </c>
      <c r="E85">
        <v>1</v>
      </c>
      <c r="F85">
        <v>4.5703999999999996E-3</v>
      </c>
      <c r="G85">
        <v>-1.27419E-2</v>
      </c>
      <c r="I85">
        <v>1</v>
      </c>
      <c r="J85" s="1">
        <f t="shared" si="2"/>
        <v>4.5703999999999994</v>
      </c>
      <c r="K85" s="1">
        <f t="shared" si="3"/>
        <v>-12.741900000000001</v>
      </c>
    </row>
    <row r="86" spans="4:11" x14ac:dyDescent="0.25">
      <c r="D86">
        <v>13</v>
      </c>
      <c r="E86">
        <v>1</v>
      </c>
      <c r="F86">
        <v>5.9750999999999997E-3</v>
      </c>
      <c r="G86">
        <v>-1.3708E-2</v>
      </c>
      <c r="H86" s="2"/>
      <c r="I86">
        <v>1</v>
      </c>
      <c r="J86" s="1">
        <f t="shared" si="2"/>
        <v>5.9750999999999994</v>
      </c>
      <c r="K86" s="1">
        <f t="shared" si="3"/>
        <v>-13.708</v>
      </c>
    </row>
    <row r="87" spans="4:11" x14ac:dyDescent="0.25">
      <c r="D87">
        <v>14</v>
      </c>
      <c r="E87">
        <v>1</v>
      </c>
      <c r="F87">
        <v>7.7111999999999997E-3</v>
      </c>
      <c r="G87">
        <v>-1.4995100000000001E-2</v>
      </c>
      <c r="I87">
        <v>1</v>
      </c>
      <c r="J87" s="1">
        <f t="shared" si="2"/>
        <v>7.7111999999999998</v>
      </c>
      <c r="K87" s="1">
        <f t="shared" si="3"/>
        <v>-14.995100000000001</v>
      </c>
    </row>
    <row r="88" spans="4:11" x14ac:dyDescent="0.25">
      <c r="D88">
        <v>15</v>
      </c>
      <c r="E88">
        <v>1</v>
      </c>
      <c r="F88">
        <v>9.8413000000000007E-3</v>
      </c>
      <c r="G88">
        <v>-1.58984E-2</v>
      </c>
      <c r="I88">
        <v>1</v>
      </c>
      <c r="J88" s="1">
        <f t="shared" si="2"/>
        <v>9.8413000000000004</v>
      </c>
      <c r="K88" s="1">
        <f t="shared" si="3"/>
        <v>-15.898400000000001</v>
      </c>
    </row>
    <row r="89" spans="4:11" x14ac:dyDescent="0.25">
      <c r="D89">
        <v>16</v>
      </c>
      <c r="E89">
        <v>1</v>
      </c>
      <c r="F89">
        <v>1.24479E-2</v>
      </c>
      <c r="G89">
        <v>-1.73537E-2</v>
      </c>
      <c r="I89">
        <v>1</v>
      </c>
      <c r="J89" s="1">
        <f t="shared" si="2"/>
        <v>12.447899999999999</v>
      </c>
      <c r="K89" s="1">
        <f t="shared" si="3"/>
        <v>-17.3537</v>
      </c>
    </row>
    <row r="90" spans="4:11" x14ac:dyDescent="0.25">
      <c r="D90">
        <v>17</v>
      </c>
      <c r="E90">
        <v>1</v>
      </c>
      <c r="F90">
        <v>1.56171E-2</v>
      </c>
      <c r="G90">
        <v>-1.8322000000000001E-2</v>
      </c>
      <c r="I90">
        <v>1</v>
      </c>
      <c r="J90" s="1">
        <f t="shared" si="2"/>
        <v>15.617100000000001</v>
      </c>
      <c r="K90" s="1">
        <f t="shared" si="3"/>
        <v>-18.322000000000003</v>
      </c>
    </row>
    <row r="91" spans="4:11" x14ac:dyDescent="0.25">
      <c r="D91">
        <v>18</v>
      </c>
      <c r="E91">
        <v>1</v>
      </c>
      <c r="F91">
        <v>1.94609E-2</v>
      </c>
      <c r="G91">
        <v>-1.94545E-2</v>
      </c>
      <c r="I91">
        <v>1</v>
      </c>
      <c r="J91" s="1">
        <f t="shared" si="2"/>
        <v>19.460899999999999</v>
      </c>
      <c r="K91" s="1">
        <f t="shared" si="3"/>
        <v>-19.454499999999999</v>
      </c>
    </row>
    <row r="92" spans="4:11" x14ac:dyDescent="0.25">
      <c r="D92">
        <v>19</v>
      </c>
      <c r="E92">
        <v>1</v>
      </c>
      <c r="F92">
        <v>2.4106699999999998E-2</v>
      </c>
      <c r="G92">
        <v>-2.08004E-2</v>
      </c>
      <c r="I92">
        <v>1</v>
      </c>
      <c r="J92" s="1">
        <f t="shared" si="2"/>
        <v>24.1067</v>
      </c>
      <c r="K92" s="1">
        <f t="shared" si="3"/>
        <v>-20.8004</v>
      </c>
    </row>
    <row r="93" spans="4:11" x14ac:dyDescent="0.25">
      <c r="D93">
        <v>20</v>
      </c>
      <c r="E93">
        <v>1</v>
      </c>
      <c r="F93">
        <v>2.9700799999999999E-2</v>
      </c>
      <c r="G93">
        <v>-2.19245E-2</v>
      </c>
      <c r="I93">
        <v>1</v>
      </c>
      <c r="J93" s="1">
        <f t="shared" si="2"/>
        <v>29.700800000000001</v>
      </c>
      <c r="K93" s="1">
        <f t="shared" si="3"/>
        <v>-21.924499999999998</v>
      </c>
    </row>
    <row r="94" spans="4:11" x14ac:dyDescent="0.25">
      <c r="D94">
        <v>21</v>
      </c>
      <c r="E94">
        <v>1</v>
      </c>
      <c r="F94">
        <v>3.6426100000000003E-2</v>
      </c>
      <c r="G94">
        <v>-2.3531699999999999E-2</v>
      </c>
      <c r="I94">
        <v>1</v>
      </c>
      <c r="J94" s="1">
        <f t="shared" si="2"/>
        <v>36.426100000000005</v>
      </c>
      <c r="K94" s="1">
        <f t="shared" si="3"/>
        <v>-23.531700000000001</v>
      </c>
    </row>
    <row r="95" spans="4:11" x14ac:dyDescent="0.25">
      <c r="D95">
        <v>22</v>
      </c>
      <c r="E95">
        <v>1</v>
      </c>
      <c r="F95">
        <v>4.4485200000000003E-2</v>
      </c>
      <c r="G95">
        <v>-2.4991200000000002E-2</v>
      </c>
      <c r="I95">
        <v>1</v>
      </c>
      <c r="J95" s="1">
        <f t="shared" si="2"/>
        <v>44.485200000000006</v>
      </c>
      <c r="K95" s="1">
        <f t="shared" si="3"/>
        <v>-24.991200000000003</v>
      </c>
    </row>
    <row r="96" spans="4:11" x14ac:dyDescent="0.25">
      <c r="D96">
        <v>23</v>
      </c>
      <c r="E96">
        <v>1</v>
      </c>
      <c r="F96">
        <v>5.4124800000000001E-2</v>
      </c>
      <c r="G96">
        <v>-2.6827799999999999E-2</v>
      </c>
      <c r="I96">
        <v>1</v>
      </c>
      <c r="J96" s="1">
        <f t="shared" si="2"/>
        <v>54.1248</v>
      </c>
      <c r="K96" s="1">
        <f t="shared" si="3"/>
        <v>-26.8278</v>
      </c>
    </row>
    <row r="97" spans="4:11" x14ac:dyDescent="0.25">
      <c r="D97">
        <v>24</v>
      </c>
      <c r="E97">
        <v>1</v>
      </c>
      <c r="F97">
        <v>6.5630300000000003E-2</v>
      </c>
      <c r="G97">
        <v>-2.89138E-2</v>
      </c>
      <c r="I97">
        <v>1</v>
      </c>
      <c r="J97" s="1">
        <f t="shared" si="2"/>
        <v>65.630300000000005</v>
      </c>
      <c r="K97" s="1">
        <f t="shared" si="3"/>
        <v>-28.913799999999998</v>
      </c>
    </row>
    <row r="98" spans="4:11" x14ac:dyDescent="0.25">
      <c r="D98">
        <v>25</v>
      </c>
      <c r="E98">
        <v>1</v>
      </c>
      <c r="F98">
        <v>7.9336599999999993E-2</v>
      </c>
      <c r="G98">
        <v>-3.0837199999999999E-2</v>
      </c>
      <c r="I98">
        <v>1</v>
      </c>
      <c r="J98" s="1">
        <f t="shared" si="2"/>
        <v>79.33659999999999</v>
      </c>
      <c r="K98" s="1">
        <f t="shared" si="3"/>
        <v>-30.837199999999999</v>
      </c>
    </row>
    <row r="99" spans="4:11" x14ac:dyDescent="0.25">
      <c r="D99">
        <v>26</v>
      </c>
      <c r="E99">
        <v>1</v>
      </c>
      <c r="F99">
        <v>9.5635399999999995E-2</v>
      </c>
      <c r="G99">
        <v>-3.2874199999999999E-2</v>
      </c>
      <c r="I99">
        <v>1</v>
      </c>
      <c r="J99" s="1">
        <f t="shared" si="2"/>
        <v>95.63539999999999</v>
      </c>
      <c r="K99" s="1">
        <f t="shared" si="3"/>
        <v>-32.874200000000002</v>
      </c>
    </row>
    <row r="100" spans="4:11" x14ac:dyDescent="0.25">
      <c r="D100">
        <v>27</v>
      </c>
      <c r="E100">
        <v>1</v>
      </c>
      <c r="F100">
        <v>0.1149796</v>
      </c>
      <c r="G100">
        <v>-3.50923E-2</v>
      </c>
      <c r="I100">
        <v>1</v>
      </c>
      <c r="J100" s="1">
        <f t="shared" si="2"/>
        <v>114.9796</v>
      </c>
      <c r="K100" s="1">
        <f t="shared" si="3"/>
        <v>-35.092300000000002</v>
      </c>
    </row>
    <row r="101" spans="4:11" x14ac:dyDescent="0.25">
      <c r="D101">
        <v>28</v>
      </c>
      <c r="E101">
        <v>1</v>
      </c>
      <c r="F101">
        <v>0.1378963</v>
      </c>
      <c r="G101">
        <v>-3.7452199999999998E-2</v>
      </c>
      <c r="I101">
        <v>1</v>
      </c>
      <c r="J101" s="1">
        <f t="shared" si="2"/>
        <v>137.8963</v>
      </c>
      <c r="K101" s="1">
        <f t="shared" si="3"/>
        <v>-37.452199999999998</v>
      </c>
    </row>
    <row r="102" spans="4:11" x14ac:dyDescent="0.25">
      <c r="D102">
        <v>29</v>
      </c>
      <c r="E102">
        <v>1</v>
      </c>
      <c r="F102">
        <v>0.16499759999999999</v>
      </c>
      <c r="G102">
        <v>-3.9968900000000002E-2</v>
      </c>
      <c r="I102">
        <v>1</v>
      </c>
      <c r="J102" s="1">
        <f t="shared" si="2"/>
        <v>164.99760000000001</v>
      </c>
      <c r="K102" s="1">
        <f t="shared" si="3"/>
        <v>-39.968900000000005</v>
      </c>
    </row>
    <row r="103" spans="4:11" x14ac:dyDescent="0.25">
      <c r="D103">
        <v>30</v>
      </c>
      <c r="E103">
        <v>1</v>
      </c>
      <c r="F103">
        <v>0.19193270000000001</v>
      </c>
      <c r="G103">
        <v>-4.1821400000000002E-2</v>
      </c>
      <c r="I103">
        <v>1</v>
      </c>
      <c r="J103" s="1">
        <f t="shared" si="2"/>
        <v>191.93270000000001</v>
      </c>
      <c r="K103" s="1">
        <f t="shared" si="3"/>
        <v>-41.821400000000004</v>
      </c>
    </row>
    <row r="104" spans="4:11" x14ac:dyDescent="0.25">
      <c r="D104">
        <v>31</v>
      </c>
      <c r="E104">
        <v>1</v>
      </c>
      <c r="F104">
        <v>0.2187096</v>
      </c>
      <c r="G104">
        <v>-4.4050699999999998E-2</v>
      </c>
      <c r="I104">
        <v>1</v>
      </c>
      <c r="J104" s="1">
        <f t="shared" si="2"/>
        <v>218.70959999999999</v>
      </c>
      <c r="K104" s="1">
        <f t="shared" si="3"/>
        <v>-44.050699999999999</v>
      </c>
    </row>
    <row r="105" spans="4:11" x14ac:dyDescent="0.25">
      <c r="D105">
        <v>32</v>
      </c>
      <c r="E105">
        <v>1</v>
      </c>
      <c r="F105">
        <v>0.24533099999999999</v>
      </c>
      <c r="G105">
        <v>-4.6035800000000002E-2</v>
      </c>
      <c r="I105">
        <v>1</v>
      </c>
      <c r="J105" s="1">
        <f t="shared" si="2"/>
        <v>245.33099999999999</v>
      </c>
      <c r="K105" s="1">
        <f t="shared" si="3"/>
        <v>-46.035800000000002</v>
      </c>
    </row>
    <row r="106" spans="4:11" x14ac:dyDescent="0.25">
      <c r="D106">
        <v>33</v>
      </c>
      <c r="E106">
        <v>1</v>
      </c>
      <c r="F106">
        <v>0.27179779999999998</v>
      </c>
      <c r="G106">
        <v>-4.8098700000000001E-2</v>
      </c>
      <c r="I106">
        <v>1</v>
      </c>
      <c r="J106" s="1">
        <f t="shared" si="2"/>
        <v>271.7978</v>
      </c>
      <c r="K106" s="1">
        <f t="shared" si="3"/>
        <v>-48.098700000000001</v>
      </c>
    </row>
    <row r="107" spans="4:11" x14ac:dyDescent="0.25">
      <c r="D107">
        <v>34</v>
      </c>
      <c r="E107">
        <v>1</v>
      </c>
      <c r="F107">
        <v>0.29811130000000002</v>
      </c>
      <c r="G107">
        <v>-4.9749399999999999E-2</v>
      </c>
      <c r="I107">
        <v>1</v>
      </c>
      <c r="J107" s="1">
        <f t="shared" si="2"/>
        <v>298.11130000000003</v>
      </c>
      <c r="K107" s="1">
        <f t="shared" si="3"/>
        <v>-49.749400000000001</v>
      </c>
    </row>
    <row r="108" spans="4:11" x14ac:dyDescent="0.25">
      <c r="D108">
        <v>35</v>
      </c>
      <c r="E108">
        <v>1</v>
      </c>
      <c r="F108">
        <v>0.32427260000000002</v>
      </c>
      <c r="G108">
        <v>-5.1049020000000001E-2</v>
      </c>
      <c r="I108">
        <v>1</v>
      </c>
      <c r="J108" s="1">
        <f t="shared" si="2"/>
        <v>324.27260000000001</v>
      </c>
      <c r="K108" s="1">
        <f t="shared" si="3"/>
        <v>-51.049019999999999</v>
      </c>
    </row>
    <row r="109" spans="4:11" x14ac:dyDescent="0.25">
      <c r="D109">
        <v>36</v>
      </c>
      <c r="E109">
        <v>1</v>
      </c>
      <c r="F109">
        <v>0.35028300000000001</v>
      </c>
      <c r="G109">
        <v>-5.2518299999999997E-2</v>
      </c>
      <c r="I109">
        <v>1</v>
      </c>
      <c r="J109" s="1">
        <f t="shared" si="2"/>
        <v>350.28300000000002</v>
      </c>
      <c r="K109" s="1">
        <f t="shared" si="3"/>
        <v>-52.518299999999996</v>
      </c>
    </row>
    <row r="110" spans="4:11" x14ac:dyDescent="0.25">
      <c r="D110">
        <v>37</v>
      </c>
      <c r="E110">
        <v>1</v>
      </c>
      <c r="F110">
        <v>0.3761446</v>
      </c>
      <c r="G110">
        <v>-5.3769600000000001E-2</v>
      </c>
      <c r="I110">
        <v>1</v>
      </c>
      <c r="J110" s="1">
        <f t="shared" si="2"/>
        <v>376.14459999999997</v>
      </c>
      <c r="K110" s="1">
        <f t="shared" si="3"/>
        <v>-53.769600000000004</v>
      </c>
    </row>
    <row r="111" spans="4:11" x14ac:dyDescent="0.25">
      <c r="D111">
        <v>38</v>
      </c>
      <c r="E111">
        <v>1</v>
      </c>
      <c r="F111">
        <v>0.40185670000000001</v>
      </c>
      <c r="G111">
        <v>-5.4880199999999997E-2</v>
      </c>
      <c r="I111">
        <v>1</v>
      </c>
      <c r="J111" s="1">
        <f t="shared" si="2"/>
        <v>401.85669999999999</v>
      </c>
      <c r="K111" s="1">
        <f t="shared" si="3"/>
        <v>-54.880199999999995</v>
      </c>
    </row>
    <row r="112" spans="4:11" x14ac:dyDescent="0.25">
      <c r="D112">
        <v>39</v>
      </c>
      <c r="E112">
        <v>1</v>
      </c>
      <c r="F112">
        <v>0.42742229999999998</v>
      </c>
      <c r="G112">
        <v>-5.5583300000000002E-2</v>
      </c>
      <c r="I112">
        <v>1</v>
      </c>
      <c r="J112" s="1">
        <f t="shared" si="2"/>
        <v>427.42229999999995</v>
      </c>
      <c r="K112" s="1">
        <f t="shared" si="3"/>
        <v>-55.583300000000001</v>
      </c>
    </row>
    <row r="113" spans="4:11" x14ac:dyDescent="0.25">
      <c r="D113">
        <v>40</v>
      </c>
      <c r="E113">
        <v>1</v>
      </c>
      <c r="F113">
        <v>0.45284410000000003</v>
      </c>
      <c r="G113">
        <v>-5.6435100000000002E-2</v>
      </c>
      <c r="I113">
        <v>1</v>
      </c>
      <c r="J113" s="1">
        <f t="shared" si="2"/>
        <v>452.84410000000003</v>
      </c>
      <c r="K113" s="1">
        <f t="shared" si="3"/>
        <v>-56.435099999999998</v>
      </c>
    </row>
    <row r="114" spans="4:11" x14ac:dyDescent="0.25">
      <c r="D114">
        <v>41</v>
      </c>
      <c r="E114">
        <v>1</v>
      </c>
      <c r="F114">
        <v>0.47811969999999998</v>
      </c>
      <c r="G114">
        <v>-5.6866100000000003E-2</v>
      </c>
      <c r="I114">
        <v>1</v>
      </c>
      <c r="J114" s="1">
        <f t="shared" si="2"/>
        <v>478.11969999999997</v>
      </c>
      <c r="K114" s="1">
        <f t="shared" si="3"/>
        <v>-56.866100000000003</v>
      </c>
    </row>
    <row r="115" spans="4:11" x14ac:dyDescent="0.25">
      <c r="D115">
        <v>42</v>
      </c>
      <c r="E115">
        <v>1</v>
      </c>
      <c r="F115">
        <v>0.50325140000000002</v>
      </c>
      <c r="G115">
        <v>-5.6730299999999997E-2</v>
      </c>
      <c r="I115">
        <v>1</v>
      </c>
      <c r="J115" s="1">
        <f t="shared" si="2"/>
        <v>503.25139999999999</v>
      </c>
      <c r="K115" s="1">
        <f t="shared" si="3"/>
        <v>-56.7303</v>
      </c>
    </row>
    <row r="116" spans="4:11" x14ac:dyDescent="0.25">
      <c r="D116">
        <v>43</v>
      </c>
      <c r="E116">
        <v>1</v>
      </c>
      <c r="F116">
        <v>0.52824260000000001</v>
      </c>
      <c r="G116">
        <v>-5.5992090000000001E-2</v>
      </c>
      <c r="I116">
        <v>1</v>
      </c>
      <c r="J116" s="1">
        <f t="shared" si="2"/>
        <v>528.24260000000004</v>
      </c>
      <c r="K116" s="1">
        <f t="shared" si="3"/>
        <v>-55.992090000000005</v>
      </c>
    </row>
    <row r="117" spans="4:11" x14ac:dyDescent="0.25">
      <c r="D117">
        <v>44</v>
      </c>
      <c r="E117">
        <v>1</v>
      </c>
      <c r="F117">
        <v>0.55309370000000002</v>
      </c>
      <c r="G117">
        <v>-5.4974099999999998E-2</v>
      </c>
      <c r="I117">
        <v>1</v>
      </c>
      <c r="J117" s="1">
        <f t="shared" si="2"/>
        <v>553.09370000000001</v>
      </c>
      <c r="K117" s="1">
        <f t="shared" si="3"/>
        <v>-54.9741</v>
      </c>
    </row>
    <row r="118" spans="4:11" x14ac:dyDescent="0.25">
      <c r="D118">
        <v>45</v>
      </c>
      <c r="E118">
        <v>1</v>
      </c>
      <c r="F118">
        <v>0.57780430000000005</v>
      </c>
      <c r="G118">
        <v>-5.3868399999999997E-2</v>
      </c>
      <c r="I118">
        <v>1</v>
      </c>
      <c r="J118" s="1">
        <f t="shared" si="2"/>
        <v>577.80430000000001</v>
      </c>
      <c r="K118" s="1">
        <f t="shared" si="3"/>
        <v>-53.868399999999994</v>
      </c>
    </row>
    <row r="119" spans="4:11" x14ac:dyDescent="0.25">
      <c r="D119">
        <v>46</v>
      </c>
      <c r="E119">
        <v>1</v>
      </c>
      <c r="F119">
        <v>0.60237569999999996</v>
      </c>
      <c r="G119">
        <v>-5.2424100000000001E-2</v>
      </c>
      <c r="I119">
        <v>1</v>
      </c>
      <c r="J119" s="1">
        <f t="shared" si="2"/>
        <v>602.37569999999994</v>
      </c>
      <c r="K119" s="1">
        <f t="shared" si="3"/>
        <v>-52.424100000000003</v>
      </c>
    </row>
    <row r="120" spans="4:11" x14ac:dyDescent="0.25">
      <c r="D120">
        <v>47</v>
      </c>
      <c r="E120">
        <v>1</v>
      </c>
      <c r="F120">
        <v>0.62681039999999999</v>
      </c>
      <c r="G120">
        <v>-5.0161299999999999E-2</v>
      </c>
      <c r="I120">
        <v>1</v>
      </c>
      <c r="J120" s="1">
        <f t="shared" si="2"/>
        <v>626.81039999999996</v>
      </c>
      <c r="K120" s="1">
        <f t="shared" si="3"/>
        <v>-50.161299999999997</v>
      </c>
    </row>
    <row r="121" spans="4:11" x14ac:dyDescent="0.25">
      <c r="D121">
        <v>48</v>
      </c>
      <c r="E121">
        <v>1</v>
      </c>
      <c r="F121">
        <v>0.6511093</v>
      </c>
      <c r="G121">
        <v>-4.7898999999999997E-2</v>
      </c>
      <c r="I121">
        <v>1</v>
      </c>
      <c r="J121" s="1">
        <f t="shared" si="2"/>
        <v>651.10929999999996</v>
      </c>
      <c r="K121" s="1">
        <f t="shared" si="3"/>
        <v>-47.898999999999994</v>
      </c>
    </row>
    <row r="122" spans="4:11" x14ac:dyDescent="0.25">
      <c r="D122">
        <v>49</v>
      </c>
      <c r="E122">
        <v>1</v>
      </c>
      <c r="F122">
        <v>0.6752726</v>
      </c>
      <c r="G122">
        <v>-4.49542E-2</v>
      </c>
      <c r="I122">
        <v>1</v>
      </c>
      <c r="J122" s="1">
        <f t="shared" si="2"/>
        <v>675.27260000000001</v>
      </c>
      <c r="K122" s="1">
        <f t="shared" si="3"/>
        <v>-44.9542</v>
      </c>
    </row>
    <row r="123" spans="4:11" x14ac:dyDescent="0.25">
      <c r="D123">
        <v>50</v>
      </c>
      <c r="E123">
        <v>1</v>
      </c>
      <c r="F123">
        <v>0.69930270000000005</v>
      </c>
      <c r="G123">
        <v>-4.20402E-2</v>
      </c>
      <c r="I123">
        <v>1</v>
      </c>
      <c r="J123" s="1">
        <f t="shared" si="2"/>
        <v>699.30270000000007</v>
      </c>
      <c r="K123" s="1">
        <f t="shared" si="3"/>
        <v>-42.040199999999999</v>
      </c>
    </row>
    <row r="124" spans="4:11" x14ac:dyDescent="0.25">
      <c r="D124">
        <v>51</v>
      </c>
      <c r="E124">
        <v>1</v>
      </c>
      <c r="F124">
        <v>0.7231995</v>
      </c>
      <c r="G124">
        <v>-3.8191200000000002E-2</v>
      </c>
      <c r="I124">
        <v>1</v>
      </c>
      <c r="J124" s="1">
        <f t="shared" si="2"/>
        <v>723.19949999999994</v>
      </c>
      <c r="K124" s="1">
        <f t="shared" si="3"/>
        <v>-38.191200000000002</v>
      </c>
    </row>
    <row r="125" spans="4:11" x14ac:dyDescent="0.25">
      <c r="D125">
        <v>52</v>
      </c>
      <c r="E125">
        <v>1</v>
      </c>
      <c r="F125">
        <v>0.74696580000000001</v>
      </c>
      <c r="G125">
        <v>-3.4736499999999997E-2</v>
      </c>
      <c r="I125">
        <v>1</v>
      </c>
      <c r="J125" s="1">
        <f t="shared" si="2"/>
        <v>746.96580000000006</v>
      </c>
      <c r="K125" s="1">
        <f t="shared" si="3"/>
        <v>-34.736499999999999</v>
      </c>
    </row>
    <row r="126" spans="4:11" x14ac:dyDescent="0.25">
      <c r="D126">
        <v>53</v>
      </c>
      <c r="E126">
        <v>1</v>
      </c>
      <c r="F126">
        <v>0.77059979999999995</v>
      </c>
      <c r="G126">
        <v>-3.0350499999999999E-2</v>
      </c>
      <c r="I126">
        <v>1</v>
      </c>
      <c r="J126" s="1">
        <f t="shared" si="2"/>
        <v>770.59979999999996</v>
      </c>
      <c r="K126" s="1">
        <f t="shared" si="3"/>
        <v>-30.3505</v>
      </c>
    </row>
    <row r="127" spans="4:11" x14ac:dyDescent="0.25">
      <c r="D127">
        <v>54</v>
      </c>
      <c r="E127">
        <v>1</v>
      </c>
      <c r="F127">
        <v>0.79410550000000002</v>
      </c>
      <c r="G127">
        <v>-2.6042699999999998E-2</v>
      </c>
      <c r="I127">
        <v>1</v>
      </c>
      <c r="J127" s="1">
        <f t="shared" si="2"/>
        <v>794.10550000000001</v>
      </c>
      <c r="K127" s="1">
        <f t="shared" si="3"/>
        <v>-26.0427</v>
      </c>
    </row>
    <row r="128" spans="4:11" x14ac:dyDescent="0.25">
      <c r="D128">
        <v>55</v>
      </c>
      <c r="E128">
        <v>1</v>
      </c>
      <c r="F128">
        <v>0.81748279999999995</v>
      </c>
      <c r="G128">
        <v>-2.0984200000000001E-2</v>
      </c>
      <c r="I128">
        <v>1</v>
      </c>
      <c r="J128" s="1">
        <f t="shared" si="2"/>
        <v>817.4828</v>
      </c>
      <c r="K128" s="1">
        <f t="shared" si="3"/>
        <v>-20.984200000000001</v>
      </c>
    </row>
    <row r="129" spans="4:11" x14ac:dyDescent="0.25">
      <c r="D129">
        <v>56</v>
      </c>
      <c r="E129">
        <v>1</v>
      </c>
      <c r="F129">
        <v>0.84073240000000005</v>
      </c>
      <c r="G129">
        <v>-1.6583799999999999E-2</v>
      </c>
      <c r="I129">
        <v>1</v>
      </c>
      <c r="J129" s="1">
        <f t="shared" si="2"/>
        <v>840.7324000000001</v>
      </c>
      <c r="K129" s="1">
        <f t="shared" si="3"/>
        <v>-16.5838</v>
      </c>
    </row>
    <row r="130" spans="4:11" x14ac:dyDescent="0.25">
      <c r="D130">
        <v>57</v>
      </c>
      <c r="E130">
        <v>1</v>
      </c>
      <c r="F130">
        <v>0.86385639999999997</v>
      </c>
      <c r="G130">
        <v>-1.1801499999999999E-2</v>
      </c>
      <c r="I130">
        <v>1</v>
      </c>
      <c r="J130" s="1">
        <f t="shared" si="2"/>
        <v>863.85640000000001</v>
      </c>
      <c r="K130" s="1">
        <f t="shared" si="3"/>
        <v>-11.801499999999999</v>
      </c>
    </row>
    <row r="131" spans="4:11" x14ac:dyDescent="0.25">
      <c r="D131">
        <v>58</v>
      </c>
      <c r="E131">
        <v>1</v>
      </c>
      <c r="F131">
        <v>0.88682349999999999</v>
      </c>
      <c r="G131">
        <v>-7.3150999999999997E-3</v>
      </c>
      <c r="I131">
        <v>1</v>
      </c>
      <c r="J131" s="1">
        <f t="shared" si="2"/>
        <v>886.82349999999997</v>
      </c>
      <c r="K131" s="1">
        <f t="shared" si="3"/>
        <v>-7.3151000000000002</v>
      </c>
    </row>
    <row r="132" spans="4:11" x14ac:dyDescent="0.25">
      <c r="D132">
        <v>59</v>
      </c>
      <c r="E132">
        <v>1</v>
      </c>
      <c r="F132">
        <v>0.90619050000000001</v>
      </c>
      <c r="G132">
        <v>-3.5152E-3</v>
      </c>
      <c r="I132">
        <v>1</v>
      </c>
      <c r="J132" s="1">
        <f t="shared" ref="J132:J145" si="4">F132*1000</f>
        <v>906.19050000000004</v>
      </c>
      <c r="K132" s="1">
        <f t="shared" ref="K132:K145" si="5">G132*1000</f>
        <v>-3.5152000000000001</v>
      </c>
    </row>
    <row r="133" spans="4:11" x14ac:dyDescent="0.25">
      <c r="D133">
        <v>60</v>
      </c>
      <c r="E133">
        <v>1</v>
      </c>
      <c r="F133">
        <v>0.92253359999999995</v>
      </c>
      <c r="G133">
        <v>-1.2538E-3</v>
      </c>
      <c r="I133">
        <v>1</v>
      </c>
      <c r="J133" s="1">
        <f t="shared" si="4"/>
        <v>922.53359999999998</v>
      </c>
      <c r="K133" s="1">
        <f t="shared" si="5"/>
        <v>-1.2538</v>
      </c>
    </row>
    <row r="134" spans="4:11" x14ac:dyDescent="0.25">
      <c r="D134">
        <v>61</v>
      </c>
      <c r="E134">
        <v>1</v>
      </c>
      <c r="F134">
        <v>0.93633460000000002</v>
      </c>
      <c r="G134">
        <v>7.2650000000000004E-4</v>
      </c>
      <c r="I134">
        <v>1</v>
      </c>
      <c r="J134" s="1">
        <f t="shared" si="4"/>
        <v>936.33460000000002</v>
      </c>
      <c r="K134" s="1">
        <f t="shared" si="5"/>
        <v>0.72650000000000003</v>
      </c>
    </row>
    <row r="135" spans="4:11" x14ac:dyDescent="0.25">
      <c r="D135">
        <v>62</v>
      </c>
      <c r="E135">
        <v>1</v>
      </c>
      <c r="F135">
        <v>0.94799460000000002</v>
      </c>
      <c r="G135">
        <v>1.3037999999999999E-3</v>
      </c>
      <c r="I135">
        <v>1</v>
      </c>
      <c r="J135" s="1">
        <f t="shared" si="4"/>
        <v>947.99459999999999</v>
      </c>
      <c r="K135" s="1">
        <f t="shared" si="5"/>
        <v>1.3037999999999998</v>
      </c>
    </row>
    <row r="136" spans="4:11" x14ac:dyDescent="0.25">
      <c r="D136">
        <v>63</v>
      </c>
      <c r="E136">
        <v>1</v>
      </c>
      <c r="F136">
        <v>0.95785109999999996</v>
      </c>
      <c r="G136">
        <v>1.7811000000000001E-3</v>
      </c>
      <c r="I136">
        <v>1</v>
      </c>
      <c r="J136" s="1">
        <f t="shared" si="4"/>
        <v>957.85109999999997</v>
      </c>
      <c r="K136" s="1">
        <f t="shared" si="5"/>
        <v>1.7811000000000001</v>
      </c>
    </row>
    <row r="137" spans="4:11" x14ac:dyDescent="0.25">
      <c r="D137">
        <v>64</v>
      </c>
      <c r="E137">
        <v>1</v>
      </c>
      <c r="F137">
        <v>0.96618599999999999</v>
      </c>
      <c r="G137">
        <v>2.0584000000000002E-3</v>
      </c>
      <c r="I137">
        <v>1</v>
      </c>
      <c r="J137" s="1">
        <f t="shared" si="4"/>
        <v>966.18600000000004</v>
      </c>
      <c r="K137" s="1">
        <f t="shared" si="5"/>
        <v>2.0584000000000002</v>
      </c>
    </row>
    <row r="138" spans="4:11" x14ac:dyDescent="0.25">
      <c r="D138">
        <v>65</v>
      </c>
      <c r="E138">
        <v>1</v>
      </c>
      <c r="F138">
        <v>0.97323610000000005</v>
      </c>
      <c r="G138">
        <v>1.5357000000000001E-3</v>
      </c>
      <c r="I138">
        <v>1</v>
      </c>
      <c r="J138" s="1">
        <f t="shared" si="4"/>
        <v>973.23610000000008</v>
      </c>
      <c r="K138" s="1">
        <f t="shared" si="5"/>
        <v>1.5357000000000001</v>
      </c>
    </row>
    <row r="139" spans="4:11" x14ac:dyDescent="0.25">
      <c r="D139">
        <v>66</v>
      </c>
      <c r="E139">
        <v>1</v>
      </c>
      <c r="F139">
        <v>0.97920200000000002</v>
      </c>
      <c r="G139">
        <v>1.3129999999999999E-3</v>
      </c>
      <c r="I139">
        <v>1</v>
      </c>
      <c r="J139" s="1">
        <f t="shared" si="4"/>
        <v>979.202</v>
      </c>
      <c r="K139" s="1">
        <f t="shared" si="5"/>
        <v>1.3129999999999999</v>
      </c>
    </row>
    <row r="140" spans="4:11" x14ac:dyDescent="0.25">
      <c r="D140">
        <v>67</v>
      </c>
      <c r="E140">
        <v>1</v>
      </c>
      <c r="F140">
        <v>0.98425079999999998</v>
      </c>
      <c r="G140">
        <v>1.1130000000000001E-3</v>
      </c>
      <c r="I140">
        <v>1</v>
      </c>
      <c r="J140" s="1">
        <f t="shared" si="4"/>
        <v>984.25080000000003</v>
      </c>
      <c r="K140" s="1">
        <f t="shared" si="5"/>
        <v>1.113</v>
      </c>
    </row>
    <row r="141" spans="4:11" x14ac:dyDescent="0.25">
      <c r="D141">
        <v>68</v>
      </c>
      <c r="E141">
        <v>1</v>
      </c>
      <c r="F141">
        <v>0.98852519999999999</v>
      </c>
      <c r="G141">
        <v>1.013E-3</v>
      </c>
      <c r="I141">
        <v>1</v>
      </c>
      <c r="J141" s="1">
        <f t="shared" si="4"/>
        <v>988.52520000000004</v>
      </c>
      <c r="K141" s="1">
        <f t="shared" si="5"/>
        <v>1.0129999999999999</v>
      </c>
    </row>
    <row r="142" spans="4:11" x14ac:dyDescent="0.25">
      <c r="D142">
        <v>69</v>
      </c>
      <c r="E142">
        <v>1</v>
      </c>
      <c r="F142">
        <v>0.99214380000000002</v>
      </c>
      <c r="G142">
        <v>5.13E-4</v>
      </c>
      <c r="I142">
        <v>1</v>
      </c>
      <c r="J142" s="1">
        <f t="shared" si="4"/>
        <v>992.14380000000006</v>
      </c>
      <c r="K142" s="1">
        <f t="shared" si="5"/>
        <v>0.51300000000000001</v>
      </c>
    </row>
    <row r="143" spans="4:11" x14ac:dyDescent="0.25">
      <c r="D143">
        <v>70</v>
      </c>
      <c r="E143">
        <v>1</v>
      </c>
      <c r="F143">
        <v>0.99520799999999998</v>
      </c>
      <c r="G143">
        <v>1.13E-4</v>
      </c>
      <c r="I143">
        <v>1</v>
      </c>
      <c r="J143" s="1">
        <f t="shared" si="4"/>
        <v>995.20799999999997</v>
      </c>
      <c r="K143" s="1">
        <f t="shared" si="5"/>
        <v>0.11299999999999999</v>
      </c>
    </row>
    <row r="144" spans="4:11" x14ac:dyDescent="0.25">
      <c r="D144">
        <v>71</v>
      </c>
      <c r="E144">
        <v>1</v>
      </c>
      <c r="F144">
        <v>0.997803</v>
      </c>
      <c r="G144">
        <v>1.2999999999999999E-5</v>
      </c>
      <c r="I144">
        <v>1</v>
      </c>
      <c r="J144" s="1">
        <f t="shared" si="4"/>
        <v>997.803</v>
      </c>
      <c r="K144" s="1">
        <f t="shared" si="5"/>
        <v>1.2999999999999999E-2</v>
      </c>
    </row>
    <row r="145" spans="5:11" x14ac:dyDescent="0.25">
      <c r="E145">
        <v>1</v>
      </c>
      <c r="F145">
        <v>1</v>
      </c>
      <c r="G145">
        <v>0</v>
      </c>
      <c r="I145">
        <v>1</v>
      </c>
      <c r="J145" s="1">
        <f t="shared" si="4"/>
        <v>1000</v>
      </c>
      <c r="K145" s="1">
        <f t="shared" si="5"/>
        <v>0</v>
      </c>
    </row>
  </sheetData>
  <sortState xmlns:xlrd2="http://schemas.microsoft.com/office/spreadsheetml/2017/richdata2" ref="F3:G73">
    <sortCondition descending="1" ref="F3"/>
  </sortState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3D5-72A2-49E3-8CA7-40E0E5947C13}">
  <dimension ref="A1:D73"/>
  <sheetViews>
    <sheetView topLeftCell="A37" zoomScaleNormal="100" workbookViewId="0">
      <selection activeCell="B46" sqref="B46"/>
    </sheetView>
  </sheetViews>
  <sheetFormatPr defaultRowHeight="15" x14ac:dyDescent="0.25"/>
  <cols>
    <col min="2" max="2" width="11.5703125" customWidth="1"/>
    <col min="3" max="3" width="12.140625" customWidth="1"/>
    <col min="4" max="4" width="11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s="3">
        <v>1</v>
      </c>
      <c r="B2" s="4">
        <f>foilmod!F74</f>
        <v>0</v>
      </c>
      <c r="C2" s="4">
        <f>foilmod!G74</f>
        <v>0</v>
      </c>
      <c r="D2" s="4">
        <f>foilmod!G74</f>
        <v>0</v>
      </c>
    </row>
    <row r="3" spans="1:4" x14ac:dyDescent="0.25">
      <c r="A3" s="3">
        <v>2</v>
      </c>
      <c r="B3" s="4">
        <f>foilmod!F75</f>
        <v>1.6500000000000001E-5</v>
      </c>
      <c r="C3" s="4">
        <f>foilmod!G73</f>
        <v>6.914E-4</v>
      </c>
      <c r="D3" s="4">
        <f>foilmod!G75</f>
        <v>-6.914E-4</v>
      </c>
    </row>
    <row r="4" spans="1:4" x14ac:dyDescent="0.25">
      <c r="A4" s="3">
        <v>3</v>
      </c>
      <c r="B4" s="4">
        <f>foilmod!F76</f>
        <v>6.9599999999999998E-5</v>
      </c>
      <c r="C4" s="4">
        <f>foilmod!G72</f>
        <v>1.4415999999999999E-3</v>
      </c>
      <c r="D4" s="4">
        <f>foilmod!G76</f>
        <v>-1.5416E-3</v>
      </c>
    </row>
    <row r="5" spans="1:4" x14ac:dyDescent="0.25">
      <c r="A5" s="3">
        <v>4</v>
      </c>
      <c r="B5" s="4">
        <f>foilmod!F77</f>
        <v>1.6750000000000001E-4</v>
      </c>
      <c r="C5" s="4">
        <f>foilmod!G71</f>
        <v>2.2553999999999999E-3</v>
      </c>
      <c r="D5" s="4">
        <f>foilmod!G77</f>
        <v>-2.0554000000000002E-3</v>
      </c>
    </row>
    <row r="6" spans="1:4" x14ac:dyDescent="0.25">
      <c r="A6" s="3">
        <v>5</v>
      </c>
      <c r="B6" s="4">
        <f>foilmod!F78</f>
        <v>3.232E-4</v>
      </c>
      <c r="C6" s="4">
        <f>foilmod!G70</f>
        <v>3.1381999999999998E-3</v>
      </c>
      <c r="D6" s="5">
        <f>foilmod!G78</f>
        <v>-3.1381999999999998E-3</v>
      </c>
    </row>
    <row r="7" spans="1:4" x14ac:dyDescent="0.25">
      <c r="A7" s="3">
        <v>6</v>
      </c>
      <c r="B7" s="5">
        <f>foilmod!F79</f>
        <v>5.5080000000000005E-4</v>
      </c>
      <c r="C7" s="5">
        <f>foilmod!G69</f>
        <v>4.0959000000000004E-3</v>
      </c>
      <c r="D7" s="6">
        <f>foilmod!G79</f>
        <v>-4.0959000000000004E-3</v>
      </c>
    </row>
    <row r="8" spans="1:4" x14ac:dyDescent="0.25">
      <c r="A8" s="3">
        <v>7</v>
      </c>
      <c r="B8" s="4">
        <f>foilmod!F80</f>
        <v>8.6569999999999995E-4</v>
      </c>
      <c r="C8" s="4">
        <f>foilmod!G68</f>
        <v>5.1342999999999996E-3</v>
      </c>
      <c r="D8" s="4">
        <f>foilmod!G80</f>
        <v>-5.1342999999999996E-3</v>
      </c>
    </row>
    <row r="9" spans="1:4" x14ac:dyDescent="0.25">
      <c r="A9" s="3">
        <v>8</v>
      </c>
      <c r="B9" s="4">
        <f>foilmod!F81</f>
        <v>1.2868000000000001E-3</v>
      </c>
      <c r="C9" s="4">
        <f>foilmod!G67</f>
        <v>5.8598000000000001E-3</v>
      </c>
      <c r="D9" s="4">
        <f>foilmod!G81</f>
        <v>-6.9598000000000004E-3</v>
      </c>
    </row>
    <row r="10" spans="1:4" x14ac:dyDescent="0.25">
      <c r="A10" s="3">
        <v>9</v>
      </c>
      <c r="B10" s="4">
        <f>foilmod!F82</f>
        <v>1.8364E-3</v>
      </c>
      <c r="C10" s="4">
        <f>foilmod!G66</f>
        <v>6.5783999999999999E-3</v>
      </c>
      <c r="D10" s="4">
        <f>foilmod!G82</f>
        <v>-8.9783999999999992E-3</v>
      </c>
    </row>
    <row r="11" spans="1:4" x14ac:dyDescent="0.25">
      <c r="A11" s="3">
        <v>10</v>
      </c>
      <c r="B11" s="4">
        <f>foilmod!F83</f>
        <v>2.5441000000000001E-3</v>
      </c>
      <c r="C11" s="4">
        <f>foilmod!G65</f>
        <v>8.2958000000000007E-3</v>
      </c>
      <c r="D11" s="5">
        <f>foilmod!G83</f>
        <v>-1.0205799999999999E-2</v>
      </c>
    </row>
    <row r="12" spans="1:4" x14ac:dyDescent="0.25">
      <c r="A12" s="3">
        <v>11</v>
      </c>
      <c r="B12" s="4">
        <f>foilmod!F84</f>
        <v>3.4428000000000002E-3</v>
      </c>
      <c r="C12" s="4">
        <f>foilmod!G64</f>
        <v>9.2163000000000002E-3</v>
      </c>
      <c r="D12" s="4">
        <f>foilmod!G84</f>
        <v>-1.10163E-2</v>
      </c>
    </row>
    <row r="13" spans="1:4" x14ac:dyDescent="0.25">
      <c r="A13" s="3">
        <v>12</v>
      </c>
      <c r="B13" s="5">
        <f>foilmod!F85</f>
        <v>4.5703999999999996E-3</v>
      </c>
      <c r="C13" s="5">
        <f>foilmod!G63</f>
        <v>1.07419E-2</v>
      </c>
      <c r="D13" s="6">
        <f>foilmod!G85</f>
        <v>-1.27419E-2</v>
      </c>
    </row>
    <row r="14" spans="1:4" x14ac:dyDescent="0.25">
      <c r="A14" s="3">
        <v>13</v>
      </c>
      <c r="B14" s="4">
        <f>foilmod!F86</f>
        <v>5.9750999999999997E-3</v>
      </c>
      <c r="C14" s="4">
        <f>foilmod!G62</f>
        <v>1.22208E-2</v>
      </c>
      <c r="D14" s="4">
        <f>foilmod!G86</f>
        <v>-1.3708E-2</v>
      </c>
    </row>
    <row r="15" spans="1:4" x14ac:dyDescent="0.25">
      <c r="A15" s="3">
        <v>14</v>
      </c>
      <c r="B15" s="4">
        <f>foilmod!F87</f>
        <v>7.7111999999999997E-3</v>
      </c>
      <c r="C15" s="4">
        <f>foilmod!G61</f>
        <v>1.36951E-2</v>
      </c>
      <c r="D15" s="4">
        <f>foilmod!G87</f>
        <v>-1.4995100000000001E-2</v>
      </c>
    </row>
    <row r="16" spans="1:4" x14ac:dyDescent="0.25">
      <c r="A16" s="3">
        <v>15</v>
      </c>
      <c r="B16" s="4">
        <f>foilmod!F88</f>
        <v>9.8413000000000007E-3</v>
      </c>
      <c r="C16" s="4">
        <f>foilmod!G60</f>
        <v>1.5798400000000001E-2</v>
      </c>
      <c r="D16" s="5">
        <f>foilmod!G88</f>
        <v>-1.58984E-2</v>
      </c>
    </row>
    <row r="17" spans="1:4" x14ac:dyDescent="0.25">
      <c r="A17" s="3">
        <v>16</v>
      </c>
      <c r="B17" s="4">
        <f>foilmod!F89</f>
        <v>1.24479E-2</v>
      </c>
      <c r="C17" s="4">
        <f>foilmod!G59</f>
        <v>1.7303700000000002E-2</v>
      </c>
      <c r="D17" s="4">
        <f>foilmod!G89</f>
        <v>-1.73537E-2</v>
      </c>
    </row>
    <row r="18" spans="1:4" x14ac:dyDescent="0.25">
      <c r="A18" s="3">
        <v>17</v>
      </c>
      <c r="B18" s="4">
        <f>foilmod!F90</f>
        <v>1.56171E-2</v>
      </c>
      <c r="C18" s="4">
        <f>foilmod!G58</f>
        <v>1.9622000000000001E-2</v>
      </c>
      <c r="D18" s="4">
        <f>foilmod!G90</f>
        <v>-1.8322000000000001E-2</v>
      </c>
    </row>
    <row r="19" spans="1:4" x14ac:dyDescent="0.25">
      <c r="A19" s="3">
        <v>18</v>
      </c>
      <c r="B19" s="5">
        <f>foilmod!F91</f>
        <v>1.94609E-2</v>
      </c>
      <c r="C19" s="5">
        <f>foilmod!G57</f>
        <v>2.1454500000000001E-2</v>
      </c>
      <c r="D19" s="6">
        <f>foilmod!G91</f>
        <v>-1.94545E-2</v>
      </c>
    </row>
    <row r="20" spans="1:4" x14ac:dyDescent="0.25">
      <c r="A20" s="3">
        <v>19</v>
      </c>
      <c r="B20" s="4">
        <f>foilmod!F92</f>
        <v>2.4106699999999998E-2</v>
      </c>
      <c r="C20" s="4">
        <f>foilmod!G56</f>
        <v>2.3800399999999999E-2</v>
      </c>
      <c r="D20" s="4">
        <f>foilmod!G92</f>
        <v>-2.08004E-2</v>
      </c>
    </row>
    <row r="21" spans="1:4" x14ac:dyDescent="0.25">
      <c r="A21" s="3">
        <v>20</v>
      </c>
      <c r="B21" s="4">
        <f>foilmod!F93</f>
        <v>2.9700799999999999E-2</v>
      </c>
      <c r="C21" s="4">
        <f>foilmod!G55</f>
        <v>2.6224500000000001E-2</v>
      </c>
      <c r="D21" s="5">
        <f>foilmod!G93</f>
        <v>-2.19245E-2</v>
      </c>
    </row>
    <row r="22" spans="1:4" x14ac:dyDescent="0.25">
      <c r="A22" s="3">
        <v>21</v>
      </c>
      <c r="B22" s="4">
        <f>foilmod!F94</f>
        <v>3.6426100000000003E-2</v>
      </c>
      <c r="C22" s="4">
        <f>foilmod!G54</f>
        <v>2.8731699999999999E-2</v>
      </c>
      <c r="D22" s="4">
        <f>foilmod!G94</f>
        <v>-2.3531699999999999E-2</v>
      </c>
    </row>
    <row r="23" spans="1:4" x14ac:dyDescent="0.25">
      <c r="A23" s="3">
        <v>22</v>
      </c>
      <c r="B23" s="4">
        <f>foilmod!F95</f>
        <v>4.4485200000000003E-2</v>
      </c>
      <c r="C23" s="4">
        <f>foilmod!G53</f>
        <v>3.1191199999999999E-2</v>
      </c>
      <c r="D23" s="4">
        <f>foilmod!G95</f>
        <v>-2.4991200000000002E-2</v>
      </c>
    </row>
    <row r="24" spans="1:4" x14ac:dyDescent="0.25">
      <c r="A24" s="3">
        <v>23</v>
      </c>
      <c r="B24" s="4">
        <f>foilmod!F96</f>
        <v>5.4124800000000001E-2</v>
      </c>
      <c r="C24" s="4">
        <f>foilmod!G52</f>
        <v>3.41278E-2</v>
      </c>
      <c r="D24" s="4">
        <f>foilmod!G96</f>
        <v>-2.6827799999999999E-2</v>
      </c>
    </row>
    <row r="25" spans="1:4" x14ac:dyDescent="0.25">
      <c r="A25" s="3">
        <v>24</v>
      </c>
      <c r="B25" s="5">
        <f>foilmod!F97</f>
        <v>6.5630300000000003E-2</v>
      </c>
      <c r="C25" s="5">
        <f>foilmod!G51</f>
        <v>3.7613800000000003E-2</v>
      </c>
      <c r="D25" s="6">
        <f>foilmod!G97</f>
        <v>-2.89138E-2</v>
      </c>
    </row>
    <row r="26" spans="1:4" x14ac:dyDescent="0.25">
      <c r="A26" s="3">
        <v>25</v>
      </c>
      <c r="B26" s="4">
        <f>foilmod!F98</f>
        <v>7.9336599999999993E-2</v>
      </c>
      <c r="C26" s="4">
        <f>foilmod!G50</f>
        <v>4.0837199999999997E-2</v>
      </c>
      <c r="D26" s="5">
        <f>foilmod!G98</f>
        <v>-3.0837199999999999E-2</v>
      </c>
    </row>
    <row r="27" spans="1:4" x14ac:dyDescent="0.25">
      <c r="A27" s="3">
        <v>26</v>
      </c>
      <c r="B27" s="4">
        <f>foilmod!F99</f>
        <v>9.5635399999999995E-2</v>
      </c>
      <c r="C27" s="4">
        <f>foilmod!G49</f>
        <v>4.47742E-2</v>
      </c>
      <c r="D27" s="4">
        <f>foilmod!G99</f>
        <v>-3.2874199999999999E-2</v>
      </c>
    </row>
    <row r="28" spans="1:4" x14ac:dyDescent="0.25">
      <c r="A28" s="3">
        <v>27</v>
      </c>
      <c r="B28" s="4">
        <f>foilmod!F100</f>
        <v>0.1149796</v>
      </c>
      <c r="C28" s="4">
        <f>foilmod!G48</f>
        <v>4.8792299999999997E-2</v>
      </c>
      <c r="D28" s="4">
        <f>foilmod!G100</f>
        <v>-3.50923E-2</v>
      </c>
    </row>
    <row r="29" spans="1:4" x14ac:dyDescent="0.25">
      <c r="A29" s="3">
        <v>28</v>
      </c>
      <c r="B29" s="4">
        <f>foilmod!F101</f>
        <v>0.1378963</v>
      </c>
      <c r="C29" s="4">
        <f>foilmod!G47</f>
        <v>5.3052200000000001E-2</v>
      </c>
      <c r="D29" s="4">
        <f>foilmod!G101</f>
        <v>-3.7452199999999998E-2</v>
      </c>
    </row>
    <row r="30" spans="1:4" x14ac:dyDescent="0.25">
      <c r="A30" s="3">
        <v>29</v>
      </c>
      <c r="B30" s="4">
        <f>foilmod!F102</f>
        <v>0.16499759999999999</v>
      </c>
      <c r="C30" s="4">
        <f>foilmod!G46</f>
        <v>5.7908899999999999E-2</v>
      </c>
      <c r="D30" s="4">
        <f>foilmod!G102</f>
        <v>-3.9968900000000002E-2</v>
      </c>
    </row>
    <row r="31" spans="1:4" x14ac:dyDescent="0.25">
      <c r="A31" s="3">
        <v>30</v>
      </c>
      <c r="B31" s="5">
        <f>foilmod!F103</f>
        <v>0.19193270000000001</v>
      </c>
      <c r="C31" s="5">
        <f>foilmod!G45</f>
        <v>6.16214E-2</v>
      </c>
      <c r="D31" s="5">
        <f>foilmod!G103</f>
        <v>-4.1821400000000002E-2</v>
      </c>
    </row>
    <row r="32" spans="1:4" x14ac:dyDescent="0.25">
      <c r="A32" s="3">
        <v>31</v>
      </c>
      <c r="B32" s="4">
        <f>foilmod!F104</f>
        <v>0.2187096</v>
      </c>
      <c r="C32" s="4">
        <f>foilmod!G44</f>
        <v>6.5050700000000003E-2</v>
      </c>
      <c r="D32" s="4">
        <f>foilmod!G104</f>
        <v>-4.4050699999999998E-2</v>
      </c>
    </row>
    <row r="33" spans="1:4" x14ac:dyDescent="0.25">
      <c r="A33" s="3">
        <v>32</v>
      </c>
      <c r="B33" s="4">
        <f>foilmod!F105</f>
        <v>0.24533099999999999</v>
      </c>
      <c r="C33" s="4">
        <f>foilmod!G43</f>
        <v>6.8235799999999999E-2</v>
      </c>
      <c r="D33" s="4">
        <f>foilmod!G105</f>
        <v>-4.6035800000000002E-2</v>
      </c>
    </row>
    <row r="34" spans="1:4" x14ac:dyDescent="0.25">
      <c r="A34" s="3">
        <v>33</v>
      </c>
      <c r="B34" s="4">
        <f>foilmod!F106</f>
        <v>0.27179779999999998</v>
      </c>
      <c r="C34" s="4">
        <f>foilmod!G42</f>
        <v>7.1198700000000004E-2</v>
      </c>
      <c r="D34" s="4">
        <f>foilmod!G106</f>
        <v>-4.8098700000000001E-2</v>
      </c>
    </row>
    <row r="35" spans="1:4" x14ac:dyDescent="0.25">
      <c r="A35" s="3">
        <v>34</v>
      </c>
      <c r="B35" s="4">
        <f>foilmod!F107</f>
        <v>0.29811130000000002</v>
      </c>
      <c r="C35" s="4">
        <f>foilmod!G41</f>
        <v>7.3594939999999998E-2</v>
      </c>
      <c r="D35" s="4">
        <f>foilmod!G107</f>
        <v>-4.9749399999999999E-2</v>
      </c>
    </row>
    <row r="36" spans="1:4" x14ac:dyDescent="0.25">
      <c r="A36" s="3">
        <v>35</v>
      </c>
      <c r="B36" s="4">
        <f>foilmod!F108</f>
        <v>0.32427260000000002</v>
      </c>
      <c r="C36" s="4">
        <f>foilmod!G40</f>
        <v>7.5849020000000003E-2</v>
      </c>
      <c r="D36" s="5">
        <f>foilmod!G108</f>
        <v>-5.1049020000000001E-2</v>
      </c>
    </row>
    <row r="37" spans="1:4" x14ac:dyDescent="0.25">
      <c r="A37" s="3">
        <v>36</v>
      </c>
      <c r="B37" s="5">
        <f>foilmod!F109</f>
        <v>0.35028300000000001</v>
      </c>
      <c r="C37" s="5">
        <f>foilmod!G39</f>
        <v>7.7518299999999998E-2</v>
      </c>
      <c r="D37" s="6">
        <f>foilmod!G109</f>
        <v>-5.2518299999999997E-2</v>
      </c>
    </row>
    <row r="38" spans="1:4" x14ac:dyDescent="0.25">
      <c r="A38" s="3">
        <v>37</v>
      </c>
      <c r="B38" s="4">
        <f>foilmod!F110</f>
        <v>0.3761446</v>
      </c>
      <c r="C38" s="4">
        <f>foilmod!G38</f>
        <v>7.8629599999999994E-2</v>
      </c>
      <c r="D38" s="4">
        <f>foilmod!G110</f>
        <v>-5.3769600000000001E-2</v>
      </c>
    </row>
    <row r="39" spans="1:4" x14ac:dyDescent="0.25">
      <c r="A39" s="3">
        <v>38</v>
      </c>
      <c r="B39" s="4">
        <f>foilmod!F111</f>
        <v>0.40185670000000001</v>
      </c>
      <c r="C39" s="4">
        <f>foilmod!G37</f>
        <v>7.9301999999999997E-2</v>
      </c>
      <c r="D39" s="4">
        <f>foilmod!G111</f>
        <v>-5.4880199999999997E-2</v>
      </c>
    </row>
    <row r="40" spans="1:4" x14ac:dyDescent="0.25">
      <c r="A40" s="3">
        <v>39</v>
      </c>
      <c r="B40" s="4">
        <f>foilmod!F112</f>
        <v>0.42742229999999998</v>
      </c>
      <c r="C40" s="4">
        <f>foilmod!G36</f>
        <v>7.9883300000000004E-2</v>
      </c>
      <c r="D40" s="4">
        <f>foilmod!G112</f>
        <v>-5.5583300000000002E-2</v>
      </c>
    </row>
    <row r="41" spans="1:4" x14ac:dyDescent="0.25">
      <c r="A41" s="3">
        <v>40</v>
      </c>
      <c r="B41" s="4">
        <f>foilmod!F113</f>
        <v>0.45284410000000003</v>
      </c>
      <c r="C41" s="4">
        <f>foilmod!G35</f>
        <v>8.0603999999999995E-2</v>
      </c>
      <c r="D41" s="5">
        <f>foilmod!G113</f>
        <v>-5.6435100000000002E-2</v>
      </c>
    </row>
    <row r="42" spans="1:4" x14ac:dyDescent="0.25">
      <c r="A42" s="3">
        <v>41</v>
      </c>
      <c r="B42" s="4">
        <f>foilmod!F114</f>
        <v>0.47811969999999998</v>
      </c>
      <c r="C42" s="4">
        <f>foilmod!G34</f>
        <v>8.0080999999999999E-2</v>
      </c>
      <c r="D42" s="4">
        <f>foilmod!G114</f>
        <v>-5.6866100000000003E-2</v>
      </c>
    </row>
    <row r="43" spans="1:4" x14ac:dyDescent="0.25">
      <c r="A43" s="3">
        <v>42</v>
      </c>
      <c r="B43" s="5">
        <f>foilmod!F115</f>
        <v>0.50325140000000002</v>
      </c>
      <c r="C43" s="5">
        <f>foilmod!G33</f>
        <v>8.0202999999999997E-2</v>
      </c>
      <c r="D43" s="6">
        <f>foilmod!G115</f>
        <v>-5.6730299999999997E-2</v>
      </c>
    </row>
    <row r="44" spans="1:4" x14ac:dyDescent="0.25">
      <c r="A44" s="3">
        <v>43</v>
      </c>
      <c r="B44" s="4">
        <f>foilmod!F116</f>
        <v>0.52824260000000001</v>
      </c>
      <c r="C44" s="4">
        <f>foilmod!G32</f>
        <v>7.9209000000000002E-2</v>
      </c>
      <c r="D44" s="4">
        <f>foilmod!G116</f>
        <v>-5.5992090000000001E-2</v>
      </c>
    </row>
    <row r="45" spans="1:4" x14ac:dyDescent="0.25">
      <c r="A45" s="3">
        <v>44</v>
      </c>
      <c r="B45" s="4">
        <f>foilmod!F117</f>
        <v>0.55309370000000002</v>
      </c>
      <c r="C45" s="4">
        <f>foilmod!G31</f>
        <v>7.8674099999999997E-2</v>
      </c>
      <c r="D45" s="4">
        <f>foilmod!G117</f>
        <v>-5.4974099999999998E-2</v>
      </c>
    </row>
    <row r="46" spans="1:4" x14ac:dyDescent="0.25">
      <c r="A46" s="3">
        <v>45</v>
      </c>
      <c r="B46" s="4">
        <f>foilmod!F118</f>
        <v>0.57780430000000005</v>
      </c>
      <c r="C46" s="4">
        <f>foilmod!G30</f>
        <v>7.7216839999999995E-2</v>
      </c>
      <c r="D46" s="5">
        <f>foilmod!G118</f>
        <v>-5.3868399999999997E-2</v>
      </c>
    </row>
    <row r="47" spans="1:4" x14ac:dyDescent="0.25">
      <c r="A47" s="3">
        <v>46</v>
      </c>
      <c r="B47" s="4">
        <f>foilmod!F119</f>
        <v>0.60237569999999996</v>
      </c>
      <c r="C47" s="4">
        <f>foilmod!G29</f>
        <v>7.5241000000000002E-2</v>
      </c>
      <c r="D47" s="4">
        <f>foilmod!G119</f>
        <v>-5.2424100000000001E-2</v>
      </c>
    </row>
    <row r="48" spans="1:4" x14ac:dyDescent="0.25">
      <c r="A48" s="3">
        <v>47</v>
      </c>
      <c r="B48" s="4">
        <f>foilmod!F120</f>
        <v>0.62681039999999999</v>
      </c>
      <c r="C48" s="4">
        <f>foilmod!G28</f>
        <v>7.2961300000000007E-2</v>
      </c>
      <c r="D48" s="4">
        <f>foilmod!G120</f>
        <v>-5.0161299999999999E-2</v>
      </c>
    </row>
    <row r="49" spans="1:4" x14ac:dyDescent="0.25">
      <c r="A49" s="3">
        <v>48</v>
      </c>
      <c r="B49" s="5">
        <f>foilmod!F121</f>
        <v>0.6511093</v>
      </c>
      <c r="C49" s="5">
        <f>foilmod!G27</f>
        <v>7.0198999999999998E-2</v>
      </c>
      <c r="D49" s="6">
        <f>foilmod!G121</f>
        <v>-4.7898999999999997E-2</v>
      </c>
    </row>
    <row r="50" spans="1:4" x14ac:dyDescent="0.25">
      <c r="A50" s="3">
        <v>49</v>
      </c>
      <c r="B50" s="4">
        <f>foilmod!F122</f>
        <v>0.6752726</v>
      </c>
      <c r="C50" s="4">
        <f>foilmod!G26</f>
        <v>6.7554199999999995E-2</v>
      </c>
      <c r="D50" s="4">
        <f>foilmod!G122</f>
        <v>-4.49542E-2</v>
      </c>
    </row>
    <row r="51" spans="1:4" x14ac:dyDescent="0.25">
      <c r="A51" s="3">
        <v>50</v>
      </c>
      <c r="B51" s="4">
        <f>foilmod!F123</f>
        <v>0.69930270000000005</v>
      </c>
      <c r="C51" s="4">
        <f>foilmod!G25</f>
        <v>6.4694020000000005E-2</v>
      </c>
      <c r="D51" s="5">
        <f>foilmod!G123</f>
        <v>-4.20402E-2</v>
      </c>
    </row>
    <row r="52" spans="1:4" x14ac:dyDescent="0.25">
      <c r="A52" s="3">
        <v>51</v>
      </c>
      <c r="B52" s="4">
        <f>foilmod!F124</f>
        <v>0.7231995</v>
      </c>
      <c r="C52" s="4">
        <f>foilmod!G24</f>
        <v>6.1066200000000001E-2</v>
      </c>
      <c r="D52" s="4">
        <f>foilmod!G124</f>
        <v>-3.8191200000000002E-2</v>
      </c>
    </row>
    <row r="53" spans="1:4" x14ac:dyDescent="0.25">
      <c r="A53" s="3">
        <v>52</v>
      </c>
      <c r="B53" s="4">
        <f>foilmod!F125</f>
        <v>0.74696580000000001</v>
      </c>
      <c r="C53" s="4">
        <f>foilmod!G23</f>
        <v>5.7364999999999999E-2</v>
      </c>
      <c r="D53" s="4">
        <f>foilmod!G125</f>
        <v>-3.4736499999999997E-2</v>
      </c>
    </row>
    <row r="54" spans="1:4" x14ac:dyDescent="0.25">
      <c r="A54" s="3">
        <v>53</v>
      </c>
      <c r="B54" s="4">
        <f>foilmod!F126</f>
        <v>0.77059979999999995</v>
      </c>
      <c r="C54" s="4">
        <f>foilmod!G22</f>
        <v>5.3550500000000001E-2</v>
      </c>
      <c r="D54" s="4">
        <f>foilmod!G126</f>
        <v>-3.0350499999999999E-2</v>
      </c>
    </row>
    <row r="55" spans="1:4" x14ac:dyDescent="0.25">
      <c r="A55" s="3">
        <v>54</v>
      </c>
      <c r="B55" s="5">
        <f>foilmod!F127</f>
        <v>0.79410550000000002</v>
      </c>
      <c r="C55" s="5">
        <f>foilmod!G21</f>
        <v>4.9027000000000001E-2</v>
      </c>
      <c r="D55" s="6">
        <f>foilmod!G127</f>
        <v>-2.6042699999999998E-2</v>
      </c>
    </row>
    <row r="56" spans="1:4" x14ac:dyDescent="0.25">
      <c r="A56" s="3">
        <v>55</v>
      </c>
      <c r="B56" s="4">
        <f>foilmod!F128</f>
        <v>0.81748279999999995</v>
      </c>
      <c r="C56" s="4">
        <f>foilmod!G20</f>
        <v>4.4842E-2</v>
      </c>
      <c r="D56" s="5">
        <f>foilmod!G128</f>
        <v>-2.0984200000000001E-2</v>
      </c>
    </row>
    <row r="57" spans="1:4" x14ac:dyDescent="0.25">
      <c r="A57" s="3">
        <v>56</v>
      </c>
      <c r="B57" s="4">
        <f>foilmod!F129</f>
        <v>0.84073240000000005</v>
      </c>
      <c r="C57" s="4">
        <f>foilmod!G19</f>
        <v>3.9783800000000001E-2</v>
      </c>
      <c r="D57" s="4">
        <f>foilmod!G129</f>
        <v>-1.6583799999999999E-2</v>
      </c>
    </row>
    <row r="58" spans="1:4" x14ac:dyDescent="0.25">
      <c r="A58" s="3">
        <v>57</v>
      </c>
      <c r="B58" s="4">
        <f>foilmod!F130</f>
        <v>0.86385639999999997</v>
      </c>
      <c r="C58" s="4">
        <f>foilmod!G18</f>
        <v>3.5291500000000003E-2</v>
      </c>
      <c r="D58" s="4">
        <f>foilmod!G130</f>
        <v>-1.1801499999999999E-2</v>
      </c>
    </row>
    <row r="59" spans="1:4" x14ac:dyDescent="0.25">
      <c r="A59" s="3">
        <v>58</v>
      </c>
      <c r="B59" s="4">
        <f>foilmod!F131</f>
        <v>0.88682349999999999</v>
      </c>
      <c r="C59" s="4">
        <f>foilmod!G17</f>
        <v>2.9505099999999999E-2</v>
      </c>
      <c r="D59" s="4">
        <f>foilmod!G131</f>
        <v>-7.3150999999999997E-3</v>
      </c>
    </row>
    <row r="60" spans="1:4" x14ac:dyDescent="0.25">
      <c r="A60" s="3">
        <v>59</v>
      </c>
      <c r="B60" s="4">
        <f>foilmod!F132</f>
        <v>0.90619050000000001</v>
      </c>
      <c r="C60" s="4">
        <f>foilmod!G16</f>
        <v>2.5495199999999999E-2</v>
      </c>
      <c r="D60" s="4">
        <f>foilmod!G132</f>
        <v>-3.5152E-3</v>
      </c>
    </row>
    <row r="61" spans="1:4" x14ac:dyDescent="0.25">
      <c r="A61" s="3">
        <v>60</v>
      </c>
      <c r="B61" s="5">
        <f>foilmod!F133</f>
        <v>0.92253359999999995</v>
      </c>
      <c r="C61" s="5">
        <f>foilmod!G15</f>
        <v>2.1113799999999999E-2</v>
      </c>
      <c r="D61" s="5">
        <f>foilmod!G133</f>
        <v>-1.2538E-3</v>
      </c>
    </row>
    <row r="62" spans="1:4" x14ac:dyDescent="0.25">
      <c r="A62" s="3">
        <v>61</v>
      </c>
      <c r="B62" s="4">
        <f>foilmod!F134</f>
        <v>0.93633460000000002</v>
      </c>
      <c r="C62" s="4">
        <f>foilmod!G14</f>
        <v>1.7726499999999999E-2</v>
      </c>
      <c r="D62" s="4">
        <f>foilmod!G134</f>
        <v>7.2650000000000004E-4</v>
      </c>
    </row>
    <row r="63" spans="1:4" x14ac:dyDescent="0.25">
      <c r="A63" s="3">
        <v>62</v>
      </c>
      <c r="B63" s="4">
        <f>foilmod!F135</f>
        <v>0.94799460000000002</v>
      </c>
      <c r="C63" s="4">
        <f>foilmod!G13</f>
        <v>1.47038E-2</v>
      </c>
      <c r="D63" s="4">
        <f>foilmod!G135</f>
        <v>1.3037999999999999E-3</v>
      </c>
    </row>
    <row r="64" spans="1:4" x14ac:dyDescent="0.25">
      <c r="A64" s="3">
        <v>63</v>
      </c>
      <c r="B64" s="4">
        <f>foilmod!F136</f>
        <v>0.95785109999999996</v>
      </c>
      <c r="C64" s="4">
        <f>foilmod!G12</f>
        <v>1.20144E-2</v>
      </c>
      <c r="D64" s="4">
        <f>foilmod!G136</f>
        <v>1.7811000000000001E-3</v>
      </c>
    </row>
    <row r="65" spans="1:4" x14ac:dyDescent="0.25">
      <c r="A65" s="3">
        <v>64</v>
      </c>
      <c r="B65" s="4">
        <f>foilmod!F137</f>
        <v>0.96618599999999999</v>
      </c>
      <c r="C65" s="4">
        <f>foilmod!G11</f>
        <v>1.0134000000000001E-2</v>
      </c>
      <c r="D65" s="4">
        <f>foilmod!G137</f>
        <v>2.0584000000000002E-3</v>
      </c>
    </row>
    <row r="66" spans="1:4" x14ac:dyDescent="0.25">
      <c r="A66" s="3">
        <v>65</v>
      </c>
      <c r="B66" s="4">
        <f>foilmod!F138</f>
        <v>0.97323610000000005</v>
      </c>
      <c r="C66" s="4">
        <f>foilmod!G10</f>
        <v>8.2015000000000005E-3</v>
      </c>
      <c r="D66" s="5">
        <f>foilmod!G138</f>
        <v>1.5357000000000001E-3</v>
      </c>
    </row>
    <row r="67" spans="1:4" x14ac:dyDescent="0.25">
      <c r="A67" s="3">
        <v>66</v>
      </c>
      <c r="B67" s="5">
        <f>foilmod!F139</f>
        <v>0.97920200000000002</v>
      </c>
      <c r="C67" s="5">
        <f>foilmod!G9</f>
        <v>6.7210999999999998E-3</v>
      </c>
      <c r="D67" s="6">
        <f>foilmod!G139</f>
        <v>1.3129999999999999E-3</v>
      </c>
    </row>
    <row r="68" spans="1:4" x14ac:dyDescent="0.25">
      <c r="A68" s="3">
        <v>67</v>
      </c>
      <c r="B68" s="4">
        <f>foilmod!F140</f>
        <v>0.98425079999999998</v>
      </c>
      <c r="C68" s="4">
        <f>foilmod!G8</f>
        <v>5.0606000000000002E-3</v>
      </c>
      <c r="D68" s="4">
        <f>foilmod!G140</f>
        <v>1.1130000000000001E-3</v>
      </c>
    </row>
    <row r="69" spans="1:4" x14ac:dyDescent="0.25">
      <c r="A69" s="3">
        <v>68</v>
      </c>
      <c r="B69" s="4">
        <f>foilmod!F141</f>
        <v>0.98852519999999999</v>
      </c>
      <c r="C69" s="4">
        <f>foilmod!G7</f>
        <v>3.8140000000000001E-3</v>
      </c>
      <c r="D69" s="4">
        <f>foilmod!G141</f>
        <v>1.013E-3</v>
      </c>
    </row>
    <row r="70" spans="1:4" x14ac:dyDescent="0.25">
      <c r="A70" s="3">
        <v>69</v>
      </c>
      <c r="B70" s="4">
        <f>foilmod!F142</f>
        <v>0.99214380000000002</v>
      </c>
      <c r="C70" s="4">
        <f>foilmod!G6</f>
        <v>2.6280000000000001E-3</v>
      </c>
      <c r="D70" s="4">
        <f>foilmod!G142</f>
        <v>5.13E-4</v>
      </c>
    </row>
    <row r="71" spans="1:4" x14ac:dyDescent="0.25">
      <c r="A71" s="3">
        <v>70</v>
      </c>
      <c r="B71" s="4">
        <f>foilmod!F143</f>
        <v>0.99520799999999998</v>
      </c>
      <c r="C71" s="4">
        <f>foilmod!G5</f>
        <v>1.6999999999999999E-3</v>
      </c>
      <c r="D71" s="5">
        <f>foilmod!G143</f>
        <v>1.13E-4</v>
      </c>
    </row>
    <row r="72" spans="1:4" x14ac:dyDescent="0.25">
      <c r="A72" s="3">
        <v>71</v>
      </c>
      <c r="B72" s="4">
        <f>foilmod!F144</f>
        <v>0.997803</v>
      </c>
      <c r="C72" s="4">
        <f>foilmod!G4</f>
        <v>1.3875999999999999E-3</v>
      </c>
      <c r="D72" s="4">
        <f>foilmod!G144</f>
        <v>1.2999999999999999E-5</v>
      </c>
    </row>
    <row r="73" spans="1:4" x14ac:dyDescent="0.25">
      <c r="A73" s="3">
        <v>72</v>
      </c>
      <c r="B73" s="5">
        <f>foilmod!F145</f>
        <v>1</v>
      </c>
      <c r="C73" s="5">
        <f>foilmod!G3</f>
        <v>0</v>
      </c>
      <c r="D73" s="6">
        <f>foilmod!G145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750E-3E83-4FA9-BB82-21C4134CE97C}">
  <dimension ref="B1:R72"/>
  <sheetViews>
    <sheetView zoomScale="85" zoomScaleNormal="85" workbookViewId="0">
      <selection activeCell="L23" sqref="L23"/>
    </sheetView>
  </sheetViews>
  <sheetFormatPr defaultRowHeight="15" x14ac:dyDescent="0.25"/>
  <cols>
    <col min="7" max="8" width="13.5703125" customWidth="1"/>
    <col min="9" max="9" width="13" customWidth="1"/>
  </cols>
  <sheetData>
    <row r="1" spans="2:17" x14ac:dyDescent="0.25">
      <c r="B1" t="s">
        <v>8</v>
      </c>
      <c r="C1" t="s">
        <v>5</v>
      </c>
      <c r="D1" t="s">
        <v>6</v>
      </c>
      <c r="F1" t="s">
        <v>9</v>
      </c>
      <c r="G1" t="s">
        <v>8</v>
      </c>
      <c r="H1" t="s">
        <v>5</v>
      </c>
      <c r="I1" t="s">
        <v>6</v>
      </c>
      <c r="N1" t="s">
        <v>9</v>
      </c>
      <c r="O1" t="s">
        <v>8</v>
      </c>
      <c r="P1" t="s">
        <v>5</v>
      </c>
      <c r="Q1" t="s">
        <v>6</v>
      </c>
    </row>
    <row r="2" spans="2:17" x14ac:dyDescent="0.25">
      <c r="B2">
        <v>1</v>
      </c>
      <c r="C2">
        <v>0</v>
      </c>
      <c r="D2">
        <v>0</v>
      </c>
      <c r="F2" s="3">
        <v>1</v>
      </c>
      <c r="G2" s="4">
        <f>B2</f>
        <v>1</v>
      </c>
      <c r="H2" s="4">
        <f>C2</f>
        <v>0</v>
      </c>
      <c r="I2" s="4">
        <f>D2</f>
        <v>0</v>
      </c>
      <c r="N2">
        <v>1</v>
      </c>
      <c r="O2" s="4">
        <v>0</v>
      </c>
      <c r="P2" s="4">
        <v>0</v>
      </c>
      <c r="Q2" s="4">
        <v>0</v>
      </c>
    </row>
    <row r="3" spans="2:17" x14ac:dyDescent="0.25">
      <c r="B3">
        <v>0.997803</v>
      </c>
      <c r="C3">
        <v>1.3875999999999999E-3</v>
      </c>
      <c r="D3">
        <v>1.2999999999999999E-5</v>
      </c>
      <c r="F3" s="3">
        <v>2</v>
      </c>
      <c r="G3" s="4">
        <f t="shared" ref="G3:G11" si="0">B3</f>
        <v>0.997803</v>
      </c>
      <c r="H3" s="4">
        <f t="shared" ref="H3:I11" si="1">C3</f>
        <v>1.3875999999999999E-3</v>
      </c>
      <c r="I3" s="4">
        <f t="shared" si="1"/>
        <v>1.2999999999999999E-5</v>
      </c>
      <c r="N3">
        <v>2</v>
      </c>
      <c r="O3" s="4">
        <v>1.6500000000000001E-5</v>
      </c>
      <c r="P3" s="4">
        <v>6.914E-4</v>
      </c>
      <c r="Q3" s="4">
        <v>-6.914E-4</v>
      </c>
    </row>
    <row r="4" spans="2:17" x14ac:dyDescent="0.25">
      <c r="B4">
        <v>0.99520799999999998</v>
      </c>
      <c r="C4">
        <v>1.6999999999999999E-3</v>
      </c>
      <c r="D4">
        <v>1.13E-4</v>
      </c>
      <c r="F4" s="3">
        <v>3</v>
      </c>
      <c r="G4" s="4">
        <f t="shared" si="0"/>
        <v>0.99520799999999998</v>
      </c>
      <c r="H4" s="4">
        <f t="shared" si="1"/>
        <v>1.6999999999999999E-3</v>
      </c>
      <c r="I4" s="4">
        <f t="shared" si="1"/>
        <v>1.13E-4</v>
      </c>
      <c r="N4">
        <v>3</v>
      </c>
      <c r="O4" s="4">
        <v>6.9599999999999998E-5</v>
      </c>
      <c r="P4" s="4">
        <v>1.4415999999999999E-3</v>
      </c>
      <c r="Q4" s="4">
        <v>-1.5416E-3</v>
      </c>
    </row>
    <row r="5" spans="2:17" x14ac:dyDescent="0.25">
      <c r="B5">
        <v>0.99214380000000002</v>
      </c>
      <c r="C5">
        <v>2.6280000000000001E-3</v>
      </c>
      <c r="D5">
        <v>5.13E-4</v>
      </c>
      <c r="F5" s="3">
        <v>4</v>
      </c>
      <c r="G5" s="4">
        <f t="shared" si="0"/>
        <v>0.99214380000000002</v>
      </c>
      <c r="H5" s="4">
        <f t="shared" si="1"/>
        <v>2.6280000000000001E-3</v>
      </c>
      <c r="I5" s="4">
        <f t="shared" si="1"/>
        <v>5.13E-4</v>
      </c>
      <c r="N5">
        <v>4</v>
      </c>
      <c r="O5" s="4">
        <v>1.6750000000000001E-4</v>
      </c>
      <c r="P5" s="4">
        <v>2.2553999999999999E-3</v>
      </c>
      <c r="Q5" s="4">
        <v>-2.0554000000000002E-3</v>
      </c>
    </row>
    <row r="6" spans="2:17" x14ac:dyDescent="0.25">
      <c r="B6">
        <v>0.98852519999999999</v>
      </c>
      <c r="C6">
        <v>3.8140000000000001E-3</v>
      </c>
      <c r="D6">
        <v>1.013E-3</v>
      </c>
      <c r="F6" s="3">
        <v>5</v>
      </c>
      <c r="G6" s="4">
        <f t="shared" si="0"/>
        <v>0.98852519999999999</v>
      </c>
      <c r="H6" s="4">
        <f t="shared" si="1"/>
        <v>3.8140000000000001E-3</v>
      </c>
      <c r="I6" s="4">
        <f t="shared" si="1"/>
        <v>1.013E-3</v>
      </c>
      <c r="N6">
        <v>5</v>
      </c>
      <c r="O6" s="4">
        <v>3.232E-4</v>
      </c>
      <c r="P6" s="4">
        <v>3.1381999999999998E-3</v>
      </c>
      <c r="Q6" s="5">
        <v>-3.1381999999999998E-3</v>
      </c>
    </row>
    <row r="7" spans="2:17" x14ac:dyDescent="0.25">
      <c r="B7">
        <v>0.98425079999999998</v>
      </c>
      <c r="C7">
        <v>5.0606000000000002E-3</v>
      </c>
      <c r="D7">
        <v>1.1130000000000001E-3</v>
      </c>
      <c r="F7" s="3">
        <v>6</v>
      </c>
      <c r="G7" s="4">
        <f t="shared" si="0"/>
        <v>0.98425079999999998</v>
      </c>
      <c r="H7" s="4">
        <f t="shared" si="1"/>
        <v>5.0606000000000002E-3</v>
      </c>
      <c r="I7" s="4">
        <f t="shared" si="1"/>
        <v>1.1130000000000001E-3</v>
      </c>
      <c r="N7">
        <v>6</v>
      </c>
      <c r="O7" s="5">
        <v>5.5080000000000005E-4</v>
      </c>
      <c r="P7" s="5">
        <v>4.0959000000000004E-3</v>
      </c>
      <c r="Q7" s="4">
        <v>-4.0959000000000004E-3</v>
      </c>
    </row>
    <row r="8" spans="2:17" x14ac:dyDescent="0.25">
      <c r="B8">
        <v>0.97920200000000002</v>
      </c>
      <c r="C8">
        <v>6.7210999999999998E-3</v>
      </c>
      <c r="D8">
        <v>1.3129999999999999E-3</v>
      </c>
      <c r="F8" s="3">
        <v>7</v>
      </c>
      <c r="G8" s="4">
        <f t="shared" si="0"/>
        <v>0.97920200000000002</v>
      </c>
      <c r="H8" s="4">
        <f t="shared" si="1"/>
        <v>6.7210999999999998E-3</v>
      </c>
      <c r="I8" s="4">
        <f t="shared" si="1"/>
        <v>1.3129999999999999E-3</v>
      </c>
      <c r="N8">
        <v>7</v>
      </c>
      <c r="O8" s="4">
        <v>8.6569999999999995E-4</v>
      </c>
      <c r="P8" s="4">
        <v>5.1342999999999996E-3</v>
      </c>
      <c r="Q8" s="4">
        <v>-5.1342999999999996E-3</v>
      </c>
    </row>
    <row r="9" spans="2:17" x14ac:dyDescent="0.25">
      <c r="B9">
        <v>0.97323610000000005</v>
      </c>
      <c r="C9">
        <v>8.2015000000000005E-3</v>
      </c>
      <c r="D9">
        <v>1.5357000000000001E-3</v>
      </c>
      <c r="F9" s="3">
        <v>8</v>
      </c>
      <c r="G9" s="4">
        <f t="shared" si="0"/>
        <v>0.97323610000000005</v>
      </c>
      <c r="H9" s="4">
        <f t="shared" si="1"/>
        <v>8.2015000000000005E-3</v>
      </c>
      <c r="I9" s="4">
        <f t="shared" si="1"/>
        <v>1.5357000000000001E-3</v>
      </c>
      <c r="N9">
        <v>8</v>
      </c>
      <c r="O9" s="4">
        <v>1.2868000000000001E-3</v>
      </c>
      <c r="P9" s="4">
        <v>5.8598000000000001E-3</v>
      </c>
      <c r="Q9" s="4">
        <v>-6.9598000000000004E-3</v>
      </c>
    </row>
    <row r="10" spans="2:17" x14ac:dyDescent="0.25">
      <c r="B10">
        <v>0.96618599999999999</v>
      </c>
      <c r="C10">
        <v>1.0134000000000001E-2</v>
      </c>
      <c r="D10">
        <v>2.0584000000000002E-3</v>
      </c>
      <c r="F10" s="3">
        <v>9</v>
      </c>
      <c r="G10" s="4">
        <f t="shared" si="0"/>
        <v>0.96618599999999999</v>
      </c>
      <c r="H10" s="4">
        <f t="shared" si="1"/>
        <v>1.0134000000000001E-2</v>
      </c>
      <c r="I10" s="4">
        <f t="shared" si="1"/>
        <v>2.0584000000000002E-3</v>
      </c>
      <c r="N10">
        <v>9</v>
      </c>
      <c r="O10" s="4">
        <v>1.8364E-3</v>
      </c>
      <c r="P10" s="4">
        <v>6.5783999999999999E-3</v>
      </c>
      <c r="Q10" s="4">
        <v>-8.9783999999999992E-3</v>
      </c>
    </row>
    <row r="11" spans="2:17" x14ac:dyDescent="0.25">
      <c r="B11">
        <v>0.95785109999999996</v>
      </c>
      <c r="C11">
        <v>1.20144E-2</v>
      </c>
      <c r="D11">
        <v>1.7811000000000001E-3</v>
      </c>
      <c r="F11" s="3">
        <v>10</v>
      </c>
      <c r="G11" s="4">
        <f t="shared" si="0"/>
        <v>0.95785109999999996</v>
      </c>
      <c r="H11" s="4">
        <f t="shared" si="1"/>
        <v>1.20144E-2</v>
      </c>
      <c r="I11" s="4">
        <f t="shared" si="1"/>
        <v>1.7811000000000001E-3</v>
      </c>
      <c r="N11">
        <v>10</v>
      </c>
      <c r="O11" s="4">
        <v>2.5441000000000001E-3</v>
      </c>
      <c r="P11" s="4">
        <v>8.2958000000000007E-3</v>
      </c>
      <c r="Q11" s="5">
        <v>-1.0205799999999999E-2</v>
      </c>
    </row>
    <row r="12" spans="2:17" x14ac:dyDescent="0.25">
      <c r="B12">
        <v>0.94799460000000002</v>
      </c>
      <c r="C12">
        <v>1.47038E-2</v>
      </c>
      <c r="D12">
        <v>1.3037999999999999E-3</v>
      </c>
      <c r="F12" s="3">
        <v>11</v>
      </c>
      <c r="G12" s="4">
        <f>B13</f>
        <v>0.93633460000000002</v>
      </c>
      <c r="H12" s="4">
        <f t="shared" ref="H12:I12" si="2">C13</f>
        <v>1.7726499999999999E-2</v>
      </c>
      <c r="I12" s="4">
        <f t="shared" si="2"/>
        <v>7.2650000000000004E-4</v>
      </c>
      <c r="J12">
        <v>13</v>
      </c>
      <c r="N12">
        <v>11</v>
      </c>
      <c r="O12" s="4">
        <v>3.4428000000000002E-3</v>
      </c>
      <c r="P12" s="4">
        <v>9.2163000000000002E-3</v>
      </c>
      <c r="Q12" s="4">
        <v>-1.10163E-2</v>
      </c>
    </row>
    <row r="13" spans="2:17" x14ac:dyDescent="0.25">
      <c r="B13">
        <v>0.93633460000000002</v>
      </c>
      <c r="C13">
        <v>1.7726499999999999E-2</v>
      </c>
      <c r="D13">
        <v>7.2650000000000004E-4</v>
      </c>
      <c r="F13" s="3">
        <v>12</v>
      </c>
      <c r="G13" s="4">
        <f>B15</f>
        <v>0.90619050000000001</v>
      </c>
      <c r="H13" s="4">
        <f t="shared" ref="H13:I13" si="3">C15</f>
        <v>2.5495199999999999E-2</v>
      </c>
      <c r="I13" s="4">
        <f t="shared" si="3"/>
        <v>-3.5152E-3</v>
      </c>
      <c r="J13">
        <v>15</v>
      </c>
      <c r="N13">
        <v>12</v>
      </c>
      <c r="O13" s="5">
        <v>4.5703999999999996E-3</v>
      </c>
      <c r="P13" s="5">
        <v>1.07419E-2</v>
      </c>
      <c r="Q13" s="4">
        <v>-1.27419E-2</v>
      </c>
    </row>
    <row r="14" spans="2:17" x14ac:dyDescent="0.25">
      <c r="B14">
        <v>0.92253359999999995</v>
      </c>
      <c r="C14">
        <v>2.1113799999999999E-2</v>
      </c>
      <c r="D14">
        <v>-1.2538E-3</v>
      </c>
      <c r="F14" s="3">
        <v>13</v>
      </c>
      <c r="G14" s="4">
        <f t="shared" ref="G14" si="4">B18</f>
        <v>0.84073240000000005</v>
      </c>
      <c r="H14" s="4">
        <f t="shared" ref="H14:I14" si="5">C18</f>
        <v>3.9783800000000001E-2</v>
      </c>
      <c r="I14" s="4">
        <f t="shared" si="5"/>
        <v>-1.6583799999999999E-2</v>
      </c>
      <c r="J14">
        <v>18</v>
      </c>
      <c r="N14">
        <v>13</v>
      </c>
      <c r="O14" s="4">
        <v>5.9750999999999997E-3</v>
      </c>
      <c r="P14" s="4">
        <v>1.22208E-2</v>
      </c>
      <c r="Q14" s="4">
        <v>-1.3708E-2</v>
      </c>
    </row>
    <row r="15" spans="2:17" x14ac:dyDescent="0.25">
      <c r="B15">
        <v>0.90619050000000001</v>
      </c>
      <c r="C15">
        <v>2.5495199999999999E-2</v>
      </c>
      <c r="D15">
        <v>-3.5152E-3</v>
      </c>
      <c r="E15">
        <v>1</v>
      </c>
      <c r="F15" s="3">
        <v>14</v>
      </c>
      <c r="G15" s="5">
        <f>B20</f>
        <v>0.79410550000000002</v>
      </c>
      <c r="H15" s="5">
        <f t="shared" ref="H15:I15" si="6">C20</f>
        <v>4.9027000000000001E-2</v>
      </c>
      <c r="I15" s="5">
        <f t="shared" si="6"/>
        <v>-2.6042699999999998E-2</v>
      </c>
      <c r="J15">
        <v>20</v>
      </c>
      <c r="N15">
        <v>14</v>
      </c>
      <c r="O15" s="4">
        <v>7.7111999999999997E-3</v>
      </c>
      <c r="P15" s="4">
        <v>1.36951E-2</v>
      </c>
      <c r="Q15" s="4">
        <v>-1.4995100000000001E-2</v>
      </c>
    </row>
    <row r="16" spans="2:17" x14ac:dyDescent="0.25">
      <c r="B16">
        <v>0.88682349999999999</v>
      </c>
      <c r="C16">
        <v>2.9505099999999999E-2</v>
      </c>
      <c r="D16">
        <v>-7.3150999999999997E-3</v>
      </c>
      <c r="E16">
        <v>2</v>
      </c>
      <c r="F16" s="3">
        <v>15</v>
      </c>
      <c r="G16" s="5">
        <f>B22</f>
        <v>0.74696580000000001</v>
      </c>
      <c r="H16" s="5">
        <f>C22</f>
        <v>5.7364999999999999E-2</v>
      </c>
      <c r="I16" s="5">
        <f>D22</f>
        <v>-3.4736499999999997E-2</v>
      </c>
      <c r="J16">
        <v>22</v>
      </c>
      <c r="N16">
        <v>15</v>
      </c>
      <c r="O16" s="4">
        <v>9.8413000000000007E-3</v>
      </c>
      <c r="P16" s="4">
        <v>1.5798400000000001E-2</v>
      </c>
      <c r="Q16" s="5">
        <v>-1.58984E-2</v>
      </c>
    </row>
    <row r="17" spans="2:17" x14ac:dyDescent="0.25">
      <c r="B17">
        <v>0.86385639999999997</v>
      </c>
      <c r="C17">
        <v>3.5291500000000003E-2</v>
      </c>
      <c r="D17">
        <v>-1.1801499999999999E-2</v>
      </c>
      <c r="E17">
        <v>3</v>
      </c>
      <c r="F17" s="3">
        <v>16</v>
      </c>
      <c r="G17" s="5">
        <f>B24</f>
        <v>0.69930270000000005</v>
      </c>
      <c r="H17" s="5">
        <f>C24</f>
        <v>6.4694020000000005E-2</v>
      </c>
      <c r="I17" s="5">
        <f>D24</f>
        <v>-4.20402E-2</v>
      </c>
      <c r="J17">
        <v>24</v>
      </c>
      <c r="N17">
        <v>16</v>
      </c>
      <c r="O17" s="4">
        <v>1.24479E-2</v>
      </c>
      <c r="P17" s="4">
        <v>1.7303700000000002E-2</v>
      </c>
      <c r="Q17" s="4">
        <v>-1.73537E-2</v>
      </c>
    </row>
    <row r="18" spans="2:17" x14ac:dyDescent="0.25">
      <c r="B18">
        <v>0.84073240000000005</v>
      </c>
      <c r="C18">
        <v>3.9783800000000001E-2</v>
      </c>
      <c r="D18">
        <v>-1.6583799999999999E-2</v>
      </c>
      <c r="E18">
        <v>4</v>
      </c>
      <c r="F18" s="3">
        <v>17</v>
      </c>
      <c r="G18" s="5">
        <f>B26</f>
        <v>0.6511093</v>
      </c>
      <c r="H18" s="5">
        <f>C26</f>
        <v>7.0198999999999998E-2</v>
      </c>
      <c r="I18" s="5">
        <f>D26</f>
        <v>-4.7898999999999997E-2</v>
      </c>
      <c r="J18">
        <v>26</v>
      </c>
      <c r="N18">
        <v>17</v>
      </c>
      <c r="O18" s="4">
        <v>1.56171E-2</v>
      </c>
      <c r="P18" s="4">
        <v>1.9622000000000001E-2</v>
      </c>
      <c r="Q18" s="4">
        <v>-1.8322000000000001E-2</v>
      </c>
    </row>
    <row r="19" spans="2:17" x14ac:dyDescent="0.25">
      <c r="B19">
        <v>0.81748279999999995</v>
      </c>
      <c r="C19">
        <v>4.4842E-2</v>
      </c>
      <c r="D19">
        <v>-2.0984200000000001E-2</v>
      </c>
      <c r="E19">
        <v>5</v>
      </c>
      <c r="F19" s="3">
        <v>18</v>
      </c>
      <c r="G19" s="5">
        <f>B28</f>
        <v>0.60237569999999996</v>
      </c>
      <c r="H19" s="5">
        <f>C28</f>
        <v>7.5241000000000002E-2</v>
      </c>
      <c r="I19" s="5">
        <f>D28</f>
        <v>-5.2424100000000001E-2</v>
      </c>
      <c r="J19">
        <v>28</v>
      </c>
      <c r="N19">
        <v>18</v>
      </c>
      <c r="O19" s="5">
        <v>1.94609E-2</v>
      </c>
      <c r="P19" s="5">
        <v>2.1454500000000001E-2</v>
      </c>
      <c r="Q19" s="4">
        <v>-1.94545E-2</v>
      </c>
    </row>
    <row r="20" spans="2:17" x14ac:dyDescent="0.25">
      <c r="B20">
        <v>0.79410550000000002</v>
      </c>
      <c r="C20">
        <v>4.9027000000000001E-2</v>
      </c>
      <c r="D20">
        <v>-2.6042699999999998E-2</v>
      </c>
      <c r="E20">
        <v>6</v>
      </c>
      <c r="F20" s="3">
        <v>19</v>
      </c>
      <c r="G20" s="5">
        <f>B30</f>
        <v>0.55309370000000002</v>
      </c>
      <c r="H20" s="5">
        <f>C30</f>
        <v>7.8674099999999997E-2</v>
      </c>
      <c r="I20" s="5">
        <f>D30</f>
        <v>-5.4974099999999998E-2</v>
      </c>
      <c r="N20">
        <v>19</v>
      </c>
      <c r="O20" s="4">
        <v>2.4106699999999998E-2</v>
      </c>
      <c r="P20" s="4">
        <v>2.3800399999999999E-2</v>
      </c>
      <c r="Q20" s="4">
        <v>-2.08004E-2</v>
      </c>
    </row>
    <row r="21" spans="2:17" x14ac:dyDescent="0.25">
      <c r="B21">
        <v>0.77059979999999995</v>
      </c>
      <c r="C21">
        <v>5.3550500000000001E-2</v>
      </c>
      <c r="D21">
        <v>-3.0350499999999999E-2</v>
      </c>
      <c r="E21">
        <v>7</v>
      </c>
      <c r="F21" s="3">
        <v>20</v>
      </c>
      <c r="G21" s="5">
        <f t="shared" ref="G21:I22" si="7">B32</f>
        <v>0.50325140000000002</v>
      </c>
      <c r="H21" s="5">
        <f t="shared" si="7"/>
        <v>8.0202999999999997E-2</v>
      </c>
      <c r="I21" s="5">
        <f t="shared" si="7"/>
        <v>-5.6730299999999997E-2</v>
      </c>
      <c r="N21">
        <v>20</v>
      </c>
      <c r="O21" s="4">
        <v>4.4485200000000003E-2</v>
      </c>
      <c r="P21" s="4">
        <v>3.1191199999999999E-2</v>
      </c>
      <c r="Q21" s="5">
        <v>-2.4991200000000002E-2</v>
      </c>
    </row>
    <row r="22" spans="2:17" x14ac:dyDescent="0.25">
      <c r="B22">
        <v>0.74696580000000001</v>
      </c>
      <c r="C22">
        <v>5.7364999999999999E-2</v>
      </c>
      <c r="D22">
        <v>-3.4736499999999997E-2</v>
      </c>
      <c r="E22">
        <v>8</v>
      </c>
      <c r="F22" s="3">
        <v>21</v>
      </c>
      <c r="G22" s="5">
        <f t="shared" si="7"/>
        <v>0.47811969999999998</v>
      </c>
      <c r="H22" s="5">
        <f t="shared" si="7"/>
        <v>8.0080999999999999E-2</v>
      </c>
      <c r="I22" s="5">
        <f t="shared" si="7"/>
        <v>-5.6866100000000003E-2</v>
      </c>
      <c r="K22" t="s">
        <v>48</v>
      </c>
      <c r="L22">
        <f>0.5*(R39-R47)/0.09</f>
        <v>0.14941888888888891</v>
      </c>
      <c r="N22">
        <v>21</v>
      </c>
      <c r="O22" s="4">
        <v>9.5635399999999995E-2</v>
      </c>
      <c r="P22" s="4">
        <v>4.47742E-2</v>
      </c>
      <c r="Q22" s="4">
        <v>-3.2874199999999999E-2</v>
      </c>
    </row>
    <row r="23" spans="2:17" x14ac:dyDescent="0.25">
      <c r="B23">
        <v>0.7231995</v>
      </c>
      <c r="C23">
        <v>6.1066200000000001E-2</v>
      </c>
      <c r="D23">
        <v>-3.8191200000000002E-2</v>
      </c>
      <c r="E23">
        <v>9</v>
      </c>
      <c r="F23" s="3">
        <v>22</v>
      </c>
      <c r="G23" s="5">
        <f>B35</f>
        <v>0.42742229999999998</v>
      </c>
      <c r="H23" s="5">
        <f>C35</f>
        <v>7.9883300000000004E-2</v>
      </c>
      <c r="I23" s="5">
        <f>D35</f>
        <v>-5.5583300000000002E-2</v>
      </c>
      <c r="K23" t="s">
        <v>49</v>
      </c>
      <c r="L23">
        <f>0.5*(R41-R47)/0.04</f>
        <v>0.10147874999999998</v>
      </c>
      <c r="N23">
        <v>22</v>
      </c>
      <c r="O23" s="4">
        <v>0.1378963</v>
      </c>
      <c r="P23" s="4">
        <v>5.3052200000000001E-2</v>
      </c>
      <c r="Q23" s="4">
        <v>-3.7452199999999998E-2</v>
      </c>
    </row>
    <row r="24" spans="2:17" x14ac:dyDescent="0.25">
      <c r="B24">
        <v>0.69930270000000005</v>
      </c>
      <c r="C24">
        <v>6.4694020000000005E-2</v>
      </c>
      <c r="D24">
        <v>-4.20402E-2</v>
      </c>
      <c r="E24">
        <v>10</v>
      </c>
      <c r="F24" s="3">
        <v>23</v>
      </c>
      <c r="G24" s="5">
        <f>B37</f>
        <v>0.3761446</v>
      </c>
      <c r="H24" s="5">
        <f>C37</f>
        <v>7.8629599999999994E-2</v>
      </c>
      <c r="I24" s="5">
        <f>D37</f>
        <v>-5.3769600000000001E-2</v>
      </c>
      <c r="N24">
        <v>23</v>
      </c>
      <c r="O24" s="4">
        <v>0.19193270000000001</v>
      </c>
      <c r="P24" s="4">
        <v>6.16214E-2</v>
      </c>
      <c r="Q24" s="4">
        <v>-4.1821400000000002E-2</v>
      </c>
    </row>
    <row r="25" spans="2:17" x14ac:dyDescent="0.25">
      <c r="B25">
        <v>0.6752726</v>
      </c>
      <c r="C25">
        <v>6.7554199999999995E-2</v>
      </c>
      <c r="D25">
        <v>-4.49542E-2</v>
      </c>
      <c r="E25">
        <v>11</v>
      </c>
      <c r="F25" s="3">
        <v>24</v>
      </c>
      <c r="G25" s="5">
        <f t="shared" ref="G25:I26" si="8">B39</f>
        <v>0.32427260000000002</v>
      </c>
      <c r="H25" s="5">
        <f t="shared" si="8"/>
        <v>7.5849020000000003E-2</v>
      </c>
      <c r="I25" s="5">
        <f t="shared" si="8"/>
        <v>-5.1049020000000001E-2</v>
      </c>
      <c r="N25">
        <v>24</v>
      </c>
      <c r="O25" s="5">
        <v>0.24533099999999999</v>
      </c>
      <c r="P25" s="5">
        <v>6.8235799999999999E-2</v>
      </c>
      <c r="Q25" s="4">
        <v>-4.6035800000000002E-2</v>
      </c>
    </row>
    <row r="26" spans="2:17" x14ac:dyDescent="0.25">
      <c r="B26">
        <v>0.6511093</v>
      </c>
      <c r="C26">
        <v>7.0198999999999998E-2</v>
      </c>
      <c r="D26">
        <v>-4.7898999999999997E-2</v>
      </c>
      <c r="E26">
        <v>12</v>
      </c>
      <c r="F26" s="3">
        <v>25</v>
      </c>
      <c r="G26" s="5">
        <f t="shared" si="8"/>
        <v>0.29811130000000002</v>
      </c>
      <c r="H26" s="5">
        <f t="shared" si="8"/>
        <v>7.3594939999999998E-2</v>
      </c>
      <c r="I26" s="5">
        <f t="shared" si="8"/>
        <v>-4.9749399999999999E-2</v>
      </c>
      <c r="N26">
        <v>25</v>
      </c>
      <c r="O26" s="4">
        <v>0.29811130000000002</v>
      </c>
      <c r="P26" s="4">
        <v>7.3594939999999998E-2</v>
      </c>
      <c r="Q26" s="5">
        <v>-4.9749399999999999E-2</v>
      </c>
    </row>
    <row r="27" spans="2:17" x14ac:dyDescent="0.25">
      <c r="B27">
        <v>0.62681039999999999</v>
      </c>
      <c r="C27">
        <v>7.2961300000000007E-2</v>
      </c>
      <c r="D27">
        <v>-5.0161299999999999E-2</v>
      </c>
      <c r="E27">
        <v>13</v>
      </c>
      <c r="F27" s="3">
        <v>26</v>
      </c>
      <c r="G27" s="5">
        <f>B42</f>
        <v>0.24533099999999999</v>
      </c>
      <c r="H27" s="5">
        <f>C42</f>
        <v>6.8235799999999999E-2</v>
      </c>
      <c r="I27" s="5">
        <f>D42</f>
        <v>-4.6035800000000002E-2</v>
      </c>
      <c r="N27">
        <v>26</v>
      </c>
      <c r="O27" s="4">
        <v>0.32427260000000002</v>
      </c>
      <c r="P27" s="4">
        <v>7.5849020000000003E-2</v>
      </c>
      <c r="Q27" s="4">
        <v>-5.1049020000000001E-2</v>
      </c>
    </row>
    <row r="28" spans="2:17" x14ac:dyDescent="0.25">
      <c r="B28">
        <v>0.60237569999999996</v>
      </c>
      <c r="C28">
        <v>7.5241000000000002E-2</v>
      </c>
      <c r="D28">
        <v>-5.2424100000000001E-2</v>
      </c>
      <c r="E28">
        <v>14</v>
      </c>
      <c r="F28" s="3">
        <v>27</v>
      </c>
      <c r="G28" s="5">
        <f>B44</f>
        <v>0.19193270000000001</v>
      </c>
      <c r="H28" s="5">
        <f>C44</f>
        <v>6.16214E-2</v>
      </c>
      <c r="I28" s="5">
        <f>D44</f>
        <v>-4.1821400000000002E-2</v>
      </c>
      <c r="N28">
        <v>27</v>
      </c>
      <c r="O28" s="4">
        <v>0.3761446</v>
      </c>
      <c r="P28" s="4">
        <v>7.8629599999999994E-2</v>
      </c>
      <c r="Q28" s="4">
        <v>-5.3769600000000001E-2</v>
      </c>
    </row>
    <row r="29" spans="2:17" x14ac:dyDescent="0.25">
      <c r="B29">
        <v>0.57780430000000005</v>
      </c>
      <c r="C29">
        <v>7.7216839999999995E-2</v>
      </c>
      <c r="D29">
        <v>-5.3868399999999997E-2</v>
      </c>
      <c r="E29">
        <v>15</v>
      </c>
      <c r="F29" s="3">
        <v>28</v>
      </c>
      <c r="G29" s="5">
        <f>B46</f>
        <v>0.1378963</v>
      </c>
      <c r="H29" s="5">
        <f>C46</f>
        <v>5.3052200000000001E-2</v>
      </c>
      <c r="I29" s="5">
        <f>D46</f>
        <v>-3.7452199999999998E-2</v>
      </c>
      <c r="N29">
        <v>28</v>
      </c>
      <c r="O29" s="4">
        <v>0.42742229999999998</v>
      </c>
      <c r="P29" s="4">
        <v>7.9883300000000004E-2</v>
      </c>
      <c r="Q29" s="4">
        <v>-5.5583300000000002E-2</v>
      </c>
    </row>
    <row r="30" spans="2:17" x14ac:dyDescent="0.25">
      <c r="B30">
        <v>0.55309370000000002</v>
      </c>
      <c r="C30">
        <v>7.8674099999999997E-2</v>
      </c>
      <c r="D30">
        <v>-5.4974099999999998E-2</v>
      </c>
      <c r="E30">
        <v>16</v>
      </c>
      <c r="F30" s="3">
        <v>29</v>
      </c>
      <c r="G30" s="5">
        <f>B48</f>
        <v>9.5635399999999995E-2</v>
      </c>
      <c r="H30" s="5">
        <f>C48</f>
        <v>4.47742E-2</v>
      </c>
      <c r="I30" s="5">
        <f>D48</f>
        <v>-3.2874199999999999E-2</v>
      </c>
      <c r="N30">
        <v>29</v>
      </c>
      <c r="O30" s="4">
        <v>0.47811969999999998</v>
      </c>
      <c r="P30" s="4">
        <v>8.0080999999999999E-2</v>
      </c>
      <c r="Q30" s="4">
        <v>-5.6866100000000003E-2</v>
      </c>
    </row>
    <row r="31" spans="2:17" x14ac:dyDescent="0.25">
      <c r="B31">
        <v>0.52824260000000001</v>
      </c>
      <c r="C31">
        <v>7.9209000000000002E-2</v>
      </c>
      <c r="D31">
        <v>-5.5992090000000001E-2</v>
      </c>
      <c r="E31">
        <v>17</v>
      </c>
      <c r="F31" s="3">
        <v>30</v>
      </c>
      <c r="G31" s="5">
        <f t="shared" ref="G31" si="9">B52</f>
        <v>4.4485200000000003E-2</v>
      </c>
      <c r="H31" s="5">
        <f t="shared" ref="H31:I31" si="10">C52</f>
        <v>3.1191199999999999E-2</v>
      </c>
      <c r="I31" s="5">
        <f t="shared" si="10"/>
        <v>-2.4991200000000002E-2</v>
      </c>
      <c r="N31">
        <v>30</v>
      </c>
      <c r="O31" s="5">
        <v>0.50325140000000002</v>
      </c>
      <c r="P31" s="5">
        <v>8.0202999999999997E-2</v>
      </c>
      <c r="Q31" s="5">
        <v>-5.6730299999999997E-2</v>
      </c>
    </row>
    <row r="32" spans="2:17" x14ac:dyDescent="0.25">
      <c r="B32">
        <v>0.50325140000000002</v>
      </c>
      <c r="C32">
        <v>8.0202999999999997E-2</v>
      </c>
      <c r="D32">
        <v>-5.6730299999999997E-2</v>
      </c>
      <c r="F32" s="3">
        <v>31</v>
      </c>
      <c r="G32" s="4">
        <f t="shared" ref="G32:I32" si="11">B55</f>
        <v>2.4106699999999998E-2</v>
      </c>
      <c r="H32" s="4">
        <f t="shared" si="11"/>
        <v>2.3800399999999999E-2</v>
      </c>
      <c r="I32" s="4">
        <f t="shared" si="11"/>
        <v>-2.08004E-2</v>
      </c>
      <c r="N32">
        <v>31</v>
      </c>
      <c r="O32" s="4">
        <v>0.55309370000000002</v>
      </c>
      <c r="P32" s="4">
        <v>7.8674099999999997E-2</v>
      </c>
      <c r="Q32" s="4">
        <v>-5.4974099999999998E-2</v>
      </c>
    </row>
    <row r="33" spans="2:18" x14ac:dyDescent="0.25">
      <c r="B33">
        <v>0.47811969999999998</v>
      </c>
      <c r="C33">
        <v>8.0080999999999999E-2</v>
      </c>
      <c r="D33">
        <v>-5.6866100000000003E-2</v>
      </c>
      <c r="F33" s="3">
        <v>32</v>
      </c>
      <c r="G33" s="4">
        <f t="shared" ref="G33:I33" si="12">B56</f>
        <v>1.94609E-2</v>
      </c>
      <c r="H33" s="4">
        <f t="shared" si="12"/>
        <v>2.1454500000000001E-2</v>
      </c>
      <c r="I33" s="4">
        <f t="shared" si="12"/>
        <v>-1.94545E-2</v>
      </c>
      <c r="N33">
        <v>32</v>
      </c>
      <c r="O33" s="4">
        <v>0.60237569999999996</v>
      </c>
      <c r="P33" s="4">
        <v>7.5241000000000002E-2</v>
      </c>
      <c r="Q33" s="4">
        <v>-5.2424100000000001E-2</v>
      </c>
    </row>
    <row r="34" spans="2:18" x14ac:dyDescent="0.25">
      <c r="B34">
        <v>0.45284410000000003</v>
      </c>
      <c r="C34">
        <v>8.0603999999999995E-2</v>
      </c>
      <c r="D34">
        <v>-5.6435100000000002E-2</v>
      </c>
      <c r="F34" s="3">
        <v>33</v>
      </c>
      <c r="G34" s="4">
        <f t="shared" ref="G34:I34" si="13">B57</f>
        <v>1.56171E-2</v>
      </c>
      <c r="H34" s="4">
        <f t="shared" si="13"/>
        <v>1.9622000000000001E-2</v>
      </c>
      <c r="I34" s="4">
        <f t="shared" si="13"/>
        <v>-1.8322000000000001E-2</v>
      </c>
      <c r="N34">
        <v>33</v>
      </c>
      <c r="O34" s="4">
        <v>0.6511093</v>
      </c>
      <c r="P34" s="4">
        <v>7.0198999999999998E-2</v>
      </c>
      <c r="Q34" s="4">
        <v>-4.7898999999999997E-2</v>
      </c>
    </row>
    <row r="35" spans="2:18" x14ac:dyDescent="0.25">
      <c r="B35">
        <v>0.42742229999999998</v>
      </c>
      <c r="C35">
        <v>7.9883300000000004E-2</v>
      </c>
      <c r="D35">
        <v>-5.5583300000000002E-2</v>
      </c>
      <c r="F35" s="3">
        <v>34</v>
      </c>
      <c r="G35" s="4">
        <f t="shared" ref="G35:I35" si="14">B58</f>
        <v>1.24479E-2</v>
      </c>
      <c r="H35" s="4">
        <f t="shared" si="14"/>
        <v>1.7303700000000002E-2</v>
      </c>
      <c r="I35" s="4">
        <f t="shared" si="14"/>
        <v>-1.73537E-2</v>
      </c>
      <c r="N35">
        <v>34</v>
      </c>
      <c r="O35" s="4">
        <v>0.69930270000000005</v>
      </c>
      <c r="P35" s="4">
        <v>6.4694020000000005E-2</v>
      </c>
      <c r="Q35" s="4">
        <v>-4.20402E-2</v>
      </c>
    </row>
    <row r="36" spans="2:18" x14ac:dyDescent="0.25">
      <c r="B36">
        <v>0.40185670000000001</v>
      </c>
      <c r="C36">
        <v>7.9301999999999997E-2</v>
      </c>
      <c r="D36">
        <v>-5.4880199999999997E-2</v>
      </c>
      <c r="F36" s="3">
        <v>35</v>
      </c>
      <c r="G36" s="4">
        <f t="shared" ref="G36:I36" si="15">B59</f>
        <v>9.8413000000000007E-3</v>
      </c>
      <c r="H36" s="4">
        <f t="shared" si="15"/>
        <v>1.5798400000000001E-2</v>
      </c>
      <c r="I36" s="4">
        <f t="shared" si="15"/>
        <v>-1.58984E-2</v>
      </c>
      <c r="N36">
        <v>35</v>
      </c>
      <c r="O36" s="4">
        <v>0.74696580000000001</v>
      </c>
      <c r="P36" s="4">
        <v>5.7364999999999999E-2</v>
      </c>
      <c r="Q36" s="5">
        <v>-3.4736499999999997E-2</v>
      </c>
    </row>
    <row r="37" spans="2:18" x14ac:dyDescent="0.25">
      <c r="B37">
        <v>0.3761446</v>
      </c>
      <c r="C37">
        <v>7.8629599999999994E-2</v>
      </c>
      <c r="D37">
        <v>-5.3769600000000001E-2</v>
      </c>
      <c r="F37" s="3">
        <v>36</v>
      </c>
      <c r="G37" s="4">
        <f t="shared" ref="G37:I37" si="16">B60</f>
        <v>7.7111999999999997E-3</v>
      </c>
      <c r="H37" s="4">
        <f t="shared" si="16"/>
        <v>1.36951E-2</v>
      </c>
      <c r="I37" s="4">
        <f t="shared" si="16"/>
        <v>-1.4995100000000001E-2</v>
      </c>
      <c r="N37">
        <v>36</v>
      </c>
      <c r="O37" s="5">
        <v>0.79410550000000002</v>
      </c>
      <c r="P37" s="5">
        <v>4.9027000000000001E-2</v>
      </c>
      <c r="Q37" s="4">
        <v>-2.6042699999999998E-2</v>
      </c>
    </row>
    <row r="38" spans="2:18" x14ac:dyDescent="0.25">
      <c r="B38">
        <v>0.35028300000000001</v>
      </c>
      <c r="C38">
        <v>7.7518299999999998E-2</v>
      </c>
      <c r="D38">
        <v>-5.2518299999999997E-2</v>
      </c>
      <c r="F38" s="3">
        <v>37</v>
      </c>
      <c r="G38" s="4">
        <f t="shared" ref="G38:I38" si="17">B61</f>
        <v>5.9750999999999997E-3</v>
      </c>
      <c r="H38" s="4">
        <f t="shared" si="17"/>
        <v>1.22208E-2</v>
      </c>
      <c r="I38" s="4">
        <f t="shared" si="17"/>
        <v>-1.3708E-2</v>
      </c>
      <c r="N38">
        <v>37</v>
      </c>
      <c r="O38" s="4">
        <v>0.84073240000000005</v>
      </c>
      <c r="P38" s="4">
        <v>3.9783800000000001E-2</v>
      </c>
      <c r="Q38" s="4">
        <v>-1.6583799999999999E-2</v>
      </c>
    </row>
    <row r="39" spans="2:18" x14ac:dyDescent="0.25">
      <c r="B39">
        <v>0.32427260000000002</v>
      </c>
      <c r="C39">
        <v>7.5849020000000003E-2</v>
      </c>
      <c r="D39">
        <v>-5.1049020000000001E-2</v>
      </c>
      <c r="F39" s="3">
        <v>38</v>
      </c>
      <c r="G39" s="4">
        <f t="shared" ref="G39:I39" si="18">B62</f>
        <v>4.5703999999999996E-3</v>
      </c>
      <c r="H39" s="4">
        <f t="shared" si="18"/>
        <v>1.07419E-2</v>
      </c>
      <c r="I39" s="4">
        <f t="shared" si="18"/>
        <v>-1.27419E-2</v>
      </c>
      <c r="N39">
        <v>38</v>
      </c>
      <c r="O39" s="16">
        <v>0.90619050000000001</v>
      </c>
      <c r="P39" s="4">
        <v>2.5495199999999999E-2</v>
      </c>
      <c r="Q39" s="4">
        <v>-3.5152E-3</v>
      </c>
      <c r="R39" s="4">
        <f>P39-Q39</f>
        <v>2.9010399999999999E-2</v>
      </c>
    </row>
    <row r="40" spans="2:18" x14ac:dyDescent="0.25">
      <c r="B40">
        <v>0.29811130000000002</v>
      </c>
      <c r="C40">
        <v>7.3594939999999998E-2</v>
      </c>
      <c r="D40">
        <v>-4.9749399999999999E-2</v>
      </c>
      <c r="F40" s="3">
        <v>39</v>
      </c>
      <c r="G40" s="4">
        <f t="shared" ref="G40:I40" si="19">B63</f>
        <v>3.4428000000000002E-3</v>
      </c>
      <c r="H40" s="4">
        <f t="shared" si="19"/>
        <v>9.2163000000000002E-3</v>
      </c>
      <c r="I40" s="4">
        <f t="shared" si="19"/>
        <v>-1.10163E-2</v>
      </c>
      <c r="N40">
        <v>39</v>
      </c>
      <c r="O40" s="4">
        <v>0.93633460000000002</v>
      </c>
      <c r="P40" s="4">
        <v>1.7726499999999999E-2</v>
      </c>
      <c r="Q40" s="4">
        <v>7.2650000000000004E-4</v>
      </c>
    </row>
    <row r="41" spans="2:18" x14ac:dyDescent="0.25">
      <c r="B41">
        <v>0.27179779999999998</v>
      </c>
      <c r="C41">
        <v>7.1198700000000004E-2</v>
      </c>
      <c r="D41">
        <v>-4.8098700000000001E-2</v>
      </c>
      <c r="F41" s="3">
        <v>40</v>
      </c>
      <c r="G41" s="4">
        <f t="shared" ref="G41:I41" si="20">B64</f>
        <v>2.5441000000000001E-3</v>
      </c>
      <c r="H41" s="4">
        <f t="shared" si="20"/>
        <v>8.2958000000000007E-3</v>
      </c>
      <c r="I41" s="4">
        <f t="shared" si="20"/>
        <v>-1.0205799999999999E-2</v>
      </c>
      <c r="N41">
        <v>40</v>
      </c>
      <c r="O41" s="16">
        <v>0.95785109999999996</v>
      </c>
      <c r="P41" s="4">
        <v>1.20144E-2</v>
      </c>
      <c r="Q41" s="5">
        <v>1.7811000000000001E-3</v>
      </c>
      <c r="R41" s="4">
        <f>P41-Q41</f>
        <v>1.0233299999999999E-2</v>
      </c>
    </row>
    <row r="42" spans="2:18" x14ac:dyDescent="0.25">
      <c r="B42">
        <v>0.24533099999999999</v>
      </c>
      <c r="C42">
        <v>6.8235799999999999E-2</v>
      </c>
      <c r="D42">
        <v>-4.6035800000000002E-2</v>
      </c>
      <c r="F42" s="3">
        <v>41</v>
      </c>
      <c r="G42" s="4">
        <f t="shared" ref="G42:I42" si="21">B65</f>
        <v>1.8364E-3</v>
      </c>
      <c r="H42" s="4">
        <f t="shared" si="21"/>
        <v>6.5783999999999999E-3</v>
      </c>
      <c r="I42" s="4">
        <f t="shared" si="21"/>
        <v>-8.9783999999999992E-3</v>
      </c>
      <c r="N42">
        <v>41</v>
      </c>
      <c r="O42" s="4">
        <v>0.96618599999999999</v>
      </c>
      <c r="P42" s="4">
        <v>1.0134000000000001E-2</v>
      </c>
      <c r="Q42" s="4">
        <v>2.0584000000000002E-3</v>
      </c>
    </row>
    <row r="43" spans="2:18" x14ac:dyDescent="0.25">
      <c r="B43">
        <v>0.2187096</v>
      </c>
      <c r="C43">
        <v>6.5050700000000003E-2</v>
      </c>
      <c r="D43">
        <v>-4.4050699999999998E-2</v>
      </c>
      <c r="F43" s="3">
        <v>42</v>
      </c>
      <c r="G43" s="4">
        <f t="shared" ref="G43:I43" si="22">B66</f>
        <v>1.2868000000000001E-3</v>
      </c>
      <c r="H43" s="4">
        <f t="shared" si="22"/>
        <v>5.8598000000000001E-3</v>
      </c>
      <c r="I43" s="4">
        <f t="shared" si="22"/>
        <v>-6.9598000000000004E-3</v>
      </c>
      <c r="N43">
        <v>42</v>
      </c>
      <c r="O43" s="5">
        <v>0.97323610000000005</v>
      </c>
      <c r="P43" s="5">
        <v>8.2015000000000005E-3</v>
      </c>
      <c r="Q43" s="4">
        <v>1.5357000000000001E-3</v>
      </c>
    </row>
    <row r="44" spans="2:18" x14ac:dyDescent="0.25">
      <c r="B44">
        <v>0.19193270000000001</v>
      </c>
      <c r="C44">
        <v>6.16214E-2</v>
      </c>
      <c r="D44">
        <v>-4.1821400000000002E-2</v>
      </c>
      <c r="F44" s="3">
        <v>43</v>
      </c>
      <c r="G44" s="4">
        <f t="shared" ref="G44:I44" si="23">B67</f>
        <v>8.6569999999999995E-4</v>
      </c>
      <c r="H44" s="4">
        <f t="shared" si="23"/>
        <v>5.1342999999999996E-3</v>
      </c>
      <c r="I44" s="4">
        <f t="shared" si="23"/>
        <v>-5.1342999999999996E-3</v>
      </c>
      <c r="N44">
        <v>43</v>
      </c>
      <c r="O44" s="4">
        <v>0.97920200000000002</v>
      </c>
      <c r="P44" s="4">
        <v>6.7210999999999998E-3</v>
      </c>
      <c r="Q44" s="4">
        <v>1.3129999999999999E-3</v>
      </c>
    </row>
    <row r="45" spans="2:18" x14ac:dyDescent="0.25">
      <c r="B45">
        <v>0.16499759999999999</v>
      </c>
      <c r="C45">
        <v>5.7908899999999999E-2</v>
      </c>
      <c r="D45">
        <v>-3.9968900000000002E-2</v>
      </c>
      <c r="F45" s="3">
        <v>44</v>
      </c>
      <c r="G45" s="4">
        <f t="shared" ref="G45:I45" si="24">B68</f>
        <v>5.5080000000000005E-4</v>
      </c>
      <c r="H45" s="4">
        <f t="shared" si="24"/>
        <v>4.0959000000000004E-3</v>
      </c>
      <c r="I45" s="4">
        <f t="shared" si="24"/>
        <v>-4.0959000000000004E-3</v>
      </c>
      <c r="N45">
        <v>44</v>
      </c>
      <c r="O45" s="4">
        <v>0.98425079999999998</v>
      </c>
      <c r="P45" s="4">
        <v>5.0606000000000002E-3</v>
      </c>
      <c r="Q45" s="4">
        <v>1.1130000000000001E-3</v>
      </c>
    </row>
    <row r="46" spans="2:18" x14ac:dyDescent="0.25">
      <c r="B46">
        <v>0.1378963</v>
      </c>
      <c r="C46">
        <v>5.3052200000000001E-2</v>
      </c>
      <c r="D46">
        <v>-3.7452199999999998E-2</v>
      </c>
      <c r="F46" s="3">
        <v>45</v>
      </c>
      <c r="G46" s="4">
        <f t="shared" ref="G46:I46" si="25">B69</f>
        <v>3.232E-4</v>
      </c>
      <c r="H46" s="4">
        <f t="shared" si="25"/>
        <v>3.1381999999999998E-3</v>
      </c>
      <c r="I46" s="4">
        <f t="shared" si="25"/>
        <v>-3.1381999999999998E-3</v>
      </c>
      <c r="N46">
        <v>45</v>
      </c>
      <c r="O46" s="4">
        <v>0.98852519999999999</v>
      </c>
      <c r="P46" s="4">
        <v>3.8140000000000001E-3</v>
      </c>
      <c r="Q46" s="5">
        <v>1.013E-3</v>
      </c>
    </row>
    <row r="47" spans="2:18" x14ac:dyDescent="0.25">
      <c r="B47">
        <v>0.1149796</v>
      </c>
      <c r="C47">
        <v>4.8792299999999997E-2</v>
      </c>
      <c r="D47">
        <v>-3.50923E-2</v>
      </c>
      <c r="F47" s="3">
        <v>46</v>
      </c>
      <c r="G47" s="4">
        <f t="shared" ref="G47:I47" si="26">B70</f>
        <v>1.6750000000000001E-4</v>
      </c>
      <c r="H47" s="4">
        <f t="shared" si="26"/>
        <v>2.2553999999999999E-3</v>
      </c>
      <c r="I47" s="4">
        <f t="shared" si="26"/>
        <v>-2.0554000000000002E-3</v>
      </c>
      <c r="N47">
        <v>46</v>
      </c>
      <c r="O47" s="16">
        <v>0.99214380000000002</v>
      </c>
      <c r="P47" s="4">
        <v>2.6280000000000001E-3</v>
      </c>
      <c r="Q47" s="4">
        <v>5.13E-4</v>
      </c>
      <c r="R47" s="4">
        <f>P47-Q47</f>
        <v>2.1150000000000001E-3</v>
      </c>
    </row>
    <row r="48" spans="2:18" x14ac:dyDescent="0.25">
      <c r="B48">
        <v>9.5635399999999995E-2</v>
      </c>
      <c r="C48">
        <v>4.47742E-2</v>
      </c>
      <c r="D48">
        <v>-3.2874199999999999E-2</v>
      </c>
      <c r="F48" s="3">
        <v>47</v>
      </c>
      <c r="G48" s="4">
        <f t="shared" ref="G48:I48" si="27">B71</f>
        <v>6.9599999999999998E-5</v>
      </c>
      <c r="H48" s="4">
        <f t="shared" si="27"/>
        <v>1.4415999999999999E-3</v>
      </c>
      <c r="I48" s="4">
        <f t="shared" si="27"/>
        <v>-1.5416E-3</v>
      </c>
      <c r="N48">
        <v>47</v>
      </c>
      <c r="O48" s="4">
        <v>0.99520799999999998</v>
      </c>
      <c r="P48" s="4">
        <v>1.6999999999999999E-3</v>
      </c>
      <c r="Q48" s="4">
        <v>1.13E-4</v>
      </c>
    </row>
    <row r="49" spans="2:17" x14ac:dyDescent="0.25">
      <c r="B49">
        <v>7.9336599999999993E-2</v>
      </c>
      <c r="C49">
        <v>4.0837199999999997E-2</v>
      </c>
      <c r="D49">
        <v>-3.0837199999999999E-2</v>
      </c>
      <c r="F49" s="3">
        <v>48</v>
      </c>
      <c r="G49" s="4">
        <f t="shared" ref="G49:I49" si="28">B72</f>
        <v>1.6500000000000001E-5</v>
      </c>
      <c r="H49" s="4">
        <f t="shared" si="28"/>
        <v>6.914E-4</v>
      </c>
      <c r="I49" s="4">
        <f t="shared" si="28"/>
        <v>-6.914E-4</v>
      </c>
      <c r="N49">
        <v>48</v>
      </c>
      <c r="O49" s="5">
        <v>0.997803</v>
      </c>
      <c r="P49" s="5">
        <v>1.3875999999999999E-3</v>
      </c>
      <c r="Q49" s="4">
        <v>1.2999999999999999E-5</v>
      </c>
    </row>
    <row r="50" spans="2:17" x14ac:dyDescent="0.25">
      <c r="B50">
        <v>6.5630300000000003E-2</v>
      </c>
      <c r="C50">
        <v>3.7613800000000003E-2</v>
      </c>
      <c r="D50">
        <v>-2.89138E-2</v>
      </c>
      <c r="F50" s="3">
        <v>49</v>
      </c>
      <c r="G50" s="4">
        <f>B73</f>
        <v>0</v>
      </c>
      <c r="H50" s="4">
        <f>C73</f>
        <v>0</v>
      </c>
      <c r="I50" s="4">
        <f>D73</f>
        <v>0</v>
      </c>
      <c r="N50">
        <v>49</v>
      </c>
      <c r="O50" s="4">
        <v>1</v>
      </c>
      <c r="P50" s="4">
        <v>0</v>
      </c>
      <c r="Q50" s="4">
        <v>0</v>
      </c>
    </row>
    <row r="51" spans="2:17" x14ac:dyDescent="0.25">
      <c r="B51">
        <v>5.4124800000000001E-2</v>
      </c>
      <c r="C51">
        <v>3.41278E-2</v>
      </c>
      <c r="D51">
        <v>-2.6827799999999999E-2</v>
      </c>
    </row>
    <row r="52" spans="2:17" x14ac:dyDescent="0.25">
      <c r="B52">
        <v>4.4485200000000003E-2</v>
      </c>
      <c r="C52">
        <v>3.1191199999999999E-2</v>
      </c>
      <c r="D52">
        <v>-2.4991200000000002E-2</v>
      </c>
    </row>
    <row r="53" spans="2:17" x14ac:dyDescent="0.25">
      <c r="B53">
        <v>3.6426100000000003E-2</v>
      </c>
      <c r="C53">
        <v>2.8731699999999999E-2</v>
      </c>
      <c r="D53">
        <v>-2.3531699999999999E-2</v>
      </c>
    </row>
    <row r="54" spans="2:17" x14ac:dyDescent="0.25">
      <c r="B54">
        <v>2.9700799999999999E-2</v>
      </c>
      <c r="C54">
        <v>2.6224500000000001E-2</v>
      </c>
      <c r="D54">
        <v>-2.19245E-2</v>
      </c>
    </row>
    <row r="55" spans="2:17" x14ac:dyDescent="0.25">
      <c r="B55">
        <v>2.4106699999999998E-2</v>
      </c>
      <c r="C55">
        <v>2.3800399999999999E-2</v>
      </c>
      <c r="D55">
        <v>-2.08004E-2</v>
      </c>
    </row>
    <row r="56" spans="2:17" x14ac:dyDescent="0.25">
      <c r="B56">
        <v>1.94609E-2</v>
      </c>
      <c r="C56">
        <v>2.1454500000000001E-2</v>
      </c>
      <c r="D56">
        <v>-1.94545E-2</v>
      </c>
    </row>
    <row r="57" spans="2:17" x14ac:dyDescent="0.25">
      <c r="B57">
        <v>1.56171E-2</v>
      </c>
      <c r="C57">
        <v>1.9622000000000001E-2</v>
      </c>
      <c r="D57">
        <v>-1.8322000000000001E-2</v>
      </c>
    </row>
    <row r="58" spans="2:17" x14ac:dyDescent="0.25">
      <c r="B58">
        <v>1.24479E-2</v>
      </c>
      <c r="C58">
        <v>1.7303700000000002E-2</v>
      </c>
      <c r="D58">
        <v>-1.73537E-2</v>
      </c>
    </row>
    <row r="59" spans="2:17" x14ac:dyDescent="0.25">
      <c r="B59">
        <v>9.8413000000000007E-3</v>
      </c>
      <c r="C59">
        <v>1.5798400000000001E-2</v>
      </c>
      <c r="D59">
        <v>-1.58984E-2</v>
      </c>
    </row>
    <row r="60" spans="2:17" x14ac:dyDescent="0.25">
      <c r="B60">
        <v>7.7111999999999997E-3</v>
      </c>
      <c r="C60">
        <v>1.36951E-2</v>
      </c>
      <c r="D60">
        <v>-1.4995100000000001E-2</v>
      </c>
    </row>
    <row r="61" spans="2:17" x14ac:dyDescent="0.25">
      <c r="B61">
        <v>5.9750999999999997E-3</v>
      </c>
      <c r="C61">
        <v>1.22208E-2</v>
      </c>
      <c r="D61">
        <v>-1.3708E-2</v>
      </c>
    </row>
    <row r="62" spans="2:17" x14ac:dyDescent="0.25">
      <c r="B62">
        <v>4.5703999999999996E-3</v>
      </c>
      <c r="C62">
        <v>1.07419E-2</v>
      </c>
      <c r="D62">
        <v>-1.27419E-2</v>
      </c>
    </row>
    <row r="63" spans="2:17" x14ac:dyDescent="0.25">
      <c r="B63">
        <v>3.4428000000000002E-3</v>
      </c>
      <c r="C63">
        <v>9.2163000000000002E-3</v>
      </c>
      <c r="D63">
        <v>-1.10163E-2</v>
      </c>
    </row>
    <row r="64" spans="2:17" x14ac:dyDescent="0.25">
      <c r="B64">
        <v>2.5441000000000001E-3</v>
      </c>
      <c r="C64">
        <v>8.2958000000000007E-3</v>
      </c>
      <c r="D64">
        <v>-1.0205799999999999E-2</v>
      </c>
    </row>
    <row r="65" spans="2:4" x14ac:dyDescent="0.25">
      <c r="B65">
        <v>1.8364E-3</v>
      </c>
      <c r="C65">
        <v>6.5783999999999999E-3</v>
      </c>
      <c r="D65">
        <v>-8.9783999999999992E-3</v>
      </c>
    </row>
    <row r="66" spans="2:4" x14ac:dyDescent="0.25">
      <c r="B66">
        <v>1.2868000000000001E-3</v>
      </c>
      <c r="C66">
        <v>5.8598000000000001E-3</v>
      </c>
      <c r="D66">
        <v>-6.9598000000000004E-3</v>
      </c>
    </row>
    <row r="67" spans="2:4" x14ac:dyDescent="0.25">
      <c r="B67">
        <v>8.6569999999999995E-4</v>
      </c>
      <c r="C67">
        <v>5.1342999999999996E-3</v>
      </c>
      <c r="D67">
        <v>-5.1342999999999996E-3</v>
      </c>
    </row>
    <row r="68" spans="2:4" x14ac:dyDescent="0.25">
      <c r="B68">
        <v>5.5080000000000005E-4</v>
      </c>
      <c r="C68">
        <v>4.0959000000000004E-3</v>
      </c>
      <c r="D68">
        <v>-4.0959000000000004E-3</v>
      </c>
    </row>
    <row r="69" spans="2:4" x14ac:dyDescent="0.25">
      <c r="B69">
        <v>3.232E-4</v>
      </c>
      <c r="C69">
        <v>3.1381999999999998E-3</v>
      </c>
      <c r="D69">
        <v>-3.1381999999999998E-3</v>
      </c>
    </row>
    <row r="70" spans="2:4" x14ac:dyDescent="0.25">
      <c r="B70">
        <v>1.6750000000000001E-4</v>
      </c>
      <c r="C70">
        <v>2.2553999999999999E-3</v>
      </c>
      <c r="D70">
        <v>-2.0554000000000002E-3</v>
      </c>
    </row>
    <row r="71" spans="2:4" x14ac:dyDescent="0.25">
      <c r="B71">
        <v>6.9599999999999998E-5</v>
      </c>
      <c r="C71">
        <v>1.4415999999999999E-3</v>
      </c>
      <c r="D71">
        <v>-1.5416E-3</v>
      </c>
    </row>
    <row r="72" spans="2:4" x14ac:dyDescent="0.25">
      <c r="B72">
        <v>1.6500000000000001E-5</v>
      </c>
      <c r="C72">
        <v>6.914E-4</v>
      </c>
      <c r="D72">
        <v>-6.914E-4</v>
      </c>
    </row>
  </sheetData>
  <sortState xmlns:xlrd2="http://schemas.microsoft.com/office/spreadsheetml/2017/richdata2" ref="O2:Q50">
    <sortCondition ref="O2:O5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B02D-B1AE-4802-BF14-89CEBBF1C5A1}">
  <dimension ref="A1:V49"/>
  <sheetViews>
    <sheetView topLeftCell="A4" zoomScale="110" zoomScaleNormal="110" workbookViewId="0">
      <selection activeCell="K7" sqref="K7"/>
    </sheetView>
  </sheetViews>
  <sheetFormatPr defaultRowHeight="15" x14ac:dyDescent="0.25"/>
  <cols>
    <col min="2" max="2" width="2.140625" customWidth="1"/>
    <col min="3" max="3" width="1.7109375" customWidth="1"/>
    <col min="4" max="4" width="1.85546875" customWidth="1"/>
    <col min="5" max="5" width="10.7109375" customWidth="1"/>
    <col min="6" max="6" width="10.42578125" customWidth="1"/>
    <col min="7" max="7" width="8.7109375" customWidth="1"/>
    <col min="8" max="8" width="5.42578125" customWidth="1"/>
    <col min="9" max="10" width="1.5703125" customWidth="1"/>
    <col min="11" max="11" width="6" customWidth="1"/>
    <col min="12" max="12" width="6.7109375" customWidth="1"/>
    <col min="13" max="13" width="11.42578125" customWidth="1"/>
    <col min="14" max="14" width="10.85546875" customWidth="1"/>
  </cols>
  <sheetData>
    <row r="1" spans="1:14" ht="6.75" customHeight="1" x14ac:dyDescent="0.25">
      <c r="A1" t="s">
        <v>10</v>
      </c>
      <c r="B1" t="s">
        <v>11</v>
      </c>
      <c r="C1" t="s">
        <v>12</v>
      </c>
    </row>
    <row r="2" spans="1:14" ht="8.25" customHeight="1" x14ac:dyDescent="0.25">
      <c r="A2">
        <v>64</v>
      </c>
      <c r="B2">
        <f>22*0.6</f>
        <v>13.2</v>
      </c>
      <c r="C2" s="8">
        <v>1</v>
      </c>
    </row>
    <row r="4" spans="1:14" x14ac:dyDescent="0.25">
      <c r="A4" s="7" t="s">
        <v>13</v>
      </c>
      <c r="B4" t="s">
        <v>14</v>
      </c>
      <c r="C4" t="s">
        <v>15</v>
      </c>
      <c r="D4" t="s">
        <v>16</v>
      </c>
      <c r="E4" s="41" t="s">
        <v>14</v>
      </c>
      <c r="F4" s="41" t="s">
        <v>15</v>
      </c>
      <c r="G4" s="41" t="s">
        <v>16</v>
      </c>
      <c r="H4" s="42" t="s">
        <v>188</v>
      </c>
      <c r="I4" t="s">
        <v>17</v>
      </c>
      <c r="J4" t="s">
        <v>18</v>
      </c>
      <c r="K4" s="43" t="s">
        <v>188</v>
      </c>
      <c r="L4" s="41" t="s">
        <v>189</v>
      </c>
      <c r="M4" s="41" t="s">
        <v>19</v>
      </c>
    </row>
    <row r="5" spans="1:14" x14ac:dyDescent="0.25">
      <c r="A5">
        <v>1</v>
      </c>
      <c r="B5" s="9">
        <v>0</v>
      </c>
      <c r="C5" s="9">
        <v>0</v>
      </c>
      <c r="D5" s="9">
        <v>0</v>
      </c>
      <c r="E5" s="10">
        <f>B5*$C$2</f>
        <v>0</v>
      </c>
      <c r="F5" s="10">
        <f>C5*$C$2</f>
        <v>0</v>
      </c>
      <c r="G5" s="10">
        <f>D5*$C$2</f>
        <v>0</v>
      </c>
      <c r="I5" s="9"/>
      <c r="J5" s="11">
        <f>I5*$C$2</f>
        <v>0</v>
      </c>
      <c r="L5" s="45">
        <f>(F5-G5)/2</f>
        <v>0</v>
      </c>
      <c r="M5" s="15">
        <f>PI()*L5^2</f>
        <v>0</v>
      </c>
    </row>
    <row r="6" spans="1:14" x14ac:dyDescent="0.25">
      <c r="A6">
        <v>2</v>
      </c>
      <c r="B6" s="9">
        <v>0.2</v>
      </c>
      <c r="C6" s="9">
        <v>0.18</v>
      </c>
      <c r="D6" s="9">
        <v>-0.13</v>
      </c>
      <c r="E6" s="10">
        <f t="shared" ref="E6:G24" si="0">B6*$C$2</f>
        <v>0.2</v>
      </c>
      <c r="F6" s="10">
        <f t="shared" si="0"/>
        <v>0.18</v>
      </c>
      <c r="G6" s="10">
        <f t="shared" si="0"/>
        <v>-0.13</v>
      </c>
      <c r="I6" s="9">
        <v>0.4</v>
      </c>
      <c r="J6" s="11">
        <f>I6*$C$2</f>
        <v>0.4</v>
      </c>
      <c r="L6" s="45">
        <f>(F6-G6)/2</f>
        <v>0.155</v>
      </c>
      <c r="M6" s="15">
        <f>PI()*L6^2</f>
        <v>7.5476763502494784E-2</v>
      </c>
      <c r="N6" s="40"/>
    </row>
    <row r="7" spans="1:14" x14ac:dyDescent="0.25">
      <c r="A7">
        <v>3</v>
      </c>
      <c r="B7" s="9">
        <v>0.7</v>
      </c>
      <c r="C7" s="9">
        <v>0.48</v>
      </c>
      <c r="D7" s="9">
        <v>-0.35</v>
      </c>
      <c r="E7" s="10">
        <f t="shared" si="0"/>
        <v>0.7</v>
      </c>
      <c r="F7" s="10">
        <f t="shared" si="0"/>
        <v>0.48</v>
      </c>
      <c r="G7" s="10">
        <f t="shared" si="0"/>
        <v>-0.35</v>
      </c>
      <c r="I7" s="9">
        <v>0.7</v>
      </c>
      <c r="J7" s="11">
        <f t="shared" ref="J7:J24" si="1">I7*$C$2</f>
        <v>0.7</v>
      </c>
      <c r="L7" s="45">
        <f t="shared" ref="L7:L24" si="2">(F7-G7)/2</f>
        <v>0.41499999999999998</v>
      </c>
      <c r="M7" s="15">
        <f t="shared" ref="M7:M24" si="3">PI()*L7^2</f>
        <v>0.54106079476450208</v>
      </c>
    </row>
    <row r="8" spans="1:14" x14ac:dyDescent="0.25">
      <c r="A8">
        <v>4</v>
      </c>
      <c r="B8" s="9">
        <v>1.6</v>
      </c>
      <c r="C8" s="9">
        <v>0.78</v>
      </c>
      <c r="D8" s="9">
        <v>-0.5</v>
      </c>
      <c r="E8" s="10">
        <f t="shared" si="0"/>
        <v>1.6</v>
      </c>
      <c r="F8" s="10">
        <f t="shared" si="0"/>
        <v>0.78</v>
      </c>
      <c r="G8" s="10">
        <f t="shared" si="0"/>
        <v>-0.5</v>
      </c>
      <c r="I8" s="9">
        <v>0.9</v>
      </c>
      <c r="J8" s="11">
        <f t="shared" si="1"/>
        <v>0.9</v>
      </c>
      <c r="L8" s="45">
        <f t="shared" si="2"/>
        <v>0.64</v>
      </c>
      <c r="M8" s="15">
        <f t="shared" si="3"/>
        <v>1.2867963509103792</v>
      </c>
    </row>
    <row r="9" spans="1:14" x14ac:dyDescent="0.25">
      <c r="A9">
        <v>5</v>
      </c>
      <c r="B9" s="9">
        <v>2.5</v>
      </c>
      <c r="C9" s="9">
        <v>1.35</v>
      </c>
      <c r="D9" s="9">
        <v>-0.56000000000000005</v>
      </c>
      <c r="E9" s="10">
        <f t="shared" si="0"/>
        <v>2.5</v>
      </c>
      <c r="F9" s="10">
        <f t="shared" si="0"/>
        <v>1.35</v>
      </c>
      <c r="G9" s="10">
        <f t="shared" si="0"/>
        <v>-0.56000000000000005</v>
      </c>
      <c r="I9" s="9">
        <v>1</v>
      </c>
      <c r="J9" s="11">
        <f t="shared" si="1"/>
        <v>1</v>
      </c>
      <c r="L9" s="45">
        <f t="shared" si="2"/>
        <v>0.95500000000000007</v>
      </c>
      <c r="M9" s="15">
        <f t="shared" si="3"/>
        <v>2.8652110398902315</v>
      </c>
      <c r="N9">
        <v>5</v>
      </c>
    </row>
    <row r="10" spans="1:14" x14ac:dyDescent="0.25">
      <c r="A10">
        <v>6</v>
      </c>
      <c r="B10" s="9">
        <v>3.5368421052632</v>
      </c>
      <c r="C10" s="9">
        <v>1.7</v>
      </c>
      <c r="D10" s="9">
        <v>-0.62</v>
      </c>
      <c r="E10" s="10">
        <f t="shared" si="0"/>
        <v>3.5368421052632</v>
      </c>
      <c r="F10" s="10">
        <f t="shared" si="0"/>
        <v>1.7</v>
      </c>
      <c r="G10" s="10">
        <f t="shared" si="0"/>
        <v>-0.62</v>
      </c>
      <c r="I10" s="9">
        <v>1.1000000000000001</v>
      </c>
      <c r="J10" s="11">
        <f t="shared" si="1"/>
        <v>1.1000000000000001</v>
      </c>
      <c r="L10" s="45">
        <f t="shared" si="2"/>
        <v>1.1599999999999999</v>
      </c>
      <c r="M10" s="15">
        <f t="shared" si="3"/>
        <v>4.2273270746704252</v>
      </c>
    </row>
    <row r="11" spans="1:14" x14ac:dyDescent="0.25">
      <c r="A11">
        <v>7</v>
      </c>
      <c r="B11" s="9">
        <v>6.4105263157895198</v>
      </c>
      <c r="C11" s="9">
        <v>1.8</v>
      </c>
      <c r="D11" s="9">
        <v>-0.69399999999999995</v>
      </c>
      <c r="E11" s="10">
        <f t="shared" si="0"/>
        <v>6.4105263157895198</v>
      </c>
      <c r="F11" s="10">
        <f t="shared" si="0"/>
        <v>1.8</v>
      </c>
      <c r="G11" s="10">
        <f t="shared" si="0"/>
        <v>-0.69399999999999995</v>
      </c>
      <c r="I11" s="9">
        <v>1.2</v>
      </c>
      <c r="J11" s="11">
        <f t="shared" si="1"/>
        <v>1.2</v>
      </c>
      <c r="L11" s="45">
        <f t="shared" si="2"/>
        <v>1.2469999999999999</v>
      </c>
      <c r="M11" s="15">
        <f t="shared" si="3"/>
        <v>4.8852048506660095</v>
      </c>
    </row>
    <row r="12" spans="1:14" x14ac:dyDescent="0.25">
      <c r="A12">
        <v>8</v>
      </c>
      <c r="B12" s="9">
        <v>7.4789473684210197</v>
      </c>
      <c r="C12" s="9">
        <v>1.8</v>
      </c>
      <c r="D12" s="9">
        <v>-0.78</v>
      </c>
      <c r="E12" s="44">
        <f t="shared" si="0"/>
        <v>7.4789473684210197</v>
      </c>
      <c r="F12" s="44">
        <f t="shared" si="0"/>
        <v>1.8</v>
      </c>
      <c r="G12" s="44">
        <f t="shared" si="0"/>
        <v>-0.78</v>
      </c>
      <c r="I12" s="9">
        <v>1.3</v>
      </c>
      <c r="J12" s="11">
        <f t="shared" si="1"/>
        <v>1.3</v>
      </c>
      <c r="L12" s="45">
        <f t="shared" si="2"/>
        <v>1.29</v>
      </c>
      <c r="M12" s="15">
        <f t="shared" si="3"/>
        <v>5.2279243348387752</v>
      </c>
    </row>
    <row r="13" spans="1:14" x14ac:dyDescent="0.25">
      <c r="A13">
        <v>9</v>
      </c>
      <c r="B13" s="9">
        <v>8.5473684210526208</v>
      </c>
      <c r="C13" s="9">
        <v>1.8</v>
      </c>
      <c r="D13" s="9">
        <v>-0.82399999999999995</v>
      </c>
      <c r="E13" s="10">
        <f t="shared" si="0"/>
        <v>8.5473684210526208</v>
      </c>
      <c r="F13" s="10">
        <f t="shared" si="0"/>
        <v>1.8</v>
      </c>
      <c r="G13" s="10">
        <f t="shared" si="0"/>
        <v>-0.82399999999999995</v>
      </c>
      <c r="I13" s="9">
        <v>1.35</v>
      </c>
      <c r="J13" s="11">
        <f t="shared" si="1"/>
        <v>1.35</v>
      </c>
      <c r="L13" s="45">
        <f t="shared" si="2"/>
        <v>1.3120000000000001</v>
      </c>
      <c r="M13" s="15">
        <f t="shared" si="3"/>
        <v>5.4077616647008693</v>
      </c>
    </row>
    <row r="14" spans="1:14" x14ac:dyDescent="0.25">
      <c r="A14">
        <v>10</v>
      </c>
      <c r="B14" s="9">
        <v>9.6157894736842202</v>
      </c>
      <c r="C14" s="9">
        <v>1.8</v>
      </c>
      <c r="D14" s="9">
        <v>-0.82099999999999995</v>
      </c>
      <c r="E14" s="10">
        <f t="shared" si="0"/>
        <v>9.6157894736842202</v>
      </c>
      <c r="F14" s="10">
        <f t="shared" si="0"/>
        <v>1.8</v>
      </c>
      <c r="G14" s="10">
        <f t="shared" si="0"/>
        <v>-0.82099999999999995</v>
      </c>
      <c r="I14" s="9">
        <v>1.35</v>
      </c>
      <c r="J14" s="11">
        <f t="shared" si="1"/>
        <v>1.35</v>
      </c>
      <c r="L14" s="45">
        <f t="shared" si="2"/>
        <v>1.3105</v>
      </c>
      <c r="M14" s="15">
        <f t="shared" si="3"/>
        <v>5.3954034245998095</v>
      </c>
      <c r="N14">
        <v>10</v>
      </c>
    </row>
    <row r="15" spans="1:14" x14ac:dyDescent="0.25">
      <c r="A15">
        <v>11</v>
      </c>
      <c r="B15" s="9">
        <v>10.6842105263158</v>
      </c>
      <c r="C15" s="9">
        <v>1.8</v>
      </c>
      <c r="D15" s="9">
        <v>-0.77</v>
      </c>
      <c r="E15" s="10">
        <f t="shared" si="0"/>
        <v>10.6842105263158</v>
      </c>
      <c r="F15" s="10">
        <f t="shared" si="0"/>
        <v>1.8</v>
      </c>
      <c r="G15" s="10">
        <f t="shared" si="0"/>
        <v>-0.77</v>
      </c>
      <c r="I15" s="9">
        <v>1.35</v>
      </c>
      <c r="J15" s="11">
        <f t="shared" si="1"/>
        <v>1.35</v>
      </c>
      <c r="L15" s="45">
        <f t="shared" si="2"/>
        <v>1.2850000000000001</v>
      </c>
      <c r="M15" s="15">
        <f t="shared" si="3"/>
        <v>5.1874763294238075</v>
      </c>
    </row>
    <row r="16" spans="1:14" x14ac:dyDescent="0.25">
      <c r="A16">
        <v>12</v>
      </c>
      <c r="B16" s="9">
        <v>11.752631578947399</v>
      </c>
      <c r="C16" s="9">
        <v>1.8</v>
      </c>
      <c r="D16" s="9">
        <v>-0.73</v>
      </c>
      <c r="E16" s="10">
        <f t="shared" si="0"/>
        <v>11.752631578947399</v>
      </c>
      <c r="F16" s="10">
        <f t="shared" si="0"/>
        <v>1.8</v>
      </c>
      <c r="G16" s="10">
        <f t="shared" si="0"/>
        <v>-0.73</v>
      </c>
      <c r="I16" s="9">
        <v>1.35</v>
      </c>
      <c r="J16" s="11">
        <f t="shared" si="1"/>
        <v>1.35</v>
      </c>
      <c r="L16" s="45">
        <f t="shared" si="2"/>
        <v>1.2650000000000001</v>
      </c>
      <c r="M16" s="15">
        <f t="shared" si="3"/>
        <v>5.0272551040907274</v>
      </c>
    </row>
    <row r="17" spans="1:22" x14ac:dyDescent="0.25">
      <c r="A17">
        <v>13</v>
      </c>
      <c r="B17" s="9">
        <v>12.821052631579001</v>
      </c>
      <c r="C17" s="9">
        <v>1.79</v>
      </c>
      <c r="D17" s="9">
        <v>-0.62</v>
      </c>
      <c r="E17" s="10">
        <f t="shared" si="0"/>
        <v>12.821052631579001</v>
      </c>
      <c r="F17" s="10">
        <f t="shared" si="0"/>
        <v>1.79</v>
      </c>
      <c r="G17" s="10">
        <f t="shared" si="0"/>
        <v>-0.62</v>
      </c>
      <c r="I17" s="9">
        <v>1.35</v>
      </c>
      <c r="J17" s="11">
        <f t="shared" si="1"/>
        <v>1.35</v>
      </c>
      <c r="L17" s="45">
        <f t="shared" si="2"/>
        <v>1.2050000000000001</v>
      </c>
      <c r="M17" s="15">
        <f t="shared" si="3"/>
        <v>4.5616710728287195</v>
      </c>
    </row>
    <row r="18" spans="1:22" x14ac:dyDescent="0.25">
      <c r="A18">
        <v>14</v>
      </c>
      <c r="B18" s="9">
        <v>13.8894736842105</v>
      </c>
      <c r="C18" s="9">
        <v>1.75</v>
      </c>
      <c r="D18" s="9">
        <v>-0.5</v>
      </c>
      <c r="E18" s="10">
        <f t="shared" si="0"/>
        <v>13.8894736842105</v>
      </c>
      <c r="F18" s="10">
        <f t="shared" si="0"/>
        <v>1.75</v>
      </c>
      <c r="G18" s="10">
        <f t="shared" si="0"/>
        <v>-0.5</v>
      </c>
      <c r="I18" s="9">
        <v>1.35</v>
      </c>
      <c r="J18" s="11">
        <f t="shared" si="1"/>
        <v>1.35</v>
      </c>
      <c r="L18" s="45">
        <f t="shared" si="2"/>
        <v>1.125</v>
      </c>
      <c r="M18" s="15">
        <f t="shared" si="3"/>
        <v>3.9760782021995817</v>
      </c>
    </row>
    <row r="19" spans="1:22" x14ac:dyDescent="0.25">
      <c r="A19">
        <v>15</v>
      </c>
      <c r="B19" s="9">
        <v>14.9578947368421</v>
      </c>
      <c r="C19" s="9">
        <v>1.68</v>
      </c>
      <c r="D19" s="9">
        <v>-0.36</v>
      </c>
      <c r="E19" s="10">
        <f t="shared" si="0"/>
        <v>14.9578947368421</v>
      </c>
      <c r="F19" s="10">
        <f t="shared" si="0"/>
        <v>1.68</v>
      </c>
      <c r="G19" s="10">
        <f t="shared" si="0"/>
        <v>-0.36</v>
      </c>
      <c r="I19" s="9">
        <v>1.35</v>
      </c>
      <c r="J19" s="11">
        <f t="shared" si="1"/>
        <v>1.35</v>
      </c>
      <c r="L19" s="45">
        <f t="shared" si="2"/>
        <v>1.02</v>
      </c>
      <c r="M19" s="15">
        <f t="shared" si="3"/>
        <v>3.2685129967948208</v>
      </c>
      <c r="N19">
        <v>15</v>
      </c>
    </row>
    <row r="20" spans="1:22" x14ac:dyDescent="0.25">
      <c r="A20">
        <v>16</v>
      </c>
      <c r="B20" s="9">
        <v>16.026315789473699</v>
      </c>
      <c r="C20" s="9">
        <v>1.6</v>
      </c>
      <c r="D20" s="9">
        <v>-0.12</v>
      </c>
      <c r="E20" s="44">
        <f t="shared" si="0"/>
        <v>16.026315789473699</v>
      </c>
      <c r="F20" s="44">
        <f t="shared" si="0"/>
        <v>1.6</v>
      </c>
      <c r="G20" s="44">
        <f t="shared" si="0"/>
        <v>-0.12</v>
      </c>
      <c r="I20" s="9">
        <v>1.1000000000000001</v>
      </c>
      <c r="J20" s="11">
        <f t="shared" si="1"/>
        <v>1.1000000000000001</v>
      </c>
      <c r="L20" s="45">
        <f t="shared" si="2"/>
        <v>0.8600000000000001</v>
      </c>
      <c r="M20" s="15">
        <f t="shared" si="3"/>
        <v>2.3235219265950113</v>
      </c>
    </row>
    <row r="21" spans="1:22" x14ac:dyDescent="0.25">
      <c r="A21">
        <v>17</v>
      </c>
      <c r="B21" s="9">
        <v>17.094736842105299</v>
      </c>
      <c r="C21" s="9">
        <v>1.53</v>
      </c>
      <c r="D21" s="9">
        <v>0.1</v>
      </c>
      <c r="E21" s="10">
        <f t="shared" si="0"/>
        <v>17.094736842105299</v>
      </c>
      <c r="F21" s="10">
        <f t="shared" si="0"/>
        <v>1.53</v>
      </c>
      <c r="G21" s="10">
        <f t="shared" si="0"/>
        <v>0.1</v>
      </c>
      <c r="I21" s="9">
        <v>0.4</v>
      </c>
      <c r="J21" s="11">
        <f t="shared" si="1"/>
        <v>0.4</v>
      </c>
      <c r="L21" s="45">
        <f t="shared" si="2"/>
        <v>0.71499999999999997</v>
      </c>
      <c r="M21" s="15">
        <f t="shared" si="3"/>
        <v>1.6060607043314417</v>
      </c>
    </row>
    <row r="22" spans="1:22" x14ac:dyDescent="0.25">
      <c r="A22">
        <v>18</v>
      </c>
      <c r="B22" s="9">
        <v>18.163157894736798</v>
      </c>
      <c r="C22" s="9">
        <v>1.45</v>
      </c>
      <c r="D22" s="9">
        <v>0.4</v>
      </c>
      <c r="E22" s="10">
        <f t="shared" si="0"/>
        <v>18.163157894736798</v>
      </c>
      <c r="F22" s="10">
        <f t="shared" si="0"/>
        <v>1.45</v>
      </c>
      <c r="G22" s="10">
        <f t="shared" si="0"/>
        <v>0.4</v>
      </c>
      <c r="I22" s="9">
        <v>0.2</v>
      </c>
      <c r="J22" s="11">
        <f t="shared" si="1"/>
        <v>0.2</v>
      </c>
      <c r="L22" s="45">
        <f t="shared" si="2"/>
        <v>0.52499999999999991</v>
      </c>
      <c r="M22" s="15">
        <f t="shared" si="3"/>
        <v>0.86590147514568638</v>
      </c>
    </row>
    <row r="23" spans="1:22" x14ac:dyDescent="0.25">
      <c r="A23">
        <v>19</v>
      </c>
      <c r="B23" s="9">
        <v>19.350000000000001</v>
      </c>
      <c r="C23" s="9">
        <v>1.34</v>
      </c>
      <c r="D23" s="9">
        <v>0.9</v>
      </c>
      <c r="E23" s="10">
        <f t="shared" si="0"/>
        <v>19.350000000000001</v>
      </c>
      <c r="F23" s="10">
        <f t="shared" si="0"/>
        <v>1.34</v>
      </c>
      <c r="G23" s="10">
        <f t="shared" si="0"/>
        <v>0.9</v>
      </c>
      <c r="I23" s="9">
        <v>0.18</v>
      </c>
      <c r="J23" s="11">
        <f t="shared" si="1"/>
        <v>0.18</v>
      </c>
      <c r="L23" s="45">
        <f t="shared" si="2"/>
        <v>0.22000000000000003</v>
      </c>
      <c r="M23" s="15">
        <f t="shared" si="3"/>
        <v>0.15205308443374602</v>
      </c>
    </row>
    <row r="24" spans="1:22" x14ac:dyDescent="0.25">
      <c r="A24">
        <v>20</v>
      </c>
      <c r="B24" s="9">
        <v>19.515000000000001</v>
      </c>
      <c r="C24" s="9">
        <v>1.25</v>
      </c>
      <c r="D24" s="9">
        <v>1.25</v>
      </c>
      <c r="E24" s="10">
        <f t="shared" si="0"/>
        <v>19.515000000000001</v>
      </c>
      <c r="F24" s="10">
        <f t="shared" si="0"/>
        <v>1.25</v>
      </c>
      <c r="G24" s="10">
        <f t="shared" si="0"/>
        <v>1.25</v>
      </c>
      <c r="I24" s="9">
        <v>0</v>
      </c>
      <c r="J24" s="11">
        <f t="shared" si="1"/>
        <v>0</v>
      </c>
      <c r="L24" s="45">
        <f t="shared" si="2"/>
        <v>0</v>
      </c>
      <c r="M24" s="15">
        <f t="shared" si="3"/>
        <v>0</v>
      </c>
      <c r="N24">
        <v>20</v>
      </c>
    </row>
    <row r="25" spans="1:22" x14ac:dyDescent="0.25">
      <c r="E25" s="12">
        <f>20.3/20</f>
        <v>1.0150000000000001</v>
      </c>
    </row>
    <row r="26" spans="1:22" x14ac:dyDescent="0.25">
      <c r="A26" s="7" t="s">
        <v>20</v>
      </c>
      <c r="F26" s="13">
        <f>E24-1.6</f>
        <v>17.914999999999999</v>
      </c>
      <c r="L26" t="s">
        <v>4</v>
      </c>
      <c r="M26" t="s">
        <v>21</v>
      </c>
      <c r="N26" t="s">
        <v>4</v>
      </c>
      <c r="O26" t="s">
        <v>21</v>
      </c>
    </row>
    <row r="27" spans="1:22" x14ac:dyDescent="0.25">
      <c r="A27" t="s">
        <v>22</v>
      </c>
      <c r="B27" s="1">
        <f>3.8*$C$2</f>
        <v>3.8</v>
      </c>
      <c r="L27" s="1">
        <f>E5</f>
        <v>0</v>
      </c>
      <c r="M27" s="1">
        <f t="shared" ref="M27:M46" si="4">F5</f>
        <v>0</v>
      </c>
      <c r="N27" s="1">
        <f>E24</f>
        <v>19.515000000000001</v>
      </c>
      <c r="O27" s="1">
        <f>G24</f>
        <v>1.25</v>
      </c>
      <c r="P27">
        <v>20</v>
      </c>
    </row>
    <row r="28" spans="1:22" x14ac:dyDescent="0.25">
      <c r="A28" t="s">
        <v>23</v>
      </c>
      <c r="B28" s="1">
        <v>17.5</v>
      </c>
      <c r="L28" s="1">
        <f t="shared" ref="L28:L46" si="5">E6</f>
        <v>0.2</v>
      </c>
      <c r="M28" s="1">
        <f t="shared" si="4"/>
        <v>0.18</v>
      </c>
      <c r="N28" s="1">
        <f>E23</f>
        <v>19.350000000000001</v>
      </c>
      <c r="O28" s="1">
        <f>G23</f>
        <v>0.9</v>
      </c>
      <c r="P28">
        <v>19</v>
      </c>
      <c r="V28">
        <f>19.52-18.16</f>
        <v>1.3599999999999994</v>
      </c>
    </row>
    <row r="29" spans="1:22" x14ac:dyDescent="0.25">
      <c r="A29" t="s">
        <v>24</v>
      </c>
      <c r="B29" s="1">
        <v>16.03</v>
      </c>
      <c r="L29" s="1">
        <f t="shared" si="5"/>
        <v>0.7</v>
      </c>
      <c r="M29" s="1">
        <f t="shared" si="4"/>
        <v>0.48</v>
      </c>
      <c r="N29" s="1">
        <f>E22</f>
        <v>18.163157894736798</v>
      </c>
      <c r="O29" s="1">
        <f>G22</f>
        <v>0.4</v>
      </c>
      <c r="P29">
        <v>18</v>
      </c>
    </row>
    <row r="30" spans="1:22" x14ac:dyDescent="0.25">
      <c r="B30" s="1"/>
      <c r="L30" s="1">
        <f t="shared" si="5"/>
        <v>1.6</v>
      </c>
      <c r="M30" s="1">
        <f t="shared" si="4"/>
        <v>0.78</v>
      </c>
      <c r="N30" s="1">
        <f>E21</f>
        <v>17.094736842105299</v>
      </c>
      <c r="O30" s="1">
        <f>G21</f>
        <v>0.1</v>
      </c>
      <c r="P30">
        <v>17</v>
      </c>
    </row>
    <row r="31" spans="1:22" x14ac:dyDescent="0.25">
      <c r="A31" t="s">
        <v>25</v>
      </c>
      <c r="B31" s="1">
        <v>-0.5</v>
      </c>
      <c r="F31" t="s">
        <v>45</v>
      </c>
      <c r="G31" t="s">
        <v>46</v>
      </c>
      <c r="L31" s="1">
        <f t="shared" si="5"/>
        <v>2.5</v>
      </c>
      <c r="M31" s="1">
        <f t="shared" si="4"/>
        <v>1.35</v>
      </c>
      <c r="N31" s="1">
        <f>E20</f>
        <v>16.026315789473699</v>
      </c>
      <c r="O31" s="1">
        <f>G20</f>
        <v>-0.12</v>
      </c>
      <c r="P31">
        <v>16</v>
      </c>
    </row>
    <row r="32" spans="1:22" x14ac:dyDescent="0.25">
      <c r="A32" t="s">
        <v>26</v>
      </c>
      <c r="B32" s="1">
        <v>2.35</v>
      </c>
      <c r="D32">
        <v>18.16</v>
      </c>
      <c r="E32">
        <v>13.89</v>
      </c>
      <c r="F32">
        <f>D32-E32</f>
        <v>4.2699999999999996</v>
      </c>
      <c r="G32">
        <v>8.5</v>
      </c>
      <c r="L32" s="1">
        <f t="shared" si="5"/>
        <v>3.5368421052632</v>
      </c>
      <c r="M32" s="1">
        <f t="shared" si="4"/>
        <v>1.7</v>
      </c>
      <c r="N32" s="1">
        <f>E19</f>
        <v>14.9578947368421</v>
      </c>
      <c r="O32" s="1">
        <f>G19</f>
        <v>-0.36</v>
      </c>
      <c r="P32">
        <v>15</v>
      </c>
    </row>
    <row r="33" spans="1:21" x14ac:dyDescent="0.25">
      <c r="A33" t="s">
        <v>27</v>
      </c>
      <c r="B33" s="1">
        <f>0.6*$C$2</f>
        <v>0.6</v>
      </c>
      <c r="L33" s="1">
        <f t="shared" si="5"/>
        <v>6.4105263157895198</v>
      </c>
      <c r="M33" s="1">
        <f t="shared" si="4"/>
        <v>1.8</v>
      </c>
      <c r="N33" s="1">
        <f>E18</f>
        <v>13.8894736842105</v>
      </c>
      <c r="O33" s="1">
        <f>G18</f>
        <v>-0.5</v>
      </c>
      <c r="P33">
        <v>14</v>
      </c>
    </row>
    <row r="34" spans="1:21" x14ac:dyDescent="0.25">
      <c r="F34">
        <f>0.1*F32</f>
        <v>0.42699999999999999</v>
      </c>
      <c r="L34" s="1">
        <f t="shared" si="5"/>
        <v>7.4789473684210197</v>
      </c>
      <c r="M34" s="1">
        <f t="shared" si="4"/>
        <v>1.8</v>
      </c>
      <c r="N34" s="1">
        <f>E17</f>
        <v>12.821052631579001</v>
      </c>
      <c r="O34" s="1">
        <f>G17</f>
        <v>-0.62</v>
      </c>
      <c r="P34">
        <v>13</v>
      </c>
      <c r="U34">
        <v>14.96</v>
      </c>
    </row>
    <row r="35" spans="1:21" x14ac:dyDescent="0.25">
      <c r="A35" t="s">
        <v>28</v>
      </c>
      <c r="B35" s="1">
        <f>6.2*$C$2</f>
        <v>6.2</v>
      </c>
      <c r="F35">
        <v>3.76</v>
      </c>
      <c r="G35">
        <f>F35-F34/2</f>
        <v>3.5465</v>
      </c>
      <c r="L35" s="1">
        <f t="shared" si="5"/>
        <v>8.5473684210526208</v>
      </c>
      <c r="M35" s="1">
        <f t="shared" si="4"/>
        <v>1.8</v>
      </c>
      <c r="N35" s="1">
        <f>E16</f>
        <v>11.752631578947399</v>
      </c>
      <c r="O35" s="1">
        <f>G16</f>
        <v>-0.73</v>
      </c>
      <c r="P35">
        <v>12</v>
      </c>
      <c r="U35">
        <v>13.85</v>
      </c>
    </row>
    <row r="36" spans="1:21" x14ac:dyDescent="0.25">
      <c r="A36" t="s">
        <v>29</v>
      </c>
      <c r="B36" s="1">
        <v>0</v>
      </c>
      <c r="L36" s="1">
        <f t="shared" si="5"/>
        <v>9.6157894736842202</v>
      </c>
      <c r="M36" s="1">
        <f t="shared" si="4"/>
        <v>1.8</v>
      </c>
      <c r="N36" s="1">
        <f>E15</f>
        <v>10.6842105263158</v>
      </c>
      <c r="O36" s="1">
        <f>G15</f>
        <v>-0.77</v>
      </c>
      <c r="P36">
        <v>11</v>
      </c>
      <c r="U36">
        <f>U34-U35</f>
        <v>1.1100000000000012</v>
      </c>
    </row>
    <row r="37" spans="1:21" x14ac:dyDescent="0.25">
      <c r="L37" s="1">
        <f t="shared" si="5"/>
        <v>10.6842105263158</v>
      </c>
      <c r="M37" s="1">
        <f t="shared" si="4"/>
        <v>1.8</v>
      </c>
      <c r="N37" s="1">
        <f>E14</f>
        <v>9.6157894736842202</v>
      </c>
      <c r="O37" s="1">
        <f>G14</f>
        <v>-0.82099999999999995</v>
      </c>
      <c r="P37">
        <v>10</v>
      </c>
    </row>
    <row r="38" spans="1:21" x14ac:dyDescent="0.25">
      <c r="A38" s="7" t="s">
        <v>30</v>
      </c>
      <c r="E38" t="s">
        <v>47</v>
      </c>
      <c r="F38">
        <f>1.229^2</f>
        <v>1.5104410000000001</v>
      </c>
      <c r="L38" s="1">
        <f t="shared" si="5"/>
        <v>11.752631578947399</v>
      </c>
      <c r="M38" s="1">
        <f t="shared" si="4"/>
        <v>1.8</v>
      </c>
      <c r="N38" s="1">
        <f>E13</f>
        <v>8.5473684210526208</v>
      </c>
      <c r="O38" s="1">
        <f>G13</f>
        <v>-0.82399999999999995</v>
      </c>
      <c r="P38">
        <v>9</v>
      </c>
    </row>
    <row r="39" spans="1:21" x14ac:dyDescent="0.25">
      <c r="A39" t="s">
        <v>31</v>
      </c>
      <c r="B39">
        <v>900</v>
      </c>
      <c r="C39" t="s">
        <v>32</v>
      </c>
      <c r="L39" s="1">
        <f t="shared" si="5"/>
        <v>12.821052631579001</v>
      </c>
      <c r="M39" s="1">
        <f t="shared" si="4"/>
        <v>1.79</v>
      </c>
      <c r="N39" s="1">
        <f>E12</f>
        <v>7.4789473684210197</v>
      </c>
      <c r="O39" s="1">
        <f>G12</f>
        <v>-0.78</v>
      </c>
      <c r="P39">
        <v>8</v>
      </c>
    </row>
    <row r="40" spans="1:21" x14ac:dyDescent="0.25">
      <c r="B40">
        <f>B39*1000/3600</f>
        <v>250</v>
      </c>
      <c r="C40" t="s">
        <v>33</v>
      </c>
      <c r="L40" s="1">
        <f t="shared" si="5"/>
        <v>13.8894736842105</v>
      </c>
      <c r="M40" s="1">
        <f t="shared" si="4"/>
        <v>1.75</v>
      </c>
      <c r="N40" s="1">
        <f>E11</f>
        <v>6.4105263157895198</v>
      </c>
      <c r="O40" s="1">
        <f>G11</f>
        <v>-0.69399999999999995</v>
      </c>
      <c r="P40">
        <v>7</v>
      </c>
    </row>
    <row r="41" spans="1:21" x14ac:dyDescent="0.25">
      <c r="A41" t="s">
        <v>34</v>
      </c>
      <c r="B41">
        <v>11</v>
      </c>
      <c r="C41" t="s">
        <v>35</v>
      </c>
      <c r="L41" s="1">
        <f t="shared" si="5"/>
        <v>14.9578947368421</v>
      </c>
      <c r="M41" s="1">
        <f t="shared" si="4"/>
        <v>1.68</v>
      </c>
      <c r="N41" s="1">
        <f>E10</f>
        <v>3.5368421052632</v>
      </c>
      <c r="O41" s="1">
        <f>G10</f>
        <v>-0.62</v>
      </c>
      <c r="P41">
        <v>6</v>
      </c>
    </row>
    <row r="42" spans="1:21" x14ac:dyDescent="0.25">
      <c r="B42">
        <f>B41*1000</f>
        <v>11000</v>
      </c>
      <c r="C42" t="s">
        <v>36</v>
      </c>
      <c r="L42" s="1">
        <f t="shared" si="5"/>
        <v>16.026315789473699</v>
      </c>
      <c r="M42" s="1">
        <f t="shared" si="4"/>
        <v>1.6</v>
      </c>
      <c r="N42" s="1">
        <f>E9</f>
        <v>2.5</v>
      </c>
      <c r="O42" s="1">
        <f>G9</f>
        <v>-0.56000000000000005</v>
      </c>
      <c r="P42">
        <v>5</v>
      </c>
    </row>
    <row r="43" spans="1:21" x14ac:dyDescent="0.25">
      <c r="A43" t="s">
        <v>37</v>
      </c>
      <c r="B43">
        <v>295.07</v>
      </c>
      <c r="C43" t="s">
        <v>33</v>
      </c>
      <c r="E43" t="s">
        <v>38</v>
      </c>
      <c r="F43" t="s">
        <v>39</v>
      </c>
      <c r="L43" s="1">
        <f t="shared" si="5"/>
        <v>17.094736842105299</v>
      </c>
      <c r="M43" s="1">
        <f t="shared" si="4"/>
        <v>1.53</v>
      </c>
      <c r="N43" s="1">
        <f>E8</f>
        <v>1.6</v>
      </c>
      <c r="O43" s="1">
        <f>G8</f>
        <v>-0.5</v>
      </c>
      <c r="P43">
        <v>4</v>
      </c>
    </row>
    <row r="44" spans="1:21" x14ac:dyDescent="0.25">
      <c r="A44" t="s">
        <v>40</v>
      </c>
      <c r="B44" s="1">
        <f>B40/B43</f>
        <v>0.84725658318365138</v>
      </c>
      <c r="C44" t="s">
        <v>41</v>
      </c>
      <c r="L44" s="1">
        <f t="shared" si="5"/>
        <v>18.163157894736798</v>
      </c>
      <c r="M44" s="1">
        <f t="shared" si="4"/>
        <v>1.45</v>
      </c>
      <c r="N44" s="1">
        <f>E7</f>
        <v>0.7</v>
      </c>
      <c r="O44" s="1">
        <f>G7</f>
        <v>-0.35</v>
      </c>
      <c r="P44">
        <v>3</v>
      </c>
    </row>
    <row r="45" spans="1:21" x14ac:dyDescent="0.25">
      <c r="L45" s="1">
        <f t="shared" si="5"/>
        <v>19.350000000000001</v>
      </c>
      <c r="M45" s="1">
        <f t="shared" si="4"/>
        <v>1.34</v>
      </c>
      <c r="N45" s="1">
        <f>E6</f>
        <v>0.2</v>
      </c>
      <c r="O45" s="1">
        <f>G6</f>
        <v>-0.13</v>
      </c>
      <c r="P45">
        <v>2</v>
      </c>
    </row>
    <row r="46" spans="1:21" x14ac:dyDescent="0.25">
      <c r="L46" s="1">
        <f t="shared" si="5"/>
        <v>19.515000000000001</v>
      </c>
      <c r="M46" s="1">
        <f t="shared" si="4"/>
        <v>1.25</v>
      </c>
      <c r="N46" s="1">
        <f>E5</f>
        <v>0</v>
      </c>
      <c r="O46" s="1">
        <f>G5</f>
        <v>0</v>
      </c>
      <c r="P46">
        <v>1</v>
      </c>
    </row>
    <row r="47" spans="1:21" x14ac:dyDescent="0.25">
      <c r="A47" t="s">
        <v>56</v>
      </c>
      <c r="L47" s="1"/>
    </row>
    <row r="48" spans="1:21" x14ac:dyDescent="0.25">
      <c r="A48" t="s">
        <v>57</v>
      </c>
      <c r="B48">
        <v>10.69</v>
      </c>
    </row>
    <row r="49" spans="2:2" x14ac:dyDescent="0.25">
      <c r="B49">
        <v>4.0789999999999997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E2FA-4F18-4DEE-9865-31EC639E28F0}">
  <dimension ref="C7:P45"/>
  <sheetViews>
    <sheetView topLeftCell="B28" zoomScale="115" zoomScaleNormal="115" workbookViewId="0">
      <selection activeCell="L45" sqref="L45:O45"/>
    </sheetView>
  </sheetViews>
  <sheetFormatPr defaultRowHeight="15" x14ac:dyDescent="0.25"/>
  <sheetData>
    <row r="7" spans="3:10" x14ac:dyDescent="0.25">
      <c r="C7">
        <f>1.25*(1+0.5)</f>
        <v>1.875</v>
      </c>
    </row>
    <row r="14" spans="3:10" x14ac:dyDescent="0.25">
      <c r="I14">
        <v>14.96</v>
      </c>
    </row>
    <row r="15" spans="3:10" x14ac:dyDescent="0.25">
      <c r="I15">
        <v>17.09</v>
      </c>
      <c r="J15">
        <f>I15-I14</f>
        <v>2.129999999999999</v>
      </c>
    </row>
    <row r="19" spans="8:9" x14ac:dyDescent="0.25">
      <c r="H19" t="s">
        <v>42</v>
      </c>
      <c r="I19" s="14">
        <f>32.5/100</f>
        <v>0.32500000000000001</v>
      </c>
    </row>
    <row r="20" spans="8:9" x14ac:dyDescent="0.25">
      <c r="H20" t="s">
        <v>43</v>
      </c>
      <c r="I20">
        <v>2.8879999999999999</v>
      </c>
    </row>
    <row r="21" spans="8:9" x14ac:dyDescent="0.25">
      <c r="H21" t="s">
        <v>44</v>
      </c>
      <c r="I21">
        <v>10.170999999999999</v>
      </c>
    </row>
    <row r="22" spans="8:9" x14ac:dyDescent="0.25">
      <c r="I22" s="13">
        <f>I19*I20+I21-I20*0.25</f>
        <v>10.387599999999999</v>
      </c>
    </row>
    <row r="41" spans="12:16" x14ac:dyDescent="0.25">
      <c r="M41" t="s">
        <v>94</v>
      </c>
      <c r="N41">
        <f>1/(N42/4.097)</f>
        <v>0.95948477751756456</v>
      </c>
    </row>
    <row r="42" spans="12:16" x14ac:dyDescent="0.25">
      <c r="L42">
        <v>10.68</v>
      </c>
      <c r="M42">
        <v>6.41</v>
      </c>
      <c r="N42">
        <f>L42-M42</f>
        <v>4.2699999999999996</v>
      </c>
      <c r="O42">
        <f>N42*N$41</f>
        <v>4.0970000000000004</v>
      </c>
    </row>
    <row r="43" spans="12:16" x14ac:dyDescent="0.25">
      <c r="L43">
        <v>19.52</v>
      </c>
      <c r="M43">
        <v>17.09</v>
      </c>
      <c r="N43">
        <f>L43-M43</f>
        <v>2.4299999999999997</v>
      </c>
      <c r="O43">
        <f>N43*N$41</f>
        <v>2.3315480093676815</v>
      </c>
    </row>
    <row r="44" spans="12:16" x14ac:dyDescent="0.25">
      <c r="P44">
        <f>17/2*4</f>
        <v>34</v>
      </c>
    </row>
    <row r="45" spans="12:16" x14ac:dyDescent="0.25">
      <c r="L45">
        <v>9.6199999999999992</v>
      </c>
      <c r="M45">
        <v>7.48</v>
      </c>
      <c r="N45">
        <f>L45-M45</f>
        <v>2.1399999999999988</v>
      </c>
      <c r="O45">
        <f>N45*N$41</f>
        <v>2.053297423887587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F223-F034-4071-BD0E-CB066EE215FC}">
  <dimension ref="A1:T62"/>
  <sheetViews>
    <sheetView workbookViewId="0">
      <selection activeCell="B59" sqref="B59"/>
    </sheetView>
  </sheetViews>
  <sheetFormatPr defaultRowHeight="15" x14ac:dyDescent="0.25"/>
  <sheetData>
    <row r="1" spans="1:11" x14ac:dyDescent="0.25">
      <c r="A1" t="s">
        <v>77</v>
      </c>
    </row>
    <row r="2" spans="1:11" x14ac:dyDescent="0.25">
      <c r="A2">
        <v>0</v>
      </c>
      <c r="B2" t="s">
        <v>76</v>
      </c>
    </row>
    <row r="3" spans="1:11" x14ac:dyDescent="0.25">
      <c r="A3">
        <v>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</row>
    <row r="6" spans="1:11" x14ac:dyDescent="0.25">
      <c r="B6">
        <v>0</v>
      </c>
      <c r="C6">
        <v>0</v>
      </c>
      <c r="D6">
        <v>0</v>
      </c>
      <c r="E6">
        <v>0</v>
      </c>
      <c r="F6">
        <v>0</v>
      </c>
      <c r="G6" s="18">
        <v>5.5309999999999998E-2</v>
      </c>
      <c r="H6" t="s">
        <v>75</v>
      </c>
      <c r="I6" t="s">
        <v>75</v>
      </c>
    </row>
    <row r="7" spans="1:11" x14ac:dyDescent="0.25">
      <c r="B7">
        <v>5</v>
      </c>
      <c r="C7">
        <v>3.3000000000000002E-2</v>
      </c>
      <c r="D7">
        <v>-1.7899999999999999E-2</v>
      </c>
      <c r="E7">
        <v>1.2999999999999999E-2</v>
      </c>
      <c r="F7">
        <v>4.6999999999999999E-4</v>
      </c>
      <c r="G7" s="18">
        <v>5.5309999999999998E-2</v>
      </c>
      <c r="H7" t="s">
        <v>75</v>
      </c>
    </row>
    <row r="8" spans="1:11" x14ac:dyDescent="0.25">
      <c r="B8">
        <v>10</v>
      </c>
      <c r="C8">
        <v>6.6000000000000003E-2</v>
      </c>
      <c r="D8">
        <v>-3.5700000000000003E-2</v>
      </c>
      <c r="E8">
        <v>3.5999999999999997E-2</v>
      </c>
      <c r="F8">
        <v>1.33E-3</v>
      </c>
      <c r="G8" s="18">
        <v>5.5309999999999998E-2</v>
      </c>
      <c r="H8" t="s">
        <v>75</v>
      </c>
    </row>
    <row r="9" spans="1:11" x14ac:dyDescent="0.25">
      <c r="B9">
        <v>15</v>
      </c>
      <c r="C9">
        <v>9.8000000000000004E-2</v>
      </c>
      <c r="D9">
        <v>-5.33E-2</v>
      </c>
      <c r="E9">
        <v>6.6000000000000003E-2</v>
      </c>
      <c r="F9">
        <v>2.5899999999999999E-3</v>
      </c>
      <c r="G9" s="18">
        <v>5.5309999999999998E-2</v>
      </c>
      <c r="H9" t="s">
        <v>75</v>
      </c>
    </row>
    <row r="10" spans="1:11" x14ac:dyDescent="0.25">
      <c r="B10">
        <v>20</v>
      </c>
      <c r="C10">
        <v>0.13</v>
      </c>
      <c r="D10">
        <v>-7.0499999999999993E-2</v>
      </c>
      <c r="E10">
        <v>0.10299999999999999</v>
      </c>
      <c r="F10">
        <v>4.1999999999999997E-3</v>
      </c>
      <c r="G10" s="18">
        <v>5.5309999999999998E-2</v>
      </c>
      <c r="H10" t="s">
        <v>75</v>
      </c>
    </row>
    <row r="11" spans="1:11" x14ac:dyDescent="0.25">
      <c r="B11">
        <v>25</v>
      </c>
      <c r="C11">
        <v>0.152</v>
      </c>
      <c r="D11">
        <v>-8.2600000000000007E-2</v>
      </c>
      <c r="E11">
        <v>0.13800000000000001</v>
      </c>
      <c r="F11">
        <v>6.4400000000000004E-3</v>
      </c>
      <c r="G11" s="18">
        <v>5.5309999999999998E-2</v>
      </c>
      <c r="H11" t="s">
        <v>75</v>
      </c>
    </row>
    <row r="12" spans="1:11" x14ac:dyDescent="0.25">
      <c r="B12">
        <v>30</v>
      </c>
      <c r="C12">
        <v>0.16900000000000001</v>
      </c>
      <c r="D12">
        <v>-9.1999999999999998E-2</v>
      </c>
      <c r="E12">
        <v>0.17299999999999999</v>
      </c>
      <c r="F12">
        <v>8.5400000000000007E-3</v>
      </c>
      <c r="G12" s="18">
        <v>5.5309999999999998E-2</v>
      </c>
      <c r="H12" t="s">
        <v>75</v>
      </c>
    </row>
    <row r="13" spans="1:11" x14ac:dyDescent="0.25">
      <c r="B13">
        <v>35</v>
      </c>
      <c r="C13">
        <v>0.182</v>
      </c>
      <c r="D13">
        <v>-9.9299999999999999E-2</v>
      </c>
      <c r="E13">
        <v>0.20799999999999999</v>
      </c>
      <c r="F13">
        <v>1.093E-2</v>
      </c>
      <c r="G13" s="18">
        <v>5.5309999999999998E-2</v>
      </c>
      <c r="H13" t="s">
        <v>75</v>
      </c>
    </row>
    <row r="14" spans="1:11" x14ac:dyDescent="0.25">
      <c r="B14">
        <v>40</v>
      </c>
      <c r="C14">
        <v>0.189</v>
      </c>
      <c r="D14">
        <v>-0.1027</v>
      </c>
      <c r="E14">
        <v>0.23599999999999999</v>
      </c>
      <c r="F14">
        <v>1.29E-2</v>
      </c>
    </row>
    <row r="16" spans="1:11" x14ac:dyDescent="0.25">
      <c r="A16" t="s">
        <v>101</v>
      </c>
    </row>
    <row r="17" spans="1:20" x14ac:dyDescent="0.25">
      <c r="A17">
        <v>0</v>
      </c>
      <c r="B17" t="e" cm="1">
        <f t="array" ref="B17">---------INCREMENTS</f>
        <v>#NAME?</v>
      </c>
      <c r="C17" t="s">
        <v>60</v>
      </c>
      <c r="D17" t="s">
        <v>61</v>
      </c>
      <c r="E17" t="s">
        <v>62</v>
      </c>
      <c r="F17" t="e" cm="1">
        <f t="array" ref="F17">---DERIVATIVES</f>
        <v>#NAME?</v>
      </c>
      <c r="G17" t="s">
        <v>63</v>
      </c>
      <c r="H17" t="s">
        <v>64</v>
      </c>
    </row>
    <row r="18" spans="1:20" x14ac:dyDescent="0.25">
      <c r="A18">
        <v>0</v>
      </c>
      <c r="B18" t="s">
        <v>65</v>
      </c>
      <c r="C18" t="s">
        <v>66</v>
      </c>
      <c r="D18" t="s">
        <v>67</v>
      </c>
      <c r="E18" t="s">
        <v>106</v>
      </c>
      <c r="F18" t="s">
        <v>107</v>
      </c>
      <c r="G18" t="s">
        <v>72</v>
      </c>
      <c r="H18" t="s">
        <v>73</v>
      </c>
      <c r="I18" t="s">
        <v>74</v>
      </c>
    </row>
    <row r="21" spans="1:20" x14ac:dyDescent="0.25">
      <c r="B21">
        <v>0</v>
      </c>
      <c r="C21">
        <v>0</v>
      </c>
      <c r="D21">
        <v>0</v>
      </c>
      <c r="E21">
        <v>0</v>
      </c>
      <c r="F21">
        <v>0</v>
      </c>
      <c r="G21" s="18">
        <v>5.5849999999999997E-2</v>
      </c>
      <c r="H21" t="s">
        <v>75</v>
      </c>
      <c r="I21" t="s">
        <v>75</v>
      </c>
    </row>
    <row r="22" spans="1:20" x14ac:dyDescent="0.25">
      <c r="B22">
        <v>5</v>
      </c>
      <c r="C22">
        <v>3.3000000000000002E-2</v>
      </c>
      <c r="D22">
        <v>-2.1499999999999998E-2</v>
      </c>
      <c r="E22">
        <v>1.2999999999999999E-2</v>
      </c>
      <c r="F22">
        <v>4.6999999999999999E-4</v>
      </c>
      <c r="G22" s="18">
        <v>5.5849999999999997E-2</v>
      </c>
      <c r="H22" t="s">
        <v>75</v>
      </c>
    </row>
    <row r="23" spans="1:20" x14ac:dyDescent="0.25">
      <c r="B23">
        <v>10</v>
      </c>
      <c r="C23">
        <v>6.6000000000000003E-2</v>
      </c>
      <c r="D23">
        <v>-4.4600000000000001E-2</v>
      </c>
      <c r="E23">
        <v>3.5999999999999997E-2</v>
      </c>
      <c r="F23">
        <v>1.33E-3</v>
      </c>
      <c r="G23" s="18">
        <v>5.5969999999999999E-2</v>
      </c>
      <c r="H23" t="s">
        <v>75</v>
      </c>
    </row>
    <row r="24" spans="1:20" x14ac:dyDescent="0.25">
      <c r="B24">
        <v>15</v>
      </c>
      <c r="C24">
        <v>9.8000000000000004E-2</v>
      </c>
      <c r="D24">
        <v>-6.6500000000000004E-2</v>
      </c>
      <c r="E24">
        <v>6.6000000000000003E-2</v>
      </c>
      <c r="F24">
        <v>2.5899999999999999E-3</v>
      </c>
      <c r="G24" s="18">
        <v>5.5969999999999999E-2</v>
      </c>
      <c r="H24" t="s">
        <v>75</v>
      </c>
    </row>
    <row r="25" spans="1:20" x14ac:dyDescent="0.25">
      <c r="B25">
        <v>20</v>
      </c>
      <c r="C25">
        <v>0.13</v>
      </c>
      <c r="D25">
        <v>-9.1200000000000003E-2</v>
      </c>
      <c r="E25">
        <v>0.10299999999999999</v>
      </c>
      <c r="F25">
        <v>4.1999999999999997E-3</v>
      </c>
      <c r="G25" s="18">
        <v>5.6090000000000001E-2</v>
      </c>
      <c r="H25" t="s">
        <v>75</v>
      </c>
    </row>
    <row r="26" spans="1:20" x14ac:dyDescent="0.25">
      <c r="B26">
        <v>25</v>
      </c>
      <c r="C26">
        <v>0.152</v>
      </c>
      <c r="D26">
        <v>-0.1069</v>
      </c>
      <c r="E26">
        <v>0.13800000000000001</v>
      </c>
      <c r="F26">
        <v>6.4400000000000004E-3</v>
      </c>
      <c r="G26" s="18">
        <v>5.6090000000000001E-2</v>
      </c>
      <c r="H26" t="s">
        <v>75</v>
      </c>
    </row>
    <row r="27" spans="1:20" x14ac:dyDescent="0.25">
      <c r="B27">
        <v>30</v>
      </c>
      <c r="C27">
        <v>0.16900000000000001</v>
      </c>
      <c r="D27">
        <v>-0.1231</v>
      </c>
      <c r="E27">
        <v>0.17299999999999999</v>
      </c>
      <c r="F27">
        <v>8.5400000000000007E-3</v>
      </c>
      <c r="G27" s="18">
        <v>5.6210000000000003E-2</v>
      </c>
      <c r="H27" t="s">
        <v>75</v>
      </c>
    </row>
    <row r="28" spans="1:20" x14ac:dyDescent="0.25">
      <c r="B28">
        <v>35</v>
      </c>
      <c r="C28">
        <v>0.182</v>
      </c>
      <c r="D28">
        <v>-0.1328</v>
      </c>
      <c r="E28">
        <v>0.20799999999999999</v>
      </c>
      <c r="F28">
        <v>1.093E-2</v>
      </c>
      <c r="G28" s="18">
        <v>5.6210000000000003E-2</v>
      </c>
      <c r="H28" t="s">
        <v>75</v>
      </c>
    </row>
    <row r="29" spans="1:20" x14ac:dyDescent="0.25">
      <c r="B29">
        <v>40</v>
      </c>
      <c r="C29">
        <v>0.189</v>
      </c>
      <c r="D29">
        <v>-0.13739999999999999</v>
      </c>
      <c r="E29">
        <v>0.23599999999999999</v>
      </c>
      <c r="F29">
        <v>1.29E-2</v>
      </c>
      <c r="G29" s="18">
        <v>5.6210000000000003E-2</v>
      </c>
      <c r="H29" t="s">
        <v>75</v>
      </c>
    </row>
    <row r="30" spans="1:20" x14ac:dyDescent="0.25">
      <c r="A30">
        <v>0</v>
      </c>
      <c r="B30" t="s">
        <v>78</v>
      </c>
      <c r="C30" t="s">
        <v>79</v>
      </c>
      <c r="D30" t="s">
        <v>80</v>
      </c>
      <c r="E30" t="s">
        <v>81</v>
      </c>
      <c r="F30" t="s">
        <v>58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  <c r="N30" t="s">
        <v>89</v>
      </c>
      <c r="O30" t="s">
        <v>87</v>
      </c>
      <c r="P30" t="s">
        <v>90</v>
      </c>
      <c r="Q30" t="s">
        <v>91</v>
      </c>
      <c r="R30" t="s">
        <v>92</v>
      </c>
      <c r="S30" t="s">
        <v>81</v>
      </c>
      <c r="T30" t="s">
        <v>93</v>
      </c>
    </row>
    <row r="32" spans="1:20" x14ac:dyDescent="0.25">
      <c r="A32" s="7" t="s">
        <v>102</v>
      </c>
      <c r="B32" s="7"/>
      <c r="C32" s="7" t="s">
        <v>103</v>
      </c>
    </row>
    <row r="33" spans="1:20" x14ac:dyDescent="0.25">
      <c r="A33">
        <v>0</v>
      </c>
      <c r="B33" t="e" cm="1">
        <f t="array" ref="B33">---------INCREMENTS</f>
        <v>#NAME?</v>
      </c>
      <c r="C33" t="s">
        <v>60</v>
      </c>
      <c r="D33" t="s">
        <v>61</v>
      </c>
      <c r="E33" t="s">
        <v>62</v>
      </c>
      <c r="F33" t="e" cm="1">
        <f t="array" ref="F33">---DERIVATIVES</f>
        <v>#NAME?</v>
      </c>
      <c r="G33" t="s">
        <v>63</v>
      </c>
      <c r="H33" t="s">
        <v>64</v>
      </c>
    </row>
    <row r="34" spans="1:20" x14ac:dyDescent="0.25">
      <c r="A34">
        <v>0</v>
      </c>
      <c r="B34" s="27" t="s">
        <v>65</v>
      </c>
      <c r="C34" s="28" t="s">
        <v>66</v>
      </c>
      <c r="D34" s="28" t="s">
        <v>67</v>
      </c>
      <c r="E34" s="28" t="s">
        <v>106</v>
      </c>
      <c r="F34" s="28" t="s">
        <v>107</v>
      </c>
      <c r="G34" s="28" t="s">
        <v>72</v>
      </c>
      <c r="H34" s="28" t="s">
        <v>73</v>
      </c>
      <c r="I34" s="28" t="s">
        <v>74</v>
      </c>
      <c r="J34" s="28"/>
      <c r="K34" s="29"/>
    </row>
    <row r="35" spans="1:20" x14ac:dyDescent="0.25">
      <c r="B35" s="19"/>
      <c r="C35" s="20"/>
      <c r="D35" s="20"/>
      <c r="E35" s="20"/>
      <c r="F35" s="20"/>
      <c r="G35" s="20"/>
      <c r="H35" s="20"/>
      <c r="I35" s="20"/>
      <c r="J35" s="20"/>
      <c r="K35" s="21"/>
    </row>
    <row r="36" spans="1:20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1"/>
    </row>
    <row r="37" spans="1:20" x14ac:dyDescent="0.25">
      <c r="B37" s="19">
        <v>0</v>
      </c>
      <c r="C37" s="20">
        <v>0</v>
      </c>
      <c r="D37" s="20">
        <v>0</v>
      </c>
      <c r="E37" s="20">
        <v>0</v>
      </c>
      <c r="F37" s="20">
        <v>0</v>
      </c>
      <c r="G37" s="22">
        <v>5.5789999999999999E-2</v>
      </c>
      <c r="H37" s="20" t="s">
        <v>75</v>
      </c>
      <c r="I37" s="20" t="s">
        <v>75</v>
      </c>
      <c r="J37" s="20"/>
      <c r="K37" s="21"/>
    </row>
    <row r="38" spans="1:20" x14ac:dyDescent="0.25">
      <c r="B38" s="19">
        <v>5</v>
      </c>
      <c r="C38" s="20">
        <v>8.9999999999999993E-3</v>
      </c>
      <c r="D38" s="20">
        <v>-6.3E-3</v>
      </c>
      <c r="E38" s="20">
        <v>4.0000000000000001E-3</v>
      </c>
      <c r="F38" s="20">
        <v>3.1E-4</v>
      </c>
      <c r="G38" s="22">
        <v>5.5849999999999997E-2</v>
      </c>
      <c r="H38" s="20" t="s">
        <v>75</v>
      </c>
      <c r="I38" s="20"/>
      <c r="J38" s="20"/>
      <c r="K38" s="21"/>
    </row>
    <row r="39" spans="1:20" x14ac:dyDescent="0.25">
      <c r="B39" s="19">
        <v>10</v>
      </c>
      <c r="C39" s="20">
        <v>3.6999999999999998E-2</v>
      </c>
      <c r="D39" s="20">
        <v>-2.5499999999999998E-2</v>
      </c>
      <c r="E39" s="20">
        <v>0.01</v>
      </c>
      <c r="F39" s="20">
        <v>8.4000000000000003E-4</v>
      </c>
      <c r="G39" s="22">
        <v>5.5960000000000003E-2</v>
      </c>
      <c r="H39" s="20" t="s">
        <v>75</v>
      </c>
      <c r="I39" s="20"/>
      <c r="J39" s="20"/>
      <c r="K39" s="21"/>
    </row>
    <row r="40" spans="1:20" x14ac:dyDescent="0.25">
      <c r="B40" s="19">
        <v>15</v>
      </c>
      <c r="C40" s="20">
        <v>6.6000000000000003E-2</v>
      </c>
      <c r="D40" s="20">
        <v>-4.4999999999999998E-2</v>
      </c>
      <c r="E40" s="20">
        <v>2.5999999999999999E-2</v>
      </c>
      <c r="F40" s="20">
        <v>1.73E-3</v>
      </c>
      <c r="G40" s="22">
        <v>5.5969999999999999E-2</v>
      </c>
      <c r="H40" s="20" t="s">
        <v>75</v>
      </c>
      <c r="I40" s="20"/>
      <c r="J40" s="20"/>
      <c r="K40" s="21"/>
    </row>
    <row r="41" spans="1:20" x14ac:dyDescent="0.25">
      <c r="B41" s="30">
        <v>20</v>
      </c>
      <c r="C41" s="31">
        <v>9.5000000000000001E-2</v>
      </c>
      <c r="D41" s="31">
        <v>-6.6600000000000006E-2</v>
      </c>
      <c r="E41" s="20">
        <v>5.3999999999999999E-2</v>
      </c>
      <c r="F41" s="20">
        <v>2.9099999999999998E-3</v>
      </c>
      <c r="G41" s="22">
        <v>5.6079999999999998E-2</v>
      </c>
      <c r="H41" s="20" t="s">
        <v>75</v>
      </c>
      <c r="I41" s="20"/>
      <c r="J41" s="20"/>
      <c r="K41" s="21"/>
    </row>
    <row r="42" spans="1:20" x14ac:dyDescent="0.25">
      <c r="B42" s="19">
        <v>25</v>
      </c>
      <c r="C42" s="20">
        <v>0.12</v>
      </c>
      <c r="D42" s="20">
        <v>-8.4400000000000003E-2</v>
      </c>
      <c r="E42" s="20">
        <v>9.0999999999999998E-2</v>
      </c>
      <c r="F42" s="20">
        <v>5.0800000000000003E-3</v>
      </c>
      <c r="G42" s="22">
        <v>5.6090000000000001E-2</v>
      </c>
      <c r="H42" s="20" t="s">
        <v>75</v>
      </c>
      <c r="I42" s="20"/>
      <c r="J42" s="20"/>
      <c r="K42" s="21"/>
    </row>
    <row r="43" spans="1:20" x14ac:dyDescent="0.25">
      <c r="B43" s="19">
        <v>30</v>
      </c>
      <c r="C43" s="20">
        <v>0.13900000000000001</v>
      </c>
      <c r="D43" s="20">
        <v>-0.10100000000000001</v>
      </c>
      <c r="E43" s="20">
        <v>0.12</v>
      </c>
      <c r="F43" s="20">
        <v>7.1599999999999997E-3</v>
      </c>
      <c r="G43" s="22">
        <v>5.62E-2</v>
      </c>
      <c r="H43" s="20" t="s">
        <v>75</v>
      </c>
      <c r="I43" s="20"/>
      <c r="J43" s="20"/>
      <c r="K43" s="21"/>
    </row>
    <row r="44" spans="1:20" x14ac:dyDescent="0.25">
      <c r="B44" s="19">
        <v>35</v>
      </c>
      <c r="C44" s="20">
        <v>0.155</v>
      </c>
      <c r="D44" s="20">
        <v>-0.1124</v>
      </c>
      <c r="E44" s="20">
        <v>0.14399999999999999</v>
      </c>
      <c r="F44" s="20">
        <v>9.6600000000000002E-3</v>
      </c>
      <c r="G44" s="22">
        <v>5.6210000000000003E-2</v>
      </c>
      <c r="H44" s="20" t="s">
        <v>75</v>
      </c>
      <c r="I44" s="20"/>
      <c r="J44" s="20"/>
      <c r="K44" s="21"/>
    </row>
    <row r="45" spans="1:20" x14ac:dyDescent="0.25">
      <c r="B45" s="23">
        <v>40</v>
      </c>
      <c r="C45" s="24">
        <v>0.17100000000000001</v>
      </c>
      <c r="D45" s="24">
        <v>-0.12479999999999999</v>
      </c>
      <c r="E45" s="24">
        <v>0.16800000000000001</v>
      </c>
      <c r="F45" s="24">
        <v>1.2330000000000001E-2</v>
      </c>
      <c r="G45" s="25">
        <v>5.6210000000000003E-2</v>
      </c>
      <c r="H45" s="24" t="s">
        <v>75</v>
      </c>
      <c r="I45" s="24"/>
      <c r="J45" s="24"/>
      <c r="K45" s="26"/>
    </row>
    <row r="46" spans="1:20" x14ac:dyDescent="0.25">
      <c r="A46">
        <v>0</v>
      </c>
      <c r="B46" t="s">
        <v>78</v>
      </c>
      <c r="C46" t="s">
        <v>79</v>
      </c>
      <c r="D46" t="s">
        <v>80</v>
      </c>
      <c r="E46" t="s">
        <v>81</v>
      </c>
      <c r="F46" t="s">
        <v>58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  <c r="N46" t="s">
        <v>89</v>
      </c>
      <c r="O46" t="s">
        <v>87</v>
      </c>
      <c r="P46" t="s">
        <v>90</v>
      </c>
      <c r="Q46" t="s">
        <v>91</v>
      </c>
      <c r="R46" t="s">
        <v>92</v>
      </c>
      <c r="S46" t="s">
        <v>81</v>
      </c>
      <c r="T46" t="s">
        <v>93</v>
      </c>
    </row>
    <row r="48" spans="1:20" x14ac:dyDescent="0.25">
      <c r="A48" s="7" t="s">
        <v>104</v>
      </c>
      <c r="B48" s="7"/>
      <c r="C48" s="7" t="s">
        <v>105</v>
      </c>
    </row>
    <row r="49" spans="1:20" x14ac:dyDescent="0.25">
      <c r="A49">
        <v>0</v>
      </c>
      <c r="B49" t="e" cm="1">
        <f t="array" ref="B49">---------INCREMENTS</f>
        <v>#NAME?</v>
      </c>
      <c r="C49" t="s">
        <v>60</v>
      </c>
      <c r="D49" t="s">
        <v>61</v>
      </c>
      <c r="E49" t="s">
        <v>62</v>
      </c>
      <c r="F49" t="e" cm="1">
        <f t="array" ref="F49">---DERIVATIVES</f>
        <v>#NAME?</v>
      </c>
      <c r="G49" t="s">
        <v>63</v>
      </c>
      <c r="H49" t="s">
        <v>64</v>
      </c>
    </row>
    <row r="50" spans="1:20" x14ac:dyDescent="0.25">
      <c r="A50">
        <v>0</v>
      </c>
      <c r="B50" s="27" t="s">
        <v>65</v>
      </c>
      <c r="C50" s="28" t="s">
        <v>66</v>
      </c>
      <c r="D50" s="28" t="s">
        <v>67</v>
      </c>
      <c r="E50" s="28" t="s">
        <v>106</v>
      </c>
      <c r="F50" s="28" t="s">
        <v>107</v>
      </c>
      <c r="G50" s="28" t="s">
        <v>72</v>
      </c>
      <c r="H50" s="28" t="s">
        <v>73</v>
      </c>
      <c r="I50" s="28" t="s">
        <v>74</v>
      </c>
      <c r="J50" s="28"/>
      <c r="K50" s="29"/>
    </row>
    <row r="51" spans="1:20" x14ac:dyDescent="0.25">
      <c r="B51" s="19"/>
      <c r="C51" s="20"/>
      <c r="D51" s="20"/>
      <c r="E51" s="20"/>
      <c r="F51" s="20"/>
      <c r="G51" s="20"/>
      <c r="H51" s="20"/>
      <c r="I51" s="20"/>
      <c r="J51" s="20"/>
      <c r="K51" s="21"/>
    </row>
    <row r="52" spans="1:20" x14ac:dyDescent="0.25">
      <c r="B52" s="19"/>
      <c r="C52" s="20"/>
      <c r="D52" s="20"/>
      <c r="E52" s="20"/>
      <c r="F52" s="20"/>
      <c r="G52" s="20"/>
      <c r="H52" s="20"/>
      <c r="I52" s="20"/>
      <c r="J52" s="20"/>
      <c r="K52" s="21"/>
    </row>
    <row r="53" spans="1:20" x14ac:dyDescent="0.25">
      <c r="B53" s="19">
        <v>0</v>
      </c>
      <c r="C53" s="20">
        <v>0</v>
      </c>
      <c r="D53" s="20">
        <v>-1E-4</v>
      </c>
      <c r="E53" s="20">
        <v>0</v>
      </c>
      <c r="F53" s="20">
        <v>0</v>
      </c>
      <c r="G53" s="20" t="s">
        <v>75</v>
      </c>
      <c r="H53" s="22">
        <v>-2.836E-3</v>
      </c>
      <c r="I53" s="22">
        <v>-1.001E-2</v>
      </c>
      <c r="J53" s="20"/>
      <c r="K53" s="21"/>
    </row>
    <row r="54" spans="1:20" x14ac:dyDescent="0.25">
      <c r="B54" s="19">
        <v>5</v>
      </c>
      <c r="C54" s="20">
        <v>3.4000000000000002E-2</v>
      </c>
      <c r="D54" s="20">
        <v>-4.87E-2</v>
      </c>
      <c r="E54" s="20">
        <v>3.2000000000000001E-2</v>
      </c>
      <c r="F54" s="20">
        <v>4.4999999999999999E-4</v>
      </c>
      <c r="G54" s="20" t="s">
        <v>75</v>
      </c>
      <c r="H54" s="22">
        <v>-1.001E-2</v>
      </c>
      <c r="I54" s="20"/>
      <c r="J54" s="20"/>
      <c r="K54" s="21"/>
    </row>
    <row r="55" spans="1:20" x14ac:dyDescent="0.25">
      <c r="B55" s="19">
        <v>10</v>
      </c>
      <c r="C55" s="20">
        <v>6.8000000000000005E-2</v>
      </c>
      <c r="D55" s="20">
        <v>-9.74E-2</v>
      </c>
      <c r="E55" s="20">
        <v>6.0999999999999999E-2</v>
      </c>
      <c r="F55" s="20">
        <v>1.23E-3</v>
      </c>
      <c r="G55" s="20" t="s">
        <v>75</v>
      </c>
      <c r="H55" s="22">
        <v>-1.001E-2</v>
      </c>
      <c r="I55" s="20"/>
      <c r="J55" s="20"/>
      <c r="K55" s="21"/>
    </row>
    <row r="56" spans="1:20" x14ac:dyDescent="0.25">
      <c r="B56" s="19">
        <v>15</v>
      </c>
      <c r="C56" s="20">
        <v>0.1</v>
      </c>
      <c r="D56" s="20">
        <v>-0.14360000000000001</v>
      </c>
      <c r="E56" s="20">
        <v>8.5000000000000006E-2</v>
      </c>
      <c r="F56" s="20">
        <v>2.9099999999999998E-3</v>
      </c>
      <c r="G56" s="20" t="s">
        <v>75</v>
      </c>
      <c r="H56" s="22">
        <v>-1.001E-2</v>
      </c>
      <c r="I56" s="20"/>
      <c r="J56" s="20"/>
      <c r="K56" s="21"/>
    </row>
    <row r="57" spans="1:20" x14ac:dyDescent="0.25">
      <c r="B57" s="30">
        <v>20</v>
      </c>
      <c r="C57" s="31">
        <v>0.122</v>
      </c>
      <c r="D57" s="31">
        <v>-0.17730000000000001</v>
      </c>
      <c r="E57" s="20">
        <v>0.106</v>
      </c>
      <c r="F57" s="20">
        <v>4.8500000000000001E-3</v>
      </c>
      <c r="G57" s="20" t="s">
        <v>75</v>
      </c>
      <c r="H57" s="22">
        <v>-1.004E-2</v>
      </c>
      <c r="I57" s="20"/>
      <c r="J57" s="20"/>
      <c r="K57" s="21"/>
    </row>
    <row r="58" spans="1:20" x14ac:dyDescent="0.25">
      <c r="B58" s="19">
        <v>25</v>
      </c>
      <c r="C58" s="20">
        <v>0.13300000000000001</v>
      </c>
      <c r="D58" s="20">
        <v>-0.19589999999999999</v>
      </c>
      <c r="E58" s="20">
        <v>0.125</v>
      </c>
      <c r="F58" s="20">
        <v>6.8700000000000002E-3</v>
      </c>
      <c r="G58" s="20" t="s">
        <v>75</v>
      </c>
      <c r="H58" s="22">
        <v>-1.0070000000000001E-2</v>
      </c>
      <c r="I58" s="20"/>
      <c r="J58" s="20"/>
      <c r="K58" s="21"/>
    </row>
    <row r="59" spans="1:20" x14ac:dyDescent="0.25">
      <c r="B59" s="19">
        <v>30</v>
      </c>
      <c r="C59" s="20">
        <v>0.14499999999999999</v>
      </c>
      <c r="D59" s="20">
        <v>-0.21440000000000001</v>
      </c>
      <c r="E59" s="20">
        <v>0.14099999999999999</v>
      </c>
      <c r="F59" s="20">
        <v>8.9499999999999996E-3</v>
      </c>
      <c r="G59" s="20" t="s">
        <v>75</v>
      </c>
      <c r="H59" s="22">
        <v>-1.009E-2</v>
      </c>
      <c r="I59" s="20"/>
      <c r="J59" s="20"/>
      <c r="K59" s="21"/>
    </row>
    <row r="60" spans="1:20" x14ac:dyDescent="0.25">
      <c r="B60" s="19">
        <v>35</v>
      </c>
      <c r="C60" s="20">
        <v>0.157</v>
      </c>
      <c r="D60" s="20">
        <v>-0.23180000000000001</v>
      </c>
      <c r="E60" s="20">
        <v>0.154</v>
      </c>
      <c r="F60" s="20">
        <v>1.145E-2</v>
      </c>
      <c r="G60" s="20" t="s">
        <v>75</v>
      </c>
      <c r="H60" s="22">
        <v>-1.0109999999999999E-2</v>
      </c>
      <c r="I60" s="20"/>
      <c r="J60" s="20"/>
      <c r="K60" s="21"/>
    </row>
    <row r="61" spans="1:20" x14ac:dyDescent="0.25">
      <c r="B61" s="23">
        <v>40</v>
      </c>
      <c r="C61" s="24">
        <v>0.17100000000000001</v>
      </c>
      <c r="D61" s="24">
        <v>-0.25040000000000001</v>
      </c>
      <c r="E61" s="24">
        <v>0.16200000000000001</v>
      </c>
      <c r="F61" s="24">
        <v>1.418E-2</v>
      </c>
      <c r="G61" s="24" t="s">
        <v>75</v>
      </c>
      <c r="H61" s="25">
        <v>-1.0120000000000001E-2</v>
      </c>
      <c r="I61" s="24"/>
      <c r="J61" s="24"/>
      <c r="K61" s="26"/>
    </row>
    <row r="62" spans="1:20" x14ac:dyDescent="0.25">
      <c r="A62">
        <v>0</v>
      </c>
      <c r="B62" t="s">
        <v>78</v>
      </c>
      <c r="C62" t="s">
        <v>79</v>
      </c>
      <c r="D62" t="s">
        <v>80</v>
      </c>
      <c r="E62" t="s">
        <v>81</v>
      </c>
      <c r="F62" t="s">
        <v>58</v>
      </c>
      <c r="G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89</v>
      </c>
      <c r="O62" t="s">
        <v>87</v>
      </c>
      <c r="P62" t="s">
        <v>90</v>
      </c>
      <c r="Q62" t="s">
        <v>91</v>
      </c>
      <c r="R62" t="s">
        <v>92</v>
      </c>
      <c r="S62" t="s">
        <v>81</v>
      </c>
      <c r="T62" t="s">
        <v>93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6B6-1AA1-4D74-A50E-FA7BB77936C1}">
  <dimension ref="A1:T135"/>
  <sheetViews>
    <sheetView tabSelected="1" workbookViewId="0"/>
  </sheetViews>
  <sheetFormatPr defaultRowHeight="15" x14ac:dyDescent="0.25"/>
  <cols>
    <col min="2" max="2" width="9.5703125" bestFit="1" customWidth="1"/>
    <col min="17" max="17" width="9.5703125" bestFit="1" customWidth="1"/>
  </cols>
  <sheetData>
    <row r="1" spans="1:17" x14ac:dyDescent="0.25">
      <c r="A1" t="s">
        <v>50</v>
      </c>
      <c r="B1" t="s">
        <v>51</v>
      </c>
      <c r="C1" t="s">
        <v>52</v>
      </c>
      <c r="E1" t="s">
        <v>184</v>
      </c>
      <c r="F1">
        <v>0.4819</v>
      </c>
      <c r="G1">
        <v>0.76770000000000005</v>
      </c>
      <c r="H1">
        <v>0.98450000000000004</v>
      </c>
      <c r="O1" t="s">
        <v>113</v>
      </c>
    </row>
    <row r="2" spans="1:17" x14ac:dyDescent="0.25">
      <c r="A2" s="9">
        <v>0</v>
      </c>
      <c r="B2" s="9">
        <v>1</v>
      </c>
      <c r="C2">
        <f>0.4819*A2^2-0.7677*A2+0.9845</f>
        <v>0.98450000000000004</v>
      </c>
      <c r="D2" s="13">
        <f>ABS(B2-C2)</f>
        <v>1.5499999999999958E-2</v>
      </c>
      <c r="F2" t="s">
        <v>185</v>
      </c>
      <c r="G2" t="s">
        <v>186</v>
      </c>
      <c r="H2" t="s">
        <v>187</v>
      </c>
      <c r="O2" t="s">
        <v>114</v>
      </c>
      <c r="P2" t="s">
        <v>115</v>
      </c>
      <c r="Q2" t="s">
        <v>117</v>
      </c>
    </row>
    <row r="3" spans="1:17" x14ac:dyDescent="0.25">
      <c r="A3" s="17">
        <v>5.2631578947369598E-2</v>
      </c>
      <c r="B3" s="9">
        <v>0.94699999999999995</v>
      </c>
      <c r="C3">
        <f t="shared" ref="C3:C21" si="0">0.4819*A3^2-0.7677*A3+0.9845</f>
        <v>0.94542963988919593</v>
      </c>
      <c r="D3" s="13">
        <f t="shared" ref="D3:D21" si="1">ABS(B3-C3)</f>
        <v>1.5703601108040255E-3</v>
      </c>
      <c r="O3">
        <v>0</v>
      </c>
      <c r="P3" s="4">
        <v>1.2250000000000001</v>
      </c>
      <c r="Q3">
        <v>31150</v>
      </c>
    </row>
    <row r="4" spans="1:17" x14ac:dyDescent="0.25">
      <c r="A4" s="17">
        <v>0.105263157894738</v>
      </c>
      <c r="B4" s="9">
        <v>0.90400000000000003</v>
      </c>
      <c r="C4">
        <f t="shared" si="0"/>
        <v>0.90902908587257547</v>
      </c>
      <c r="D4" s="13">
        <f t="shared" si="1"/>
        <v>5.029085872575445E-3</v>
      </c>
      <c r="O4">
        <v>2</v>
      </c>
      <c r="P4" s="4">
        <v>1.0064900000000001</v>
      </c>
      <c r="Q4" s="1">
        <f>Q3*(P4/P3)^0.75</f>
        <v>26882.093215067158</v>
      </c>
    </row>
    <row r="5" spans="1:17" x14ac:dyDescent="0.25">
      <c r="A5" s="17">
        <v>0.157894736842107</v>
      </c>
      <c r="B5" s="9">
        <v>0.86399999999999999</v>
      </c>
      <c r="C5">
        <f t="shared" si="0"/>
        <v>0.87529833795013745</v>
      </c>
      <c r="D5" s="13">
        <f t="shared" si="1"/>
        <v>1.129833795013746E-2</v>
      </c>
      <c r="O5">
        <v>4</v>
      </c>
      <c r="P5" s="4">
        <v>0.819129</v>
      </c>
      <c r="Q5" s="1">
        <f t="shared" ref="Q5:Q7" si="2">Q4*(P5/P4)^0.75</f>
        <v>23034.044990239567</v>
      </c>
    </row>
    <row r="6" spans="1:17" x14ac:dyDescent="0.25">
      <c r="A6" s="17">
        <v>0.210526315789475</v>
      </c>
      <c r="B6" s="9">
        <v>0.83099999999999996</v>
      </c>
      <c r="C6">
        <f t="shared" si="0"/>
        <v>0.84423739612188298</v>
      </c>
      <c r="D6" s="13">
        <f t="shared" si="1"/>
        <v>1.3237396121883016E-2</v>
      </c>
      <c r="O6">
        <v>6</v>
      </c>
      <c r="P6" s="4">
        <v>0.65969699999999998</v>
      </c>
      <c r="Q6" s="1">
        <f t="shared" si="2"/>
        <v>19582.330059156411</v>
      </c>
    </row>
    <row r="7" spans="1:17" x14ac:dyDescent="0.25">
      <c r="A7" s="17">
        <v>0.26315789473684298</v>
      </c>
      <c r="B7" s="9">
        <v>0.80800000000000005</v>
      </c>
      <c r="C7">
        <f t="shared" si="0"/>
        <v>0.81584626038781116</v>
      </c>
      <c r="D7" s="13">
        <f t="shared" si="1"/>
        <v>7.8462603878111103E-3</v>
      </c>
      <c r="O7">
        <v>8</v>
      </c>
      <c r="P7" s="4">
        <v>0.52516799999999997</v>
      </c>
      <c r="Q7" s="1">
        <f t="shared" si="2"/>
        <v>16503.63750653201</v>
      </c>
    </row>
    <row r="8" spans="1:17" x14ac:dyDescent="0.25">
      <c r="A8" s="17">
        <v>0.31578947368421201</v>
      </c>
      <c r="B8" s="9">
        <v>0.78839999999999999</v>
      </c>
      <c r="C8">
        <f t="shared" si="0"/>
        <v>0.79012493074792178</v>
      </c>
      <c r="D8" s="13">
        <f t="shared" si="1"/>
        <v>1.7249307479217935E-3</v>
      </c>
    </row>
    <row r="9" spans="1:17" x14ac:dyDescent="0.25">
      <c r="A9" s="17">
        <v>0.36842105263157998</v>
      </c>
      <c r="B9" s="9">
        <v>0.77229999999999999</v>
      </c>
      <c r="C9">
        <f t="shared" si="0"/>
        <v>0.76707340720221562</v>
      </c>
      <c r="D9" s="13">
        <f t="shared" si="1"/>
        <v>5.2265927977843685E-3</v>
      </c>
    </row>
    <row r="10" spans="1:17" x14ac:dyDescent="0.25">
      <c r="A10" s="17">
        <v>0.42105263157894801</v>
      </c>
      <c r="B10" s="9">
        <v>0.75600000000000001</v>
      </c>
      <c r="C10">
        <f t="shared" si="0"/>
        <v>0.74669168975069233</v>
      </c>
      <c r="D10" s="13">
        <f t="shared" si="1"/>
        <v>9.3083102493076719E-3</v>
      </c>
      <c r="O10" t="s">
        <v>114</v>
      </c>
      <c r="P10" t="s">
        <v>116</v>
      </c>
    </row>
    <row r="11" spans="1:17" x14ac:dyDescent="0.25">
      <c r="A11" s="17">
        <v>0.47368421052631698</v>
      </c>
      <c r="B11" s="9">
        <v>0.73799999999999999</v>
      </c>
      <c r="C11">
        <f t="shared" si="0"/>
        <v>0.72897977839335149</v>
      </c>
      <c r="D11" s="13">
        <f t="shared" si="1"/>
        <v>9.0202216066485041E-3</v>
      </c>
      <c r="O11">
        <v>0</v>
      </c>
      <c r="P11">
        <v>340.29399999999998</v>
      </c>
    </row>
    <row r="12" spans="1:17" x14ac:dyDescent="0.25">
      <c r="A12" s="17">
        <v>0.52631578947368496</v>
      </c>
      <c r="B12" s="9">
        <v>0.71899999999999997</v>
      </c>
      <c r="C12">
        <f t="shared" si="0"/>
        <v>0.71393767313019374</v>
      </c>
      <c r="D12" s="13">
        <f t="shared" si="1"/>
        <v>5.0623268698062329E-3</v>
      </c>
      <c r="O12">
        <v>2</v>
      </c>
      <c r="P12">
        <v>332.529</v>
      </c>
    </row>
    <row r="13" spans="1:17" x14ac:dyDescent="0.25">
      <c r="A13" s="17">
        <v>0.57894736842105299</v>
      </c>
      <c r="B13" s="9">
        <v>0.70299999999999996</v>
      </c>
      <c r="C13">
        <f t="shared" si="0"/>
        <v>0.70156537396121876</v>
      </c>
      <c r="D13" s="13">
        <f t="shared" si="1"/>
        <v>1.4346260387811949E-3</v>
      </c>
      <c r="O13">
        <v>4</v>
      </c>
      <c r="P13">
        <v>324.57900000000001</v>
      </c>
    </row>
    <row r="14" spans="1:17" x14ac:dyDescent="0.25">
      <c r="A14" s="17">
        <v>0.63157894736842202</v>
      </c>
      <c r="B14" s="9">
        <v>0.69010000000000005</v>
      </c>
      <c r="C14">
        <f t="shared" si="0"/>
        <v>0.69186288088642645</v>
      </c>
      <c r="D14" s="13">
        <f t="shared" si="1"/>
        <v>1.762880886426399E-3</v>
      </c>
      <c r="O14">
        <v>6</v>
      </c>
      <c r="P14">
        <v>316.428</v>
      </c>
    </row>
    <row r="15" spans="1:17" x14ac:dyDescent="0.25">
      <c r="A15" s="17">
        <v>0.68421052631579005</v>
      </c>
      <c r="B15" s="9">
        <v>0.68500000000000005</v>
      </c>
      <c r="C15">
        <f t="shared" si="0"/>
        <v>0.68483019390581712</v>
      </c>
      <c r="D15" s="13">
        <f t="shared" si="1"/>
        <v>1.698060941829338E-4</v>
      </c>
      <c r="O15">
        <v>8</v>
      </c>
      <c r="P15">
        <v>308.06299999999999</v>
      </c>
    </row>
    <row r="16" spans="1:17" x14ac:dyDescent="0.25">
      <c r="A16" s="17">
        <v>0.73684210526315896</v>
      </c>
      <c r="B16" s="9">
        <v>0.67900000000000005</v>
      </c>
      <c r="C16">
        <f t="shared" si="0"/>
        <v>0.68046731301939056</v>
      </c>
      <c r="D16" s="13">
        <f t="shared" si="1"/>
        <v>1.4673130193905148E-3</v>
      </c>
    </row>
    <row r="17" spans="1:20" x14ac:dyDescent="0.25">
      <c r="A17" s="17">
        <v>0.78947368421052699</v>
      </c>
      <c r="B17" s="9">
        <v>0.67800000000000005</v>
      </c>
      <c r="C17">
        <f t="shared" si="0"/>
        <v>0.67877423822714678</v>
      </c>
      <c r="D17" s="13">
        <f t="shared" si="1"/>
        <v>7.7423822714672852E-4</v>
      </c>
    </row>
    <row r="18" spans="1:20" x14ac:dyDescent="0.25">
      <c r="A18" s="17">
        <v>0.84210526315789502</v>
      </c>
      <c r="B18" s="9">
        <v>0.67600000000000005</v>
      </c>
      <c r="C18">
        <f t="shared" si="0"/>
        <v>0.67975096952908576</v>
      </c>
      <c r="D18" s="13">
        <f t="shared" si="1"/>
        <v>3.7509695290857126E-3</v>
      </c>
    </row>
    <row r="19" spans="1:20" x14ac:dyDescent="0.25">
      <c r="A19" s="17">
        <v>0.85</v>
      </c>
      <c r="B19" s="9">
        <f>1.6132*A19^4-3.0412*A19^3+2.3203*A19^2-1.1418*A19+1.0017</f>
        <v>0.68201028250000006</v>
      </c>
      <c r="C19">
        <f t="shared" si="0"/>
        <v>0.68012775000000003</v>
      </c>
      <c r="D19" s="13">
        <f t="shared" si="1"/>
        <v>1.8825325000000337E-3</v>
      </c>
    </row>
    <row r="20" spans="1:20" x14ac:dyDescent="0.25">
      <c r="A20" s="17">
        <v>0.85789473684210504</v>
      </c>
      <c r="B20" s="9">
        <f t="shared" ref="B20:B21" si="3">1.6132*A20^4-3.0412*A20^3+2.3203*A20^2-1.1418*A20+1.0017</f>
        <v>0.68348021577428075</v>
      </c>
      <c r="C20">
        <f t="shared" si="0"/>
        <v>0.6805646011080333</v>
      </c>
      <c r="D20" s="13">
        <f t="shared" si="1"/>
        <v>2.9156146662474569E-3</v>
      </c>
    </row>
    <row r="21" spans="1:20" x14ac:dyDescent="0.25">
      <c r="A21" s="17">
        <v>0.86578947368421</v>
      </c>
      <c r="B21" s="9">
        <f t="shared" si="3"/>
        <v>0.68515171943725506</v>
      </c>
      <c r="C21">
        <f t="shared" si="0"/>
        <v>0.68106152285318555</v>
      </c>
      <c r="D21" s="13">
        <f t="shared" si="1"/>
        <v>4.0901965840695054E-3</v>
      </c>
    </row>
    <row r="23" spans="1:20" x14ac:dyDescent="0.25">
      <c r="B23">
        <f>1/19</f>
        <v>5.2631578947368418E-2</v>
      </c>
      <c r="R23" t="s">
        <v>122</v>
      </c>
      <c r="S23" t="s">
        <v>123</v>
      </c>
    </row>
    <row r="24" spans="1:20" x14ac:dyDescent="0.25">
      <c r="R24">
        <v>10000</v>
      </c>
      <c r="S24">
        <f>T24</f>
        <v>0.42799999999999999</v>
      </c>
      <c r="T24">
        <v>0.42799999999999999</v>
      </c>
    </row>
    <row r="25" spans="1:20" x14ac:dyDescent="0.25">
      <c r="B25" s="7" t="s">
        <v>53</v>
      </c>
      <c r="D25" t="s">
        <v>109</v>
      </c>
      <c r="E25">
        <f>P11</f>
        <v>340.29399999999998</v>
      </c>
      <c r="F25" t="s">
        <v>110</v>
      </c>
      <c r="R25">
        <v>8900</v>
      </c>
      <c r="S25">
        <f t="shared" ref="S25:S31" si="4">T25</f>
        <v>0.41399999999999998</v>
      </c>
      <c r="T25">
        <v>0.41399999999999998</v>
      </c>
    </row>
    <row r="26" spans="1:20" x14ac:dyDescent="0.25">
      <c r="R26">
        <v>7100</v>
      </c>
      <c r="S26">
        <f t="shared" si="4"/>
        <v>0.39500000000000002</v>
      </c>
      <c r="T26">
        <v>0.39500000000000002</v>
      </c>
    </row>
    <row r="27" spans="1:20" x14ac:dyDescent="0.25">
      <c r="B27" t="s">
        <v>54</v>
      </c>
      <c r="E27">
        <f>Q3</f>
        <v>31150</v>
      </c>
      <c r="G27" t="s">
        <v>112</v>
      </c>
      <c r="R27">
        <v>5650</v>
      </c>
      <c r="S27">
        <f t="shared" si="4"/>
        <v>0.378</v>
      </c>
      <c r="T27">
        <v>0.378</v>
      </c>
    </row>
    <row r="28" spans="1:20" x14ac:dyDescent="0.25">
      <c r="A28" t="s">
        <v>50</v>
      </c>
      <c r="B28" t="s">
        <v>55</v>
      </c>
      <c r="C28" t="s">
        <v>111</v>
      </c>
      <c r="R28">
        <v>4500</v>
      </c>
      <c r="S28">
        <f t="shared" si="4"/>
        <v>0.36499999999999999</v>
      </c>
      <c r="T28">
        <v>0.36499999999999999</v>
      </c>
    </row>
    <row r="29" spans="1:20" x14ac:dyDescent="0.25">
      <c r="A29">
        <v>0</v>
      </c>
      <c r="B29" s="1">
        <f>($F$1*A29^2-$G$1*A29+$H$1)*$E$27+482</f>
        <v>31149.175000000003</v>
      </c>
      <c r="C29" s="1">
        <f>A29*$E$25</f>
        <v>0</v>
      </c>
      <c r="R29">
        <v>3550</v>
      </c>
      <c r="S29">
        <f t="shared" si="4"/>
        <v>0.35499999999999998</v>
      </c>
      <c r="T29">
        <v>0.35499999999999998</v>
      </c>
    </row>
    <row r="30" spans="1:20" x14ac:dyDescent="0.25">
      <c r="A30">
        <v>0.15</v>
      </c>
      <c r="B30" s="1">
        <f t="shared" ref="B30:B47" si="5">($F$1*A30^2-$G$1*A30+$H$1)*$E$27+482</f>
        <v>27899.848412500003</v>
      </c>
      <c r="C30" s="1">
        <f t="shared" ref="C30:C47" si="6">A30*$E$25</f>
        <v>51.044099999999993</v>
      </c>
      <c r="E30" s="38" t="s">
        <v>181</v>
      </c>
      <c r="F30" s="39"/>
      <c r="R30">
        <v>2750</v>
      </c>
      <c r="S30">
        <f t="shared" si="4"/>
        <v>0.35599999999999998</v>
      </c>
      <c r="T30">
        <v>0.35599999999999998</v>
      </c>
    </row>
    <row r="31" spans="1:20" x14ac:dyDescent="0.25">
      <c r="A31">
        <v>0.2</v>
      </c>
      <c r="B31" s="1">
        <f t="shared" si="5"/>
        <v>26966.8514</v>
      </c>
      <c r="C31" s="1">
        <f t="shared" si="6"/>
        <v>68.058800000000005</v>
      </c>
      <c r="E31" s="39" t="s">
        <v>182</v>
      </c>
      <c r="F31" s="39" t="s">
        <v>183</v>
      </c>
      <c r="R31">
        <v>2000</v>
      </c>
      <c r="S31">
        <f t="shared" si="4"/>
        <v>0.36</v>
      </c>
      <c r="T31">
        <v>0.36</v>
      </c>
    </row>
    <row r="32" spans="1:20" x14ac:dyDescent="0.25">
      <c r="A32">
        <v>0.3</v>
      </c>
      <c r="B32" s="1">
        <f t="shared" si="5"/>
        <v>25326.025149999998</v>
      </c>
      <c r="C32" s="1">
        <f t="shared" si="6"/>
        <v>102.08819999999999</v>
      </c>
      <c r="E32" s="39">
        <f>0.395*31150/4.448</f>
        <v>2766.2432553956833</v>
      </c>
      <c r="F32" s="39">
        <f>E32/2.205*(1/3600)</f>
        <v>0.34848113572633949</v>
      </c>
    </row>
    <row r="33" spans="1:19" x14ac:dyDescent="0.25">
      <c r="A33">
        <v>0.35</v>
      </c>
      <c r="B33" s="1">
        <f t="shared" si="5"/>
        <v>24618.195912499999</v>
      </c>
      <c r="C33" s="1">
        <f t="shared" si="6"/>
        <v>119.10289999999999</v>
      </c>
      <c r="S33" s="33" t="s">
        <v>124</v>
      </c>
    </row>
    <row r="34" spans="1:19" x14ac:dyDescent="0.25">
      <c r="A34">
        <v>0.41</v>
      </c>
      <c r="B34" s="1">
        <f t="shared" si="5"/>
        <v>23867.874648500001</v>
      </c>
      <c r="C34" s="1">
        <f t="shared" si="6"/>
        <v>139.52053999999998</v>
      </c>
      <c r="S34" s="33" t="s">
        <v>125</v>
      </c>
    </row>
    <row r="35" spans="1:19" x14ac:dyDescent="0.25">
      <c r="A35">
        <v>0.44</v>
      </c>
      <c r="B35" s="1">
        <f t="shared" si="5"/>
        <v>23533.244215999999</v>
      </c>
      <c r="C35" s="1">
        <f t="shared" si="6"/>
        <v>149.72935999999999</v>
      </c>
    </row>
    <row r="36" spans="1:19" x14ac:dyDescent="0.25">
      <c r="A36">
        <v>0.47</v>
      </c>
      <c r="B36" s="1">
        <f t="shared" si="5"/>
        <v>23225.633916499999</v>
      </c>
      <c r="C36" s="1">
        <f t="shared" si="6"/>
        <v>159.93817999999999</v>
      </c>
      <c r="R36">
        <v>10000</v>
      </c>
      <c r="S36" s="13">
        <f>(-0.000000000002*R36^3+0.0000000441*R36^2-0.0002*R36+3.8701)/10</f>
        <v>0.42801</v>
      </c>
    </row>
    <row r="37" spans="1:19" x14ac:dyDescent="0.25">
      <c r="A37">
        <v>0.5</v>
      </c>
      <c r="B37" s="1">
        <f t="shared" si="5"/>
        <v>22945.043750000001</v>
      </c>
      <c r="C37" s="1">
        <f t="shared" si="6"/>
        <v>170.14699999999999</v>
      </c>
      <c r="R37">
        <v>8900</v>
      </c>
      <c r="S37" s="13">
        <f t="shared" ref="S37:S43" si="7">(-0.000000000002*R37^3+0.0000000441*R37^2-0.0002*R37+3.8701)/10</f>
        <v>0.41733229999999999</v>
      </c>
    </row>
    <row r="38" spans="1:19" x14ac:dyDescent="0.25">
      <c r="A38">
        <v>0.53</v>
      </c>
      <c r="B38" s="1">
        <f t="shared" si="5"/>
        <v>22691.473716500001</v>
      </c>
      <c r="C38" s="1">
        <f t="shared" si="6"/>
        <v>180.35581999999999</v>
      </c>
      <c r="R38">
        <v>7100</v>
      </c>
      <c r="S38" s="13">
        <f t="shared" si="7"/>
        <v>0.39573589999999997</v>
      </c>
    </row>
    <row r="39" spans="1:19" x14ac:dyDescent="0.25">
      <c r="A39">
        <v>0.56000000000000005</v>
      </c>
      <c r="B39" s="1">
        <f t="shared" si="5"/>
        <v>22464.923815999999</v>
      </c>
      <c r="C39" s="1">
        <f t="shared" si="6"/>
        <v>190.56464</v>
      </c>
      <c r="R39">
        <v>5650</v>
      </c>
      <c r="S39" s="13">
        <f t="shared" si="7"/>
        <v>0.37871579999999999</v>
      </c>
    </row>
    <row r="40" spans="1:19" x14ac:dyDescent="0.25">
      <c r="A40">
        <v>0.59</v>
      </c>
      <c r="B40" s="1">
        <f t="shared" si="5"/>
        <v>22265.394048500002</v>
      </c>
      <c r="C40" s="1">
        <f t="shared" si="6"/>
        <v>200.77345999999997</v>
      </c>
      <c r="R40">
        <v>4500</v>
      </c>
      <c r="S40" s="13">
        <f t="shared" si="7"/>
        <v>0.36808750000000001</v>
      </c>
    </row>
    <row r="41" spans="1:19" x14ac:dyDescent="0.25">
      <c r="A41">
        <v>0.62</v>
      </c>
      <c r="B41" s="1">
        <f t="shared" si="5"/>
        <v>22092.884414</v>
      </c>
      <c r="C41" s="1">
        <f t="shared" si="6"/>
        <v>210.98227999999997</v>
      </c>
      <c r="R41">
        <v>3550</v>
      </c>
      <c r="S41" s="13">
        <f t="shared" si="7"/>
        <v>0.36263924999999997</v>
      </c>
    </row>
    <row r="42" spans="1:19" x14ac:dyDescent="0.25">
      <c r="A42">
        <v>0.65</v>
      </c>
      <c r="B42" s="1">
        <f t="shared" si="5"/>
        <v>21947.394912500004</v>
      </c>
      <c r="C42" s="1">
        <f t="shared" si="6"/>
        <v>221.19110000000001</v>
      </c>
      <c r="R42">
        <v>2750</v>
      </c>
      <c r="S42" s="13">
        <f t="shared" si="7"/>
        <v>0.36120124999999997</v>
      </c>
    </row>
    <row r="43" spans="1:19" x14ac:dyDescent="0.25">
      <c r="A43">
        <v>0.68</v>
      </c>
      <c r="B43" s="1">
        <f t="shared" si="5"/>
        <v>21828.925544000002</v>
      </c>
      <c r="C43" s="1">
        <f t="shared" si="6"/>
        <v>231.39992000000001</v>
      </c>
      <c r="R43">
        <v>2000</v>
      </c>
      <c r="S43" s="13">
        <f t="shared" si="7"/>
        <v>0.36304999999999998</v>
      </c>
    </row>
    <row r="44" spans="1:19" x14ac:dyDescent="0.25">
      <c r="A44">
        <v>0.71</v>
      </c>
      <c r="B44" s="1">
        <f t="shared" si="5"/>
        <v>21737.476308500005</v>
      </c>
      <c r="C44" s="1">
        <f t="shared" si="6"/>
        <v>241.60873999999998</v>
      </c>
    </row>
    <row r="45" spans="1:19" x14ac:dyDescent="0.25">
      <c r="A45">
        <v>0.74</v>
      </c>
      <c r="B45" s="1">
        <f t="shared" si="5"/>
        <v>21673.047206000003</v>
      </c>
      <c r="C45" s="1">
        <f t="shared" si="6"/>
        <v>251.81755999999999</v>
      </c>
    </row>
    <row r="46" spans="1:19" x14ac:dyDescent="0.25">
      <c r="A46">
        <v>0.77</v>
      </c>
      <c r="B46" s="1">
        <f t="shared" si="5"/>
        <v>21635.638236500003</v>
      </c>
      <c r="C46" s="1">
        <f t="shared" si="6"/>
        <v>262.02638000000002</v>
      </c>
    </row>
    <row r="47" spans="1:19" x14ac:dyDescent="0.25">
      <c r="A47">
        <v>0.8</v>
      </c>
      <c r="B47" s="1">
        <f t="shared" si="5"/>
        <v>21625.249400000004</v>
      </c>
      <c r="C47" s="1">
        <f t="shared" si="6"/>
        <v>272.23520000000002</v>
      </c>
    </row>
    <row r="49" spans="1:8" x14ac:dyDescent="0.25">
      <c r="B49" t="s">
        <v>119</v>
      </c>
      <c r="E49" s="1">
        <f>Q4</f>
        <v>26882.093215067158</v>
      </c>
      <c r="G49" t="s">
        <v>112</v>
      </c>
      <c r="H49">
        <f>P12</f>
        <v>332.529</v>
      </c>
    </row>
    <row r="50" spans="1:8" x14ac:dyDescent="0.25">
      <c r="A50" t="s">
        <v>50</v>
      </c>
      <c r="B50" t="s">
        <v>55</v>
      </c>
      <c r="C50" t="s">
        <v>111</v>
      </c>
    </row>
    <row r="51" spans="1:8" x14ac:dyDescent="0.25">
      <c r="A51">
        <v>0</v>
      </c>
      <c r="B51" s="1">
        <f>($F$1*A51^2-$G$1*A51+$H$1)*$E$49+482</f>
        <v>26947.420770233617</v>
      </c>
      <c r="C51" s="1">
        <f>A51*$H$49</f>
        <v>0</v>
      </c>
    </row>
    <row r="52" spans="1:8" x14ac:dyDescent="0.25">
      <c r="A52">
        <v>0.15</v>
      </c>
      <c r="B52" s="1">
        <f t="shared" ref="B52:B69" si="8">($F$1*A52^2-$G$1*A52+$H$1)*$E$49+482</f>
        <v>24143.28914226023</v>
      </c>
      <c r="C52" s="1">
        <f t="shared" ref="C52:C69" si="9">A52*$H$49</f>
        <v>49.879349999999995</v>
      </c>
    </row>
    <row r="53" spans="1:8" x14ac:dyDescent="0.25">
      <c r="A53">
        <v>0.2</v>
      </c>
      <c r="B53" s="1">
        <f t="shared" si="8"/>
        <v>23338.12340680584</v>
      </c>
      <c r="C53" s="1">
        <f t="shared" si="9"/>
        <v>66.505800000000008</v>
      </c>
    </row>
    <row r="54" spans="1:8" x14ac:dyDescent="0.25">
      <c r="A54">
        <v>0.3</v>
      </c>
      <c r="B54" s="1">
        <f t="shared" si="8"/>
        <v>21922.109146702176</v>
      </c>
      <c r="C54" s="1">
        <f t="shared" si="9"/>
        <v>99.75869999999999</v>
      </c>
    </row>
    <row r="55" spans="1:8" x14ac:dyDescent="0.25">
      <c r="A55">
        <v>0.35</v>
      </c>
      <c r="B55" s="1">
        <f t="shared" si="8"/>
        <v>21311.260622052901</v>
      </c>
      <c r="C55" s="1">
        <f t="shared" si="9"/>
        <v>116.38515</v>
      </c>
    </row>
    <row r="56" spans="1:8" x14ac:dyDescent="0.25">
      <c r="A56">
        <v>0.41</v>
      </c>
      <c r="B56" s="1">
        <f t="shared" si="8"/>
        <v>20663.741965228022</v>
      </c>
      <c r="C56" s="1">
        <f t="shared" si="9"/>
        <v>136.33688999999998</v>
      </c>
    </row>
    <row r="57" spans="1:8" x14ac:dyDescent="0.25">
      <c r="A57">
        <v>0.44</v>
      </c>
      <c r="B57" s="1">
        <f t="shared" si="8"/>
        <v>20374.959734760501</v>
      </c>
      <c r="C57" s="1">
        <f t="shared" si="9"/>
        <v>146.31276</v>
      </c>
    </row>
    <row r="58" spans="1:8" x14ac:dyDescent="0.25">
      <c r="A58">
        <v>0.47</v>
      </c>
      <c r="B58" s="1">
        <f t="shared" si="8"/>
        <v>20109.495569589599</v>
      </c>
      <c r="C58" s="1">
        <f t="shared" si="9"/>
        <v>156.28862999999998</v>
      </c>
    </row>
    <row r="59" spans="1:8" x14ac:dyDescent="0.25">
      <c r="A59">
        <v>0.5</v>
      </c>
      <c r="B59" s="1">
        <f t="shared" si="8"/>
        <v>19867.349469715304</v>
      </c>
      <c r="C59" s="1">
        <f t="shared" si="9"/>
        <v>166.2645</v>
      </c>
    </row>
    <row r="60" spans="1:8" x14ac:dyDescent="0.25">
      <c r="A60">
        <v>0.53</v>
      </c>
      <c r="B60" s="1">
        <f t="shared" si="8"/>
        <v>19648.521435137623</v>
      </c>
      <c r="C60" s="1">
        <f t="shared" si="9"/>
        <v>176.24037000000001</v>
      </c>
    </row>
    <row r="61" spans="1:8" x14ac:dyDescent="0.25">
      <c r="A61">
        <v>0.56000000000000005</v>
      </c>
      <c r="B61" s="1">
        <f t="shared" si="8"/>
        <v>19453.011465856558</v>
      </c>
      <c r="C61" s="1">
        <f t="shared" si="9"/>
        <v>186.21624000000003</v>
      </c>
    </row>
    <row r="62" spans="1:8" x14ac:dyDescent="0.25">
      <c r="A62">
        <v>0.59</v>
      </c>
      <c r="B62" s="1">
        <f t="shared" si="8"/>
        <v>19280.819561872111</v>
      </c>
      <c r="C62" s="1">
        <f t="shared" si="9"/>
        <v>196.19210999999999</v>
      </c>
    </row>
    <row r="63" spans="1:8" x14ac:dyDescent="0.25">
      <c r="A63">
        <v>0.62</v>
      </c>
      <c r="B63" s="1">
        <f t="shared" si="8"/>
        <v>19131.945723184268</v>
      </c>
      <c r="C63" s="1">
        <f t="shared" si="9"/>
        <v>206.16798</v>
      </c>
    </row>
    <row r="64" spans="1:8" x14ac:dyDescent="0.25">
      <c r="A64">
        <v>0.65</v>
      </c>
      <c r="B64" s="1">
        <f t="shared" si="8"/>
        <v>19006.389949793047</v>
      </c>
      <c r="C64" s="1">
        <f t="shared" si="9"/>
        <v>216.14385000000001</v>
      </c>
    </row>
    <row r="65" spans="1:8" x14ac:dyDescent="0.25">
      <c r="A65">
        <v>0.68</v>
      </c>
      <c r="B65" s="1">
        <f t="shared" si="8"/>
        <v>18904.152241698433</v>
      </c>
      <c r="C65" s="1">
        <f t="shared" si="9"/>
        <v>226.11972</v>
      </c>
    </row>
    <row r="66" spans="1:8" x14ac:dyDescent="0.25">
      <c r="A66">
        <v>0.71</v>
      </c>
      <c r="B66" s="1">
        <f t="shared" si="8"/>
        <v>18825.232598900438</v>
      </c>
      <c r="C66" s="1">
        <f t="shared" si="9"/>
        <v>236.09558999999999</v>
      </c>
    </row>
    <row r="67" spans="1:8" x14ac:dyDescent="0.25">
      <c r="A67">
        <v>0.74</v>
      </c>
      <c r="B67" s="1">
        <f t="shared" si="8"/>
        <v>18769.631021399055</v>
      </c>
      <c r="C67" s="1">
        <f t="shared" si="9"/>
        <v>246.07146</v>
      </c>
    </row>
    <row r="68" spans="1:8" x14ac:dyDescent="0.25">
      <c r="A68">
        <v>0.77</v>
      </c>
      <c r="B68" s="1">
        <f t="shared" si="8"/>
        <v>18737.347509194282</v>
      </c>
      <c r="C68" s="1">
        <f t="shared" si="9"/>
        <v>256.04732999999999</v>
      </c>
    </row>
    <row r="69" spans="1:8" x14ac:dyDescent="0.25">
      <c r="A69">
        <v>0.8</v>
      </c>
      <c r="B69" s="1">
        <f t="shared" si="8"/>
        <v>18728.382062286128</v>
      </c>
      <c r="C69" s="1">
        <f t="shared" si="9"/>
        <v>266.02320000000003</v>
      </c>
    </row>
    <row r="71" spans="1:8" x14ac:dyDescent="0.25">
      <c r="B71" t="s">
        <v>120</v>
      </c>
      <c r="E71" s="1">
        <f>Q5</f>
        <v>23034.044990239567</v>
      </c>
      <c r="G71" t="s">
        <v>112</v>
      </c>
      <c r="H71">
        <f>P13</f>
        <v>324.57900000000001</v>
      </c>
    </row>
    <row r="72" spans="1:8" x14ac:dyDescent="0.25">
      <c r="A72" t="s">
        <v>50</v>
      </c>
      <c r="B72" t="s">
        <v>55</v>
      </c>
      <c r="C72" t="s">
        <v>111</v>
      </c>
    </row>
    <row r="73" spans="1:8" x14ac:dyDescent="0.25">
      <c r="A73">
        <v>0</v>
      </c>
      <c r="B73" s="1">
        <f>($F$1*A73^2-$G$1*A73+$H$1)*$E$71+482</f>
        <v>23159.017292890854</v>
      </c>
      <c r="C73" s="1">
        <f>A73*$H$71</f>
        <v>0</v>
      </c>
    </row>
    <row r="74" spans="1:8" x14ac:dyDescent="0.25">
      <c r="A74">
        <v>0.15</v>
      </c>
      <c r="B74" s="1">
        <f t="shared" ref="B74:B91" si="10">($F$1*A74^2-$G$1*A74+$H$1)*$E$71+482</f>
        <v>20756.284233357736</v>
      </c>
      <c r="C74" s="1">
        <f t="shared" ref="C74:C91" si="11">A74*$H$71</f>
        <v>48.68685</v>
      </c>
    </row>
    <row r="75" spans="1:8" x14ac:dyDescent="0.25">
      <c r="A75">
        <v>0.2</v>
      </c>
      <c r="B75" s="1">
        <f t="shared" si="10"/>
        <v>20066.374276321327</v>
      </c>
      <c r="C75" s="1">
        <f t="shared" si="11"/>
        <v>64.915800000000004</v>
      </c>
    </row>
    <row r="76" spans="1:8" x14ac:dyDescent="0.25">
      <c r="A76">
        <v>0.3</v>
      </c>
      <c r="B76" s="1">
        <f t="shared" si="10"/>
        <v>18853.055956460459</v>
      </c>
      <c r="C76" s="1">
        <f t="shared" si="11"/>
        <v>97.373699999999999</v>
      </c>
    </row>
    <row r="77" spans="1:8" x14ac:dyDescent="0.25">
      <c r="A77">
        <v>0.35</v>
      </c>
      <c r="B77" s="1">
        <f t="shared" si="10"/>
        <v>18329.647593635997</v>
      </c>
      <c r="C77" s="1">
        <f t="shared" si="11"/>
        <v>113.60265</v>
      </c>
    </row>
    <row r="78" spans="1:8" x14ac:dyDescent="0.25">
      <c r="A78">
        <v>0.41</v>
      </c>
      <c r="B78" s="1">
        <f t="shared" si="10"/>
        <v>17774.818259699899</v>
      </c>
      <c r="C78" s="1">
        <f t="shared" si="11"/>
        <v>133.07739000000001</v>
      </c>
    </row>
    <row r="79" spans="1:8" x14ac:dyDescent="0.25">
      <c r="A79">
        <v>0.44</v>
      </c>
      <c r="B79" s="1">
        <f t="shared" si="10"/>
        <v>17527.373879690003</v>
      </c>
      <c r="C79" s="1">
        <f t="shared" si="11"/>
        <v>142.81476000000001</v>
      </c>
    </row>
    <row r="80" spans="1:8" x14ac:dyDescent="0.25">
      <c r="A80">
        <v>0.47</v>
      </c>
      <c r="B80" s="1">
        <f t="shared" si="10"/>
        <v>17299.90969098554</v>
      </c>
      <c r="C80" s="1">
        <f t="shared" si="11"/>
        <v>152.55213000000001</v>
      </c>
    </row>
    <row r="81" spans="1:8" x14ac:dyDescent="0.25">
      <c r="A81">
        <v>0.5</v>
      </c>
      <c r="B81" s="1">
        <f t="shared" si="10"/>
        <v>17092.425693586509</v>
      </c>
      <c r="C81" s="1">
        <f t="shared" si="11"/>
        <v>162.2895</v>
      </c>
    </row>
    <row r="82" spans="1:8" x14ac:dyDescent="0.25">
      <c r="A82">
        <v>0.53</v>
      </c>
      <c r="B82" s="1">
        <f t="shared" si="10"/>
        <v>16904.92188749291</v>
      </c>
      <c r="C82" s="1">
        <f t="shared" si="11"/>
        <v>172.02687</v>
      </c>
    </row>
    <row r="83" spans="1:8" x14ac:dyDescent="0.25">
      <c r="A83">
        <v>0.56000000000000005</v>
      </c>
      <c r="B83" s="1">
        <f t="shared" si="10"/>
        <v>16737.398272704748</v>
      </c>
      <c r="C83" s="1">
        <f t="shared" si="11"/>
        <v>181.76424000000003</v>
      </c>
    </row>
    <row r="84" spans="1:8" x14ac:dyDescent="0.25">
      <c r="A84">
        <v>0.59</v>
      </c>
      <c r="B84" s="1">
        <f t="shared" si="10"/>
        <v>16589.854849222018</v>
      </c>
      <c r="C84" s="1">
        <f t="shared" si="11"/>
        <v>191.50161</v>
      </c>
    </row>
    <row r="85" spans="1:8" x14ac:dyDescent="0.25">
      <c r="A85">
        <v>0.62</v>
      </c>
      <c r="B85" s="1">
        <f t="shared" si="10"/>
        <v>16462.291617044721</v>
      </c>
      <c r="C85" s="1">
        <f t="shared" si="11"/>
        <v>201.23898</v>
      </c>
    </row>
    <row r="86" spans="1:8" x14ac:dyDescent="0.25">
      <c r="A86">
        <v>0.65</v>
      </c>
      <c r="B86" s="1">
        <f t="shared" si="10"/>
        <v>16354.708576172859</v>
      </c>
      <c r="C86" s="1">
        <f t="shared" si="11"/>
        <v>210.97635000000002</v>
      </c>
    </row>
    <row r="87" spans="1:8" x14ac:dyDescent="0.25">
      <c r="A87">
        <v>0.68</v>
      </c>
      <c r="B87" s="1">
        <f t="shared" si="10"/>
        <v>16267.105726606427</v>
      </c>
      <c r="C87" s="1">
        <f t="shared" si="11"/>
        <v>220.71372000000002</v>
      </c>
    </row>
    <row r="88" spans="1:8" x14ac:dyDescent="0.25">
      <c r="A88">
        <v>0.71</v>
      </c>
      <c r="B88" s="1">
        <f t="shared" si="10"/>
        <v>16199.483068345435</v>
      </c>
      <c r="C88" s="1">
        <f t="shared" si="11"/>
        <v>230.45108999999999</v>
      </c>
    </row>
    <row r="89" spans="1:8" x14ac:dyDescent="0.25">
      <c r="A89">
        <v>0.74</v>
      </c>
      <c r="B89" s="1">
        <f t="shared" si="10"/>
        <v>16151.840601389871</v>
      </c>
      <c r="C89" s="1">
        <f t="shared" si="11"/>
        <v>240.18845999999999</v>
      </c>
    </row>
    <row r="90" spans="1:8" x14ac:dyDescent="0.25">
      <c r="A90">
        <v>0.77</v>
      </c>
      <c r="B90" s="1">
        <f t="shared" si="10"/>
        <v>16124.178325739744</v>
      </c>
      <c r="C90" s="1">
        <f t="shared" si="11"/>
        <v>249.92583000000002</v>
      </c>
    </row>
    <row r="91" spans="1:8" x14ac:dyDescent="0.25">
      <c r="A91">
        <v>0.8</v>
      </c>
      <c r="B91" s="1">
        <f t="shared" si="10"/>
        <v>16116.496241395051</v>
      </c>
      <c r="C91" s="1">
        <f t="shared" si="11"/>
        <v>259.66320000000002</v>
      </c>
    </row>
    <row r="93" spans="1:8" x14ac:dyDescent="0.25">
      <c r="B93" t="s">
        <v>121</v>
      </c>
      <c r="E93" s="1">
        <f>Q6</f>
        <v>19582.330059156411</v>
      </c>
      <c r="G93" t="s">
        <v>112</v>
      </c>
      <c r="H93">
        <f>P14</f>
        <v>316.428</v>
      </c>
    </row>
    <row r="94" spans="1:8" x14ac:dyDescent="0.25">
      <c r="A94" t="s">
        <v>50</v>
      </c>
      <c r="B94" t="s">
        <v>55</v>
      </c>
      <c r="C94" t="s">
        <v>111</v>
      </c>
    </row>
    <row r="95" spans="1:8" x14ac:dyDescent="0.25">
      <c r="A95">
        <v>0</v>
      </c>
      <c r="B95" s="1">
        <f>($F$1*A95^2-$G$1*A95+$H$1)*$E$93+482</f>
        <v>19760.803943239487</v>
      </c>
      <c r="C95" s="1">
        <f>A95*$H$93</f>
        <v>0</v>
      </c>
    </row>
    <row r="96" spans="1:8" x14ac:dyDescent="0.25">
      <c r="A96">
        <v>0.15</v>
      </c>
      <c r="B96" s="1">
        <f t="shared" ref="B96:B113" si="12">($F$1*A96^2-$G$1*A96+$H$1)*$E$93+482</f>
        <v>17718.127034526249</v>
      </c>
      <c r="C96" s="1">
        <f t="shared" ref="C96:C113" si="13">A96*$H$93</f>
        <v>47.464199999999998</v>
      </c>
    </row>
    <row r="97" spans="1:3" x14ac:dyDescent="0.25">
      <c r="A97">
        <v>0.2</v>
      </c>
      <c r="B97" s="1">
        <f t="shared" si="12"/>
        <v>17131.601980176911</v>
      </c>
      <c r="C97" s="1">
        <f t="shared" si="13"/>
        <v>63.285600000000002</v>
      </c>
    </row>
    <row r="98" spans="1:3" x14ac:dyDescent="0.25">
      <c r="A98">
        <v>0.3</v>
      </c>
      <c r="B98" s="1">
        <f t="shared" si="12"/>
        <v>16100.102744310845</v>
      </c>
      <c r="C98" s="1">
        <f t="shared" si="13"/>
        <v>94.928399999999996</v>
      </c>
    </row>
    <row r="99" spans="1:3" x14ac:dyDescent="0.25">
      <c r="A99">
        <v>0.35</v>
      </c>
      <c r="B99" s="1">
        <f t="shared" si="12"/>
        <v>15655.12856279412</v>
      </c>
      <c r="C99" s="1">
        <f t="shared" si="13"/>
        <v>110.74979999999999</v>
      </c>
    </row>
    <row r="100" spans="1:3" x14ac:dyDescent="0.25">
      <c r="A100">
        <v>0.41</v>
      </c>
      <c r="B100" s="1">
        <f t="shared" si="12"/>
        <v>15183.441929020399</v>
      </c>
      <c r="C100" s="1">
        <f t="shared" si="13"/>
        <v>129.73548</v>
      </c>
    </row>
    <row r="101" spans="1:3" x14ac:dyDescent="0.25">
      <c r="A101">
        <v>0.44</v>
      </c>
      <c r="B101" s="1">
        <f t="shared" si="12"/>
        <v>14973.077769243408</v>
      </c>
      <c r="C101" s="1">
        <f t="shared" si="13"/>
        <v>139.22832</v>
      </c>
    </row>
    <row r="102" spans="1:3" x14ac:dyDescent="0.25">
      <c r="A102">
        <v>0.47</v>
      </c>
      <c r="B102" s="1">
        <f t="shared" si="12"/>
        <v>14779.699714206332</v>
      </c>
      <c r="C102" s="1">
        <f t="shared" si="13"/>
        <v>148.72116</v>
      </c>
    </row>
    <row r="103" spans="1:3" x14ac:dyDescent="0.25">
      <c r="A103">
        <v>0.5</v>
      </c>
      <c r="B103" s="1">
        <f t="shared" si="12"/>
        <v>14603.307763909168</v>
      </c>
      <c r="C103" s="1">
        <f t="shared" si="13"/>
        <v>158.214</v>
      </c>
    </row>
    <row r="104" spans="1:3" x14ac:dyDescent="0.25">
      <c r="A104">
        <v>0.53</v>
      </c>
      <c r="B104" s="1">
        <f t="shared" si="12"/>
        <v>14443.901918351916</v>
      </c>
      <c r="C104" s="1">
        <f t="shared" si="13"/>
        <v>167.70684</v>
      </c>
    </row>
    <row r="105" spans="1:3" x14ac:dyDescent="0.25">
      <c r="A105">
        <v>0.56000000000000005</v>
      </c>
      <c r="B105" s="1">
        <f t="shared" si="12"/>
        <v>14301.482177534579</v>
      </c>
      <c r="C105" s="1">
        <f t="shared" si="13"/>
        <v>177.19968000000003</v>
      </c>
    </row>
    <row r="106" spans="1:3" x14ac:dyDescent="0.25">
      <c r="A106">
        <v>0.59</v>
      </c>
      <c r="B106" s="1">
        <f t="shared" si="12"/>
        <v>14176.048541457158</v>
      </c>
      <c r="C106" s="1">
        <f t="shared" si="13"/>
        <v>186.69252</v>
      </c>
    </row>
    <row r="107" spans="1:3" x14ac:dyDescent="0.25">
      <c r="A107">
        <v>0.62</v>
      </c>
      <c r="B107" s="1">
        <f t="shared" si="12"/>
        <v>14067.601010119646</v>
      </c>
      <c r="C107" s="1">
        <f t="shared" si="13"/>
        <v>196.18536</v>
      </c>
    </row>
    <row r="108" spans="1:3" x14ac:dyDescent="0.25">
      <c r="A108">
        <v>0.65</v>
      </c>
      <c r="B108" s="1">
        <f t="shared" si="12"/>
        <v>13976.139583522052</v>
      </c>
      <c r="C108" s="1">
        <f t="shared" si="13"/>
        <v>205.6782</v>
      </c>
    </row>
    <row r="109" spans="1:3" x14ac:dyDescent="0.25">
      <c r="A109">
        <v>0.68</v>
      </c>
      <c r="B109" s="1">
        <f t="shared" si="12"/>
        <v>13901.664261664368</v>
      </c>
      <c r="C109" s="1">
        <f t="shared" si="13"/>
        <v>215.17104</v>
      </c>
    </row>
    <row r="110" spans="1:3" x14ac:dyDescent="0.25">
      <c r="A110">
        <v>0.71</v>
      </c>
      <c r="B110" s="1">
        <f t="shared" si="12"/>
        <v>13844.175044546599</v>
      </c>
      <c r="C110" s="1">
        <f t="shared" si="13"/>
        <v>224.66387999999998</v>
      </c>
    </row>
    <row r="111" spans="1:3" x14ac:dyDescent="0.25">
      <c r="A111">
        <v>0.74</v>
      </c>
      <c r="B111" s="1">
        <f t="shared" si="12"/>
        <v>13803.671932168741</v>
      </c>
      <c r="C111" s="1">
        <f t="shared" si="13"/>
        <v>234.15672000000001</v>
      </c>
    </row>
    <row r="112" spans="1:3" x14ac:dyDescent="0.25">
      <c r="A112">
        <v>0.77</v>
      </c>
      <c r="B112" s="1">
        <f t="shared" si="12"/>
        <v>13780.1549245308</v>
      </c>
      <c r="C112" s="1">
        <f t="shared" si="13"/>
        <v>243.64956000000001</v>
      </c>
    </row>
    <row r="113" spans="1:8" x14ac:dyDescent="0.25">
      <c r="A113">
        <v>0.8</v>
      </c>
      <c r="B113" s="1">
        <f t="shared" si="12"/>
        <v>13773.624021632771</v>
      </c>
      <c r="C113" s="1">
        <f t="shared" si="13"/>
        <v>253.14240000000001</v>
      </c>
    </row>
    <row r="115" spans="1:8" x14ac:dyDescent="0.25">
      <c r="B115" t="s">
        <v>118</v>
      </c>
      <c r="E115" s="1">
        <f>Q7</f>
        <v>16503.63750653201</v>
      </c>
      <c r="G115" t="s">
        <v>112</v>
      </c>
      <c r="H115">
        <f>P15</f>
        <v>308.06299999999999</v>
      </c>
    </row>
    <row r="116" spans="1:8" x14ac:dyDescent="0.25">
      <c r="A116" t="s">
        <v>50</v>
      </c>
      <c r="B116" t="s">
        <v>55</v>
      </c>
      <c r="C116" t="s">
        <v>111</v>
      </c>
    </row>
    <row r="117" spans="1:8" x14ac:dyDescent="0.25">
      <c r="A117">
        <v>0</v>
      </c>
      <c r="B117" s="1">
        <f>($F$1*A117^2-$G$1*A117+$H$1)*$E$115+482</f>
        <v>16729.831125180765</v>
      </c>
      <c r="C117" s="1">
        <f>A117*$H$115</f>
        <v>0</v>
      </c>
    </row>
    <row r="118" spans="1:8" x14ac:dyDescent="0.25">
      <c r="A118">
        <v>0.15</v>
      </c>
      <c r="B118" s="1">
        <f t="shared" ref="B118:B135" si="14">($F$1*A118^2-$G$1*A118+$H$1)*$E$115+482</f>
        <v>15008.299563690021</v>
      </c>
      <c r="C118" s="1">
        <f t="shared" ref="C118:C135" si="15">A118*$H$115</f>
        <v>46.209449999999997</v>
      </c>
    </row>
    <row r="119" spans="1:8" x14ac:dyDescent="0.25">
      <c r="A119">
        <v>0.2</v>
      </c>
      <c r="B119" s="1">
        <f t="shared" si="14"/>
        <v>14513.986739003751</v>
      </c>
      <c r="C119" s="1">
        <f t="shared" si="15"/>
        <v>61.6126</v>
      </c>
    </row>
    <row r="120" spans="1:8" x14ac:dyDescent="0.25">
      <c r="A120">
        <v>0.3</v>
      </c>
      <c r="B120" s="1">
        <f t="shared" si="14"/>
        <v>13644.657633347175</v>
      </c>
      <c r="C120" s="1">
        <f t="shared" si="15"/>
        <v>92.418899999999994</v>
      </c>
    </row>
    <row r="121" spans="1:8" x14ac:dyDescent="0.25">
      <c r="A121">
        <v>0.35</v>
      </c>
      <c r="B121" s="1">
        <f t="shared" si="14"/>
        <v>13269.641352376873</v>
      </c>
      <c r="C121" s="1">
        <f t="shared" si="15"/>
        <v>107.82204999999999</v>
      </c>
    </row>
    <row r="122" spans="1:8" x14ac:dyDescent="0.25">
      <c r="A122">
        <v>0.41</v>
      </c>
      <c r="B122" s="1">
        <f t="shared" si="14"/>
        <v>12872.112294447534</v>
      </c>
      <c r="C122" s="1">
        <f t="shared" si="15"/>
        <v>126.30582999999999</v>
      </c>
    </row>
    <row r="123" spans="1:8" x14ac:dyDescent="0.25">
      <c r="A123">
        <v>0.44</v>
      </c>
      <c r="B123" s="1">
        <f t="shared" si="14"/>
        <v>12694.821143351737</v>
      </c>
      <c r="C123" s="1">
        <f t="shared" si="15"/>
        <v>135.54772</v>
      </c>
    </row>
    <row r="124" spans="1:8" x14ac:dyDescent="0.25">
      <c r="A124">
        <v>0.47</v>
      </c>
      <c r="B124" s="1">
        <f t="shared" si="14"/>
        <v>12531.845577501859</v>
      </c>
      <c r="C124" s="1">
        <f t="shared" si="15"/>
        <v>144.78960999999998</v>
      </c>
    </row>
    <row r="125" spans="1:8" x14ac:dyDescent="0.25">
      <c r="A125">
        <v>0.5</v>
      </c>
      <c r="B125" s="1">
        <f t="shared" si="14"/>
        <v>12383.185596897896</v>
      </c>
      <c r="C125" s="1">
        <f t="shared" si="15"/>
        <v>154.03149999999999</v>
      </c>
    </row>
    <row r="126" spans="1:8" x14ac:dyDescent="0.25">
      <c r="A126">
        <v>0.53</v>
      </c>
      <c r="B126" s="1">
        <f t="shared" si="14"/>
        <v>12248.841201539848</v>
      </c>
      <c r="C126" s="1">
        <f t="shared" si="15"/>
        <v>163.27339000000001</v>
      </c>
    </row>
    <row r="127" spans="1:8" x14ac:dyDescent="0.25">
      <c r="A127">
        <v>0.56000000000000005</v>
      </c>
      <c r="B127" s="1">
        <f t="shared" si="14"/>
        <v>12128.812391427717</v>
      </c>
      <c r="C127" s="1">
        <f t="shared" si="15"/>
        <v>172.51528000000002</v>
      </c>
    </row>
    <row r="128" spans="1:8" x14ac:dyDescent="0.25">
      <c r="A128">
        <v>0.59</v>
      </c>
      <c r="B128" s="1">
        <f t="shared" si="14"/>
        <v>12023.099166561502</v>
      </c>
      <c r="C128" s="1">
        <f t="shared" si="15"/>
        <v>181.75716999999997</v>
      </c>
    </row>
    <row r="129" spans="1:3" x14ac:dyDescent="0.25">
      <c r="A129">
        <v>0.62</v>
      </c>
      <c r="B129" s="1">
        <f t="shared" si="14"/>
        <v>11931.7015269412</v>
      </c>
      <c r="C129" s="1">
        <f t="shared" si="15"/>
        <v>190.99905999999999</v>
      </c>
    </row>
    <row r="130" spans="1:3" x14ac:dyDescent="0.25">
      <c r="A130">
        <v>0.65</v>
      </c>
      <c r="B130" s="1">
        <f t="shared" si="14"/>
        <v>11854.619472566819</v>
      </c>
      <c r="C130" s="1">
        <f t="shared" si="15"/>
        <v>200.24095</v>
      </c>
    </row>
    <row r="131" spans="1:3" x14ac:dyDescent="0.25">
      <c r="A131">
        <v>0.68</v>
      </c>
      <c r="B131" s="1">
        <f t="shared" si="14"/>
        <v>11791.853003438351</v>
      </c>
      <c r="C131" s="1">
        <f t="shared" si="15"/>
        <v>209.48284000000001</v>
      </c>
    </row>
    <row r="132" spans="1:3" x14ac:dyDescent="0.25">
      <c r="A132">
        <v>0.71</v>
      </c>
      <c r="B132" s="1">
        <f t="shared" si="14"/>
        <v>11743.402119555802</v>
      </c>
      <c r="C132" s="1">
        <f t="shared" si="15"/>
        <v>218.72472999999999</v>
      </c>
    </row>
    <row r="133" spans="1:3" x14ac:dyDescent="0.25">
      <c r="A133">
        <v>0.74</v>
      </c>
      <c r="B133" s="1">
        <f t="shared" si="14"/>
        <v>11709.266820919165</v>
      </c>
      <c r="C133" s="1">
        <f t="shared" si="15"/>
        <v>227.96661999999998</v>
      </c>
    </row>
    <row r="134" spans="1:3" x14ac:dyDescent="0.25">
      <c r="A134">
        <v>0.77</v>
      </c>
      <c r="B134" s="1">
        <f t="shared" si="14"/>
        <v>11689.447107528445</v>
      </c>
      <c r="C134" s="1">
        <f t="shared" si="15"/>
        <v>237.20850999999999</v>
      </c>
    </row>
    <row r="135" spans="1:3" x14ac:dyDescent="0.25">
      <c r="A135">
        <v>0.8</v>
      </c>
      <c r="B135" s="1">
        <f t="shared" si="14"/>
        <v>11683.942979383643</v>
      </c>
      <c r="C135" s="1">
        <f t="shared" si="15"/>
        <v>246.4504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60F-FB51-4A12-8E74-F19B84105C13}">
  <dimension ref="A3:G27"/>
  <sheetViews>
    <sheetView topLeftCell="A7" workbookViewId="0">
      <selection activeCell="F29" sqref="F29"/>
    </sheetView>
  </sheetViews>
  <sheetFormatPr defaultRowHeight="15" x14ac:dyDescent="0.25"/>
  <sheetData>
    <row r="3" spans="1:7" x14ac:dyDescent="0.25">
      <c r="A3" t="s">
        <v>95</v>
      </c>
      <c r="B3" s="14">
        <v>0.2</v>
      </c>
    </row>
    <row r="6" spans="1:7" x14ac:dyDescent="0.25">
      <c r="B6" t="s">
        <v>94</v>
      </c>
      <c r="C6">
        <f>1/(C7/4.097)</f>
        <v>0.95948477751756456</v>
      </c>
      <c r="E6" t="s">
        <v>96</v>
      </c>
      <c r="F6" t="s">
        <v>97</v>
      </c>
      <c r="G6" t="s">
        <v>59</v>
      </c>
    </row>
    <row r="7" spans="1:7" x14ac:dyDescent="0.25">
      <c r="A7">
        <v>10.68</v>
      </c>
      <c r="B7">
        <v>6.41</v>
      </c>
      <c r="C7">
        <f>A7-B7</f>
        <v>4.2699999999999996</v>
      </c>
      <c r="D7">
        <f>C7*C$6</f>
        <v>4.0970000000000004</v>
      </c>
      <c r="E7">
        <f>D7*$B$3</f>
        <v>0.81940000000000013</v>
      </c>
      <c r="F7">
        <f>E7+D7</f>
        <v>4.9164000000000003</v>
      </c>
      <c r="G7">
        <f>0.15*D7*0.8</f>
        <v>0.49164000000000008</v>
      </c>
    </row>
    <row r="8" spans="1:7" x14ac:dyDescent="0.25">
      <c r="A8">
        <v>19.52</v>
      </c>
      <c r="B8">
        <v>17.09</v>
      </c>
      <c r="C8">
        <f>A8-B8</f>
        <v>2.4299999999999997</v>
      </c>
      <c r="D8">
        <f>C8*C$6</f>
        <v>2.3315480093676815</v>
      </c>
      <c r="E8">
        <f>D8*$B$3</f>
        <v>0.46630960187353632</v>
      </c>
      <c r="F8">
        <f>E8+D8</f>
        <v>2.7978576112412177</v>
      </c>
      <c r="G8">
        <f>0.15*D8*0.8</f>
        <v>0.27978576112412179</v>
      </c>
    </row>
    <row r="11" spans="1:7" x14ac:dyDescent="0.25">
      <c r="C11" t="s">
        <v>98</v>
      </c>
      <c r="D11" t="s">
        <v>99</v>
      </c>
      <c r="E11" t="s">
        <v>100</v>
      </c>
    </row>
    <row r="12" spans="1:7" x14ac:dyDescent="0.25">
      <c r="B12">
        <f>E7/40</f>
        <v>2.0485000000000003E-2</v>
      </c>
      <c r="C12">
        <f>B12*5</f>
        <v>0.10242500000000002</v>
      </c>
      <c r="D12">
        <f>C12*2</f>
        <v>0.20485000000000003</v>
      </c>
      <c r="E12">
        <f>D12*2</f>
        <v>0.40970000000000006</v>
      </c>
    </row>
    <row r="13" spans="1:7" x14ac:dyDescent="0.25">
      <c r="B13">
        <f>E8/40</f>
        <v>1.1657740046838408E-2</v>
      </c>
      <c r="C13">
        <f>B13*5</f>
        <v>5.828870023419204E-2</v>
      </c>
      <c r="D13">
        <f>C13*2</f>
        <v>0.11657740046838408</v>
      </c>
      <c r="E13">
        <f>D13*2</f>
        <v>0.23315480093676816</v>
      </c>
    </row>
    <row r="14" spans="1:7" x14ac:dyDescent="0.25">
      <c r="A14">
        <v>4.0970000000000004</v>
      </c>
      <c r="B14">
        <v>0</v>
      </c>
      <c r="C14">
        <v>2.33</v>
      </c>
    </row>
    <row r="15" spans="1:7" x14ac:dyDescent="0.25">
      <c r="A15">
        <f>A14+$C$12</f>
        <v>4.1994250000000006</v>
      </c>
      <c r="B15">
        <v>5</v>
      </c>
      <c r="C15">
        <f>C14+$C$13</f>
        <v>2.3882887002341922</v>
      </c>
    </row>
    <row r="16" spans="1:7" x14ac:dyDescent="0.25">
      <c r="A16">
        <f t="shared" ref="A16:A22" si="0">A15+$C$12</f>
        <v>4.3018500000000008</v>
      </c>
      <c r="B16">
        <v>10</v>
      </c>
      <c r="C16">
        <f t="shared" ref="C16:C22" si="1">C15+$C$13</f>
        <v>2.4465774004683842</v>
      </c>
    </row>
    <row r="17" spans="1:6" x14ac:dyDescent="0.25">
      <c r="A17">
        <f t="shared" si="0"/>
        <v>4.4042750000000011</v>
      </c>
      <c r="B17">
        <v>15</v>
      </c>
      <c r="C17">
        <f t="shared" si="1"/>
        <v>2.5048661007025763</v>
      </c>
    </row>
    <row r="18" spans="1:6" x14ac:dyDescent="0.25">
      <c r="A18">
        <f t="shared" si="0"/>
        <v>4.5067000000000013</v>
      </c>
      <c r="B18">
        <v>20</v>
      </c>
      <c r="C18">
        <f t="shared" si="1"/>
        <v>2.5631548009367684</v>
      </c>
    </row>
    <row r="19" spans="1:6" x14ac:dyDescent="0.25">
      <c r="A19">
        <f t="shared" si="0"/>
        <v>4.6091250000000015</v>
      </c>
      <c r="B19">
        <v>25</v>
      </c>
      <c r="C19">
        <f t="shared" si="1"/>
        <v>2.6214435011709605</v>
      </c>
    </row>
    <row r="20" spans="1:6" x14ac:dyDescent="0.25">
      <c r="A20">
        <f t="shared" si="0"/>
        <v>4.7115500000000017</v>
      </c>
      <c r="B20">
        <v>30</v>
      </c>
      <c r="C20">
        <f t="shared" si="1"/>
        <v>2.6797322014051526</v>
      </c>
    </row>
    <row r="21" spans="1:6" x14ac:dyDescent="0.25">
      <c r="A21">
        <f t="shared" si="0"/>
        <v>4.8139750000000019</v>
      </c>
      <c r="B21">
        <v>35</v>
      </c>
      <c r="C21">
        <f t="shared" si="1"/>
        <v>2.7380209016393446</v>
      </c>
    </row>
    <row r="22" spans="1:6" x14ac:dyDescent="0.25">
      <c r="A22">
        <f t="shared" si="0"/>
        <v>4.9164000000000021</v>
      </c>
      <c r="B22">
        <v>40</v>
      </c>
      <c r="C22">
        <f t="shared" si="1"/>
        <v>2.7963096018735367</v>
      </c>
    </row>
    <row r="24" spans="1:6" x14ac:dyDescent="0.25">
      <c r="A24" t="s">
        <v>108</v>
      </c>
      <c r="C24" s="32">
        <f>10%</f>
        <v>0.1</v>
      </c>
    </row>
    <row r="25" spans="1:6" x14ac:dyDescent="0.25">
      <c r="A25">
        <f>0.17*3/2</f>
        <v>0.255</v>
      </c>
      <c r="E25" t="s">
        <v>96</v>
      </c>
      <c r="F25" t="s">
        <v>97</v>
      </c>
    </row>
    <row r="26" spans="1:6" x14ac:dyDescent="0.25">
      <c r="A26">
        <v>9.6199999999999992</v>
      </c>
      <c r="B26">
        <v>7.48</v>
      </c>
      <c r="C26">
        <f>A26-B26</f>
        <v>2.1399999999999988</v>
      </c>
      <c r="D26">
        <f>C26*C$6+A25</f>
        <v>2.3082974238875869</v>
      </c>
      <c r="E26">
        <f>D26*$C$24</f>
        <v>0.2308297423887587</v>
      </c>
      <c r="F26">
        <f>E26+D26</f>
        <v>2.5391271662763457</v>
      </c>
    </row>
    <row r="27" spans="1:6" x14ac:dyDescent="0.25">
      <c r="D27">
        <v>1.1200000000000001</v>
      </c>
      <c r="E27">
        <v>0.2308297423887587</v>
      </c>
      <c r="F27">
        <f>E27+D27</f>
        <v>1.3508297423887587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E47B-B935-4ACE-9A78-0E354D7C0C41}">
  <dimension ref="A1:Z108"/>
  <sheetViews>
    <sheetView workbookViewId="0">
      <selection activeCell="Q14" sqref="Q14"/>
    </sheetView>
  </sheetViews>
  <sheetFormatPr defaultRowHeight="15" x14ac:dyDescent="0.25"/>
  <cols>
    <col min="1" max="16384" width="9.140625" style="35"/>
  </cols>
  <sheetData>
    <row r="1" spans="1:17" x14ac:dyDescent="0.25">
      <c r="A1" s="34" t="s">
        <v>126</v>
      </c>
    </row>
    <row r="3" spans="1:17" x14ac:dyDescent="0.25">
      <c r="B3" s="35" t="s">
        <v>127</v>
      </c>
      <c r="C3" s="35" t="s">
        <v>128</v>
      </c>
      <c r="D3" s="35" t="s">
        <v>129</v>
      </c>
      <c r="E3" s="35" t="s">
        <v>130</v>
      </c>
      <c r="F3" s="35" t="s">
        <v>131</v>
      </c>
      <c r="G3" s="35" t="s">
        <v>132</v>
      </c>
      <c r="H3" s="35" t="s">
        <v>133</v>
      </c>
      <c r="I3" s="35" t="s">
        <v>134</v>
      </c>
    </row>
    <row r="4" spans="1:17" x14ac:dyDescent="0.25">
      <c r="B4" s="35" t="s">
        <v>135</v>
      </c>
      <c r="C4" s="35" t="s">
        <v>136</v>
      </c>
      <c r="D4" s="35" t="s">
        <v>137</v>
      </c>
      <c r="E4" s="35" t="s">
        <v>138</v>
      </c>
      <c r="F4" s="35" t="s">
        <v>139</v>
      </c>
      <c r="G4" s="35" t="s">
        <v>140</v>
      </c>
      <c r="H4" s="35" t="s">
        <v>141</v>
      </c>
      <c r="I4" s="35" t="s">
        <v>132</v>
      </c>
      <c r="J4" s="35" t="s">
        <v>142</v>
      </c>
      <c r="K4" s="35" t="s">
        <v>58</v>
      </c>
      <c r="L4" s="35" t="s">
        <v>141</v>
      </c>
      <c r="M4" s="35" t="s">
        <v>143</v>
      </c>
    </row>
    <row r="5" spans="1:17" x14ac:dyDescent="0.25">
      <c r="B5" s="35" t="s">
        <v>144</v>
      </c>
      <c r="C5" s="35" t="s">
        <v>144</v>
      </c>
      <c r="D5" s="35" t="s">
        <v>145</v>
      </c>
      <c r="E5" s="35" t="s">
        <v>146</v>
      </c>
      <c r="F5" s="35" t="s">
        <v>147</v>
      </c>
      <c r="G5" s="35" t="s">
        <v>148</v>
      </c>
      <c r="H5" s="35" t="s">
        <v>149</v>
      </c>
    </row>
    <row r="6" spans="1:17" x14ac:dyDescent="0.25">
      <c r="B6" s="35" t="s">
        <v>50</v>
      </c>
      <c r="C6" s="35" t="s">
        <v>150</v>
      </c>
      <c r="D6" s="35" t="s">
        <v>151</v>
      </c>
      <c r="E6" s="35" t="s">
        <v>152</v>
      </c>
      <c r="F6" s="35" t="s">
        <v>153</v>
      </c>
      <c r="G6" s="35" t="s">
        <v>154</v>
      </c>
      <c r="H6" s="35" t="s">
        <v>155</v>
      </c>
      <c r="I6" s="35" t="s">
        <v>50</v>
      </c>
      <c r="J6" s="35" t="s">
        <v>152</v>
      </c>
      <c r="K6" s="35" t="s">
        <v>50</v>
      </c>
      <c r="L6" s="35" t="s">
        <v>50</v>
      </c>
      <c r="M6" s="35" t="s">
        <v>50</v>
      </c>
      <c r="N6" s="35" t="s">
        <v>50</v>
      </c>
    </row>
    <row r="7" spans="1:17" x14ac:dyDescent="0.25">
      <c r="A7" s="35">
        <v>0</v>
      </c>
      <c r="B7" s="35">
        <v>0.2</v>
      </c>
      <c r="C7" s="35">
        <v>0</v>
      </c>
      <c r="D7" s="35">
        <v>68.05</v>
      </c>
      <c r="E7" s="36">
        <v>101330</v>
      </c>
      <c r="F7" s="35">
        <v>288.14999999999998</v>
      </c>
      <c r="G7" s="36">
        <v>4637900</v>
      </c>
      <c r="H7" s="35">
        <v>55.576999999999998</v>
      </c>
      <c r="I7" s="35">
        <v>2.88</v>
      </c>
      <c r="J7" s="35">
        <v>21.38</v>
      </c>
      <c r="K7" s="35">
        <v>0</v>
      </c>
      <c r="L7" s="35">
        <v>0</v>
      </c>
    </row>
    <row r="8" spans="1:17" x14ac:dyDescent="0.25">
      <c r="A8" s="35">
        <v>0</v>
      </c>
      <c r="B8" s="35" t="s">
        <v>156</v>
      </c>
    </row>
    <row r="9" spans="1:17" x14ac:dyDescent="0.25">
      <c r="A9" s="35">
        <v>0</v>
      </c>
      <c r="B9" s="35" t="s">
        <v>157</v>
      </c>
      <c r="C9" s="35" t="s">
        <v>158</v>
      </c>
      <c r="D9" s="35" t="s">
        <v>159</v>
      </c>
      <c r="E9" s="35" t="s">
        <v>160</v>
      </c>
      <c r="F9" s="35" t="s">
        <v>161</v>
      </c>
      <c r="G9" s="35" t="s">
        <v>162</v>
      </c>
      <c r="H9" s="35" t="s">
        <v>163</v>
      </c>
      <c r="I9" s="35" t="s">
        <v>164</v>
      </c>
      <c r="J9" s="35" t="s">
        <v>165</v>
      </c>
      <c r="K9" s="35" t="s">
        <v>166</v>
      </c>
      <c r="L9" s="35" t="s">
        <v>167</v>
      </c>
      <c r="M9" s="35" t="s">
        <v>168</v>
      </c>
    </row>
    <row r="10" spans="1:17" x14ac:dyDescent="0.25">
      <c r="A10" s="35">
        <v>0</v>
      </c>
    </row>
    <row r="11" spans="1:17" x14ac:dyDescent="0.25">
      <c r="B11" s="35">
        <v>-16</v>
      </c>
      <c r="C11" s="35">
        <v>4.3999999999999997E-2</v>
      </c>
      <c r="D11" s="35">
        <v>-0.80400000000000005</v>
      </c>
      <c r="E11" s="35">
        <v>0.94569999999999999</v>
      </c>
      <c r="F11" s="35">
        <v>-0.78500000000000003</v>
      </c>
      <c r="G11" s="35">
        <v>-0.18</v>
      </c>
      <c r="H11" s="35">
        <v>-1.2050000000000001</v>
      </c>
      <c r="I11" s="36">
        <v>5.9429999999999997E-2</v>
      </c>
      <c r="J11" s="36">
        <v>-7.0540000000000005E-2</v>
      </c>
      <c r="K11" s="36">
        <v>1.2500000000000001E-5</v>
      </c>
      <c r="L11" s="36">
        <v>3.8230000000000002E-4</v>
      </c>
      <c r="M11" s="36">
        <v>1.3370000000000001E-3</v>
      </c>
      <c r="Q11" s="35">
        <v>482</v>
      </c>
    </row>
    <row r="12" spans="1:17" x14ac:dyDescent="0.25">
      <c r="B12" s="35">
        <v>-8</v>
      </c>
      <c r="C12" s="35">
        <v>1.0999999999999999E-2</v>
      </c>
      <c r="D12" s="35">
        <v>-0.29399999999999998</v>
      </c>
      <c r="E12" s="35">
        <v>0.3049</v>
      </c>
      <c r="F12" s="35">
        <v>-0.29199999999999998</v>
      </c>
      <c r="G12" s="35">
        <v>-0.03</v>
      </c>
      <c r="H12" s="35">
        <v>-1.0429999999999999</v>
      </c>
      <c r="I12" s="36">
        <v>6.2979999999999994E-2</v>
      </c>
      <c r="J12" s="36">
        <v>-7.6569999999999999E-2</v>
      </c>
      <c r="K12" s="36">
        <v>-2.457E-5</v>
      </c>
      <c r="L12" s="36">
        <v>5.1010000000000001E-5</v>
      </c>
      <c r="M12" s="36">
        <v>4.2979999999999998E-4</v>
      </c>
      <c r="Q12" s="35">
        <f>573.57</f>
        <v>573.57000000000005</v>
      </c>
    </row>
    <row r="13" spans="1:17" x14ac:dyDescent="0.25">
      <c r="B13" s="35">
        <v>-6</v>
      </c>
      <c r="C13" s="35">
        <v>8.0000000000000002E-3</v>
      </c>
      <c r="D13" s="35">
        <v>-0.16800000000000001</v>
      </c>
      <c r="E13" s="35">
        <v>0.15359999999999999</v>
      </c>
      <c r="F13" s="35">
        <v>-0.16800000000000001</v>
      </c>
      <c r="G13" s="35">
        <v>-0.01</v>
      </c>
      <c r="H13" s="35">
        <v>-0.91400000000000003</v>
      </c>
      <c r="I13" s="36">
        <v>6.198E-2</v>
      </c>
      <c r="J13" s="36">
        <v>-7.4389999999999998E-2</v>
      </c>
      <c r="K13" s="36">
        <v>-2.8410000000000001E-5</v>
      </c>
      <c r="L13" s="36">
        <v>1.6719999999999999E-5</v>
      </c>
      <c r="M13" s="36">
        <v>2.0670000000000001E-4</v>
      </c>
      <c r="Q13" s="35">
        <f>Q11/Q12</f>
        <v>0.84035078543159503</v>
      </c>
    </row>
    <row r="14" spans="1:17" x14ac:dyDescent="0.25">
      <c r="B14" s="35">
        <v>-4</v>
      </c>
      <c r="C14" s="35">
        <v>6.0000000000000001E-3</v>
      </c>
      <c r="D14" s="35">
        <v>-4.5999999999999999E-2</v>
      </c>
      <c r="E14" s="35">
        <v>7.4000000000000003E-3</v>
      </c>
      <c r="F14" s="35">
        <v>-4.5999999999999999E-2</v>
      </c>
      <c r="G14" s="35">
        <v>3.0000000000000001E-3</v>
      </c>
      <c r="H14" s="35">
        <v>-0.159</v>
      </c>
      <c r="I14" s="36">
        <v>6.0600000000000001E-2</v>
      </c>
      <c r="J14" s="36">
        <v>-7.2220000000000006E-2</v>
      </c>
      <c r="K14" s="36">
        <v>-3.0150000000000001E-5</v>
      </c>
      <c r="L14" s="36">
        <v>1.2410000000000001E-6</v>
      </c>
      <c r="M14" s="36">
        <v>-1.075E-5</v>
      </c>
    </row>
    <row r="15" spans="1:17" x14ac:dyDescent="0.25">
      <c r="B15" s="35">
        <v>-2</v>
      </c>
      <c r="C15" s="35">
        <v>6.0000000000000001E-3</v>
      </c>
      <c r="D15" s="35">
        <v>7.3999999999999996E-2</v>
      </c>
      <c r="E15" s="35">
        <v>-0.1353</v>
      </c>
      <c r="F15" s="35">
        <v>7.3999999999999996E-2</v>
      </c>
      <c r="G15" s="35">
        <v>8.9999999999999993E-3</v>
      </c>
      <c r="H15" s="35">
        <v>-1.831</v>
      </c>
      <c r="I15" s="36">
        <v>6.1080000000000002E-2</v>
      </c>
      <c r="J15" s="36">
        <v>-7.2539999999999993E-2</v>
      </c>
      <c r="K15" s="36">
        <v>-2.9920000000000002E-5</v>
      </c>
      <c r="L15" s="36">
        <v>3.258E-6</v>
      </c>
      <c r="M15" s="36">
        <v>-2.241E-4</v>
      </c>
    </row>
    <row r="16" spans="1:17" x14ac:dyDescent="0.25">
      <c r="B16" s="35">
        <v>0</v>
      </c>
      <c r="C16" s="35">
        <v>8.0000000000000002E-3</v>
      </c>
      <c r="D16" s="35">
        <v>0.19800000000000001</v>
      </c>
      <c r="E16" s="35">
        <v>-0.2828</v>
      </c>
      <c r="F16" s="35">
        <v>0.19800000000000001</v>
      </c>
      <c r="G16" s="35">
        <v>8.0000000000000002E-3</v>
      </c>
      <c r="H16" s="35">
        <v>-1.425</v>
      </c>
      <c r="I16" s="36">
        <v>6.3130000000000006E-2</v>
      </c>
      <c r="J16" s="36">
        <v>-7.4980000000000005E-2</v>
      </c>
      <c r="K16" s="36">
        <v>-2.7679999999999999E-5</v>
      </c>
      <c r="L16" s="36">
        <v>2.3300000000000001E-5</v>
      </c>
      <c r="M16" s="36">
        <v>-4.4490000000000003E-4</v>
      </c>
    </row>
    <row r="17" spans="1:13" x14ac:dyDescent="0.25">
      <c r="B17" s="35">
        <v>2</v>
      </c>
      <c r="C17" s="35">
        <v>1.2E-2</v>
      </c>
      <c r="D17" s="35">
        <v>0.32700000000000001</v>
      </c>
      <c r="E17" s="35">
        <v>-0.43530000000000002</v>
      </c>
      <c r="F17" s="35">
        <v>0.32700000000000001</v>
      </c>
      <c r="G17" s="35">
        <v>1E-3</v>
      </c>
      <c r="H17" s="35">
        <v>-1.331</v>
      </c>
      <c r="I17" s="36">
        <v>6.4829999999999999E-2</v>
      </c>
      <c r="J17" s="36">
        <v>-7.7289999999999998E-2</v>
      </c>
      <c r="K17" s="36">
        <v>-2.3220000000000001E-5</v>
      </c>
      <c r="L17" s="36">
        <v>6.313E-5</v>
      </c>
      <c r="M17" s="36">
        <v>-6.7279999999999998E-4</v>
      </c>
    </row>
    <row r="18" spans="1:13" x14ac:dyDescent="0.25">
      <c r="B18" s="35">
        <v>4</v>
      </c>
      <c r="C18" s="35">
        <v>1.7999999999999999E-2</v>
      </c>
      <c r="D18" s="35">
        <v>0.45800000000000002</v>
      </c>
      <c r="E18" s="35">
        <v>-0.59199999999999997</v>
      </c>
      <c r="F18" s="35">
        <v>0.45800000000000002</v>
      </c>
      <c r="G18" s="35">
        <v>-1.4E-2</v>
      </c>
      <c r="H18" s="35">
        <v>-1.2929999999999999</v>
      </c>
      <c r="I18" s="36">
        <v>6.5879999999999994E-2</v>
      </c>
      <c r="J18" s="36">
        <v>-7.9159999999999994E-2</v>
      </c>
      <c r="K18" s="36">
        <v>-1.641E-5</v>
      </c>
      <c r="L18" s="36">
        <v>1.2400000000000001E-4</v>
      </c>
      <c r="M18" s="36">
        <v>-9.0580000000000001E-4</v>
      </c>
    </row>
    <row r="19" spans="1:13" x14ac:dyDescent="0.25">
      <c r="B19" s="35">
        <v>8</v>
      </c>
      <c r="C19" s="35">
        <v>3.6999999999999998E-2</v>
      </c>
      <c r="D19" s="35">
        <v>0.72399999999999998</v>
      </c>
      <c r="E19" s="35">
        <v>-0.91510000000000002</v>
      </c>
      <c r="F19" s="35">
        <v>0.72199999999999998</v>
      </c>
      <c r="G19" s="35">
        <v>-6.4000000000000001E-2</v>
      </c>
      <c r="H19" s="35">
        <v>-1.2669999999999999</v>
      </c>
      <c r="I19" s="36">
        <v>6.6530000000000006E-2</v>
      </c>
      <c r="J19" s="36">
        <v>-8.1930000000000003E-2</v>
      </c>
      <c r="K19" s="36">
        <v>4.4270000000000001E-6</v>
      </c>
      <c r="L19" s="36">
        <v>3.1E-4</v>
      </c>
      <c r="M19" s="36">
        <v>-1.379E-3</v>
      </c>
    </row>
    <row r="20" spans="1:13" x14ac:dyDescent="0.25">
      <c r="B20" s="35">
        <v>9</v>
      </c>
      <c r="C20" s="35">
        <v>4.2999999999999997E-2</v>
      </c>
      <c r="D20" s="35">
        <v>0.79100000000000004</v>
      </c>
      <c r="E20" s="35">
        <v>-0.99729999999999996</v>
      </c>
      <c r="F20" s="35">
        <v>0.78700000000000003</v>
      </c>
      <c r="G20" s="35">
        <v>-8.2000000000000003E-2</v>
      </c>
      <c r="H20" s="35">
        <v>-1.266</v>
      </c>
      <c r="I20" s="36">
        <v>6.2370000000000002E-2</v>
      </c>
      <c r="J20" s="36">
        <v>-7.7590000000000006E-2</v>
      </c>
      <c r="K20" s="36">
        <v>1.11E-5</v>
      </c>
      <c r="L20" s="36">
        <v>3.6959999999999998E-4</v>
      </c>
      <c r="M20" s="36">
        <v>-1.4970000000000001E-3</v>
      </c>
    </row>
    <row r="21" spans="1:13" x14ac:dyDescent="0.25">
      <c r="B21" s="35">
        <v>10</v>
      </c>
      <c r="C21" s="35">
        <v>4.8000000000000001E-2</v>
      </c>
      <c r="D21" s="35">
        <v>0.84899999999999998</v>
      </c>
      <c r="E21" s="35">
        <v>-1.0702</v>
      </c>
      <c r="F21" s="35">
        <v>0.84399999999999997</v>
      </c>
      <c r="G21" s="35">
        <v>-0.1</v>
      </c>
      <c r="H21" s="35">
        <v>-1.268</v>
      </c>
      <c r="I21" s="36">
        <v>5.3690000000000002E-2</v>
      </c>
      <c r="J21" s="36">
        <v>-6.7849999999999994E-2</v>
      </c>
      <c r="K21" s="36">
        <v>1.738E-5</v>
      </c>
      <c r="L21" s="36">
        <v>4.26E-4</v>
      </c>
      <c r="M21" s="36">
        <v>-1.601E-3</v>
      </c>
    </row>
    <row r="22" spans="1:13" x14ac:dyDescent="0.25">
      <c r="B22" s="35">
        <v>12</v>
      </c>
      <c r="C22" s="35">
        <v>5.8000000000000003E-2</v>
      </c>
      <c r="D22" s="35">
        <v>0.93799999999999994</v>
      </c>
      <c r="E22" s="35">
        <v>-1.1855</v>
      </c>
      <c r="F22" s="35">
        <v>0.92900000000000005</v>
      </c>
      <c r="G22" s="35">
        <v>-0.13900000000000001</v>
      </c>
      <c r="H22" s="35">
        <v>-1.2749999999999999</v>
      </c>
      <c r="I22" s="36">
        <v>3.8429999999999999E-2</v>
      </c>
      <c r="J22" s="36">
        <v>-5.0840000000000003E-2</v>
      </c>
      <c r="K22" s="36">
        <v>2.792E-5</v>
      </c>
      <c r="L22" s="36">
        <v>5.2030000000000002E-4</v>
      </c>
      <c r="M22" s="36">
        <v>-1.7589999999999999E-3</v>
      </c>
    </row>
    <row r="23" spans="1:13" x14ac:dyDescent="0.25">
      <c r="B23" s="35">
        <v>14</v>
      </c>
      <c r="C23" s="35">
        <v>6.5000000000000002E-2</v>
      </c>
      <c r="D23" s="35">
        <v>1.002</v>
      </c>
      <c r="E23" s="35">
        <v>-1.2736000000000001</v>
      </c>
      <c r="F23" s="35">
        <v>0.98799999999999999</v>
      </c>
      <c r="G23" s="35">
        <v>-0.18</v>
      </c>
      <c r="H23" s="35">
        <v>-1.2889999999999999</v>
      </c>
      <c r="I23" s="36">
        <v>2.4930000000000001E-2</v>
      </c>
      <c r="J23" s="36">
        <v>-3.5779999999999999E-2</v>
      </c>
      <c r="K23" s="36">
        <v>3.6180000000000003E-5</v>
      </c>
      <c r="L23" s="36">
        <v>5.9429999999999997E-4</v>
      </c>
      <c r="M23" s="36">
        <v>-1.874E-3</v>
      </c>
    </row>
    <row r="24" spans="1:13" x14ac:dyDescent="0.25">
      <c r="B24" s="35">
        <v>16</v>
      </c>
      <c r="C24" s="35">
        <v>6.9000000000000006E-2</v>
      </c>
      <c r="D24" s="35">
        <v>1.038</v>
      </c>
      <c r="E24" s="35">
        <v>-1.3286</v>
      </c>
      <c r="F24" s="35">
        <v>1.016</v>
      </c>
      <c r="G24" s="35">
        <v>-0.22</v>
      </c>
      <c r="H24" s="35">
        <v>-1.3069999999999999</v>
      </c>
      <c r="I24" s="36">
        <v>1.2239999999999999E-2</v>
      </c>
      <c r="J24" s="36">
        <v>-2.1479999999999999E-2</v>
      </c>
      <c r="K24" s="36">
        <v>4.091E-5</v>
      </c>
      <c r="L24" s="36">
        <v>6.3690000000000003E-4</v>
      </c>
      <c r="M24" s="36">
        <v>-1.936E-3</v>
      </c>
    </row>
    <row r="25" spans="1:13" x14ac:dyDescent="0.25">
      <c r="B25" s="35">
        <v>18</v>
      </c>
      <c r="C25" s="35">
        <v>7.0999999999999994E-2</v>
      </c>
      <c r="D25" s="35">
        <v>1.0509999999999999</v>
      </c>
      <c r="E25" s="35">
        <v>-1.3594999999999999</v>
      </c>
      <c r="F25" s="35">
        <v>1.022</v>
      </c>
      <c r="G25" s="35">
        <v>-0.25800000000000001</v>
      </c>
      <c r="H25" s="35">
        <v>-1.331</v>
      </c>
      <c r="I25" s="36">
        <v>9.2289999999999994E-3</v>
      </c>
      <c r="J25" s="36">
        <v>-1.899E-2</v>
      </c>
      <c r="K25" s="36">
        <v>4.2759999999999997E-5</v>
      </c>
      <c r="L25" s="36">
        <v>6.5379999999999995E-4</v>
      </c>
      <c r="M25" s="36">
        <v>-1.9610000000000001E-3</v>
      </c>
    </row>
    <row r="26" spans="1:13" x14ac:dyDescent="0.25">
      <c r="B26" s="35">
        <v>19</v>
      </c>
      <c r="C26" s="35">
        <v>7.1999999999999995E-2</v>
      </c>
      <c r="D26" s="35">
        <v>1.0620000000000001</v>
      </c>
      <c r="E26" s="35" t="s">
        <v>169</v>
      </c>
      <c r="F26" s="35">
        <v>1.0269999999999999</v>
      </c>
      <c r="G26" s="35">
        <v>-0.27800000000000002</v>
      </c>
      <c r="H26" s="35" t="s">
        <v>169</v>
      </c>
      <c r="I26" s="36">
        <v>-9.3600000000000003E-3</v>
      </c>
      <c r="J26" s="35" t="s">
        <v>169</v>
      </c>
      <c r="K26" s="36">
        <v>4.409E-5</v>
      </c>
      <c r="L26" s="36">
        <v>6.6540000000000002E-4</v>
      </c>
      <c r="M26" s="36">
        <v>-1.9789999999999999E-3</v>
      </c>
    </row>
    <row r="27" spans="1:13" x14ac:dyDescent="0.25">
      <c r="B27" s="35">
        <v>20</v>
      </c>
      <c r="C27" s="35">
        <v>6.8000000000000005E-2</v>
      </c>
      <c r="D27" s="35">
        <v>1.0329999999999999</v>
      </c>
      <c r="E27" s="35" t="s">
        <v>169</v>
      </c>
      <c r="F27" s="35">
        <v>0.99399999999999999</v>
      </c>
      <c r="G27" s="35">
        <v>-0.28899999999999998</v>
      </c>
      <c r="H27" s="35" t="s">
        <v>169</v>
      </c>
      <c r="I27" s="36">
        <v>-5.1139999999999998E-2</v>
      </c>
      <c r="J27" s="35" t="s">
        <v>169</v>
      </c>
      <c r="K27" s="36">
        <v>3.947E-5</v>
      </c>
      <c r="L27" s="36">
        <v>6.2940000000000001E-4</v>
      </c>
      <c r="M27" s="36">
        <v>-1.9269999999999999E-3</v>
      </c>
    </row>
    <row r="28" spans="1:13" x14ac:dyDescent="0.25">
      <c r="B28" s="35">
        <v>21</v>
      </c>
      <c r="C28" s="35">
        <v>0.06</v>
      </c>
      <c r="D28" s="35">
        <v>0.96</v>
      </c>
      <c r="E28" s="35" t="s">
        <v>169</v>
      </c>
      <c r="F28" s="35">
        <v>0.91700000000000004</v>
      </c>
      <c r="G28" s="35">
        <v>-0.28799999999999998</v>
      </c>
      <c r="H28" s="35" t="s">
        <v>169</v>
      </c>
      <c r="I28" s="36">
        <v>-7.707E-2</v>
      </c>
      <c r="J28" s="35" t="s">
        <v>169</v>
      </c>
      <c r="K28" s="36">
        <v>2.938E-5</v>
      </c>
      <c r="L28" s="36">
        <v>5.4330000000000003E-4</v>
      </c>
      <c r="M28" s="36">
        <v>-1.797E-3</v>
      </c>
    </row>
    <row r="29" spans="1:13" x14ac:dyDescent="0.25">
      <c r="B29" s="35">
        <v>22</v>
      </c>
      <c r="C29" s="35">
        <v>5.0999999999999997E-2</v>
      </c>
      <c r="D29" s="35">
        <v>0.879</v>
      </c>
      <c r="E29" s="35" t="s">
        <v>169</v>
      </c>
      <c r="F29" s="35">
        <v>0.83399999999999996</v>
      </c>
      <c r="G29" s="35">
        <v>-0.28199999999999997</v>
      </c>
      <c r="H29" s="35" t="s">
        <v>169</v>
      </c>
      <c r="I29" s="36">
        <v>-6.9000000000000006E-2</v>
      </c>
      <c r="J29" s="35" t="s">
        <v>169</v>
      </c>
      <c r="K29" s="36">
        <v>1.908E-5</v>
      </c>
      <c r="L29" s="36">
        <v>4.5550000000000001E-4</v>
      </c>
      <c r="M29" s="36">
        <v>-1.653E-3</v>
      </c>
    </row>
    <row r="30" spans="1:13" x14ac:dyDescent="0.25">
      <c r="B30" s="35">
        <v>24</v>
      </c>
      <c r="C30" s="35">
        <v>4.2000000000000003E-2</v>
      </c>
      <c r="D30" s="35">
        <v>0.78900000000000003</v>
      </c>
      <c r="E30" s="35" t="s">
        <v>169</v>
      </c>
      <c r="F30" s="35">
        <v>0.73799999999999999</v>
      </c>
      <c r="G30" s="35">
        <v>-0.28199999999999997</v>
      </c>
      <c r="H30" s="35" t="s">
        <v>169</v>
      </c>
      <c r="I30" s="36">
        <v>-2.103E-2</v>
      </c>
      <c r="J30" s="35" t="s">
        <v>169</v>
      </c>
      <c r="K30" s="36">
        <v>8.7609999999999996E-6</v>
      </c>
      <c r="L30" s="36">
        <v>3.6689999999999997E-4</v>
      </c>
      <c r="M30" s="36">
        <v>-1.493E-3</v>
      </c>
    </row>
    <row r="32" spans="1:13" x14ac:dyDescent="0.25">
      <c r="A32" s="35" t="s">
        <v>170</v>
      </c>
    </row>
    <row r="33" spans="1:26" x14ac:dyDescent="0.25">
      <c r="B33" s="35" t="s">
        <v>127</v>
      </c>
      <c r="C33" s="35" t="s">
        <v>128</v>
      </c>
      <c r="D33" s="35" t="s">
        <v>129</v>
      </c>
      <c r="E33" s="35" t="s">
        <v>130</v>
      </c>
      <c r="F33" s="35" t="s">
        <v>131</v>
      </c>
      <c r="G33" s="35" t="s">
        <v>132</v>
      </c>
      <c r="H33" s="35" t="s">
        <v>133</v>
      </c>
      <c r="I33" s="35" t="s">
        <v>134</v>
      </c>
    </row>
    <row r="34" spans="1:26" x14ac:dyDescent="0.25">
      <c r="B34" s="35" t="s">
        <v>135</v>
      </c>
      <c r="C34" s="35" t="s">
        <v>136</v>
      </c>
      <c r="D34" s="35" t="s">
        <v>137</v>
      </c>
      <c r="E34" s="35" t="s">
        <v>138</v>
      </c>
      <c r="F34" s="35" t="s">
        <v>139</v>
      </c>
      <c r="G34" s="35" t="s">
        <v>140</v>
      </c>
      <c r="H34" s="35" t="s">
        <v>141</v>
      </c>
      <c r="I34" s="35" t="s">
        <v>132</v>
      </c>
      <c r="J34" s="35" t="s">
        <v>142</v>
      </c>
      <c r="K34" s="35" t="s">
        <v>58</v>
      </c>
      <c r="L34" s="35" t="s">
        <v>141</v>
      </c>
      <c r="M34" s="35" t="s">
        <v>143</v>
      </c>
      <c r="P34" s="35" t="s">
        <v>171</v>
      </c>
    </row>
    <row r="35" spans="1:26" x14ac:dyDescent="0.25">
      <c r="B35" s="35" t="s">
        <v>144</v>
      </c>
      <c r="C35" s="35" t="s">
        <v>144</v>
      </c>
      <c r="D35" s="35" t="s">
        <v>145</v>
      </c>
      <c r="E35" s="35" t="s">
        <v>146</v>
      </c>
      <c r="F35" s="35" t="s">
        <v>147</v>
      </c>
      <c r="G35" s="35" t="s">
        <v>148</v>
      </c>
      <c r="H35" s="35" t="s">
        <v>149</v>
      </c>
      <c r="P35" s="35" t="s">
        <v>172</v>
      </c>
    </row>
    <row r="36" spans="1:26" x14ac:dyDescent="0.25">
      <c r="B36" s="35" t="s">
        <v>50</v>
      </c>
      <c r="C36" s="35" t="s">
        <v>150</v>
      </c>
      <c r="D36" s="35" t="s">
        <v>151</v>
      </c>
      <c r="E36" s="35" t="s">
        <v>152</v>
      </c>
      <c r="F36" s="35" t="s">
        <v>153</v>
      </c>
      <c r="G36" s="35" t="s">
        <v>154</v>
      </c>
      <c r="H36" s="35" t="s">
        <v>155</v>
      </c>
      <c r="I36" s="35" t="s">
        <v>50</v>
      </c>
      <c r="J36" s="35" t="s">
        <v>152</v>
      </c>
      <c r="K36" s="35" t="s">
        <v>50</v>
      </c>
      <c r="L36" s="35" t="s">
        <v>50</v>
      </c>
      <c r="M36" s="35" t="s">
        <v>50</v>
      </c>
      <c r="N36" s="35" t="s">
        <v>50</v>
      </c>
    </row>
    <row r="37" spans="1:26" x14ac:dyDescent="0.25">
      <c r="A37" s="35">
        <v>0</v>
      </c>
      <c r="B37" s="35">
        <v>0.2</v>
      </c>
      <c r="C37" s="35">
        <v>0</v>
      </c>
      <c r="D37" s="35">
        <v>68.05</v>
      </c>
      <c r="E37" s="36">
        <v>101330</v>
      </c>
      <c r="F37" s="35">
        <v>288.14999999999998</v>
      </c>
      <c r="G37" s="36">
        <v>4637900</v>
      </c>
      <c r="H37" s="35">
        <v>55.576999999999998</v>
      </c>
      <c r="I37" s="35">
        <v>2.88</v>
      </c>
      <c r="J37" s="35">
        <v>21.38</v>
      </c>
      <c r="K37" s="35">
        <v>10.388</v>
      </c>
      <c r="L37" s="35">
        <v>0</v>
      </c>
      <c r="Y37" s="35" t="s">
        <v>178</v>
      </c>
      <c r="Z37" s="35">
        <v>0.75</v>
      </c>
    </row>
    <row r="38" spans="1:26" x14ac:dyDescent="0.25">
      <c r="A38" s="35">
        <v>0</v>
      </c>
      <c r="B38" s="35" t="e">
        <v>#NAME?</v>
      </c>
      <c r="C38" s="35" t="s">
        <v>63</v>
      </c>
      <c r="D38" s="35" t="s">
        <v>173</v>
      </c>
      <c r="Y38" s="35" t="s">
        <v>179</v>
      </c>
      <c r="Z38" s="35">
        <f>0.98*Z37</f>
        <v>0.73499999999999999</v>
      </c>
    </row>
    <row r="39" spans="1:26" x14ac:dyDescent="0.25">
      <c r="A39" s="35">
        <v>0</v>
      </c>
      <c r="B39" s="35" t="s">
        <v>157</v>
      </c>
      <c r="C39" s="35" t="s">
        <v>158</v>
      </c>
      <c r="D39" s="35" t="s">
        <v>159</v>
      </c>
      <c r="E39" s="35" t="s">
        <v>160</v>
      </c>
      <c r="F39" s="35" t="s">
        <v>161</v>
      </c>
      <c r="G39" s="35" t="s">
        <v>162</v>
      </c>
      <c r="H39" s="35" t="s">
        <v>163</v>
      </c>
      <c r="I39" s="35" t="s">
        <v>164</v>
      </c>
      <c r="J39" s="35" t="s">
        <v>165</v>
      </c>
      <c r="K39" s="35" t="s">
        <v>166</v>
      </c>
      <c r="L39" s="35" t="s">
        <v>167</v>
      </c>
      <c r="M39" s="35" t="s">
        <v>168</v>
      </c>
      <c r="O39" s="35" t="s">
        <v>174</v>
      </c>
    </row>
    <row r="40" spans="1:26" x14ac:dyDescent="0.25">
      <c r="A40" s="35">
        <v>0</v>
      </c>
    </row>
    <row r="41" spans="1:26" x14ac:dyDescent="0.25">
      <c r="B41" s="35">
        <v>-16</v>
      </c>
      <c r="C41" s="35">
        <v>9.0999999999999998E-2</v>
      </c>
      <c r="D41" s="35">
        <v>-1.32</v>
      </c>
      <c r="E41" s="35">
        <v>1.5049999999999999</v>
      </c>
      <c r="F41" s="35">
        <v>-1.294</v>
      </c>
      <c r="G41" s="35">
        <v>-0.27700000000000002</v>
      </c>
      <c r="H41" s="35">
        <v>-1.163</v>
      </c>
      <c r="I41" s="36">
        <v>8.9770000000000003E-2</v>
      </c>
      <c r="J41" s="36">
        <v>-0.1037</v>
      </c>
      <c r="K41" s="36">
        <v>-8.7659999999999995E-3</v>
      </c>
      <c r="L41" s="36">
        <v>8.5809999999999999E-4</v>
      </c>
      <c r="M41" s="36">
        <v>8.5260000000000002E-4</v>
      </c>
      <c r="O41" s="35">
        <v>-14.505494505494507</v>
      </c>
    </row>
    <row r="42" spans="1:26" x14ac:dyDescent="0.25">
      <c r="B42" s="35">
        <v>-8</v>
      </c>
      <c r="C42" s="35">
        <v>0.03</v>
      </c>
      <c r="D42" s="35">
        <v>-0.629</v>
      </c>
      <c r="E42" s="35">
        <v>0.72709999999999997</v>
      </c>
      <c r="F42" s="35">
        <v>-0.627</v>
      </c>
      <c r="G42" s="35">
        <v>-5.8000000000000003E-2</v>
      </c>
      <c r="H42" s="35">
        <v>-1.159</v>
      </c>
      <c r="I42" s="36">
        <v>9.1520000000000004E-2</v>
      </c>
      <c r="J42" s="36">
        <v>-0.10299999999999999</v>
      </c>
      <c r="K42" s="36">
        <v>2.0890000000000002E-5</v>
      </c>
      <c r="O42" s="35">
        <v>-20.966666666666669</v>
      </c>
    </row>
    <row r="43" spans="1:26" x14ac:dyDescent="0.25">
      <c r="B43" s="35">
        <v>-6</v>
      </c>
      <c r="C43" s="35">
        <v>2.1999999999999999E-2</v>
      </c>
      <c r="D43" s="35">
        <v>-0.41899999999999998</v>
      </c>
      <c r="E43" s="35">
        <v>0.48420000000000002</v>
      </c>
      <c r="F43" s="35">
        <v>-0.41899999999999998</v>
      </c>
      <c r="G43" s="35">
        <v>-2.1999999999999999E-2</v>
      </c>
      <c r="H43" s="35">
        <v>-1.155</v>
      </c>
      <c r="I43" s="36">
        <v>9.0469999999999995E-2</v>
      </c>
      <c r="J43" s="36">
        <v>-0.1013</v>
      </c>
      <c r="K43" s="36">
        <v>-1.884E-4</v>
      </c>
      <c r="O43" s="35">
        <v>-19.045454545454547</v>
      </c>
    </row>
    <row r="44" spans="1:26" x14ac:dyDescent="0.25">
      <c r="B44" s="35">
        <v>-4</v>
      </c>
      <c r="C44" s="35">
        <v>1.7000000000000001E-2</v>
      </c>
      <c r="D44" s="35">
        <v>-0.20499999999999999</v>
      </c>
      <c r="E44" s="35">
        <v>0.23519999999999999</v>
      </c>
      <c r="F44" s="35">
        <v>-0.20599999999999999</v>
      </c>
      <c r="G44" s="35">
        <v>3.0000000000000001E-3</v>
      </c>
      <c r="H44" s="35">
        <v>-1.1439999999999999</v>
      </c>
      <c r="I44" s="36">
        <v>8.763E-2</v>
      </c>
      <c r="J44" s="36">
        <v>-9.776E-2</v>
      </c>
      <c r="K44" s="36">
        <v>-3.879E-4</v>
      </c>
      <c r="O44" s="35">
        <v>-12.058823529411763</v>
      </c>
    </row>
    <row r="45" spans="1:26" x14ac:dyDescent="0.25">
      <c r="B45" s="35">
        <v>-2</v>
      </c>
      <c r="C45" s="35">
        <v>1.4999999999999999E-2</v>
      </c>
      <c r="D45" s="35">
        <v>8.0000000000000002E-3</v>
      </c>
      <c r="E45" s="35">
        <v>-1.2999999999999999E-2</v>
      </c>
      <c r="F45" s="35">
        <v>7.0000000000000001E-3</v>
      </c>
      <c r="G45" s="35">
        <v>1.6E-2</v>
      </c>
      <c r="H45" s="35">
        <v>-1.847</v>
      </c>
      <c r="I45" s="36">
        <v>8.6230000000000001E-2</v>
      </c>
      <c r="J45" s="36">
        <v>-9.5899999999999999E-2</v>
      </c>
      <c r="K45" s="36">
        <v>-5.7569999999999995E-4</v>
      </c>
      <c r="O45" s="35">
        <v>0.53333333333333333</v>
      </c>
    </row>
    <row r="46" spans="1:26" x14ac:dyDescent="0.25">
      <c r="B46" s="35">
        <v>0</v>
      </c>
      <c r="C46" s="35">
        <v>1.6E-2</v>
      </c>
      <c r="D46" s="35">
        <v>0.219</v>
      </c>
      <c r="E46" s="35">
        <v>-0.2591</v>
      </c>
      <c r="F46" s="35">
        <v>0.219</v>
      </c>
      <c r="G46" s="35">
        <v>1.6E-2</v>
      </c>
      <c r="H46" s="35">
        <v>-1.181</v>
      </c>
      <c r="I46" s="36">
        <v>8.7609999999999993E-2</v>
      </c>
      <c r="J46" s="36">
        <v>-9.6829999999999999E-2</v>
      </c>
      <c r="K46" s="36">
        <v>-7.6300000000000001E-4</v>
      </c>
      <c r="O46" s="35">
        <v>13.6875</v>
      </c>
    </row>
    <row r="47" spans="1:26" x14ac:dyDescent="0.25">
      <c r="B47" s="35">
        <v>2</v>
      </c>
      <c r="C47" s="35">
        <v>0.02</v>
      </c>
      <c r="D47" s="35">
        <v>0.43</v>
      </c>
      <c r="E47" s="35">
        <v>-0.5</v>
      </c>
      <c r="F47" s="35">
        <v>0.43</v>
      </c>
      <c r="G47" s="35">
        <v>5.0000000000000001E-3</v>
      </c>
      <c r="H47" s="35">
        <v>-1.163</v>
      </c>
      <c r="I47" s="36">
        <v>9.0060000000000001E-2</v>
      </c>
      <c r="J47" s="36">
        <v>-9.8519999999999996E-2</v>
      </c>
      <c r="K47" s="36">
        <v>-9.5759999999999997E-4</v>
      </c>
      <c r="O47" s="35">
        <v>21.5</v>
      </c>
    </row>
    <row r="48" spans="1:26" x14ac:dyDescent="0.25">
      <c r="B48" s="35">
        <v>4</v>
      </c>
      <c r="C48" s="35">
        <v>2.7E-2</v>
      </c>
      <c r="D48" s="35">
        <v>0.63400000000000001</v>
      </c>
      <c r="E48" s="35">
        <v>-0.72819999999999996</v>
      </c>
      <c r="F48" s="35">
        <v>0.63400000000000001</v>
      </c>
      <c r="G48" s="35">
        <v>-1.7000000000000001E-2</v>
      </c>
      <c r="H48" s="35">
        <v>-1.149</v>
      </c>
      <c r="I48" s="36">
        <v>9.214E-2</v>
      </c>
      <c r="J48" s="36">
        <v>-0.1</v>
      </c>
      <c r="K48" s="36">
        <v>-1.1609999999999999E-3</v>
      </c>
      <c r="O48" s="35">
        <v>23.481481481481481</v>
      </c>
    </row>
    <row r="49" spans="1:15" x14ac:dyDescent="0.25">
      <c r="B49" s="35">
        <v>8</v>
      </c>
      <c r="C49" s="35">
        <v>5.0999999999999997E-2</v>
      </c>
      <c r="D49" s="35">
        <v>1.008</v>
      </c>
      <c r="E49" s="35">
        <v>-1.1337999999999999</v>
      </c>
      <c r="F49" s="35">
        <v>1.006</v>
      </c>
      <c r="G49" s="35">
        <v>-0.09</v>
      </c>
      <c r="H49" s="35">
        <v>-1.127</v>
      </c>
      <c r="I49" s="36">
        <v>9.4619999999999996E-2</v>
      </c>
      <c r="J49" s="36">
        <v>-0.1026</v>
      </c>
      <c r="K49" s="36">
        <v>-1.5839999999999999E-3</v>
      </c>
      <c r="O49" s="35">
        <v>19.764705882352942</v>
      </c>
    </row>
    <row r="50" spans="1:15" x14ac:dyDescent="0.25">
      <c r="B50" s="35">
        <v>9</v>
      </c>
      <c r="C50" s="35">
        <v>5.8999999999999997E-2</v>
      </c>
      <c r="D50" s="35">
        <v>1.0940000000000001</v>
      </c>
      <c r="E50" s="35">
        <v>-1.2236</v>
      </c>
      <c r="F50" s="35">
        <v>1.0900000000000001</v>
      </c>
      <c r="G50" s="35">
        <v>-0.113</v>
      </c>
      <c r="H50" s="35">
        <v>-1.123</v>
      </c>
      <c r="I50" s="36">
        <v>9.5009999999999997E-2</v>
      </c>
      <c r="J50" s="36">
        <v>-0.10349999999999999</v>
      </c>
      <c r="K50" s="36">
        <v>-1.6919999999999999E-3</v>
      </c>
      <c r="O50" s="35">
        <v>18.542372881355934</v>
      </c>
    </row>
    <row r="51" spans="1:15" x14ac:dyDescent="0.25">
      <c r="B51" s="35">
        <v>10</v>
      </c>
      <c r="C51" s="35">
        <v>6.8000000000000005E-2</v>
      </c>
      <c r="D51" s="35">
        <v>1.177</v>
      </c>
      <c r="E51" s="35">
        <v>-1.3103</v>
      </c>
      <c r="F51" s="35">
        <v>1.17</v>
      </c>
      <c r="G51" s="35">
        <v>-0.13700000000000001</v>
      </c>
      <c r="H51" s="35">
        <v>-1.1200000000000001</v>
      </c>
      <c r="I51" s="36">
        <v>8.8660000000000003E-2</v>
      </c>
      <c r="J51" s="36">
        <v>-9.7500000000000003E-2</v>
      </c>
      <c r="K51" s="36">
        <v>-1.799E-3</v>
      </c>
      <c r="O51" s="35">
        <v>17.308823529411764</v>
      </c>
    </row>
    <row r="52" spans="1:15" x14ac:dyDescent="0.25">
      <c r="B52" s="35">
        <v>12</v>
      </c>
      <c r="C52" s="35">
        <v>8.4000000000000005E-2</v>
      </c>
      <c r="D52" s="35">
        <v>1.2949999999999999</v>
      </c>
      <c r="E52" s="35">
        <v>-1.4327000000000001</v>
      </c>
      <c r="F52" s="35">
        <v>1.284</v>
      </c>
      <c r="G52" s="35">
        <v>-0.187</v>
      </c>
      <c r="H52" s="35">
        <v>-1.1160000000000001</v>
      </c>
      <c r="I52" s="36">
        <v>6.7909999999999998E-2</v>
      </c>
      <c r="J52" s="36">
        <v>-7.7200000000000005E-2</v>
      </c>
      <c r="K52" s="36">
        <v>-1.951E-3</v>
      </c>
      <c r="O52" s="35">
        <v>15.416666666666664</v>
      </c>
    </row>
    <row r="53" spans="1:15" x14ac:dyDescent="0.25">
      <c r="B53" s="35">
        <v>14</v>
      </c>
      <c r="C53" s="35">
        <v>9.9000000000000005E-2</v>
      </c>
      <c r="D53" s="35">
        <v>1.3759999999999999</v>
      </c>
      <c r="E53" s="35">
        <v>-1.5185999999999999</v>
      </c>
      <c r="F53" s="35">
        <v>1.359</v>
      </c>
      <c r="G53" s="35">
        <v>-0.23699999999999999</v>
      </c>
      <c r="H53" s="35">
        <v>-1.117</v>
      </c>
      <c r="I53" s="36">
        <v>5.1499999999999997E-2</v>
      </c>
      <c r="J53" s="36">
        <v>-6.1859999999999998E-2</v>
      </c>
      <c r="K53" s="36">
        <v>-2.0470000000000002E-3</v>
      </c>
      <c r="O53" s="35">
        <v>13.898989898989898</v>
      </c>
    </row>
    <row r="54" spans="1:15" x14ac:dyDescent="0.25">
      <c r="B54" s="35">
        <v>16</v>
      </c>
      <c r="C54" s="35">
        <v>0.111</v>
      </c>
      <c r="D54" s="35">
        <v>1.421</v>
      </c>
      <c r="E54" s="35">
        <v>-1.5693999999999999</v>
      </c>
      <c r="F54" s="35">
        <v>1.397</v>
      </c>
      <c r="G54" s="35">
        <v>-0.28499999999999998</v>
      </c>
      <c r="H54" s="35">
        <v>-1.123</v>
      </c>
      <c r="I54" s="36">
        <v>3.3050000000000003E-2</v>
      </c>
      <c r="J54" s="36">
        <v>-4.4119999999999999E-2</v>
      </c>
      <c r="K54" s="36">
        <v>-2.0799999999999998E-3</v>
      </c>
      <c r="O54" s="35">
        <v>12.801801801801801</v>
      </c>
    </row>
    <row r="55" spans="1:15" x14ac:dyDescent="0.25">
      <c r="B55" s="35">
        <v>18</v>
      </c>
      <c r="C55" s="35">
        <v>0.121</v>
      </c>
      <c r="D55" s="35">
        <v>1.4319999999999999</v>
      </c>
      <c r="E55" s="35">
        <v>-1.5894999999999999</v>
      </c>
      <c r="F55" s="35">
        <v>1.4</v>
      </c>
      <c r="G55" s="35">
        <v>-0.32800000000000001</v>
      </c>
      <c r="H55" s="35">
        <v>-1.1359999999999999</v>
      </c>
      <c r="I55" s="36">
        <v>2.6370000000000001E-2</v>
      </c>
      <c r="J55" s="36">
        <v>-3.8809999999999997E-2</v>
      </c>
      <c r="K55" s="36">
        <v>-2.0439999999999998E-3</v>
      </c>
      <c r="O55" s="35">
        <v>11.834710743801653</v>
      </c>
    </row>
    <row r="56" spans="1:15" x14ac:dyDescent="0.25">
      <c r="B56" s="35">
        <v>19</v>
      </c>
      <c r="C56" s="35">
        <v>0.127</v>
      </c>
      <c r="D56" s="35">
        <v>1.446</v>
      </c>
      <c r="E56" s="35">
        <v>-1.6102000000000001</v>
      </c>
      <c r="F56" s="35">
        <v>1.4079999999999999</v>
      </c>
      <c r="G56" s="35">
        <v>-0.35099999999999998</v>
      </c>
      <c r="H56" s="35">
        <v>-1.143</v>
      </c>
      <c r="I56" s="36">
        <v>2.7019999999999999E-2</v>
      </c>
      <c r="J56" s="36">
        <v>-4.2779999999999999E-2</v>
      </c>
      <c r="K56" s="36">
        <v>-2.0300000000000001E-3</v>
      </c>
      <c r="O56" s="35">
        <v>11.385826771653543</v>
      </c>
    </row>
    <row r="57" spans="1:15" x14ac:dyDescent="0.25">
      <c r="B57" s="35">
        <v>20</v>
      </c>
      <c r="C57" s="35">
        <v>0.13200000000000001</v>
      </c>
      <c r="D57" s="35">
        <v>1.46</v>
      </c>
      <c r="E57" s="35">
        <v>0.1323</v>
      </c>
      <c r="F57" s="35">
        <v>1.4179999999999999</v>
      </c>
      <c r="G57" s="35">
        <v>-0.375</v>
      </c>
      <c r="H57" s="35">
        <v>9.2999999999999999E-2</v>
      </c>
      <c r="I57" s="36">
        <v>-9.2949999999999994E-3</v>
      </c>
      <c r="J57" s="35" t="s">
        <v>169</v>
      </c>
      <c r="K57" s="36">
        <v>-2.0110000000000002E-3</v>
      </c>
      <c r="O57" s="35">
        <v>11.060606060606061</v>
      </c>
    </row>
    <row r="58" spans="1:15" x14ac:dyDescent="0.25">
      <c r="B58" s="35">
        <v>21</v>
      </c>
      <c r="C58" s="35">
        <v>0.13</v>
      </c>
      <c r="D58" s="35">
        <v>1.4079999999999999</v>
      </c>
      <c r="E58" s="35">
        <v>0.14369999999999999</v>
      </c>
      <c r="F58" s="35">
        <v>1.361</v>
      </c>
      <c r="G58" s="35">
        <v>-0.38300000000000001</v>
      </c>
      <c r="H58" s="35">
        <v>0.106</v>
      </c>
      <c r="I58" s="36">
        <v>-6.062E-2</v>
      </c>
      <c r="J58" s="35" t="s">
        <v>169</v>
      </c>
      <c r="K58" s="36">
        <v>-1.879E-3</v>
      </c>
      <c r="O58" s="35">
        <v>10.83076923076923</v>
      </c>
    </row>
    <row r="59" spans="1:15" x14ac:dyDescent="0.25">
      <c r="B59" s="35">
        <v>22</v>
      </c>
      <c r="C59" s="35">
        <v>0.124</v>
      </c>
      <c r="D59" s="35">
        <v>1.3260000000000001</v>
      </c>
      <c r="E59" s="35">
        <v>0.15010000000000001</v>
      </c>
      <c r="F59" s="35">
        <v>1.276</v>
      </c>
      <c r="G59" s="35">
        <v>-0.38200000000000001</v>
      </c>
      <c r="H59" s="35">
        <v>0.11799999999999999</v>
      </c>
      <c r="I59" s="36">
        <v>-7.0360000000000006E-2</v>
      </c>
      <c r="J59" s="35" t="s">
        <v>169</v>
      </c>
      <c r="K59" s="36">
        <v>-1.6919999999999999E-3</v>
      </c>
      <c r="O59" s="35">
        <v>10.693548387096774</v>
      </c>
    </row>
    <row r="60" spans="1:15" x14ac:dyDescent="0.25">
      <c r="B60" s="35">
        <v>24</v>
      </c>
      <c r="C60" s="35">
        <v>0.11799999999999999</v>
      </c>
      <c r="D60" s="35">
        <v>1.212</v>
      </c>
      <c r="E60" s="35">
        <v>0.14699999999999999</v>
      </c>
      <c r="F60" s="35">
        <v>1.1559999999999999</v>
      </c>
      <c r="G60" s="35">
        <v>-0.38500000000000001</v>
      </c>
      <c r="H60" s="35">
        <v>0.127</v>
      </c>
      <c r="I60" s="36">
        <v>-4.5900000000000003E-2</v>
      </c>
      <c r="J60" s="35" t="s">
        <v>169</v>
      </c>
      <c r="K60" s="36">
        <v>-1.384E-3</v>
      </c>
      <c r="O60" s="35">
        <v>10.271186440677967</v>
      </c>
    </row>
    <row r="62" spans="1:15" x14ac:dyDescent="0.25">
      <c r="A62" s="35" t="s">
        <v>175</v>
      </c>
      <c r="C62" s="35" t="s">
        <v>176</v>
      </c>
      <c r="E62" s="35" t="s">
        <v>177</v>
      </c>
    </row>
    <row r="63" spans="1:15" x14ac:dyDescent="0.25">
      <c r="B63" s="35" t="s">
        <v>157</v>
      </c>
      <c r="C63" s="35" t="s">
        <v>158</v>
      </c>
      <c r="D63" s="35" t="s">
        <v>159</v>
      </c>
      <c r="E63" s="35" t="s">
        <v>160</v>
      </c>
      <c r="G63" s="35" t="s">
        <v>174</v>
      </c>
    </row>
    <row r="65" spans="2:7" x14ac:dyDescent="0.25">
      <c r="B65" s="35">
        <v>-16</v>
      </c>
      <c r="C65" s="37">
        <f>C41+FLAP!$F$41+FLAP!$F$57</f>
        <v>9.8759999999999987E-2</v>
      </c>
      <c r="D65" s="35">
        <f>D41+FLAP!$C$41+FLAP!$C$57</f>
        <v>-1.1030000000000002</v>
      </c>
      <c r="E65" s="35">
        <f>E41+FLAP!$D$41+FLAP!$D$57</f>
        <v>1.2610999999999999</v>
      </c>
      <c r="G65" s="35">
        <f>D65/C65</f>
        <v>-11.168489266909683</v>
      </c>
    </row>
    <row r="66" spans="2:7" x14ac:dyDescent="0.25">
      <c r="B66" s="35">
        <v>-8</v>
      </c>
      <c r="C66" s="37">
        <f>C42+FLAP!$F$41+FLAP!$F$57</f>
        <v>3.7760000000000002E-2</v>
      </c>
      <c r="D66" s="35">
        <f>D42+FLAP!$C$41+FLAP!$C$57</f>
        <v>-0.41200000000000003</v>
      </c>
      <c r="E66" s="35">
        <f>E42+FLAP!$D$41+FLAP!$D$57</f>
        <v>0.48319999999999996</v>
      </c>
      <c r="G66" s="35">
        <f t="shared" ref="G66:G84" si="0">D66/C66</f>
        <v>-10.911016949152543</v>
      </c>
    </row>
    <row r="67" spans="2:7" x14ac:dyDescent="0.25">
      <c r="B67" s="35">
        <v>-6</v>
      </c>
      <c r="C67" s="37">
        <f>C43+FLAP!$F$41+FLAP!$F$57</f>
        <v>2.9759999999999998E-2</v>
      </c>
      <c r="D67" s="35">
        <f>D43+FLAP!$C$41+FLAP!$C$57</f>
        <v>-0.20199999999999996</v>
      </c>
      <c r="E67" s="35">
        <f>E43+FLAP!$D$41+FLAP!$D$57</f>
        <v>0.24030000000000001</v>
      </c>
      <c r="G67" s="35">
        <f t="shared" si="0"/>
        <v>-6.7876344086021492</v>
      </c>
    </row>
    <row r="68" spans="2:7" x14ac:dyDescent="0.25">
      <c r="B68" s="35">
        <v>-4</v>
      </c>
      <c r="C68" s="37">
        <f>C44+FLAP!$F$41+FLAP!$F$57</f>
        <v>2.4760000000000001E-2</v>
      </c>
      <c r="D68" s="35">
        <f>D44+FLAP!$C$41+FLAP!$C$57</f>
        <v>1.2000000000000011E-2</v>
      </c>
      <c r="E68" s="35">
        <f>E44+FLAP!$D$41+FLAP!$D$57</f>
        <v>-8.700000000000041E-3</v>
      </c>
      <c r="G68" s="35">
        <f t="shared" si="0"/>
        <v>0.48465266558966114</v>
      </c>
    </row>
    <row r="69" spans="2:7" x14ac:dyDescent="0.25">
      <c r="B69" s="35">
        <v>-2</v>
      </c>
      <c r="C69" s="37">
        <f>C45+FLAP!$F$41+FLAP!$F$57</f>
        <v>2.2759999999999999E-2</v>
      </c>
      <c r="D69" s="35">
        <f>D45+FLAP!$C$41+FLAP!$C$57</f>
        <v>0.22500000000000001</v>
      </c>
      <c r="E69" s="35">
        <f>E45+FLAP!$D$41+FLAP!$D$57</f>
        <v>-0.25690000000000002</v>
      </c>
      <c r="G69" s="35">
        <f t="shared" si="0"/>
        <v>9.8857644991212652</v>
      </c>
    </row>
    <row r="70" spans="2:7" x14ac:dyDescent="0.25">
      <c r="B70" s="35">
        <v>0</v>
      </c>
      <c r="C70" s="37">
        <f>C46+FLAP!$F$41+FLAP!$F$57</f>
        <v>2.376E-2</v>
      </c>
      <c r="D70" s="35">
        <f>D46+FLAP!$C$41+FLAP!$C$57</f>
        <v>0.436</v>
      </c>
      <c r="E70" s="35">
        <f>E46+FLAP!$D$41+FLAP!$D$57</f>
        <v>-0.503</v>
      </c>
      <c r="G70" s="35">
        <f t="shared" si="0"/>
        <v>18.350168350168349</v>
      </c>
    </row>
    <row r="71" spans="2:7" x14ac:dyDescent="0.25">
      <c r="B71" s="35">
        <v>2</v>
      </c>
      <c r="C71" s="37">
        <f>C47+FLAP!$F$41+FLAP!$F$57</f>
        <v>2.776E-2</v>
      </c>
      <c r="D71" s="35">
        <f>D47+FLAP!$C$41+FLAP!$C$57</f>
        <v>0.64700000000000002</v>
      </c>
      <c r="E71" s="35">
        <f>E47+FLAP!$D$41+FLAP!$D$57</f>
        <v>-0.74390000000000001</v>
      </c>
      <c r="G71" s="35">
        <f t="shared" si="0"/>
        <v>23.30691642651297</v>
      </c>
    </row>
    <row r="72" spans="2:7" x14ac:dyDescent="0.25">
      <c r="B72" s="35">
        <v>4</v>
      </c>
      <c r="C72" s="37">
        <f>C48+FLAP!$F$41+FLAP!$F$57</f>
        <v>3.4759999999999999E-2</v>
      </c>
      <c r="D72" s="35">
        <f>D48+FLAP!$C$41+FLAP!$C$57</f>
        <v>0.85099999999999998</v>
      </c>
      <c r="E72" s="35">
        <f>E48+FLAP!$D$41+FLAP!$D$57</f>
        <v>-0.97209999999999996</v>
      </c>
      <c r="G72" s="35">
        <f t="shared" si="0"/>
        <v>24.482163406214038</v>
      </c>
    </row>
    <row r="73" spans="2:7" x14ac:dyDescent="0.25">
      <c r="B73" s="35">
        <v>8</v>
      </c>
      <c r="C73" s="37">
        <f>C49+FLAP!$F$41+FLAP!$F$57</f>
        <v>5.876E-2</v>
      </c>
      <c r="D73" s="35">
        <f>D49+FLAP!$C$41+FLAP!$C$57</f>
        <v>1.2250000000000001</v>
      </c>
      <c r="E73" s="35">
        <f>E49+FLAP!$D$41+FLAP!$D$57</f>
        <v>-1.3776999999999999</v>
      </c>
      <c r="G73" s="35">
        <f t="shared" si="0"/>
        <v>20.847515316541866</v>
      </c>
    </row>
    <row r="74" spans="2:7" x14ac:dyDescent="0.25">
      <c r="B74" s="35">
        <v>9</v>
      </c>
      <c r="C74" s="37">
        <f>C50+FLAP!$F$41+FLAP!$F$57</f>
        <v>6.676E-2</v>
      </c>
      <c r="D74" s="35">
        <f>D50+FLAP!$C$41+FLAP!$C$57</f>
        <v>1.3109999999999999</v>
      </c>
      <c r="E74" s="35">
        <f>E50+FLAP!$D$41+FLAP!$D$57</f>
        <v>-1.4675</v>
      </c>
      <c r="G74" s="35">
        <f t="shared" si="0"/>
        <v>19.637507489514679</v>
      </c>
    </row>
    <row r="75" spans="2:7" x14ac:dyDescent="0.25">
      <c r="B75" s="35">
        <v>10</v>
      </c>
      <c r="C75" s="37">
        <f>C51+FLAP!$F$41+FLAP!$F$57</f>
        <v>7.5759999999999994E-2</v>
      </c>
      <c r="D75" s="35">
        <f>D51+FLAP!$C$41+FLAP!$C$57</f>
        <v>1.3940000000000001</v>
      </c>
      <c r="E75" s="35">
        <f>E51+FLAP!$D$41+FLAP!$D$57</f>
        <v>-1.5542</v>
      </c>
      <c r="G75" s="35">
        <f t="shared" si="0"/>
        <v>18.40021119324182</v>
      </c>
    </row>
    <row r="76" spans="2:7" x14ac:dyDescent="0.25">
      <c r="B76" s="35">
        <v>12</v>
      </c>
      <c r="C76" s="37">
        <f>C52+FLAP!$F$41+FLAP!$F$57</f>
        <v>9.1760000000000008E-2</v>
      </c>
      <c r="D76" s="35">
        <f>D52+FLAP!$C$41+FLAP!$C$57</f>
        <v>1.512</v>
      </c>
      <c r="E76" s="35">
        <f>E52+FLAP!$D$41+FLAP!$D$57</f>
        <v>-1.6766000000000001</v>
      </c>
      <c r="G76" s="35">
        <f t="shared" si="0"/>
        <v>16.477768090671315</v>
      </c>
    </row>
    <row r="77" spans="2:7" x14ac:dyDescent="0.25">
      <c r="B77" s="35">
        <v>14</v>
      </c>
      <c r="C77" s="37">
        <f>C53+FLAP!$F$41+FLAP!$F$57</f>
        <v>0.10675999999999999</v>
      </c>
      <c r="D77" s="35">
        <f>D53+FLAP!$C$41+FLAP!$C$57</f>
        <v>1.593</v>
      </c>
      <c r="E77" s="35">
        <f>E53+FLAP!$D$41+FLAP!$D$57</f>
        <v>-1.7625</v>
      </c>
      <c r="G77" s="35">
        <f t="shared" si="0"/>
        <v>14.921318846009742</v>
      </c>
    </row>
    <row r="78" spans="2:7" x14ac:dyDescent="0.25">
      <c r="B78" s="35">
        <v>16</v>
      </c>
      <c r="C78" s="37">
        <f>C54+FLAP!$F$41+FLAP!$F$57</f>
        <v>0.11876</v>
      </c>
      <c r="D78" s="35">
        <f>D54+FLAP!$C$41+FLAP!$C$57</f>
        <v>1.6379999999999999</v>
      </c>
      <c r="E78" s="35">
        <f>E54+FLAP!$D$41+FLAP!$D$57</f>
        <v>-1.8132999999999999</v>
      </c>
      <c r="G78" s="35">
        <f t="shared" si="0"/>
        <v>13.792522734927584</v>
      </c>
    </row>
    <row r="79" spans="2:7" x14ac:dyDescent="0.25">
      <c r="B79" s="35">
        <v>18</v>
      </c>
      <c r="C79" s="37">
        <f>C55+FLAP!$F$41+FLAP!$F$57</f>
        <v>0.12875999999999999</v>
      </c>
      <c r="D79" s="35">
        <f>D55+FLAP!$C$41+FLAP!$C$57</f>
        <v>1.649</v>
      </c>
      <c r="E79" s="35">
        <f>E55+FLAP!$D$41+FLAP!$D$57</f>
        <v>-1.8333999999999999</v>
      </c>
      <c r="G79" s="35">
        <f t="shared" si="0"/>
        <v>12.806772289530912</v>
      </c>
    </row>
    <row r="80" spans="2:7" x14ac:dyDescent="0.25">
      <c r="B80" s="35">
        <v>19</v>
      </c>
      <c r="C80" s="37">
        <f>C56+FLAP!$F$41+FLAP!$F$57</f>
        <v>0.13475999999999999</v>
      </c>
      <c r="D80" s="35">
        <f>D56+FLAP!$C$41+FLAP!$C$57</f>
        <v>1.6629999999999998</v>
      </c>
      <c r="E80" s="35">
        <f>E56+FLAP!$D$41+FLAP!$D$57</f>
        <v>-1.8541000000000001</v>
      </c>
      <c r="G80" s="35">
        <f t="shared" si="0"/>
        <v>12.340457108934402</v>
      </c>
    </row>
    <row r="81" spans="1:7" x14ac:dyDescent="0.25">
      <c r="B81" s="35">
        <v>20</v>
      </c>
      <c r="C81" s="37">
        <f>C57+FLAP!$F$41+FLAP!$F$57</f>
        <v>0.13976</v>
      </c>
      <c r="D81" s="35">
        <f>D57+FLAP!$C$41+FLAP!$C$57</f>
        <v>1.677</v>
      </c>
      <c r="E81" s="35">
        <f>E57+FLAP!$D$41+FLAP!$D$57</f>
        <v>-0.11160000000000002</v>
      </c>
      <c r="G81" s="35">
        <f t="shared" si="0"/>
        <v>11.999141385231827</v>
      </c>
    </row>
    <row r="82" spans="1:7" x14ac:dyDescent="0.25">
      <c r="B82" s="35">
        <v>21</v>
      </c>
      <c r="C82" s="37">
        <f>C58+FLAP!$F$41+FLAP!$F$57</f>
        <v>0.13775999999999999</v>
      </c>
      <c r="D82" s="35">
        <f>D58+FLAP!$C$41+FLAP!$C$57</f>
        <v>1.625</v>
      </c>
      <c r="E82" s="35">
        <f>E58+FLAP!$D$41+FLAP!$D$57</f>
        <v>-0.10020000000000003</v>
      </c>
      <c r="G82" s="35">
        <f t="shared" si="0"/>
        <v>11.795876887340302</v>
      </c>
    </row>
    <row r="83" spans="1:7" x14ac:dyDescent="0.25">
      <c r="B83" s="35">
        <v>22</v>
      </c>
      <c r="C83" s="37">
        <f>C59+FLAP!$F$41+FLAP!$F$57</f>
        <v>0.13175999999999999</v>
      </c>
      <c r="D83" s="35">
        <f>D59+FLAP!$C$41+FLAP!$C$57</f>
        <v>1.5430000000000001</v>
      </c>
      <c r="E83" s="35">
        <f>E59+FLAP!$D$41+FLAP!$D$57</f>
        <v>-9.3800000000000008E-2</v>
      </c>
      <c r="G83" s="35">
        <f t="shared" si="0"/>
        <v>11.710686095931999</v>
      </c>
    </row>
    <row r="84" spans="1:7" x14ac:dyDescent="0.25">
      <c r="B84" s="35">
        <v>24</v>
      </c>
      <c r="C84" s="37">
        <f>C60+FLAP!$F$41+FLAP!$F$57</f>
        <v>0.12575999999999998</v>
      </c>
      <c r="D84" s="35">
        <f>D60+FLAP!$C$41+FLAP!$C$57</f>
        <v>1.4289999999999998</v>
      </c>
      <c r="E84" s="35">
        <f>E60+FLAP!$D$41+FLAP!$D$57</f>
        <v>-9.6900000000000028E-2</v>
      </c>
      <c r="G84" s="35">
        <f t="shared" si="0"/>
        <v>11.362913486005089</v>
      </c>
    </row>
    <row r="86" spans="1:7" x14ac:dyDescent="0.25">
      <c r="A86" s="35" t="s">
        <v>175</v>
      </c>
      <c r="C86" s="35" t="s">
        <v>176</v>
      </c>
      <c r="E86" s="35" t="s">
        <v>180</v>
      </c>
    </row>
    <row r="87" spans="1:7" x14ac:dyDescent="0.25">
      <c r="B87" s="35" t="s">
        <v>157</v>
      </c>
      <c r="C87" s="35" t="s">
        <v>158</v>
      </c>
      <c r="D87" s="35" t="s">
        <v>159</v>
      </c>
      <c r="E87" s="35" t="s">
        <v>160</v>
      </c>
      <c r="G87" s="35" t="s">
        <v>174</v>
      </c>
    </row>
    <row r="89" spans="1:7" x14ac:dyDescent="0.25">
      <c r="B89" s="35">
        <v>-16</v>
      </c>
      <c r="C89" s="37">
        <f>C41+FLAP!$F$45+FLAP!$F$61</f>
        <v>0.11751</v>
      </c>
      <c r="D89" s="35">
        <f>D41+FLAP!$C$45+FLAP!$C$61</f>
        <v>-0.97799999999999998</v>
      </c>
      <c r="E89" s="35">
        <f>E41+FLAP!$D$45+FLAP!$D$61</f>
        <v>1.1297999999999999</v>
      </c>
      <c r="G89" s="46">
        <f>D89/C89</f>
        <v>-8.3226959407709984</v>
      </c>
    </row>
    <row r="90" spans="1:7" x14ac:dyDescent="0.25">
      <c r="B90" s="35">
        <v>-8</v>
      </c>
      <c r="C90" s="37">
        <f>C42+FLAP!$F$45+FLAP!$F$61</f>
        <v>5.6509999999999998E-2</v>
      </c>
      <c r="D90" s="35">
        <f>D42+FLAP!$C$45+FLAP!$C$61</f>
        <v>-0.28699999999999992</v>
      </c>
      <c r="E90" s="35">
        <f>E42+FLAP!$D$45+FLAP!$D$61</f>
        <v>0.35189999999999994</v>
      </c>
      <c r="G90" s="46">
        <f t="shared" ref="G90:G108" si="1">D90/C90</f>
        <v>-5.0787471244027591</v>
      </c>
    </row>
    <row r="91" spans="1:7" x14ac:dyDescent="0.25">
      <c r="B91" s="35">
        <v>-6</v>
      </c>
      <c r="C91" s="37">
        <f>C43+FLAP!$F$45+FLAP!$F$61</f>
        <v>4.8509999999999998E-2</v>
      </c>
      <c r="D91" s="35">
        <f>D43+FLAP!$C$45+FLAP!$C$61</f>
        <v>-7.6999999999999957E-2</v>
      </c>
      <c r="E91" s="35">
        <f>E43+FLAP!$D$45+FLAP!$D$61</f>
        <v>0.10900000000000004</v>
      </c>
      <c r="G91" s="46">
        <f t="shared" si="1"/>
        <v>-1.5873015873015865</v>
      </c>
    </row>
    <row r="92" spans="1:7" x14ac:dyDescent="0.25">
      <c r="B92" s="35">
        <v>-4</v>
      </c>
      <c r="C92" s="37">
        <f>C44+FLAP!$F$45+FLAP!$F$61</f>
        <v>4.351E-2</v>
      </c>
      <c r="D92" s="35">
        <f>D44+FLAP!$C$45+FLAP!$C$61</f>
        <v>0.13700000000000004</v>
      </c>
      <c r="E92" s="35">
        <f>E44+FLAP!$D$45+FLAP!$D$61</f>
        <v>-0.14000000000000001</v>
      </c>
      <c r="G92" s="46">
        <f t="shared" si="1"/>
        <v>3.1487014479430027</v>
      </c>
    </row>
    <row r="93" spans="1:7" x14ac:dyDescent="0.25">
      <c r="B93" s="35">
        <v>-2</v>
      </c>
      <c r="C93" s="37">
        <f>C45+FLAP!$F$45+FLAP!$F$61</f>
        <v>4.1509999999999998E-2</v>
      </c>
      <c r="D93" s="35">
        <f>D45+FLAP!$C$45+FLAP!$C$61</f>
        <v>0.35000000000000003</v>
      </c>
      <c r="E93" s="35">
        <f>E45+FLAP!$D$45+FLAP!$D$61</f>
        <v>-0.38819999999999999</v>
      </c>
      <c r="G93" s="46">
        <f t="shared" si="1"/>
        <v>8.4317032040472188</v>
      </c>
    </row>
    <row r="94" spans="1:7" x14ac:dyDescent="0.25">
      <c r="B94" s="35">
        <v>0</v>
      </c>
      <c r="C94" s="37">
        <f>C46+FLAP!$F$45+FLAP!$F$61</f>
        <v>4.2509999999999999E-2</v>
      </c>
      <c r="D94" s="35">
        <f>D46+FLAP!$C$45+FLAP!$C$61</f>
        <v>0.56100000000000005</v>
      </c>
      <c r="E94" s="35">
        <f>E46+FLAP!$D$45+FLAP!$D$61</f>
        <v>-0.63430000000000009</v>
      </c>
      <c r="G94" s="46">
        <f t="shared" si="1"/>
        <v>13.196894848270997</v>
      </c>
    </row>
    <row r="95" spans="1:7" x14ac:dyDescent="0.25">
      <c r="B95" s="35">
        <v>2</v>
      </c>
      <c r="C95" s="37">
        <f>C47+FLAP!$F$45+FLAP!$F$61</f>
        <v>4.6509999999999996E-2</v>
      </c>
      <c r="D95" s="35">
        <f>D47+FLAP!$C$45+FLAP!$C$61</f>
        <v>0.77200000000000002</v>
      </c>
      <c r="E95" s="35">
        <f>E47+FLAP!$D$45+FLAP!$D$61</f>
        <v>-0.87519999999999998</v>
      </c>
      <c r="G95" s="46">
        <f t="shared" si="1"/>
        <v>16.598580950333265</v>
      </c>
    </row>
    <row r="96" spans="1:7" x14ac:dyDescent="0.25">
      <c r="B96" s="35">
        <v>4</v>
      </c>
      <c r="C96" s="37">
        <f>C48+FLAP!$F$45+FLAP!$F$61</f>
        <v>5.3510000000000002E-2</v>
      </c>
      <c r="D96" s="35">
        <f>D48+FLAP!$C$45+FLAP!$C$61</f>
        <v>0.97600000000000009</v>
      </c>
      <c r="E96" s="35">
        <f>E48+FLAP!$D$45+FLAP!$D$61</f>
        <v>-1.1033999999999999</v>
      </c>
      <c r="G96" s="46">
        <f t="shared" si="1"/>
        <v>18.239581386656699</v>
      </c>
    </row>
    <row r="97" spans="2:7" x14ac:dyDescent="0.25">
      <c r="B97" s="35">
        <v>8</v>
      </c>
      <c r="C97" s="37">
        <f>C49+FLAP!$F$45+FLAP!$F$61</f>
        <v>7.7509999999999996E-2</v>
      </c>
      <c r="D97" s="35">
        <f>D49+FLAP!$C$45+FLAP!$C$61</f>
        <v>1.35</v>
      </c>
      <c r="E97" s="35">
        <f>E49+FLAP!$D$45+FLAP!$D$61</f>
        <v>-1.5089999999999999</v>
      </c>
      <c r="G97" s="46">
        <f t="shared" si="1"/>
        <v>17.417107470003874</v>
      </c>
    </row>
    <row r="98" spans="2:7" x14ac:dyDescent="0.25">
      <c r="B98" s="35">
        <v>9</v>
      </c>
      <c r="C98" s="37">
        <f>C50+FLAP!$F$45+FLAP!$F$61</f>
        <v>8.5510000000000003E-2</v>
      </c>
      <c r="D98" s="35">
        <f>D50+FLAP!$C$45+FLAP!$C$61</f>
        <v>1.4360000000000002</v>
      </c>
      <c r="E98" s="35">
        <f>E50+FLAP!$D$45+FLAP!$D$61</f>
        <v>-1.5988</v>
      </c>
      <c r="G98" s="46">
        <f t="shared" si="1"/>
        <v>16.793357502046547</v>
      </c>
    </row>
    <row r="99" spans="2:7" x14ac:dyDescent="0.25">
      <c r="B99" s="35">
        <v>10</v>
      </c>
      <c r="C99" s="37">
        <f>C51+FLAP!$F$45+FLAP!$F$61</f>
        <v>9.4510000000000011E-2</v>
      </c>
      <c r="D99" s="35">
        <f>D51+FLAP!$C$45+FLAP!$C$61</f>
        <v>1.5190000000000001</v>
      </c>
      <c r="E99" s="35">
        <f>E51+FLAP!$D$45+FLAP!$D$61</f>
        <v>-1.6855</v>
      </c>
      <c r="G99" s="46">
        <f t="shared" si="1"/>
        <v>16.07237329383134</v>
      </c>
    </row>
    <row r="100" spans="2:7" x14ac:dyDescent="0.25">
      <c r="B100" s="35">
        <v>12</v>
      </c>
      <c r="C100" s="37">
        <f>C52+FLAP!$F$45+FLAP!$F$61</f>
        <v>0.11051</v>
      </c>
      <c r="D100" s="35">
        <f>D52+FLAP!$C$45+FLAP!$C$61</f>
        <v>1.637</v>
      </c>
      <c r="E100" s="35">
        <f>E52+FLAP!$D$45+FLAP!$D$61</f>
        <v>-1.8079000000000001</v>
      </c>
      <c r="G100" s="46">
        <f t="shared" si="1"/>
        <v>14.813139082435979</v>
      </c>
    </row>
    <row r="101" spans="2:7" x14ac:dyDescent="0.25">
      <c r="B101" s="35">
        <v>14</v>
      </c>
      <c r="C101" s="37">
        <f>C53+FLAP!$F$45+FLAP!$F$61</f>
        <v>0.12551000000000001</v>
      </c>
      <c r="D101" s="35">
        <f>D53+FLAP!$C$45+FLAP!$C$61</f>
        <v>1.718</v>
      </c>
      <c r="E101" s="35">
        <f>E53+FLAP!$D$45+FLAP!$D$61</f>
        <v>-1.8937999999999999</v>
      </c>
      <c r="G101" s="46">
        <f t="shared" si="1"/>
        <v>13.688152338459085</v>
      </c>
    </row>
    <row r="102" spans="2:7" x14ac:dyDescent="0.25">
      <c r="B102" s="35">
        <v>16</v>
      </c>
      <c r="C102" s="37">
        <f>C54+FLAP!$F$45+FLAP!$F$61</f>
        <v>0.13750999999999999</v>
      </c>
      <c r="D102" s="35">
        <f>D54+FLAP!$C$45+FLAP!$C$61</f>
        <v>1.7630000000000001</v>
      </c>
      <c r="E102" s="35">
        <f>E54+FLAP!$D$45+FLAP!$D$61</f>
        <v>-1.9445999999999999</v>
      </c>
      <c r="G102" s="46">
        <f t="shared" si="1"/>
        <v>12.820885753763363</v>
      </c>
    </row>
    <row r="103" spans="2:7" x14ac:dyDescent="0.25">
      <c r="B103" s="35">
        <v>18</v>
      </c>
      <c r="C103" s="37">
        <f>C55+FLAP!$F$45+FLAP!$F$61</f>
        <v>0.14751</v>
      </c>
      <c r="D103" s="35">
        <f>D55+FLAP!$C$45+FLAP!$C$61</f>
        <v>1.774</v>
      </c>
      <c r="E103" s="35">
        <f>E55+FLAP!$D$45+FLAP!$D$61</f>
        <v>-1.9646999999999999</v>
      </c>
      <c r="G103" s="46">
        <f t="shared" si="1"/>
        <v>12.026303301471087</v>
      </c>
    </row>
    <row r="104" spans="2:7" x14ac:dyDescent="0.25">
      <c r="B104" s="35">
        <v>19</v>
      </c>
      <c r="C104" s="37">
        <f>C56+FLAP!$F$45+FLAP!$F$61</f>
        <v>0.15351000000000001</v>
      </c>
      <c r="D104" s="35">
        <f>D56+FLAP!$C$45+FLAP!$C$61</f>
        <v>1.788</v>
      </c>
      <c r="E104" s="35">
        <f>E56+FLAP!$D$45+FLAP!$D$61</f>
        <v>-1.9854000000000001</v>
      </c>
      <c r="G104" s="46">
        <f t="shared" si="1"/>
        <v>11.647449677545437</v>
      </c>
    </row>
    <row r="105" spans="2:7" x14ac:dyDescent="0.25">
      <c r="B105" s="35">
        <v>20</v>
      </c>
      <c r="C105" s="37">
        <f>C57+FLAP!$F$45+FLAP!$F$61</f>
        <v>0.15851000000000001</v>
      </c>
      <c r="D105" s="35">
        <f>D57+FLAP!$C$45+FLAP!$C$61</f>
        <v>1.802</v>
      </c>
      <c r="E105" s="35">
        <f>E57+FLAP!$D$45+FLAP!$D$61</f>
        <v>-0.2429</v>
      </c>
      <c r="G105" s="46">
        <f t="shared" si="1"/>
        <v>11.368367926313796</v>
      </c>
    </row>
    <row r="106" spans="2:7" x14ac:dyDescent="0.25">
      <c r="B106" s="35">
        <v>21</v>
      </c>
      <c r="C106" s="37">
        <f>C58+FLAP!$F$45+FLAP!$F$61</f>
        <v>0.15651000000000001</v>
      </c>
      <c r="D106" s="35">
        <f>D58+FLAP!$C$45+FLAP!$C$61</f>
        <v>1.75</v>
      </c>
      <c r="E106" s="35">
        <f>E58+FLAP!$D$45+FLAP!$D$61</f>
        <v>-0.23150000000000001</v>
      </c>
      <c r="G106" s="46">
        <f t="shared" si="1"/>
        <v>11.181394160117563</v>
      </c>
    </row>
    <row r="107" spans="2:7" x14ac:dyDescent="0.25">
      <c r="B107" s="35">
        <v>22</v>
      </c>
      <c r="C107" s="37">
        <f>C59+FLAP!$F$45+FLAP!$F$61</f>
        <v>0.15051</v>
      </c>
      <c r="D107" s="35">
        <f>D59+FLAP!$C$45+FLAP!$C$61</f>
        <v>1.6680000000000001</v>
      </c>
      <c r="E107" s="35">
        <f>E59+FLAP!$D$45+FLAP!$D$61</f>
        <v>-0.22509999999999999</v>
      </c>
      <c r="G107" s="46">
        <f t="shared" si="1"/>
        <v>11.082320111620492</v>
      </c>
    </row>
    <row r="108" spans="2:7" x14ac:dyDescent="0.25">
      <c r="B108" s="35">
        <v>24</v>
      </c>
      <c r="C108" s="37">
        <f>C60+FLAP!$F$45+FLAP!$F$61</f>
        <v>0.14451</v>
      </c>
      <c r="D108" s="35">
        <f>D60+FLAP!$C$45+FLAP!$C$61</f>
        <v>1.554</v>
      </c>
      <c r="E108" s="35">
        <f>E60+FLAP!$D$45+FLAP!$D$61</f>
        <v>-0.22820000000000001</v>
      </c>
      <c r="G108" s="46">
        <f t="shared" si="1"/>
        <v>10.753581067054183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foilmod</vt:lpstr>
      <vt:lpstr>Datcom_input</vt:lpstr>
      <vt:lpstr>49_point</vt:lpstr>
      <vt:lpstr>Body Coordinate</vt:lpstr>
      <vt:lpstr>Sheet3</vt:lpstr>
      <vt:lpstr>FLAP</vt:lpstr>
      <vt:lpstr>Engine_PW308C</vt:lpstr>
      <vt:lpstr>Sheet2</vt:lpstr>
      <vt:lpstr>AERODYNAMIC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</cp:lastModifiedBy>
  <dcterms:created xsi:type="dcterms:W3CDTF">2019-01-22T04:42:28Z</dcterms:created>
  <dcterms:modified xsi:type="dcterms:W3CDTF">2021-03-19T20:27:15Z</dcterms:modified>
</cp:coreProperties>
</file>