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hhungtg\Desktop\Dashboard\"/>
    </mc:Choice>
  </mc:AlternateContent>
  <xr:revisionPtr revIDLastSave="0" documentId="13_ncr:1_{B5ED125E-FA16-468B-B12A-EA842F2FE68C}" xr6:coauthVersionLast="40" xr6:coauthVersionMax="40" xr10:uidLastSave="{00000000-0000-0000-0000-000000000000}"/>
  <bookViews>
    <workbookView xWindow="0" yWindow="2400" windowWidth="15360" windowHeight="5670" activeTab="7" xr2:uid="{00000000-000D-0000-FFFF-FFFF00000000}"/>
  </bookViews>
  <sheets>
    <sheet name="SET" sheetId="10" r:id="rId1"/>
    <sheet name="S1" sheetId="9" r:id="rId2"/>
    <sheet name="1" sheetId="11" r:id="rId3"/>
    <sheet name="S2" sheetId="12" r:id="rId4"/>
    <sheet name="2" sheetId="13" r:id="rId5"/>
    <sheet name="S3" sheetId="14" r:id="rId6"/>
    <sheet name="3" sheetId="15" r:id="rId7"/>
    <sheet name="S4" sheetId="16" r:id="rId8"/>
    <sheet name="4" sheetId="17" r:id="rId9"/>
    <sheet name="DATA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3" i="11" l="1"/>
  <c r="N43" i="11" s="1"/>
  <c r="D43" i="11"/>
  <c r="M43" i="11" s="1"/>
  <c r="E41" i="11"/>
  <c r="N41" i="11" s="1"/>
  <c r="D41" i="11"/>
  <c r="M41" i="11" s="1"/>
  <c r="J39" i="11"/>
  <c r="I39" i="11"/>
  <c r="E39" i="11"/>
  <c r="N39" i="11" s="1"/>
  <c r="D39" i="11"/>
  <c r="M39" i="11" s="1"/>
  <c r="N37" i="11"/>
  <c r="M37" i="11"/>
  <c r="N35" i="11"/>
  <c r="M35" i="11"/>
  <c r="J37" i="11"/>
  <c r="I37" i="11"/>
  <c r="E37" i="11"/>
  <c r="D37" i="11"/>
  <c r="E35" i="11"/>
  <c r="J35" i="11" s="1"/>
  <c r="D35" i="11"/>
  <c r="I35" i="11"/>
  <c r="H27" i="11"/>
  <c r="G27" i="11"/>
  <c r="E27" i="11"/>
  <c r="D27" i="11"/>
  <c r="E20" i="11"/>
  <c r="D20" i="11"/>
  <c r="J13" i="11"/>
  <c r="I13" i="11"/>
  <c r="J10" i="11"/>
  <c r="I10" i="11"/>
  <c r="I43" i="11" l="1"/>
  <c r="J43" i="11"/>
  <c r="I41" i="11"/>
  <c r="J41" i="11"/>
  <c r="B1" i="17"/>
  <c r="B1" i="16"/>
  <c r="B1" i="15"/>
  <c r="B1" i="14"/>
  <c r="B1" i="13"/>
  <c r="B1" i="12"/>
  <c r="B1" i="11"/>
  <c r="D47" i="8" l="1"/>
  <c r="E47" i="8"/>
  <c r="F47" i="8"/>
  <c r="G47" i="8"/>
  <c r="H47" i="8"/>
  <c r="I47" i="8"/>
  <c r="J47" i="8"/>
  <c r="K47" i="8"/>
  <c r="L47" i="8"/>
  <c r="M47" i="8"/>
  <c r="C47" i="8"/>
  <c r="N38" i="8"/>
  <c r="M38" i="8"/>
  <c r="D1" i="12" l="1"/>
  <c r="D1" i="16"/>
  <c r="D86" i="17"/>
  <c r="E86" i="17"/>
  <c r="D87" i="17"/>
  <c r="E87" i="17"/>
  <c r="D88" i="17"/>
  <c r="E88" i="17"/>
  <c r="D89" i="17"/>
  <c r="E89" i="17"/>
  <c r="D90" i="17"/>
  <c r="E90" i="17"/>
  <c r="D91" i="17"/>
  <c r="E91" i="17"/>
  <c r="E85" i="17"/>
  <c r="D85" i="17"/>
  <c r="D77" i="17"/>
  <c r="E77" i="17"/>
  <c r="D78" i="17"/>
  <c r="E78" i="17"/>
  <c r="D79" i="17"/>
  <c r="E79" i="17"/>
  <c r="D80" i="17"/>
  <c r="E80" i="17"/>
  <c r="D81" i="17"/>
  <c r="E81" i="17"/>
  <c r="D82" i="17"/>
  <c r="E82" i="17"/>
  <c r="E76" i="17"/>
  <c r="D76" i="17"/>
  <c r="D68" i="17"/>
  <c r="E68" i="17"/>
  <c r="D69" i="17"/>
  <c r="E69" i="17"/>
  <c r="D70" i="17"/>
  <c r="E70" i="17"/>
  <c r="D71" i="17"/>
  <c r="E71" i="17"/>
  <c r="D72" i="17"/>
  <c r="E72" i="17"/>
  <c r="D73" i="17"/>
  <c r="E73" i="17"/>
  <c r="E67" i="17"/>
  <c r="D67" i="17"/>
  <c r="D59" i="17"/>
  <c r="E59" i="17"/>
  <c r="D60" i="17"/>
  <c r="E60" i="17"/>
  <c r="D61" i="17"/>
  <c r="E61" i="17"/>
  <c r="D62" i="17"/>
  <c r="E62" i="17"/>
  <c r="D63" i="17"/>
  <c r="E63" i="17"/>
  <c r="D64" i="17"/>
  <c r="E64" i="17"/>
  <c r="E58" i="17"/>
  <c r="D58" i="17"/>
  <c r="D50" i="17"/>
  <c r="E50" i="17"/>
  <c r="D51" i="17"/>
  <c r="E51" i="17"/>
  <c r="D52" i="17"/>
  <c r="E52" i="17"/>
  <c r="D53" i="17"/>
  <c r="E53" i="17"/>
  <c r="D54" i="17"/>
  <c r="E54" i="17"/>
  <c r="D55" i="17"/>
  <c r="E55" i="17"/>
  <c r="E49" i="17"/>
  <c r="D49" i="17"/>
  <c r="D41" i="17"/>
  <c r="E41" i="17"/>
  <c r="D42" i="17"/>
  <c r="E42" i="17"/>
  <c r="D43" i="17"/>
  <c r="E43" i="17"/>
  <c r="D44" i="17"/>
  <c r="E44" i="17"/>
  <c r="D45" i="17"/>
  <c r="E45" i="17"/>
  <c r="D46" i="17"/>
  <c r="E46" i="17"/>
  <c r="E40" i="17"/>
  <c r="D40" i="17"/>
  <c r="D32" i="17"/>
  <c r="E32" i="17"/>
  <c r="D33" i="17"/>
  <c r="E33" i="17"/>
  <c r="D34" i="17"/>
  <c r="E34" i="17"/>
  <c r="D35" i="17"/>
  <c r="E35" i="17"/>
  <c r="D36" i="17"/>
  <c r="E36" i="17"/>
  <c r="D37" i="17"/>
  <c r="E37" i="17"/>
  <c r="E31" i="17"/>
  <c r="D31" i="17"/>
  <c r="D23" i="17"/>
  <c r="E23" i="17"/>
  <c r="D24" i="17"/>
  <c r="E24" i="17"/>
  <c r="D25" i="17"/>
  <c r="E25" i="17"/>
  <c r="D26" i="17"/>
  <c r="E26" i="17"/>
  <c r="D27" i="17"/>
  <c r="E27" i="17"/>
  <c r="D28" i="17"/>
  <c r="E28" i="17"/>
  <c r="E22" i="17"/>
  <c r="D22" i="17"/>
  <c r="D16" i="17"/>
  <c r="E16" i="17"/>
  <c r="D17" i="17"/>
  <c r="E17" i="17"/>
  <c r="D18" i="17"/>
  <c r="E18" i="17"/>
  <c r="D19" i="17"/>
  <c r="E19" i="17"/>
  <c r="E15" i="17"/>
  <c r="D15" i="17"/>
  <c r="E12" i="17"/>
  <c r="E12" i="15"/>
  <c r="D12" i="17"/>
  <c r="E10" i="17"/>
  <c r="D10" i="17"/>
  <c r="E7" i="17"/>
  <c r="D7" i="17"/>
  <c r="E6" i="17"/>
  <c r="D6" i="17"/>
  <c r="E5" i="17"/>
  <c r="D5" i="17"/>
  <c r="D3" i="17"/>
  <c r="G40" i="17" l="1"/>
  <c r="G55" i="17"/>
  <c r="F61" i="17"/>
  <c r="G53" i="16" s="1"/>
  <c r="F59" i="17"/>
  <c r="E53" i="16" s="1"/>
  <c r="E7" i="16"/>
  <c r="E6" i="16"/>
  <c r="F14" i="17"/>
  <c r="Q7" i="16"/>
  <c r="Q8" i="16"/>
  <c r="D9" i="17"/>
  <c r="D11" i="17" s="1"/>
  <c r="D14" i="17" s="1"/>
  <c r="C9" i="17"/>
  <c r="C11" i="17" s="1"/>
  <c r="C14" i="17" s="1"/>
  <c r="C21" i="17" s="1"/>
  <c r="C30" i="17" s="1"/>
  <c r="C39" i="17" s="1"/>
  <c r="C48" i="17" s="1"/>
  <c r="C57" i="17" s="1"/>
  <c r="C66" i="17" s="1"/>
  <c r="C75" i="17" s="1"/>
  <c r="C84" i="17" s="1"/>
  <c r="G7" i="17"/>
  <c r="J9" i="16"/>
  <c r="G5" i="17"/>
  <c r="E3" i="17"/>
  <c r="G3" i="17" s="1"/>
  <c r="F3" i="17"/>
  <c r="G6" i="17" l="1"/>
  <c r="G41" i="17"/>
  <c r="G43" i="17"/>
  <c r="E4" i="17"/>
  <c r="G4" i="17" s="1"/>
  <c r="F18" i="17"/>
  <c r="G18" i="17" s="1"/>
  <c r="F9" i="16" s="1"/>
  <c r="D95" i="17"/>
  <c r="F55" i="16" s="1"/>
  <c r="D93" i="17"/>
  <c r="D55" i="16" s="1"/>
  <c r="D97" i="17"/>
  <c r="H55" i="16" s="1"/>
  <c r="D99" i="17"/>
  <c r="J55" i="16" s="1"/>
  <c r="F49" i="17"/>
  <c r="D52" i="16" s="1"/>
  <c r="F51" i="17"/>
  <c r="F52" i="16" s="1"/>
  <c r="F55" i="17"/>
  <c r="J52" i="16" s="1"/>
  <c r="I15" i="17"/>
  <c r="F5" i="17"/>
  <c r="H5" i="17" s="1"/>
  <c r="N8" i="16" s="1"/>
  <c r="F58" i="17"/>
  <c r="D53" i="16" s="1"/>
  <c r="F50" i="17"/>
  <c r="E52" i="16" s="1"/>
  <c r="D94" i="17"/>
  <c r="E55" i="16" s="1"/>
  <c r="D96" i="17"/>
  <c r="G55" i="16" s="1"/>
  <c r="D98" i="17"/>
  <c r="I55" i="16" s="1"/>
  <c r="F60" i="17"/>
  <c r="F53" i="16" s="1"/>
  <c r="F53" i="17"/>
  <c r="H52" i="16" s="1"/>
  <c r="F6" i="17"/>
  <c r="F17" i="17"/>
  <c r="G17" i="17" s="1"/>
  <c r="F8" i="16" s="1"/>
  <c r="H19" i="17"/>
  <c r="F45" i="17"/>
  <c r="I51" i="16" s="1"/>
  <c r="G42" i="17"/>
  <c r="G44" i="17"/>
  <c r="G46" i="17"/>
  <c r="G50" i="17"/>
  <c r="F52" i="17"/>
  <c r="G52" i="16" s="1"/>
  <c r="F54" i="17"/>
  <c r="I52" i="16" s="1"/>
  <c r="G59" i="17"/>
  <c r="G61" i="17"/>
  <c r="G63" i="17"/>
  <c r="G67" i="17"/>
  <c r="G69" i="17"/>
  <c r="G71" i="17"/>
  <c r="G73" i="17"/>
  <c r="E94" i="17"/>
  <c r="E96" i="17"/>
  <c r="E98" i="17"/>
  <c r="M9" i="16"/>
  <c r="D13" i="17"/>
  <c r="H16" i="17"/>
  <c r="G7" i="16" s="1"/>
  <c r="I17" i="17"/>
  <c r="I19" i="17"/>
  <c r="G54" i="17"/>
  <c r="F41" i="17"/>
  <c r="E51" i="16" s="1"/>
  <c r="G49" i="17"/>
  <c r="G53" i="17"/>
  <c r="F68" i="17"/>
  <c r="E54" i="16" s="1"/>
  <c r="F70" i="17"/>
  <c r="G54" i="16" s="1"/>
  <c r="F72" i="17"/>
  <c r="I54" i="16" s="1"/>
  <c r="D4" i="17"/>
  <c r="F4" i="17" s="1"/>
  <c r="E10" i="16"/>
  <c r="E13" i="17"/>
  <c r="I16" i="17"/>
  <c r="F44" i="17"/>
  <c r="H51" i="16" s="1"/>
  <c r="F46" i="17"/>
  <c r="J51" i="16" s="1"/>
  <c r="F40" i="17"/>
  <c r="D51" i="16" s="1"/>
  <c r="F43" i="17"/>
  <c r="G51" i="16" s="1"/>
  <c r="G52" i="17"/>
  <c r="G58" i="17"/>
  <c r="G60" i="17"/>
  <c r="G62" i="17"/>
  <c r="G64" i="17"/>
  <c r="G68" i="17"/>
  <c r="G70" i="17"/>
  <c r="G72" i="17"/>
  <c r="E93" i="17"/>
  <c r="E95" i="17"/>
  <c r="E97" i="17"/>
  <c r="E99" i="17"/>
  <c r="E8" i="16"/>
  <c r="J8" i="16"/>
  <c r="H15" i="17"/>
  <c r="F16" i="17"/>
  <c r="G16" i="17" s="1"/>
  <c r="F7" i="16" s="1"/>
  <c r="I18" i="17"/>
  <c r="F42" i="17"/>
  <c r="F51" i="16" s="1"/>
  <c r="G51" i="17"/>
  <c r="F67" i="17"/>
  <c r="D54" i="16" s="1"/>
  <c r="F69" i="17"/>
  <c r="F54" i="16" s="1"/>
  <c r="F71" i="17"/>
  <c r="H54" i="16" s="1"/>
  <c r="F73" i="17"/>
  <c r="J54" i="16" s="1"/>
  <c r="D21" i="17"/>
  <c r="D30" i="17" s="1"/>
  <c r="D39" i="17" s="1"/>
  <c r="H14" i="17"/>
  <c r="G45" i="17"/>
  <c r="E9" i="17"/>
  <c r="E11" i="17" s="1"/>
  <c r="E14" i="17" s="1"/>
  <c r="F15" i="17"/>
  <c r="G15" i="17" s="1"/>
  <c r="F6" i="16" s="1"/>
  <c r="H17" i="17"/>
  <c r="F19" i="17"/>
  <c r="G19" i="17" s="1"/>
  <c r="F10" i="16" s="1"/>
  <c r="F62" i="17"/>
  <c r="H53" i="16" s="1"/>
  <c r="F63" i="17"/>
  <c r="I53" i="16" s="1"/>
  <c r="F64" i="17"/>
  <c r="J53" i="16" s="1"/>
  <c r="H18" i="17"/>
  <c r="E9" i="16"/>
  <c r="F7" i="17"/>
  <c r="J10" i="16"/>
  <c r="I5" i="17" l="1"/>
  <c r="J5" i="17" s="1"/>
  <c r="M8" i="16"/>
  <c r="E56" i="16"/>
  <c r="I56" i="16"/>
  <c r="H6" i="17"/>
  <c r="I6" i="17" s="1"/>
  <c r="J7" i="16"/>
  <c r="G56" i="16"/>
  <c r="J15" i="17"/>
  <c r="H6" i="16" s="1"/>
  <c r="G6" i="16"/>
  <c r="F13" i="17"/>
  <c r="S9" i="16" s="1"/>
  <c r="J19" i="17"/>
  <c r="H10" i="16" s="1"/>
  <c r="J56" i="16"/>
  <c r="J16" i="17"/>
  <c r="H7" i="16" s="1"/>
  <c r="G10" i="16"/>
  <c r="F56" i="16"/>
  <c r="H56" i="16"/>
  <c r="D56" i="16"/>
  <c r="Q9" i="16"/>
  <c r="F39" i="17"/>
  <c r="D48" i="17"/>
  <c r="I14" i="17"/>
  <c r="E21" i="17"/>
  <c r="E30" i="17" s="1"/>
  <c r="E39" i="17" s="1"/>
  <c r="H4" i="17"/>
  <c r="M7" i="16"/>
  <c r="J18" i="17"/>
  <c r="H9" i="16" s="1"/>
  <c r="G9" i="16"/>
  <c r="H7" i="17"/>
  <c r="M10" i="16"/>
  <c r="J17" i="17"/>
  <c r="H8" i="16" s="1"/>
  <c r="G8" i="16"/>
  <c r="K8" i="16" l="1"/>
  <c r="G13" i="17"/>
  <c r="R9" i="16" s="1"/>
  <c r="N9" i="16"/>
  <c r="J6" i="17"/>
  <c r="L9" i="16" s="1"/>
  <c r="K9" i="16"/>
  <c r="D57" i="17"/>
  <c r="F48" i="17"/>
  <c r="I4" i="17"/>
  <c r="N7" i="16"/>
  <c r="E48" i="17"/>
  <c r="G39" i="17"/>
  <c r="O8" i="16"/>
  <c r="L8" i="16"/>
  <c r="N10" i="16"/>
  <c r="I7" i="17"/>
  <c r="O9" i="16" l="1"/>
  <c r="J4" i="17"/>
  <c r="K7" i="16"/>
  <c r="K10" i="16"/>
  <c r="J7" i="17"/>
  <c r="G48" i="17"/>
  <c r="E57" i="17"/>
  <c r="D66" i="17"/>
  <c r="F57" i="17"/>
  <c r="L10" i="16" l="1"/>
  <c r="O10" i="16"/>
  <c r="F66" i="17"/>
  <c r="D75" i="17"/>
  <c r="D84" i="17" s="1"/>
  <c r="G57" i="17"/>
  <c r="E66" i="17"/>
  <c r="L7" i="16"/>
  <c r="O7" i="16"/>
  <c r="G66" i="17" l="1"/>
  <c r="E75" i="17"/>
  <c r="E84" i="17" s="1"/>
  <c r="C99" i="11" l="1"/>
  <c r="C100" i="11"/>
  <c r="C101" i="11"/>
  <c r="C102" i="11"/>
  <c r="C98" i="11"/>
  <c r="G27" i="13" l="1"/>
  <c r="I27" i="13"/>
  <c r="H27" i="13"/>
  <c r="E51" i="13"/>
  <c r="D51" i="13"/>
  <c r="D52" i="13"/>
  <c r="E52" i="13"/>
  <c r="D53" i="13"/>
  <c r="E53" i="13"/>
  <c r="D54" i="13"/>
  <c r="E54" i="13"/>
  <c r="D55" i="13"/>
  <c r="E55" i="13"/>
  <c r="D56" i="13"/>
  <c r="E56" i="13"/>
  <c r="D57" i="13"/>
  <c r="E57" i="13"/>
  <c r="D45" i="13"/>
  <c r="E45" i="13"/>
  <c r="D46" i="13"/>
  <c r="E46" i="13"/>
  <c r="D47" i="13"/>
  <c r="E47" i="13"/>
  <c r="D48" i="13"/>
  <c r="E48" i="13"/>
  <c r="D49" i="13"/>
  <c r="E49" i="13"/>
  <c r="E44" i="13"/>
  <c r="D44" i="13"/>
  <c r="E43" i="13"/>
  <c r="D43" i="13"/>
  <c r="C51" i="13"/>
  <c r="I32" i="13" l="1"/>
  <c r="I30" i="13"/>
  <c r="H32" i="13"/>
  <c r="H30" i="13"/>
  <c r="I33" i="13"/>
  <c r="I31" i="13"/>
  <c r="I29" i="13"/>
  <c r="H33" i="13"/>
  <c r="H31" i="13"/>
  <c r="H29" i="13"/>
  <c r="I28" i="13"/>
  <c r="H28" i="13"/>
  <c r="D37" i="13"/>
  <c r="D38" i="13"/>
  <c r="D39" i="13"/>
  <c r="D40" i="13"/>
  <c r="D41" i="13"/>
  <c r="D36" i="13"/>
  <c r="E35" i="13"/>
  <c r="E41" i="13"/>
  <c r="E40" i="13"/>
  <c r="E23" i="12" s="1"/>
  <c r="E39" i="13"/>
  <c r="E22" i="12" s="1"/>
  <c r="E38" i="13"/>
  <c r="E21" i="12" s="1"/>
  <c r="E37" i="13"/>
  <c r="E20" i="12" s="1"/>
  <c r="E36" i="13"/>
  <c r="E19" i="12" s="1"/>
  <c r="D35" i="13"/>
  <c r="D29" i="13"/>
  <c r="E29" i="13"/>
  <c r="D30" i="13"/>
  <c r="E30" i="13"/>
  <c r="D31" i="13"/>
  <c r="E31" i="13"/>
  <c r="D32" i="13"/>
  <c r="E32" i="13"/>
  <c r="D33" i="13"/>
  <c r="F33" i="13" s="1"/>
  <c r="E33" i="13"/>
  <c r="E28" i="13"/>
  <c r="D28" i="13"/>
  <c r="E27" i="13"/>
  <c r="D27" i="13"/>
  <c r="J32" i="13" l="1"/>
  <c r="K32" i="13" s="1"/>
  <c r="G23" i="12" s="1"/>
  <c r="J33" i="13"/>
  <c r="K33" i="13" s="1"/>
  <c r="G24" i="12" s="1"/>
  <c r="J30" i="13"/>
  <c r="K30" i="13" s="1"/>
  <c r="G21" i="12" s="1"/>
  <c r="J28" i="13"/>
  <c r="K28" i="13" s="1"/>
  <c r="G19" i="12" s="1"/>
  <c r="J31" i="13"/>
  <c r="K31" i="13" s="1"/>
  <c r="G22" i="12" s="1"/>
  <c r="J29" i="13"/>
  <c r="K29" i="13" s="1"/>
  <c r="G20" i="12" s="1"/>
  <c r="F32" i="13"/>
  <c r="D23" i="12" s="1"/>
  <c r="F30" i="13"/>
  <c r="D21" i="12" s="1"/>
  <c r="F31" i="13"/>
  <c r="D22" i="12" s="1"/>
  <c r="F29" i="13"/>
  <c r="D20" i="12" s="1"/>
  <c r="F28" i="13"/>
  <c r="D19" i="12" s="1"/>
  <c r="E15" i="13" l="1"/>
  <c r="N642" i="8" l="1"/>
  <c r="M642" i="8"/>
  <c r="L642" i="8"/>
  <c r="K642" i="8"/>
  <c r="J642" i="8"/>
  <c r="I642" i="8"/>
  <c r="H642" i="8"/>
  <c r="G642" i="8"/>
  <c r="F642" i="8"/>
  <c r="E642" i="8"/>
  <c r="D642" i="8"/>
  <c r="C642" i="8"/>
  <c r="N633" i="8"/>
  <c r="M633" i="8"/>
  <c r="L633" i="8"/>
  <c r="K633" i="8"/>
  <c r="J633" i="8"/>
  <c r="I633" i="8"/>
  <c r="H633" i="8"/>
  <c r="G633" i="8"/>
  <c r="F633" i="8"/>
  <c r="E633" i="8"/>
  <c r="D633" i="8"/>
  <c r="C633" i="8"/>
  <c r="N615" i="8"/>
  <c r="M615" i="8"/>
  <c r="L615" i="8"/>
  <c r="K615" i="8"/>
  <c r="J615" i="8"/>
  <c r="I615" i="8"/>
  <c r="H615" i="8"/>
  <c r="G615" i="8"/>
  <c r="F615" i="8"/>
  <c r="E615" i="8"/>
  <c r="D615" i="8"/>
  <c r="C615" i="8"/>
  <c r="N624" i="8"/>
  <c r="M624" i="8"/>
  <c r="L624" i="8"/>
  <c r="K624" i="8"/>
  <c r="J624" i="8"/>
  <c r="I624" i="8"/>
  <c r="H624" i="8"/>
  <c r="G624" i="8"/>
  <c r="F624" i="8"/>
  <c r="E624" i="8"/>
  <c r="D624" i="8"/>
  <c r="C624" i="8"/>
  <c r="D86" i="15" l="1"/>
  <c r="E86" i="15"/>
  <c r="D87" i="15"/>
  <c r="E87" i="15"/>
  <c r="D88" i="15"/>
  <c r="E88" i="15"/>
  <c r="D89" i="15"/>
  <c r="E89" i="15"/>
  <c r="D90" i="15"/>
  <c r="E90" i="15"/>
  <c r="D91" i="15"/>
  <c r="E91" i="15"/>
  <c r="E85" i="15"/>
  <c r="D85" i="15"/>
  <c r="C84" i="15"/>
  <c r="D77" i="15"/>
  <c r="E77" i="15"/>
  <c r="D78" i="15"/>
  <c r="E78" i="15"/>
  <c r="D79" i="15"/>
  <c r="E79" i="15"/>
  <c r="D80" i="15"/>
  <c r="E80" i="15"/>
  <c r="D81" i="15"/>
  <c r="E81" i="15"/>
  <c r="D82" i="15"/>
  <c r="E82" i="15"/>
  <c r="E76" i="15"/>
  <c r="D76" i="15"/>
  <c r="C75" i="15"/>
  <c r="E73" i="15"/>
  <c r="D73" i="15"/>
  <c r="E72" i="15"/>
  <c r="D72" i="15"/>
  <c r="E71" i="15"/>
  <c r="D71" i="15"/>
  <c r="E70" i="15"/>
  <c r="D70" i="15"/>
  <c r="E69" i="15"/>
  <c r="D69" i="15"/>
  <c r="E68" i="15"/>
  <c r="D68" i="15"/>
  <c r="E67" i="15"/>
  <c r="D67" i="15"/>
  <c r="C66" i="15"/>
  <c r="E64" i="15"/>
  <c r="D64" i="15"/>
  <c r="E63" i="15"/>
  <c r="D63" i="15"/>
  <c r="E62" i="15"/>
  <c r="D62" i="15"/>
  <c r="E61" i="15"/>
  <c r="D61" i="15"/>
  <c r="E60" i="15"/>
  <c r="D60" i="15"/>
  <c r="E59" i="15"/>
  <c r="D59" i="15"/>
  <c r="E58" i="15"/>
  <c r="D58" i="15"/>
  <c r="C57" i="15"/>
  <c r="E55" i="15"/>
  <c r="D55" i="15"/>
  <c r="E54" i="15"/>
  <c r="D54" i="15"/>
  <c r="E53" i="15"/>
  <c r="D53" i="15"/>
  <c r="E52" i="15"/>
  <c r="D52" i="15"/>
  <c r="E51" i="15"/>
  <c r="D51" i="15"/>
  <c r="E50" i="15"/>
  <c r="D50" i="15"/>
  <c r="E49" i="15"/>
  <c r="D49" i="15"/>
  <c r="C48" i="15"/>
  <c r="D41" i="15"/>
  <c r="E41" i="15"/>
  <c r="D42" i="15"/>
  <c r="E42" i="15"/>
  <c r="D43" i="15"/>
  <c r="E43" i="15"/>
  <c r="D44" i="15"/>
  <c r="E44" i="15"/>
  <c r="D45" i="15"/>
  <c r="E45" i="15"/>
  <c r="D46" i="15"/>
  <c r="E46" i="15"/>
  <c r="E40" i="15"/>
  <c r="D40" i="15"/>
  <c r="C39" i="15"/>
  <c r="C30" i="15"/>
  <c r="E37" i="15"/>
  <c r="D37" i="15"/>
  <c r="E36" i="15"/>
  <c r="D36" i="15"/>
  <c r="E35" i="15"/>
  <c r="D35" i="15"/>
  <c r="E34" i="15"/>
  <c r="D34" i="15"/>
  <c r="E33" i="15"/>
  <c r="D33" i="15"/>
  <c r="E32" i="15"/>
  <c r="D32" i="15"/>
  <c r="E31" i="15"/>
  <c r="D31" i="15"/>
  <c r="D23" i="15"/>
  <c r="E23" i="15"/>
  <c r="D24" i="15"/>
  <c r="E24" i="15"/>
  <c r="D25" i="15"/>
  <c r="E25" i="15"/>
  <c r="D26" i="15"/>
  <c r="E26" i="15"/>
  <c r="D27" i="15"/>
  <c r="E27" i="15"/>
  <c r="D28" i="15"/>
  <c r="E28" i="15"/>
  <c r="E22" i="15"/>
  <c r="D22" i="15"/>
  <c r="C21" i="15"/>
  <c r="D16" i="15"/>
  <c r="E7" i="14" s="1"/>
  <c r="E16" i="15"/>
  <c r="D17" i="15"/>
  <c r="E8" i="14" s="1"/>
  <c r="E17" i="15"/>
  <c r="D18" i="15"/>
  <c r="E9" i="14" s="1"/>
  <c r="E18" i="15"/>
  <c r="D19" i="15"/>
  <c r="E10" i="14" s="1"/>
  <c r="E19" i="15"/>
  <c r="E15" i="15"/>
  <c r="D15" i="15"/>
  <c r="E6" i="14" s="1"/>
  <c r="F14" i="15"/>
  <c r="C14" i="15"/>
  <c r="D12" i="15"/>
  <c r="Q7" i="14" s="1"/>
  <c r="C11" i="15"/>
  <c r="E10" i="15"/>
  <c r="D10" i="15"/>
  <c r="Q8" i="14" s="1"/>
  <c r="C9" i="15"/>
  <c r="D7" i="15"/>
  <c r="E7" i="15"/>
  <c r="E6" i="15"/>
  <c r="D6" i="15"/>
  <c r="E5" i="15"/>
  <c r="D5" i="15"/>
  <c r="D3" i="15"/>
  <c r="F3" i="15" s="1"/>
  <c r="N596" i="8"/>
  <c r="M596" i="8"/>
  <c r="L596" i="8"/>
  <c r="K596" i="8"/>
  <c r="J596" i="8"/>
  <c r="I596" i="8"/>
  <c r="H596" i="8"/>
  <c r="G596" i="8"/>
  <c r="F596" i="8"/>
  <c r="E596" i="8"/>
  <c r="D596" i="8"/>
  <c r="C596" i="8"/>
  <c r="N578" i="8"/>
  <c r="M578" i="8"/>
  <c r="L578" i="8"/>
  <c r="K578" i="8"/>
  <c r="J578" i="8"/>
  <c r="I578" i="8"/>
  <c r="H578" i="8"/>
  <c r="G578" i="8"/>
  <c r="F578" i="8"/>
  <c r="E578" i="8"/>
  <c r="D578" i="8"/>
  <c r="C578" i="8"/>
  <c r="D9" i="15" l="1"/>
  <c r="D11" i="15" s="1"/>
  <c r="D14" i="15" s="1"/>
  <c r="E3" i="15"/>
  <c r="D99" i="15"/>
  <c r="J55" i="14" s="1"/>
  <c r="D97" i="15"/>
  <c r="H55" i="14" s="1"/>
  <c r="E93" i="15"/>
  <c r="D98" i="15"/>
  <c r="I55" i="14" s="1"/>
  <c r="D96" i="15"/>
  <c r="G55" i="14" s="1"/>
  <c r="D94" i="15"/>
  <c r="D95" i="15"/>
  <c r="F55" i="14" s="1"/>
  <c r="D93" i="15"/>
  <c r="E98" i="15"/>
  <c r="E96" i="15"/>
  <c r="E94" i="15"/>
  <c r="E99" i="15"/>
  <c r="E97" i="15"/>
  <c r="E95" i="15"/>
  <c r="F6" i="15"/>
  <c r="M9" i="14" s="1"/>
  <c r="J9" i="14"/>
  <c r="F7" i="15"/>
  <c r="M10" i="14" s="1"/>
  <c r="J10" i="14"/>
  <c r="G6" i="15"/>
  <c r="G7" i="15"/>
  <c r="G5" i="15"/>
  <c r="E4" i="15"/>
  <c r="F5" i="15"/>
  <c r="M8" i="14" s="1"/>
  <c r="D4" i="15"/>
  <c r="J8" i="14"/>
  <c r="F73" i="15"/>
  <c r="J54" i="14" s="1"/>
  <c r="F71" i="15"/>
  <c r="H54" i="14" s="1"/>
  <c r="F69" i="15"/>
  <c r="F54" i="14" s="1"/>
  <c r="G69" i="15"/>
  <c r="G71" i="15"/>
  <c r="G73" i="15"/>
  <c r="F68" i="15"/>
  <c r="E54" i="14" s="1"/>
  <c r="F70" i="15"/>
  <c r="G54" i="14" s="1"/>
  <c r="F72" i="15"/>
  <c r="I54" i="14" s="1"/>
  <c r="G68" i="15"/>
  <c r="G70" i="15"/>
  <c r="G72" i="15"/>
  <c r="G67" i="15"/>
  <c r="F67" i="15"/>
  <c r="D54" i="14" s="1"/>
  <c r="G60" i="15"/>
  <c r="G62" i="15"/>
  <c r="G64" i="15"/>
  <c r="G59" i="15"/>
  <c r="G61" i="15"/>
  <c r="G63" i="15"/>
  <c r="F60" i="15"/>
  <c r="F62" i="15"/>
  <c r="F64" i="15"/>
  <c r="F59" i="15"/>
  <c r="F61" i="15"/>
  <c r="F63" i="15"/>
  <c r="G58" i="15"/>
  <c r="F58" i="15"/>
  <c r="D53" i="14" s="1"/>
  <c r="G50" i="15"/>
  <c r="G52" i="15"/>
  <c r="G54" i="15"/>
  <c r="G49" i="15"/>
  <c r="G51" i="15"/>
  <c r="G53" i="15"/>
  <c r="G55" i="15"/>
  <c r="F53" i="15"/>
  <c r="F51" i="15"/>
  <c r="F50" i="15"/>
  <c r="F52" i="15"/>
  <c r="F54" i="15"/>
  <c r="F55" i="15"/>
  <c r="F49" i="15"/>
  <c r="D52" i="14" s="1"/>
  <c r="G45" i="15"/>
  <c r="G43" i="15"/>
  <c r="G41" i="15"/>
  <c r="G44" i="15"/>
  <c r="G46" i="15"/>
  <c r="G42" i="15"/>
  <c r="G40" i="15"/>
  <c r="F44" i="15"/>
  <c r="F45" i="15"/>
  <c r="F43" i="15"/>
  <c r="F41" i="15"/>
  <c r="E51" i="14" s="1"/>
  <c r="F46" i="15"/>
  <c r="F42" i="15"/>
  <c r="F40" i="15"/>
  <c r="D51" i="14" s="1"/>
  <c r="I17" i="15"/>
  <c r="H18" i="15"/>
  <c r="G9" i="14" s="1"/>
  <c r="H16" i="15"/>
  <c r="G7" i="14" s="1"/>
  <c r="H19" i="15"/>
  <c r="G10" i="14" s="1"/>
  <c r="H17" i="15"/>
  <c r="I18" i="15"/>
  <c r="I16" i="15"/>
  <c r="I19" i="15"/>
  <c r="I15" i="15"/>
  <c r="H15" i="15"/>
  <c r="G6" i="14" s="1"/>
  <c r="F18" i="15"/>
  <c r="G18" i="15" s="1"/>
  <c r="F9" i="14" s="1"/>
  <c r="F16" i="15"/>
  <c r="G16" i="15" s="1"/>
  <c r="F7" i="14" s="1"/>
  <c r="F19" i="15"/>
  <c r="G19" i="15" s="1"/>
  <c r="F10" i="14" s="1"/>
  <c r="F17" i="15"/>
  <c r="G17" i="15" s="1"/>
  <c r="F8" i="14" s="1"/>
  <c r="F15" i="15"/>
  <c r="G15" i="15" s="1"/>
  <c r="F6" i="14" s="1"/>
  <c r="D13" i="15"/>
  <c r="Q9" i="14" s="1"/>
  <c r="E13" i="15"/>
  <c r="G3" i="15" l="1"/>
  <c r="E9" i="15"/>
  <c r="E11" i="15" s="1"/>
  <c r="E14" i="15" s="1"/>
  <c r="H14" i="15"/>
  <c r="D21" i="15"/>
  <c r="D30" i="15" s="1"/>
  <c r="D39" i="15" s="1"/>
  <c r="H7" i="15"/>
  <c r="H6" i="15"/>
  <c r="H5" i="15"/>
  <c r="D56" i="14"/>
  <c r="E55" i="14"/>
  <c r="D55" i="14"/>
  <c r="J53" i="14"/>
  <c r="E53" i="14"/>
  <c r="I53" i="14"/>
  <c r="H53" i="14"/>
  <c r="G53" i="14"/>
  <c r="F53" i="14"/>
  <c r="G52" i="14"/>
  <c r="H52" i="14"/>
  <c r="E52" i="14"/>
  <c r="I52" i="14"/>
  <c r="J52" i="14"/>
  <c r="F52" i="14"/>
  <c r="F51" i="14"/>
  <c r="I51" i="14"/>
  <c r="G51" i="14"/>
  <c r="J51" i="14"/>
  <c r="H51" i="14"/>
  <c r="J17" i="15"/>
  <c r="H8" i="14" s="1"/>
  <c r="G8" i="14"/>
  <c r="J19" i="15"/>
  <c r="H10" i="14" s="1"/>
  <c r="J16" i="15"/>
  <c r="H7" i="14" s="1"/>
  <c r="J15" i="15"/>
  <c r="H6" i="14" s="1"/>
  <c r="J18" i="15"/>
  <c r="H9" i="14" s="1"/>
  <c r="F13" i="15"/>
  <c r="G4" i="15"/>
  <c r="F4" i="15"/>
  <c r="M7" i="14" s="1"/>
  <c r="F39" i="15" l="1"/>
  <c r="D48" i="15"/>
  <c r="I14" i="15"/>
  <c r="E21" i="15"/>
  <c r="E30" i="15" s="1"/>
  <c r="E39" i="15" s="1"/>
  <c r="I6" i="15"/>
  <c r="J6" i="15" s="1"/>
  <c r="N9" i="14"/>
  <c r="I5" i="15"/>
  <c r="K8" i="14" s="1"/>
  <c r="N8" i="14"/>
  <c r="I7" i="15"/>
  <c r="K10" i="14" s="1"/>
  <c r="N10" i="14"/>
  <c r="H4" i="15"/>
  <c r="N7" i="14" s="1"/>
  <c r="H56" i="14"/>
  <c r="I56" i="14"/>
  <c r="E56" i="14"/>
  <c r="F56" i="14"/>
  <c r="J56" i="14"/>
  <c r="G56" i="14"/>
  <c r="G13" i="15"/>
  <c r="R9" i="14" s="1"/>
  <c r="S9" i="14"/>
  <c r="J7" i="14"/>
  <c r="G39" i="15" l="1"/>
  <c r="E48" i="15"/>
  <c r="D57" i="15"/>
  <c r="F48" i="15"/>
  <c r="K9" i="14"/>
  <c r="J7" i="15"/>
  <c r="O10" i="14" s="1"/>
  <c r="J5" i="15"/>
  <c r="O8" i="14" s="1"/>
  <c r="L9" i="14"/>
  <c r="O9" i="14"/>
  <c r="I4" i="15"/>
  <c r="D66" i="15" l="1"/>
  <c r="F57" i="15"/>
  <c r="G48" i="15"/>
  <c r="E57" i="15"/>
  <c r="L10" i="14"/>
  <c r="L8" i="14"/>
  <c r="J4" i="15"/>
  <c r="K7" i="14"/>
  <c r="G57" i="15" l="1"/>
  <c r="E66" i="15"/>
  <c r="D75" i="15"/>
  <c r="D84" i="15" s="1"/>
  <c r="F66" i="15"/>
  <c r="L7" i="14"/>
  <c r="O7" i="14"/>
  <c r="N605" i="8"/>
  <c r="M605" i="8"/>
  <c r="L605" i="8"/>
  <c r="K605" i="8"/>
  <c r="J605" i="8"/>
  <c r="I605" i="8"/>
  <c r="H605" i="8"/>
  <c r="G605" i="8"/>
  <c r="F605" i="8"/>
  <c r="E605" i="8"/>
  <c r="D605" i="8"/>
  <c r="C605" i="8"/>
  <c r="D587" i="8"/>
  <c r="E587" i="8"/>
  <c r="F587" i="8"/>
  <c r="G587" i="8"/>
  <c r="H587" i="8"/>
  <c r="I587" i="8"/>
  <c r="J587" i="8"/>
  <c r="K587" i="8"/>
  <c r="L587" i="8"/>
  <c r="M587" i="8"/>
  <c r="N587" i="8"/>
  <c r="C587" i="8"/>
  <c r="E75" i="15" l="1"/>
  <c r="E84" i="15" s="1"/>
  <c r="G66" i="15"/>
  <c r="I70" i="13"/>
  <c r="G94" i="13"/>
  <c r="F94" i="13"/>
  <c r="D88" i="13"/>
  <c r="E88" i="13"/>
  <c r="D89" i="13"/>
  <c r="E89" i="13"/>
  <c r="D90" i="13"/>
  <c r="E90" i="13"/>
  <c r="D91" i="13"/>
  <c r="E91" i="13"/>
  <c r="D92" i="13"/>
  <c r="E92" i="13"/>
  <c r="E87" i="13"/>
  <c r="D87" i="13"/>
  <c r="D80" i="13"/>
  <c r="E80" i="13"/>
  <c r="D81" i="13"/>
  <c r="E81" i="13"/>
  <c r="D82" i="13"/>
  <c r="E82" i="13"/>
  <c r="D83" i="13"/>
  <c r="E83" i="13"/>
  <c r="D84" i="13"/>
  <c r="E84" i="13"/>
  <c r="E79" i="13"/>
  <c r="D79" i="13"/>
  <c r="D72" i="13"/>
  <c r="E72" i="13"/>
  <c r="D73" i="13"/>
  <c r="E73" i="13"/>
  <c r="D74" i="13"/>
  <c r="E74" i="13"/>
  <c r="D75" i="13"/>
  <c r="E75" i="13"/>
  <c r="D76" i="13"/>
  <c r="E76" i="13"/>
  <c r="E71" i="13"/>
  <c r="D71" i="13"/>
  <c r="D70" i="13"/>
  <c r="E70" i="13"/>
  <c r="F75" i="13" l="1"/>
  <c r="F73" i="13"/>
  <c r="F76" i="13"/>
  <c r="F74" i="13"/>
  <c r="F72" i="13"/>
  <c r="F71" i="13"/>
  <c r="G71" i="13" s="1"/>
  <c r="T28" i="12" s="1"/>
  <c r="G74" i="13" l="1"/>
  <c r="T31" i="12" s="1"/>
  <c r="G76" i="13"/>
  <c r="T33" i="12" s="1"/>
  <c r="G73" i="13"/>
  <c r="T30" i="12" s="1"/>
  <c r="G72" i="13"/>
  <c r="T29" i="12" s="1"/>
  <c r="G75" i="13"/>
  <c r="T32" i="12" s="1"/>
  <c r="F1" i="13" l="1"/>
  <c r="D1" i="13"/>
  <c r="F14" i="13"/>
  <c r="G14" i="13"/>
  <c r="K14" i="13"/>
  <c r="L14" i="13"/>
  <c r="E21" i="13"/>
  <c r="E22" i="13"/>
  <c r="E23" i="13"/>
  <c r="E24" i="13"/>
  <c r="E25" i="13"/>
  <c r="E20" i="13"/>
  <c r="D21" i="13"/>
  <c r="D22" i="13"/>
  <c r="D23" i="13"/>
  <c r="D24" i="13"/>
  <c r="D25" i="13"/>
  <c r="D20" i="13"/>
  <c r="G31" i="13" l="1"/>
  <c r="F22" i="12" s="1"/>
  <c r="G29" i="13"/>
  <c r="F20" i="12" s="1"/>
  <c r="G30" i="13"/>
  <c r="F21" i="12" s="1"/>
  <c r="G33" i="13"/>
  <c r="F24" i="12" s="1"/>
  <c r="G32" i="13"/>
  <c r="F23" i="12" s="1"/>
  <c r="G28" i="13"/>
  <c r="F19" i="12" s="1"/>
  <c r="E19" i="13"/>
  <c r="D19" i="13"/>
  <c r="E18" i="13" l="1"/>
  <c r="D18" i="13"/>
  <c r="G18" i="13" l="1"/>
  <c r="D15" i="13"/>
  <c r="F18" i="13" s="1"/>
  <c r="F14" i="12" s="1"/>
  <c r="J67" i="13"/>
  <c r="N67" i="13"/>
  <c r="E66" i="13"/>
  <c r="D66" i="13"/>
  <c r="G65" i="13"/>
  <c r="G67" i="13" s="1"/>
  <c r="H65" i="13"/>
  <c r="H67" i="13" s="1"/>
  <c r="I65" i="13"/>
  <c r="I67" i="13" s="1"/>
  <c r="J65" i="13"/>
  <c r="K65" i="13"/>
  <c r="K67" i="13" s="1"/>
  <c r="L65" i="13"/>
  <c r="L67" i="13" s="1"/>
  <c r="M65" i="13"/>
  <c r="M67" i="13" s="1"/>
  <c r="N65" i="13"/>
  <c r="O65" i="13"/>
  <c r="O67" i="13" s="1"/>
  <c r="P65" i="13"/>
  <c r="P67" i="13" s="1"/>
  <c r="H18" i="13" l="1"/>
  <c r="G63" i="13"/>
  <c r="H63" i="13"/>
  <c r="I63" i="13"/>
  <c r="J63" i="13"/>
  <c r="K63" i="13"/>
  <c r="L63" i="13"/>
  <c r="M63" i="13"/>
  <c r="N63" i="13"/>
  <c r="O63" i="13"/>
  <c r="P63" i="13"/>
  <c r="I18" i="13" l="1"/>
  <c r="F15" i="12"/>
  <c r="E61" i="13"/>
  <c r="E63" i="13" s="1"/>
  <c r="E65" i="13" s="1"/>
  <c r="E67" i="13" s="1"/>
  <c r="D61" i="13"/>
  <c r="D63" i="13" s="1"/>
  <c r="D65" i="13" s="1"/>
  <c r="D67" i="13" s="1"/>
  <c r="N61" i="13"/>
  <c r="M61" i="13"/>
  <c r="N59" i="13"/>
  <c r="M59" i="13"/>
  <c r="J61" i="13"/>
  <c r="I61" i="13"/>
  <c r="E62" i="13"/>
  <c r="D62" i="13"/>
  <c r="J59" i="13"/>
  <c r="I59" i="13"/>
  <c r="E60" i="13"/>
  <c r="D60" i="13"/>
  <c r="E59" i="13"/>
  <c r="D59" i="13"/>
  <c r="I11" i="13"/>
  <c r="I14" i="13" s="1"/>
  <c r="E12" i="13"/>
  <c r="D12" i="13"/>
  <c r="E3" i="13"/>
  <c r="D3" i="13"/>
  <c r="E11" i="13"/>
  <c r="E14" i="13" s="1"/>
  <c r="E17" i="13" s="1"/>
  <c r="G17" i="13" s="1"/>
  <c r="D11" i="13"/>
  <c r="D14" i="13" s="1"/>
  <c r="D17" i="13" s="1"/>
  <c r="F17" i="13" s="1"/>
  <c r="E7" i="13"/>
  <c r="F7" i="13"/>
  <c r="G7" i="13"/>
  <c r="H7" i="13"/>
  <c r="I7" i="13"/>
  <c r="J7" i="13"/>
  <c r="K7" i="13"/>
  <c r="L7" i="13"/>
  <c r="M7" i="13"/>
  <c r="N7" i="13"/>
  <c r="O7" i="13"/>
  <c r="D7" i="13"/>
  <c r="E2" i="13"/>
  <c r="D2" i="13"/>
  <c r="J11" i="13" l="1"/>
  <c r="J14" i="13" s="1"/>
  <c r="I21" i="12"/>
  <c r="I10" i="12"/>
  <c r="I6" i="12"/>
  <c r="O9" i="13"/>
  <c r="N9" i="13"/>
  <c r="M9" i="13"/>
  <c r="L9" i="13"/>
  <c r="K9" i="13"/>
  <c r="J9" i="13"/>
  <c r="I9" i="13"/>
  <c r="H9" i="13"/>
  <c r="G9" i="13"/>
  <c r="F9" i="13"/>
  <c r="E9" i="13"/>
  <c r="D9" i="13"/>
  <c r="O8" i="13"/>
  <c r="N8" i="13"/>
  <c r="M8" i="13"/>
  <c r="L8" i="13"/>
  <c r="K8" i="13"/>
  <c r="J8" i="13"/>
  <c r="I8" i="13"/>
  <c r="H8" i="13"/>
  <c r="G8" i="13"/>
  <c r="F8" i="13"/>
  <c r="E8" i="13"/>
  <c r="D8" i="13"/>
  <c r="C6" i="12" l="1"/>
  <c r="G60" i="13"/>
  <c r="H60" i="13" s="1"/>
  <c r="E24" i="12"/>
  <c r="G62" i="13"/>
  <c r="H62" i="13" s="1"/>
  <c r="M60" i="13"/>
  <c r="M66" i="13"/>
  <c r="G66" i="13"/>
  <c r="H66" i="13" s="1"/>
  <c r="I62" i="13"/>
  <c r="M62" i="13"/>
  <c r="O89" i="11"/>
  <c r="N89" i="11"/>
  <c r="M89" i="11"/>
  <c r="L89" i="11"/>
  <c r="K89" i="11"/>
  <c r="J89" i="11"/>
  <c r="I89" i="11"/>
  <c r="H89" i="11"/>
  <c r="G89" i="11"/>
  <c r="F89" i="11"/>
  <c r="E89" i="11"/>
  <c r="D89" i="11"/>
  <c r="O88" i="11"/>
  <c r="N88" i="11"/>
  <c r="M88" i="11"/>
  <c r="L88" i="11"/>
  <c r="K88" i="11"/>
  <c r="J88" i="11"/>
  <c r="I88" i="11"/>
  <c r="H88" i="11"/>
  <c r="G88" i="11"/>
  <c r="F88" i="11"/>
  <c r="E88" i="11"/>
  <c r="D88" i="11"/>
  <c r="O87" i="11"/>
  <c r="N87" i="11"/>
  <c r="M87" i="11"/>
  <c r="L87" i="11"/>
  <c r="K87" i="11"/>
  <c r="J87" i="11"/>
  <c r="I87" i="11"/>
  <c r="H87" i="11"/>
  <c r="G87" i="11"/>
  <c r="F87" i="11"/>
  <c r="E87" i="11"/>
  <c r="D87" i="11"/>
  <c r="O86" i="11"/>
  <c r="N86" i="11"/>
  <c r="M86" i="11"/>
  <c r="L86" i="11"/>
  <c r="K86" i="11"/>
  <c r="J86" i="11"/>
  <c r="I86" i="11"/>
  <c r="H86" i="11"/>
  <c r="G86" i="11"/>
  <c r="F86" i="11"/>
  <c r="E86" i="11"/>
  <c r="D86" i="11"/>
  <c r="D81" i="11"/>
  <c r="E81" i="11"/>
  <c r="F81" i="11"/>
  <c r="G81" i="11"/>
  <c r="H81" i="11"/>
  <c r="I81" i="11"/>
  <c r="J81" i="11"/>
  <c r="K81" i="11"/>
  <c r="L81" i="11"/>
  <c r="M81" i="11"/>
  <c r="N81" i="11"/>
  <c r="O81" i="11"/>
  <c r="O93" i="11" s="1"/>
  <c r="D82" i="11"/>
  <c r="E82" i="11"/>
  <c r="F82" i="11"/>
  <c r="G82" i="11"/>
  <c r="H82" i="11"/>
  <c r="I82" i="11"/>
  <c r="J82" i="11"/>
  <c r="K82" i="11"/>
  <c r="L82" i="11"/>
  <c r="M82" i="11"/>
  <c r="N82" i="11"/>
  <c r="O82" i="11"/>
  <c r="O94" i="11" s="1"/>
  <c r="D83" i="11"/>
  <c r="E83" i="11"/>
  <c r="F83" i="11"/>
  <c r="G83" i="11"/>
  <c r="H83" i="11"/>
  <c r="I83" i="11"/>
  <c r="J83" i="11"/>
  <c r="K83" i="11"/>
  <c r="L83" i="11"/>
  <c r="M83" i="11"/>
  <c r="N83" i="11"/>
  <c r="O83" i="11"/>
  <c r="O95" i="11" s="1"/>
  <c r="E80" i="11"/>
  <c r="F80" i="11"/>
  <c r="G80" i="11"/>
  <c r="H80" i="11"/>
  <c r="H92" i="11" s="1"/>
  <c r="I80" i="11"/>
  <c r="J80" i="11"/>
  <c r="J92" i="11" s="1"/>
  <c r="K80" i="11"/>
  <c r="L80" i="11"/>
  <c r="M80" i="11"/>
  <c r="N80" i="11"/>
  <c r="O80" i="11"/>
  <c r="O92" i="11" s="1"/>
  <c r="D80" i="11"/>
  <c r="N79" i="11"/>
  <c r="O79" i="11" s="1"/>
  <c r="G79" i="11"/>
  <c r="H79" i="11" s="1"/>
  <c r="I79" i="11" s="1"/>
  <c r="J79" i="11" s="1"/>
  <c r="K79" i="11" s="1"/>
  <c r="L79" i="11" s="1"/>
  <c r="M79" i="11" s="1"/>
  <c r="F79" i="11"/>
  <c r="F92" i="11" l="1"/>
  <c r="L92" i="11"/>
  <c r="N92" i="11"/>
  <c r="N95" i="11"/>
  <c r="J95" i="11"/>
  <c r="F95" i="11"/>
  <c r="N94" i="11"/>
  <c r="J62" i="13"/>
  <c r="K62" i="13" s="1"/>
  <c r="I60" i="13"/>
  <c r="I7" i="12" s="1"/>
  <c r="N60" i="13"/>
  <c r="O60" i="13" s="1"/>
  <c r="I66" i="13"/>
  <c r="I22" i="12" s="1"/>
  <c r="L10" i="12"/>
  <c r="I15" i="13"/>
  <c r="C14" i="12"/>
  <c r="F15" i="13"/>
  <c r="G15" i="13" s="1"/>
  <c r="J94" i="11"/>
  <c r="F94" i="11"/>
  <c r="N93" i="11"/>
  <c r="J93" i="11"/>
  <c r="F93" i="11"/>
  <c r="N66" i="13"/>
  <c r="O66" i="13" s="1"/>
  <c r="F3" i="13"/>
  <c r="G3" i="13" s="1"/>
  <c r="L6" i="12"/>
  <c r="L21" i="12"/>
  <c r="S32" i="12"/>
  <c r="D78" i="13"/>
  <c r="D86" i="13" s="1"/>
  <c r="D94" i="13" s="1"/>
  <c r="S33" i="12"/>
  <c r="S30" i="12"/>
  <c r="S29" i="12"/>
  <c r="S31" i="12"/>
  <c r="I11" i="12"/>
  <c r="J66" i="13"/>
  <c r="J12" i="13"/>
  <c r="J60" i="13"/>
  <c r="N62" i="13"/>
  <c r="O62" i="13" s="1"/>
  <c r="I12" i="13"/>
  <c r="F12" i="13"/>
  <c r="G12" i="13" s="1"/>
  <c r="C10" i="12"/>
  <c r="J15" i="13"/>
  <c r="D92" i="11"/>
  <c r="M95" i="11"/>
  <c r="I95" i="11"/>
  <c r="E95" i="11"/>
  <c r="M94" i="11"/>
  <c r="I94" i="11"/>
  <c r="E94" i="11"/>
  <c r="M93" i="11"/>
  <c r="I93" i="11"/>
  <c r="E93" i="11"/>
  <c r="M92" i="11"/>
  <c r="I92" i="11"/>
  <c r="E92" i="11"/>
  <c r="L95" i="11"/>
  <c r="H95" i="11"/>
  <c r="D95" i="11"/>
  <c r="L94" i="11"/>
  <c r="H94" i="11"/>
  <c r="D94" i="11"/>
  <c r="L93" i="11"/>
  <c r="H93" i="11"/>
  <c r="D93" i="11"/>
  <c r="G92" i="11"/>
  <c r="K92" i="11"/>
  <c r="G93" i="11"/>
  <c r="K93" i="11"/>
  <c r="G94" i="11"/>
  <c r="K94" i="11"/>
  <c r="G95" i="11"/>
  <c r="K95" i="11"/>
  <c r="N194" i="8"/>
  <c r="M194" i="8"/>
  <c r="L194" i="8"/>
  <c r="K194" i="8"/>
  <c r="J194" i="8"/>
  <c r="I194" i="8"/>
  <c r="H194" i="8"/>
  <c r="G194" i="8"/>
  <c r="F194" i="8"/>
  <c r="E194" i="8"/>
  <c r="D194" i="8"/>
  <c r="C194" i="8"/>
  <c r="N203" i="8"/>
  <c r="M203" i="8"/>
  <c r="L203" i="8"/>
  <c r="K203" i="8"/>
  <c r="J203" i="8"/>
  <c r="I203" i="8"/>
  <c r="H203" i="8"/>
  <c r="G203" i="8"/>
  <c r="F203" i="8"/>
  <c r="E203" i="8"/>
  <c r="D203" i="8"/>
  <c r="C203" i="8"/>
  <c r="N240" i="8"/>
  <c r="O90" i="11" s="1"/>
  <c r="M240" i="8"/>
  <c r="N90" i="11" s="1"/>
  <c r="L240" i="8"/>
  <c r="M90" i="11" s="1"/>
  <c r="K240" i="8"/>
  <c r="L90" i="11" s="1"/>
  <c r="J240" i="8"/>
  <c r="K90" i="11" s="1"/>
  <c r="I240" i="8"/>
  <c r="J90" i="11" s="1"/>
  <c r="H240" i="8"/>
  <c r="I90" i="11" s="1"/>
  <c r="G240" i="8"/>
  <c r="H90" i="11" s="1"/>
  <c r="F240" i="8"/>
  <c r="E240" i="8"/>
  <c r="D240" i="8"/>
  <c r="C240" i="8"/>
  <c r="N231" i="8"/>
  <c r="M231" i="8"/>
  <c r="L231" i="8"/>
  <c r="K231" i="8"/>
  <c r="J231" i="8"/>
  <c r="I231" i="8"/>
  <c r="H231" i="8"/>
  <c r="G231" i="8"/>
  <c r="F231" i="8"/>
  <c r="E231" i="8"/>
  <c r="D231" i="8"/>
  <c r="C231" i="8"/>
  <c r="N222" i="8"/>
  <c r="M222" i="8"/>
  <c r="L222" i="8"/>
  <c r="K222" i="8"/>
  <c r="J222" i="8"/>
  <c r="I222" i="8"/>
  <c r="H222" i="8"/>
  <c r="G222" i="8"/>
  <c r="F222" i="8"/>
  <c r="E222" i="8"/>
  <c r="D222" i="8"/>
  <c r="C222" i="8"/>
  <c r="D212" i="8"/>
  <c r="E212" i="8"/>
  <c r="F212" i="8"/>
  <c r="G212" i="8"/>
  <c r="H84" i="11" s="1"/>
  <c r="H212" i="8"/>
  <c r="I84" i="11" s="1"/>
  <c r="I212" i="8"/>
  <c r="J84" i="11" s="1"/>
  <c r="J212" i="8"/>
  <c r="K84" i="11" s="1"/>
  <c r="K212" i="8"/>
  <c r="L84" i="11" s="1"/>
  <c r="L212" i="8"/>
  <c r="M84" i="11" s="1"/>
  <c r="M212" i="8"/>
  <c r="N84" i="11" s="1"/>
  <c r="N212" i="8"/>
  <c r="O84" i="11" s="1"/>
  <c r="O96" i="11" s="1"/>
  <c r="C212" i="8"/>
  <c r="P95" i="11" l="1" a="1"/>
  <c r="P95" i="11" s="1"/>
  <c r="Q95" i="11" a="1"/>
  <c r="Q95" i="11" s="1"/>
  <c r="Q94" i="11" a="1"/>
  <c r="Q94" i="11" s="1"/>
  <c r="P94" i="11" a="1"/>
  <c r="P94" i="11" s="1"/>
  <c r="P93" i="11" a="1"/>
  <c r="P93" i="11" s="1"/>
  <c r="Q93" i="11" a="1"/>
  <c r="Q93" i="11" s="1"/>
  <c r="Q92" i="11" a="1"/>
  <c r="Q92" i="11" s="1"/>
  <c r="P92" i="11" a="1"/>
  <c r="P92" i="11" s="1"/>
  <c r="N96" i="11"/>
  <c r="L96" i="11"/>
  <c r="H96" i="11"/>
  <c r="J96" i="11"/>
  <c r="D96" i="13"/>
  <c r="F96" i="13" s="1"/>
  <c r="M96" i="11"/>
  <c r="I96" i="11"/>
  <c r="K96" i="11"/>
  <c r="G84" i="11"/>
  <c r="E90" i="11"/>
  <c r="D84" i="11"/>
  <c r="D90" i="11"/>
  <c r="F84" i="11"/>
  <c r="F90" i="11"/>
  <c r="E84" i="11"/>
  <c r="G90" i="11"/>
  <c r="K60" i="13"/>
  <c r="K7" i="12" s="1"/>
  <c r="D93" i="13"/>
  <c r="D97" i="13"/>
  <c r="F97" i="13" s="1"/>
  <c r="K66" i="13"/>
  <c r="K22" i="12" s="1"/>
  <c r="D100" i="13"/>
  <c r="F100" i="13" s="1"/>
  <c r="P62" i="13"/>
  <c r="L11" i="12" s="1"/>
  <c r="M11" i="12"/>
  <c r="H12" i="13"/>
  <c r="C11" i="12" s="1"/>
  <c r="D11" i="12"/>
  <c r="D95" i="13"/>
  <c r="F95" i="13" s="1"/>
  <c r="D85" i="13"/>
  <c r="D24" i="12"/>
  <c r="D99" i="13"/>
  <c r="F99" i="13" s="1"/>
  <c r="E78" i="13"/>
  <c r="E86" i="13" s="1"/>
  <c r="E94" i="13" s="1"/>
  <c r="H15" i="13"/>
  <c r="C15" i="12" s="1"/>
  <c r="D15" i="12"/>
  <c r="K12" i="13"/>
  <c r="F10" i="12"/>
  <c r="L62" i="13"/>
  <c r="J11" i="12" s="1"/>
  <c r="K11" i="12"/>
  <c r="D98" i="13"/>
  <c r="F98" i="13" s="1"/>
  <c r="D77" i="13"/>
  <c r="S28" i="12"/>
  <c r="P66" i="13"/>
  <c r="L22" i="12" s="1"/>
  <c r="M22" i="12"/>
  <c r="P60" i="13"/>
  <c r="L7" i="12" s="1"/>
  <c r="M7" i="12"/>
  <c r="H3" i="13"/>
  <c r="C7" i="12" s="1"/>
  <c r="D7" i="12"/>
  <c r="K15" i="13"/>
  <c r="L15" i="13" s="1"/>
  <c r="D121" i="8"/>
  <c r="E121" i="8"/>
  <c r="F121" i="8"/>
  <c r="G121" i="8"/>
  <c r="H121" i="8"/>
  <c r="I121" i="8"/>
  <c r="J121" i="8"/>
  <c r="K121" i="8"/>
  <c r="L121" i="8"/>
  <c r="M121" i="8"/>
  <c r="N121" i="8"/>
  <c r="D122" i="8"/>
  <c r="E122" i="8"/>
  <c r="F122" i="8"/>
  <c r="G122" i="8"/>
  <c r="H122" i="8"/>
  <c r="I122" i="8"/>
  <c r="J122" i="8"/>
  <c r="K122" i="8"/>
  <c r="L122" i="8"/>
  <c r="M122" i="8"/>
  <c r="N122" i="8"/>
  <c r="D123" i="8"/>
  <c r="E123" i="8"/>
  <c r="F123" i="8"/>
  <c r="G123" i="8"/>
  <c r="H123" i="8"/>
  <c r="I123" i="8"/>
  <c r="J123" i="8"/>
  <c r="K123" i="8"/>
  <c r="L123" i="8"/>
  <c r="D44" i="11" s="1"/>
  <c r="M123" i="8"/>
  <c r="N123" i="8"/>
  <c r="C122" i="8"/>
  <c r="E68" i="13" s="1"/>
  <c r="C123" i="8"/>
  <c r="D68" i="13" s="1"/>
  <c r="C121" i="8"/>
  <c r="N185" i="8"/>
  <c r="M185" i="8"/>
  <c r="L185" i="8"/>
  <c r="K185" i="8"/>
  <c r="J185" i="8"/>
  <c r="I185" i="8"/>
  <c r="H185" i="8"/>
  <c r="G185" i="8"/>
  <c r="F185" i="8"/>
  <c r="E185" i="8"/>
  <c r="D185" i="8"/>
  <c r="C185" i="8"/>
  <c r="N176" i="8"/>
  <c r="M176" i="8"/>
  <c r="L176" i="8"/>
  <c r="K176" i="8"/>
  <c r="J176" i="8"/>
  <c r="I176" i="8"/>
  <c r="H176" i="8"/>
  <c r="G176" i="8"/>
  <c r="F176" i="8"/>
  <c r="E176" i="8"/>
  <c r="D176" i="8"/>
  <c r="C176" i="8"/>
  <c r="N167" i="8"/>
  <c r="M167" i="8"/>
  <c r="L167" i="8"/>
  <c r="K167" i="8"/>
  <c r="J167" i="8"/>
  <c r="I167" i="8"/>
  <c r="H167" i="8"/>
  <c r="G167" i="8"/>
  <c r="F167" i="8"/>
  <c r="E167" i="8"/>
  <c r="D167" i="8"/>
  <c r="C167" i="8"/>
  <c r="N158" i="8"/>
  <c r="M158" i="8"/>
  <c r="L158" i="8"/>
  <c r="K158" i="8"/>
  <c r="J158" i="8"/>
  <c r="I158" i="8"/>
  <c r="H158" i="8"/>
  <c r="G158" i="8"/>
  <c r="F158" i="8"/>
  <c r="E158" i="8"/>
  <c r="D158" i="8"/>
  <c r="C158" i="8"/>
  <c r="N149" i="8"/>
  <c r="M149" i="8"/>
  <c r="L149" i="8"/>
  <c r="K149" i="8"/>
  <c r="J149" i="8"/>
  <c r="I149" i="8"/>
  <c r="H149" i="8"/>
  <c r="G149" i="8"/>
  <c r="F149" i="8"/>
  <c r="E149" i="8"/>
  <c r="D149" i="8"/>
  <c r="C149" i="8"/>
  <c r="N140" i="8"/>
  <c r="M140" i="8"/>
  <c r="L140" i="8"/>
  <c r="K140" i="8"/>
  <c r="J140" i="8"/>
  <c r="I140" i="8"/>
  <c r="H140" i="8"/>
  <c r="G140" i="8"/>
  <c r="F140" i="8"/>
  <c r="E140" i="8"/>
  <c r="D140" i="8"/>
  <c r="C140" i="8"/>
  <c r="N109" i="8"/>
  <c r="M109" i="8"/>
  <c r="L109" i="8"/>
  <c r="D40" i="11" s="1"/>
  <c r="K109" i="8"/>
  <c r="E40" i="11" s="1"/>
  <c r="J109" i="8"/>
  <c r="I109" i="8"/>
  <c r="H109" i="8"/>
  <c r="G109" i="8"/>
  <c r="F109" i="8"/>
  <c r="E109" i="8"/>
  <c r="D109" i="8"/>
  <c r="C109" i="8"/>
  <c r="N103" i="8"/>
  <c r="M103" i="8"/>
  <c r="L103" i="8"/>
  <c r="K103" i="8"/>
  <c r="J103" i="8"/>
  <c r="I103" i="8"/>
  <c r="H103" i="8"/>
  <c r="G103" i="8"/>
  <c r="F103" i="8"/>
  <c r="E103" i="8"/>
  <c r="D103" i="8"/>
  <c r="C103" i="8"/>
  <c r="N97" i="8"/>
  <c r="M97" i="8"/>
  <c r="L97" i="8"/>
  <c r="K97" i="8"/>
  <c r="J97" i="8"/>
  <c r="I97" i="8"/>
  <c r="H97" i="8"/>
  <c r="G97" i="8"/>
  <c r="F97" i="8"/>
  <c r="E97" i="8"/>
  <c r="D97" i="8"/>
  <c r="C97" i="8"/>
  <c r="N90" i="8"/>
  <c r="M90" i="8"/>
  <c r="L90" i="8"/>
  <c r="K90" i="8"/>
  <c r="J90" i="8"/>
  <c r="I90" i="8"/>
  <c r="H90" i="8"/>
  <c r="G90" i="8"/>
  <c r="F90" i="8"/>
  <c r="E90" i="8"/>
  <c r="D90" i="8"/>
  <c r="C90" i="8"/>
  <c r="N81" i="8"/>
  <c r="M81" i="8"/>
  <c r="L81" i="8"/>
  <c r="K81" i="8"/>
  <c r="J81" i="8"/>
  <c r="I81" i="8"/>
  <c r="H81" i="8"/>
  <c r="G81" i="8"/>
  <c r="F81" i="8"/>
  <c r="E81" i="8"/>
  <c r="D81" i="8"/>
  <c r="C81" i="8"/>
  <c r="N72" i="8"/>
  <c r="M72" i="8"/>
  <c r="L72" i="8"/>
  <c r="K72" i="8"/>
  <c r="J72" i="8"/>
  <c r="I72" i="8"/>
  <c r="H72" i="8"/>
  <c r="G72" i="8"/>
  <c r="F72" i="8"/>
  <c r="E72" i="8"/>
  <c r="D72" i="8"/>
  <c r="C72" i="8"/>
  <c r="N27" i="8"/>
  <c r="M27" i="8"/>
  <c r="L27" i="8"/>
  <c r="K27" i="8"/>
  <c r="J27" i="8"/>
  <c r="I27" i="8"/>
  <c r="H27" i="8"/>
  <c r="G27" i="8"/>
  <c r="F27" i="8"/>
  <c r="E27" i="8"/>
  <c r="D27" i="8"/>
  <c r="C27" i="8"/>
  <c r="N24" i="8"/>
  <c r="M24" i="8"/>
  <c r="L24" i="8"/>
  <c r="K24" i="8"/>
  <c r="J24" i="8"/>
  <c r="I24" i="8"/>
  <c r="H24" i="8"/>
  <c r="G24" i="8"/>
  <c r="F24" i="8"/>
  <c r="E24" i="8"/>
  <c r="D24" i="8"/>
  <c r="C24" i="8"/>
  <c r="N21" i="8"/>
  <c r="M21" i="8"/>
  <c r="L21" i="8"/>
  <c r="K21" i="8"/>
  <c r="J21" i="8"/>
  <c r="I21" i="8"/>
  <c r="H21" i="8"/>
  <c r="G21" i="8"/>
  <c r="F21" i="8"/>
  <c r="E21" i="8"/>
  <c r="D21" i="8"/>
  <c r="C21" i="8"/>
  <c r="N18" i="8"/>
  <c r="M18" i="8"/>
  <c r="L18" i="8"/>
  <c r="K18" i="8"/>
  <c r="J18" i="8"/>
  <c r="I18" i="8"/>
  <c r="H18" i="8"/>
  <c r="G18" i="8"/>
  <c r="F18" i="8"/>
  <c r="E18" i="8"/>
  <c r="D18" i="8"/>
  <c r="C18" i="8"/>
  <c r="E44" i="11"/>
  <c r="E42" i="11"/>
  <c r="D42" i="11"/>
  <c r="E38" i="11"/>
  <c r="D38" i="11"/>
  <c r="E36" i="11"/>
  <c r="D36" i="11"/>
  <c r="E32" i="11"/>
  <c r="D32" i="11"/>
  <c r="E31" i="11"/>
  <c r="D31" i="11"/>
  <c r="E30" i="11"/>
  <c r="D30" i="11"/>
  <c r="E29" i="11"/>
  <c r="D29" i="11"/>
  <c r="E28" i="11"/>
  <c r="D28" i="11"/>
  <c r="E25" i="11"/>
  <c r="D25" i="11"/>
  <c r="E24" i="11"/>
  <c r="D24" i="11"/>
  <c r="E23" i="11"/>
  <c r="D23" i="11"/>
  <c r="E22" i="11"/>
  <c r="D22" i="11"/>
  <c r="E21" i="11"/>
  <c r="D21" i="11"/>
  <c r="D16" i="11"/>
  <c r="D17" i="11" s="1"/>
  <c r="D13" i="11"/>
  <c r="D14" i="11" s="1"/>
  <c r="D10" i="11"/>
  <c r="D11" i="11" s="1"/>
  <c r="O8" i="11"/>
  <c r="N8" i="11"/>
  <c r="M8" i="11"/>
  <c r="L8" i="11"/>
  <c r="K8" i="11"/>
  <c r="J8" i="11"/>
  <c r="I8" i="11"/>
  <c r="H8" i="11"/>
  <c r="G8" i="11"/>
  <c r="F8" i="11"/>
  <c r="E8" i="11"/>
  <c r="D8" i="11"/>
  <c r="O7" i="11"/>
  <c r="N7" i="11"/>
  <c r="M7" i="11"/>
  <c r="L7" i="11"/>
  <c r="K7" i="11"/>
  <c r="J7" i="11"/>
  <c r="I7" i="11"/>
  <c r="H7" i="11"/>
  <c r="G7" i="11"/>
  <c r="F7" i="11"/>
  <c r="E7" i="11"/>
  <c r="D7" i="11"/>
  <c r="D2" i="11"/>
  <c r="E2" i="11" s="1"/>
  <c r="E3" i="11" s="1"/>
  <c r="F99" i="11" l="1"/>
  <c r="I101" i="11"/>
  <c r="K98" i="11"/>
  <c r="O100" i="11"/>
  <c r="G100" i="11"/>
  <c r="L101" i="11"/>
  <c r="O99" i="11"/>
  <c r="O101" i="11"/>
  <c r="E100" i="11"/>
  <c r="F100" i="11"/>
  <c r="N100" i="11"/>
  <c r="D101" i="11"/>
  <c r="D99" i="11"/>
  <c r="M100" i="11"/>
  <c r="G99" i="11"/>
  <c r="G101" i="11"/>
  <c r="H99" i="11"/>
  <c r="F101" i="11"/>
  <c r="H101" i="11"/>
  <c r="I100" i="11"/>
  <c r="J99" i="11"/>
  <c r="L99" i="11"/>
  <c r="J101" i="11"/>
  <c r="N101" i="11"/>
  <c r="I99" i="11"/>
  <c r="E99" i="11"/>
  <c r="K99" i="11"/>
  <c r="M99" i="11"/>
  <c r="N99" i="11"/>
  <c r="D100" i="11"/>
  <c r="H100" i="11"/>
  <c r="E101" i="11"/>
  <c r="K100" i="11"/>
  <c r="M101" i="11"/>
  <c r="J100" i="11"/>
  <c r="L100" i="11"/>
  <c r="K101" i="11"/>
  <c r="L98" i="11"/>
  <c r="M98" i="11"/>
  <c r="D98" i="11"/>
  <c r="J98" i="11"/>
  <c r="O98" i="11"/>
  <c r="H98" i="11"/>
  <c r="I98" i="11"/>
  <c r="G98" i="11"/>
  <c r="F98" i="11"/>
  <c r="N98" i="11"/>
  <c r="E98" i="11"/>
  <c r="I71" i="13"/>
  <c r="I75" i="13"/>
  <c r="V32" i="12" s="1"/>
  <c r="I76" i="13"/>
  <c r="V33" i="12" s="1"/>
  <c r="I74" i="13"/>
  <c r="V31" i="12" s="1"/>
  <c r="I73" i="13"/>
  <c r="V30" i="12" s="1"/>
  <c r="I72" i="13"/>
  <c r="V29" i="12" s="1"/>
  <c r="H71" i="13"/>
  <c r="U28" i="12" s="1"/>
  <c r="H77" i="13"/>
  <c r="U34" i="12" s="1"/>
  <c r="H75" i="13"/>
  <c r="U32" i="12" s="1"/>
  <c r="H74" i="13"/>
  <c r="U31" i="12" s="1"/>
  <c r="H72" i="13"/>
  <c r="U29" i="12" s="1"/>
  <c r="H73" i="13"/>
  <c r="U30" i="12" s="1"/>
  <c r="H76" i="13"/>
  <c r="U33" i="12" s="1"/>
  <c r="E96" i="11"/>
  <c r="S34" i="12"/>
  <c r="D96" i="11"/>
  <c r="N68" i="13"/>
  <c r="J68" i="13"/>
  <c r="F96" i="11"/>
  <c r="G96" i="11"/>
  <c r="I24" i="12"/>
  <c r="M68" i="13"/>
  <c r="G68" i="13"/>
  <c r="H68" i="13" s="1"/>
  <c r="I68" i="13"/>
  <c r="L60" i="13"/>
  <c r="J7" i="12" s="1"/>
  <c r="E64" i="13"/>
  <c r="J64" i="13" s="1"/>
  <c r="D64" i="13"/>
  <c r="L12" i="13"/>
  <c r="L66" i="13"/>
  <c r="J22" i="12" s="1"/>
  <c r="E98" i="13"/>
  <c r="G98" i="13" s="1"/>
  <c r="J74" i="13" s="1"/>
  <c r="E96" i="13"/>
  <c r="G96" i="13" s="1"/>
  <c r="J72" i="13" s="1"/>
  <c r="E85" i="13"/>
  <c r="E95" i="13"/>
  <c r="G95" i="13" s="1"/>
  <c r="J71" i="13" s="1"/>
  <c r="D101" i="13"/>
  <c r="F101" i="13" s="1"/>
  <c r="E97" i="13"/>
  <c r="G97" i="13" s="1"/>
  <c r="J73" i="13" s="1"/>
  <c r="E77" i="13"/>
  <c r="E100" i="13"/>
  <c r="G100" i="13" s="1"/>
  <c r="J76" i="13" s="1"/>
  <c r="E99" i="13"/>
  <c r="G99" i="13" s="1"/>
  <c r="J75" i="13" s="1"/>
  <c r="M15" i="13"/>
  <c r="E15" i="12" s="1"/>
  <c r="E93" i="13"/>
  <c r="D3" i="11"/>
  <c r="F3" i="11" s="1"/>
  <c r="G3" i="11" s="1"/>
  <c r="H3" i="11" s="1"/>
  <c r="G38" i="11"/>
  <c r="H38" i="11" s="1"/>
  <c r="G42" i="11"/>
  <c r="H42" i="11" s="1"/>
  <c r="G36" i="11"/>
  <c r="H36" i="11" s="1"/>
  <c r="G29" i="11"/>
  <c r="G31" i="11"/>
  <c r="D33" i="11"/>
  <c r="G30" i="11"/>
  <c r="G32" i="11"/>
  <c r="E26" i="11"/>
  <c r="G44" i="11"/>
  <c r="H44" i="11" s="1"/>
  <c r="H28" i="11"/>
  <c r="H30" i="11"/>
  <c r="H32" i="11"/>
  <c r="D26" i="11"/>
  <c r="J31" i="11" s="1"/>
  <c r="G40" i="11"/>
  <c r="H40" i="11" s="1"/>
  <c r="H29" i="11"/>
  <c r="H31" i="11"/>
  <c r="N38" i="11"/>
  <c r="N42" i="11"/>
  <c r="I14" i="11"/>
  <c r="N36" i="11"/>
  <c r="N40" i="11"/>
  <c r="N44" i="11"/>
  <c r="G28" i="11"/>
  <c r="I36" i="11"/>
  <c r="I38" i="11"/>
  <c r="I40" i="11"/>
  <c r="I42" i="11"/>
  <c r="I44" i="11"/>
  <c r="D46" i="11"/>
  <c r="E33" i="11"/>
  <c r="E10" i="11"/>
  <c r="E11" i="11" s="1"/>
  <c r="J11" i="11" s="1"/>
  <c r="E13" i="11"/>
  <c r="E14" i="11" s="1"/>
  <c r="E16" i="11"/>
  <c r="E17" i="11" s="1"/>
  <c r="M36" i="11" l="1"/>
  <c r="O36" i="11" s="1"/>
  <c r="P36" i="11" s="1"/>
  <c r="M12" i="13"/>
  <c r="E11" i="12" s="1"/>
  <c r="F11" i="12"/>
  <c r="Q96" i="11" a="1"/>
  <c r="Q96" i="11" s="1"/>
  <c r="P96" i="11" a="1"/>
  <c r="P96" i="11" s="1"/>
  <c r="K73" i="13"/>
  <c r="X30" i="12" s="1"/>
  <c r="W30" i="12"/>
  <c r="K75" i="13"/>
  <c r="X32" i="12" s="1"/>
  <c r="W32" i="12"/>
  <c r="K72" i="13"/>
  <c r="X29" i="12" s="1"/>
  <c r="W29" i="12"/>
  <c r="K76" i="13"/>
  <c r="X33" i="12" s="1"/>
  <c r="W33" i="12"/>
  <c r="K74" i="13"/>
  <c r="X31" i="12" s="1"/>
  <c r="W31" i="12"/>
  <c r="K71" i="13"/>
  <c r="X28" i="12" s="1"/>
  <c r="W28" i="12"/>
  <c r="W28" i="9"/>
  <c r="V28" i="12"/>
  <c r="I77" i="13"/>
  <c r="V34" i="12" s="1"/>
  <c r="F77" i="13"/>
  <c r="O68" i="13"/>
  <c r="L24" i="12"/>
  <c r="K68" i="13"/>
  <c r="I25" i="12"/>
  <c r="N64" i="13"/>
  <c r="M64" i="13"/>
  <c r="I18" i="12"/>
  <c r="G64" i="13"/>
  <c r="H64" i="13" s="1"/>
  <c r="I64" i="13"/>
  <c r="E101" i="13"/>
  <c r="G101" i="13" s="1"/>
  <c r="J77" i="13" s="1"/>
  <c r="M40" i="11"/>
  <c r="O40" i="11" s="1"/>
  <c r="P40" i="11" s="1"/>
  <c r="M44" i="11"/>
  <c r="O44" i="11" s="1"/>
  <c r="P44" i="11" s="1"/>
  <c r="M42" i="11"/>
  <c r="O42" i="11" s="1"/>
  <c r="P42" i="11" s="1"/>
  <c r="M38" i="11"/>
  <c r="O38" i="11" s="1"/>
  <c r="P38" i="11" s="1"/>
  <c r="I11" i="11"/>
  <c r="K11" i="11" s="1"/>
  <c r="L11" i="11" s="1"/>
  <c r="M11" i="11" s="1"/>
  <c r="I28" i="11"/>
  <c r="J30" i="11"/>
  <c r="I32" i="11"/>
  <c r="J42" i="11"/>
  <c r="K42" i="11" s="1"/>
  <c r="L42" i="11" s="1"/>
  <c r="J40" i="11"/>
  <c r="K40" i="11" s="1"/>
  <c r="L40" i="11" s="1"/>
  <c r="H33" i="11"/>
  <c r="I31" i="11"/>
  <c r="I29" i="11"/>
  <c r="I30" i="11"/>
  <c r="J33" i="11"/>
  <c r="J29" i="11"/>
  <c r="J28" i="11"/>
  <c r="G33" i="11"/>
  <c r="J14" i="11"/>
  <c r="K14" i="11" s="1"/>
  <c r="L14" i="11" s="1"/>
  <c r="M14" i="11" s="1"/>
  <c r="J32" i="11"/>
  <c r="F14" i="11"/>
  <c r="G14" i="11" s="1"/>
  <c r="H14" i="11" s="1"/>
  <c r="J38" i="11"/>
  <c r="K38" i="11" s="1"/>
  <c r="L38" i="11" s="1"/>
  <c r="J44" i="11"/>
  <c r="K44" i="11" s="1"/>
  <c r="L44" i="11" s="1"/>
  <c r="J36" i="11"/>
  <c r="K36" i="11" s="1"/>
  <c r="L36" i="11" s="1"/>
  <c r="F11" i="11"/>
  <c r="G11" i="11" s="1"/>
  <c r="H11" i="11" s="1"/>
  <c r="D54" i="11"/>
  <c r="D62" i="11" s="1"/>
  <c r="D70" i="11" s="1"/>
  <c r="D50" i="11"/>
  <c r="S27" i="9"/>
  <c r="D60" i="11"/>
  <c r="D59" i="11"/>
  <c r="D58" i="11"/>
  <c r="D57" i="11"/>
  <c r="D56" i="11"/>
  <c r="D55" i="11"/>
  <c r="D49" i="11"/>
  <c r="E46" i="11"/>
  <c r="D51" i="11"/>
  <c r="D47" i="11"/>
  <c r="D68" i="11"/>
  <c r="D67" i="11"/>
  <c r="D66" i="11"/>
  <c r="D65" i="11"/>
  <c r="D64" i="11"/>
  <c r="D63" i="11"/>
  <c r="D52" i="11"/>
  <c r="D48" i="11"/>
  <c r="I24" i="9"/>
  <c r="I21" i="9"/>
  <c r="I10" i="9"/>
  <c r="I6" i="9"/>
  <c r="E102" i="11" l="1"/>
  <c r="F102" i="11"/>
  <c r="O102" i="11"/>
  <c r="L102" i="11"/>
  <c r="J102" i="11"/>
  <c r="I102" i="11"/>
  <c r="M102" i="11"/>
  <c r="K102" i="11"/>
  <c r="N102" i="11"/>
  <c r="H102" i="11"/>
  <c r="D102" i="11"/>
  <c r="G102" i="11"/>
  <c r="K77" i="13"/>
  <c r="X34" i="12" s="1"/>
  <c r="W34" i="12"/>
  <c r="G77" i="13"/>
  <c r="T34" i="12" s="1"/>
  <c r="P68" i="13"/>
  <c r="L25" i="12" s="1"/>
  <c r="M25" i="12"/>
  <c r="K25" i="12"/>
  <c r="L68" i="13"/>
  <c r="J25" i="12" s="1"/>
  <c r="K64" i="13"/>
  <c r="I19" i="12"/>
  <c r="L18" i="12"/>
  <c r="O64" i="13"/>
  <c r="I33" i="11"/>
  <c r="D69" i="11"/>
  <c r="D73" i="11"/>
  <c r="E60" i="11"/>
  <c r="E59" i="11"/>
  <c r="E58" i="11"/>
  <c r="E57" i="11"/>
  <c r="E56" i="11"/>
  <c r="E55" i="11"/>
  <c r="E49" i="11"/>
  <c r="F46" i="11"/>
  <c r="E50" i="11"/>
  <c r="E68" i="11"/>
  <c r="E67" i="11"/>
  <c r="E66" i="11"/>
  <c r="E65" i="11"/>
  <c r="E64" i="11"/>
  <c r="E63" i="11"/>
  <c r="E52" i="11"/>
  <c r="E48" i="11"/>
  <c r="E51" i="11"/>
  <c r="E47" i="11"/>
  <c r="E54" i="11"/>
  <c r="E62" i="11" s="1"/>
  <c r="E70" i="11" s="1"/>
  <c r="T27" i="9"/>
  <c r="D74" i="11"/>
  <c r="D53" i="11"/>
  <c r="D61" i="11"/>
  <c r="D71" i="11"/>
  <c r="D75" i="11"/>
  <c r="D72" i="11"/>
  <c r="D76" i="11"/>
  <c r="E20" i="9"/>
  <c r="E21" i="9"/>
  <c r="E22" i="9"/>
  <c r="E23" i="9"/>
  <c r="E19" i="9"/>
  <c r="M19" i="12" l="1"/>
  <c r="P64" i="13"/>
  <c r="L19" i="12" s="1"/>
  <c r="L64" i="13"/>
  <c r="J19" i="12" s="1"/>
  <c r="K19" i="12"/>
  <c r="E73" i="11"/>
  <c r="E24" i="9"/>
  <c r="F68" i="11"/>
  <c r="F67" i="11"/>
  <c r="F66" i="11"/>
  <c r="F65" i="11"/>
  <c r="F64" i="11"/>
  <c r="F63" i="11"/>
  <c r="F52" i="11"/>
  <c r="F48" i="11"/>
  <c r="F58" i="11"/>
  <c r="F55" i="11"/>
  <c r="F51" i="11"/>
  <c r="F47" i="11"/>
  <c r="F60" i="11"/>
  <c r="F56" i="11"/>
  <c r="F54" i="11"/>
  <c r="F62" i="11" s="1"/>
  <c r="F70" i="11" s="1"/>
  <c r="F50" i="11"/>
  <c r="U27" i="9"/>
  <c r="F59" i="11"/>
  <c r="F57" i="11"/>
  <c r="F49" i="11"/>
  <c r="E69" i="11"/>
  <c r="E74" i="11"/>
  <c r="E53" i="11"/>
  <c r="E61" i="11"/>
  <c r="E71" i="11"/>
  <c r="E75" i="11"/>
  <c r="D77" i="11"/>
  <c r="E72" i="11"/>
  <c r="E76" i="11"/>
  <c r="F21" i="9"/>
  <c r="F20" i="9"/>
  <c r="F22" i="9"/>
  <c r="F23" i="9"/>
  <c r="F19" i="9"/>
  <c r="F73" i="11" l="1"/>
  <c r="G73" i="11" s="1"/>
  <c r="H49" i="11" s="1"/>
  <c r="W30" i="9" s="1"/>
  <c r="F53" i="11"/>
  <c r="G53" i="11" s="1"/>
  <c r="F75" i="11"/>
  <c r="G75" i="11" s="1"/>
  <c r="H51" i="11" s="1"/>
  <c r="W32" i="9" s="1"/>
  <c r="F72" i="11"/>
  <c r="G72" i="11" s="1"/>
  <c r="H48" i="11" s="1"/>
  <c r="W29" i="9" s="1"/>
  <c r="F61" i="11"/>
  <c r="G61" i="11" s="1"/>
  <c r="F71" i="11"/>
  <c r="F69" i="11"/>
  <c r="G69" i="11" s="1"/>
  <c r="E77" i="11"/>
  <c r="F76" i="11"/>
  <c r="G76" i="11" s="1"/>
  <c r="H52" i="11" s="1"/>
  <c r="W33" i="9" s="1"/>
  <c r="F74" i="11"/>
  <c r="G74" i="11" s="1"/>
  <c r="H50" i="11" s="1"/>
  <c r="W31" i="9" s="1"/>
  <c r="F24" i="9"/>
  <c r="D19" i="9"/>
  <c r="D23" i="9"/>
  <c r="D20" i="9"/>
  <c r="D21" i="9"/>
  <c r="D22" i="9"/>
  <c r="G21" i="9"/>
  <c r="G23" i="9"/>
  <c r="G22" i="9"/>
  <c r="G20" i="9"/>
  <c r="G19" i="9"/>
  <c r="G49" i="11" l="1"/>
  <c r="G63" i="11"/>
  <c r="G47" i="11"/>
  <c r="G60" i="11"/>
  <c r="G59" i="11"/>
  <c r="G50" i="11"/>
  <c r="G51" i="11"/>
  <c r="G68" i="11"/>
  <c r="G64" i="11"/>
  <c r="G67" i="11"/>
  <c r="G57" i="11"/>
  <c r="G71" i="11"/>
  <c r="H47" i="11" s="1"/>
  <c r="F77" i="11"/>
  <c r="G77" i="11" s="1"/>
  <c r="H53" i="11" s="1"/>
  <c r="W34" i="9" s="1"/>
  <c r="G56" i="11"/>
  <c r="G65" i="11"/>
  <c r="G66" i="11"/>
  <c r="G58" i="11"/>
  <c r="G55" i="11"/>
  <c r="G52" i="11"/>
  <c r="G48" i="11"/>
  <c r="L24" i="9"/>
  <c r="C6" i="9"/>
  <c r="D24" i="9"/>
  <c r="I25" i="9"/>
  <c r="C10" i="9"/>
  <c r="M25" i="9"/>
  <c r="L21" i="9"/>
  <c r="I22" i="9"/>
  <c r="L6" i="9"/>
  <c r="L10" i="9"/>
  <c r="I7" i="9"/>
  <c r="I11" i="9"/>
  <c r="G24" i="9"/>
  <c r="F10" i="9"/>
  <c r="L25" i="9" l="1"/>
  <c r="M22" i="9"/>
  <c r="M11" i="9"/>
  <c r="M7" i="9"/>
  <c r="S29" i="9"/>
  <c r="S33" i="9"/>
  <c r="S32" i="9"/>
  <c r="S28" i="9"/>
  <c r="S30" i="9"/>
  <c r="S31" i="9"/>
  <c r="K22" i="9"/>
  <c r="K25" i="9"/>
  <c r="K11" i="9"/>
  <c r="K7" i="9"/>
  <c r="D11" i="9"/>
  <c r="G14" i="10"/>
  <c r="F14" i="10"/>
  <c r="G13" i="10"/>
  <c r="F13" i="10"/>
  <c r="G12" i="10"/>
  <c r="F12" i="10"/>
  <c r="G11" i="10"/>
  <c r="F11" i="10"/>
  <c r="G10" i="10"/>
  <c r="F10" i="10"/>
  <c r="G9" i="10"/>
  <c r="F9" i="10"/>
  <c r="G8" i="10"/>
  <c r="F8" i="10"/>
  <c r="G7" i="10"/>
  <c r="F7" i="10"/>
  <c r="G6" i="10"/>
  <c r="F6" i="10"/>
  <c r="G5" i="10"/>
  <c r="F5" i="10"/>
  <c r="G4" i="10"/>
  <c r="F4" i="10"/>
  <c r="G3" i="10"/>
  <c r="F3" i="10"/>
  <c r="E14" i="10"/>
  <c r="E13" i="10"/>
  <c r="E12" i="10"/>
  <c r="E11" i="10"/>
  <c r="E10" i="10"/>
  <c r="E9" i="10"/>
  <c r="E8" i="10"/>
  <c r="E7" i="10"/>
  <c r="E6" i="10"/>
  <c r="E5" i="10"/>
  <c r="E4" i="10"/>
  <c r="E3" i="10"/>
  <c r="D14" i="10"/>
  <c r="D13" i="10"/>
  <c r="D12" i="10"/>
  <c r="D11" i="10"/>
  <c r="D10" i="10"/>
  <c r="D9" i="10"/>
  <c r="D8" i="10"/>
  <c r="D7" i="10"/>
  <c r="D6" i="10"/>
  <c r="D5" i="10"/>
  <c r="D4" i="10"/>
  <c r="D3" i="10"/>
  <c r="C7" i="9" l="1"/>
  <c r="D7" i="9"/>
  <c r="C11" i="9"/>
  <c r="J25" i="9"/>
  <c r="L22" i="9"/>
  <c r="J22" i="9"/>
  <c r="L11" i="9"/>
  <c r="J11" i="9"/>
  <c r="L7" i="9"/>
  <c r="J7" i="9"/>
  <c r="T30" i="9"/>
  <c r="T31" i="9"/>
  <c r="T29" i="9"/>
  <c r="T33" i="9"/>
  <c r="T28" i="9"/>
  <c r="T32" i="9"/>
  <c r="S34" i="9"/>
  <c r="I18" i="9"/>
  <c r="E11" i="9" l="1"/>
  <c r="F11" i="9"/>
  <c r="I19" i="9"/>
  <c r="L18" i="9"/>
  <c r="U31" i="9"/>
  <c r="U28" i="9"/>
  <c r="U30" i="9"/>
  <c r="U29" i="9"/>
  <c r="U33" i="9"/>
  <c r="U32" i="9"/>
  <c r="T34" i="9"/>
  <c r="K19" i="9" l="1"/>
  <c r="M19" i="9"/>
  <c r="U34" i="9"/>
  <c r="L19" i="9" l="1"/>
  <c r="J19" i="9"/>
  <c r="V28" i="9"/>
  <c r="V31" i="9"/>
  <c r="V29" i="9"/>
  <c r="V33" i="9"/>
  <c r="V34" i="9"/>
  <c r="V32" i="9"/>
  <c r="V30" i="9"/>
  <c r="C14" i="9"/>
  <c r="F14" i="9" l="1"/>
  <c r="D15" i="9"/>
  <c r="C15" i="9" l="1"/>
  <c r="F15" i="9"/>
  <c r="E15" i="9" l="1"/>
  <c r="N4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Minh Hung</author>
  </authors>
  <commentList>
    <comment ref="B2" authorId="0" shapeId="0" xr:uid="{7B191CC2-A24D-4E15-A125-5E735C2CD6A3}">
      <text>
        <r>
          <rPr>
            <sz val="9"/>
            <color indexed="81"/>
            <rFont val="Tahoma"/>
            <family val="2"/>
          </rPr>
          <t xml:space="preserve">Present Agrofeed
</t>
        </r>
      </text>
    </comment>
    <comment ref="B9" authorId="0" shapeId="0" xr:uid="{22CF15C2-946D-47EB-972C-317F84089440}">
      <text>
        <r>
          <rPr>
            <sz val="9"/>
            <color indexed="81"/>
            <rFont val="Tahoma"/>
            <family val="2"/>
          </rPr>
          <t xml:space="preserve">
PL-Feed-VN-BW</t>
        </r>
      </text>
    </comment>
    <comment ref="B16" authorId="0" shapeId="0" xr:uid="{5AC3E4C0-21B1-4ED6-BDA7-B1A8A00872CB}">
      <text>
        <r>
          <rPr>
            <sz val="9"/>
            <color indexed="81"/>
            <rFont val="Tahoma"/>
            <family val="2"/>
          </rPr>
          <t xml:space="preserve">Present Agrofeed
</t>
        </r>
      </text>
    </comment>
    <comment ref="B31" authorId="0" shapeId="0" xr:uid="{284EEA62-9C33-4F0F-BEDF-52505AA3ADD3}">
      <text>
        <r>
          <rPr>
            <b/>
            <sz val="9"/>
            <color indexed="81"/>
            <rFont val="Tahoma"/>
            <family val="2"/>
          </rPr>
          <t>Present Agrofeed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0" authorId="0" shapeId="0" xr:uid="{B11517D1-780E-4EB6-A921-447B20012ED0}">
      <text>
        <r>
          <rPr>
            <b/>
            <sz val="9"/>
            <color indexed="81"/>
            <rFont val="Tahoma"/>
            <family val="2"/>
          </rPr>
          <t>PL-VN-BW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7" authorId="0" shapeId="0" xr:uid="{5120053A-BB6D-4262-A121-19F58C47BF13}">
      <text>
        <r>
          <rPr>
            <b/>
            <sz val="9"/>
            <color indexed="81"/>
            <rFont val="Tahoma"/>
            <family val="2"/>
          </rPr>
          <t>PL-VN-BW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4" authorId="0" shapeId="0" xr:uid="{6B0B3A23-CAA9-4E14-9B01-FDE5D71B8D44}">
      <text>
        <r>
          <rPr>
            <b/>
            <sz val="9"/>
            <color indexed="81"/>
            <rFont val="Tahoma"/>
            <family val="2"/>
          </rPr>
          <t>Present Agrofeed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2" authorId="0" shapeId="0" xr:uid="{AAFF938E-7705-4975-9AD7-C443F878EE7E}">
      <text>
        <r>
          <rPr>
            <sz val="9"/>
            <color indexed="81"/>
            <rFont val="Tahoma"/>
            <family val="2"/>
          </rPr>
          <t xml:space="preserve">Data lấy từ PL-Feed-VN
</t>
        </r>
      </text>
    </comment>
    <comment ref="B119" authorId="0" shapeId="0" xr:uid="{176683F7-53B1-4688-B668-E02ED4F1473B}">
      <text>
        <r>
          <rPr>
            <b/>
            <sz val="9"/>
            <color indexed="81"/>
            <rFont val="Tahoma"/>
            <family val="2"/>
          </rPr>
          <t>EBIT + Khau hao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6" authorId="0" shapeId="0" xr:uid="{BCDA8FD6-8A09-40F6-BBA1-1DD177F75693}">
      <text>
        <r>
          <rPr>
            <sz val="9"/>
            <color indexed="81"/>
            <rFont val="Tahoma"/>
            <family val="2"/>
          </rPr>
          <t xml:space="preserve">Present Agrofeed
</t>
        </r>
      </text>
    </comment>
    <comment ref="B132" authorId="0" shapeId="0" xr:uid="{22717C8B-9C55-464F-B893-DC8ED33205F5}">
      <text>
        <r>
          <rPr>
            <b/>
            <sz val="9"/>
            <color indexed="81"/>
            <rFont val="Tahoma"/>
            <family val="2"/>
          </rPr>
          <t>Data từ Sale-VN-FM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9" authorId="0" shapeId="0" xr:uid="{D93BDD72-A9F5-4C14-9702-A490BCE2C391}">
      <text>
        <r>
          <rPr>
            <b/>
            <sz val="9"/>
            <color indexed="81"/>
            <rFont val="Tahoma"/>
            <family val="2"/>
          </rPr>
          <t>Data từ Sale-VN-FM</t>
        </r>
      </text>
    </comment>
    <comment ref="B187" authorId="0" shapeId="0" xr:uid="{E55E9380-51BB-4291-AB7B-9BA3BC4B8ADE}">
      <text>
        <r>
          <rPr>
            <b/>
            <sz val="9"/>
            <color indexed="81"/>
            <rFont val="Tahoma"/>
            <family val="2"/>
          </rPr>
          <t xml:space="preserve">Từ file RM-VN-Orginal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5" authorId="0" shapeId="0" xr:uid="{B277BDB9-544B-4CC1-8DBB-02A36CBE8C8D}">
      <text>
        <r>
          <rPr>
            <b/>
            <sz val="9"/>
            <color indexed="81"/>
            <rFont val="Tahoma"/>
            <family val="2"/>
          </rPr>
          <t>File RM-VN-Orginal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3" authorId="0" shapeId="0" xr:uid="{84DA9D1C-08E5-46A5-8F3B-EBA5148F5594}">
      <text>
        <r>
          <rPr>
            <sz val="9"/>
            <color indexed="81"/>
            <rFont val="Tahoma"/>
            <family val="2"/>
          </rPr>
          <t xml:space="preserve">PL-VN-BW
</t>
        </r>
      </text>
    </comment>
    <comment ref="B263" authorId="0" shapeId="0" xr:uid="{9C74E53F-8886-4829-8A5F-C5B40649E724}">
      <text>
        <r>
          <rPr>
            <b/>
            <sz val="9"/>
            <color indexed="81"/>
            <rFont val="Tahoma"/>
            <family val="2"/>
          </rPr>
          <t>File PL-VN-BW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70" authorId="0" shapeId="0" xr:uid="{6D340BDB-2349-464F-A3AB-2E50027FA4F6}">
      <text>
        <r>
          <rPr>
            <sz val="9"/>
            <color indexed="81"/>
            <rFont val="Tahoma"/>
            <family val="2"/>
          </rPr>
          <t xml:space="preserve">PL-VN-BW
</t>
        </r>
      </text>
    </comment>
    <comment ref="B276" authorId="0" shapeId="0" xr:uid="{A566C88F-1879-44AC-AB11-1A2B68A85970}">
      <text>
        <r>
          <rPr>
            <b/>
            <sz val="9"/>
            <color indexed="81"/>
            <rFont val="Tahoma"/>
            <family val="2"/>
          </rPr>
          <t xml:space="preserve">Từ File Present Agro sheet Act-VN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88" authorId="0" shapeId="0" xr:uid="{0B60B7E7-4FFF-4298-B24F-85B140B8296A}">
      <text>
        <r>
          <rPr>
            <b/>
            <sz val="9"/>
            <color indexed="81"/>
            <rFont val="Tahoma"/>
            <family val="2"/>
          </rPr>
          <t xml:space="preserve">Từ File Present Agro sheet Act-VN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4" authorId="0" shapeId="0" xr:uid="{1A81C373-D4B0-45DF-8C49-569F8B8EC7F1}">
      <text>
        <r>
          <rPr>
            <sz val="9"/>
            <color indexed="81"/>
            <rFont val="Tahoma"/>
            <family val="2"/>
          </rPr>
          <t xml:space="preserve">Present Agrofeed
</t>
        </r>
      </text>
    </comment>
    <comment ref="B300" authorId="0" shapeId="0" xr:uid="{6A46AFE8-C4D9-4A01-8460-7B250241A864}">
      <text>
        <r>
          <rPr>
            <sz val="9"/>
            <color indexed="81"/>
            <rFont val="Tahoma"/>
            <family val="2"/>
          </rPr>
          <t xml:space="preserve">Present Agrofeed
</t>
        </r>
      </text>
    </comment>
    <comment ref="B306" authorId="0" shapeId="0" xr:uid="{CA84294F-CF08-4D7B-AB3C-EBD7D02CD24E}">
      <text>
        <r>
          <rPr>
            <sz val="9"/>
            <color indexed="81"/>
            <rFont val="Tahoma"/>
            <family val="2"/>
          </rPr>
          <t xml:space="preserve">Present Agrofeed
</t>
        </r>
      </text>
    </comment>
    <comment ref="B312" authorId="0" shapeId="0" xr:uid="{E01CA2BE-544E-4DA1-8A2A-3E7024F27EEF}">
      <text>
        <r>
          <rPr>
            <sz val="9"/>
            <color indexed="81"/>
            <rFont val="Tahoma"/>
            <family val="2"/>
          </rPr>
          <t xml:space="preserve">Present Agrofeed
</t>
        </r>
      </text>
    </comment>
    <comment ref="B318" authorId="0" shapeId="0" xr:uid="{FB9C1191-CA16-481F-B28C-2B4F80CFD25F}">
      <text>
        <r>
          <rPr>
            <b/>
            <sz val="9"/>
            <color indexed="81"/>
            <rFont val="Tahoma"/>
            <family val="2"/>
          </rPr>
          <t>EXP-OH-VN</t>
        </r>
      </text>
    </comment>
    <comment ref="B324" authorId="0" shapeId="0" xr:uid="{241BDB0D-2B3F-4493-9E19-E35D61E8F01C}">
      <text>
        <r>
          <rPr>
            <b/>
            <sz val="9"/>
            <color indexed="81"/>
            <rFont val="Tahoma"/>
            <family val="2"/>
          </rPr>
          <t>Điện, nước</t>
        </r>
      </text>
    </comment>
    <comment ref="B330" authorId="0" shapeId="0" xr:uid="{F9C2711C-9B63-4BF1-8C73-83FDA345CD0C}">
      <text>
        <r>
          <rPr>
            <b/>
            <sz val="9"/>
            <color indexed="81"/>
            <rFont val="Tahoma"/>
            <family val="2"/>
          </rPr>
          <t>Điện, nước</t>
        </r>
      </text>
    </comment>
    <comment ref="B336" authorId="0" shapeId="0" xr:uid="{2D7857EB-8D61-4B2F-9678-A171EE52BEB0}">
      <text>
        <r>
          <rPr>
            <b/>
            <sz val="9"/>
            <color indexed="81"/>
            <rFont val="Tahoma"/>
            <family val="2"/>
          </rPr>
          <t>Điện, nước</t>
        </r>
      </text>
    </comment>
    <comment ref="B342" authorId="0" shapeId="0" xr:uid="{8D217F2E-8B86-425E-BFC7-9658F52525F4}">
      <text>
        <r>
          <rPr>
            <b/>
            <sz val="9"/>
            <color indexed="81"/>
            <rFont val="Tahoma"/>
            <family val="2"/>
          </rPr>
          <t>Điện, nước</t>
        </r>
      </text>
    </comment>
    <comment ref="B354" authorId="0" shapeId="0" xr:uid="{54A47D75-E322-4840-8797-7FE44C6E16B0}">
      <text>
        <r>
          <rPr>
            <b/>
            <sz val="9"/>
            <color indexed="81"/>
            <rFont val="Tahoma"/>
            <family val="2"/>
          </rPr>
          <t>Present Agrofeed</t>
        </r>
      </text>
    </comment>
    <comment ref="B385" authorId="0" shapeId="0" xr:uid="{ADE048A8-19F7-4BE6-8888-CE3205FEDF8F}">
      <text>
        <r>
          <rPr>
            <b/>
            <sz val="9"/>
            <color indexed="81"/>
            <rFont val="Tahoma"/>
            <family val="2"/>
          </rPr>
          <t>Từ file Production-VN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47" authorId="0" shapeId="0" xr:uid="{BD229E1B-4C9A-430D-A4E0-8EE1F6B58665}">
      <text>
        <r>
          <rPr>
            <b/>
            <sz val="9"/>
            <color indexed="81"/>
            <rFont val="Tahoma"/>
            <family val="2"/>
          </rPr>
          <t>Present agrofeed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78" authorId="0" shapeId="0" xr:uid="{C800A305-A35D-4BE3-9A87-1C0D9B5546DF}">
      <text>
        <r>
          <rPr>
            <b/>
            <sz val="9"/>
            <color indexed="81"/>
            <rFont val="Tahoma"/>
            <family val="2"/>
          </rPr>
          <t>Present agrofeed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09" authorId="0" shapeId="0" xr:uid="{B55B00CA-962B-4A28-B29B-AF606B2B1C5F}">
      <text>
        <r>
          <rPr>
            <b/>
            <sz val="9"/>
            <color indexed="81"/>
            <rFont val="Tahoma"/>
            <family val="2"/>
          </rPr>
          <t>Present agrofeed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40" authorId="0" shapeId="0" xr:uid="{0D365A38-7CE9-4525-B201-6A411233AE74}">
      <text>
        <r>
          <rPr>
            <b/>
            <sz val="9"/>
            <color indexed="81"/>
            <rFont val="Tahoma"/>
            <family val="2"/>
          </rPr>
          <t>Present agrofeed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71" authorId="0" shapeId="0" xr:uid="{BC77AFB7-F5CB-47E1-B142-78CFB08CD178}">
      <text>
        <r>
          <rPr>
            <b/>
            <sz val="9"/>
            <color indexed="81"/>
            <rFont val="Tahoma"/>
            <family val="2"/>
          </rPr>
          <t>File RM-VN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<sst xmlns="http://schemas.openxmlformats.org/spreadsheetml/2006/main" count="1994" uniqueCount="157">
  <si>
    <t>Budget</t>
  </si>
  <si>
    <t>%</t>
  </si>
  <si>
    <t>Net Sale</t>
  </si>
  <si>
    <t>Gross profit</t>
  </si>
  <si>
    <t>Total</t>
  </si>
  <si>
    <t>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</si>
  <si>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</si>
  <si>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</si>
  <si>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</si>
  <si>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</si>
  <si>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</si>
  <si>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</si>
  <si>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</si>
  <si>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</si>
  <si>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</si>
  <si>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</si>
  <si>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</si>
  <si>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</si>
  <si>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Swine</t>
  </si>
  <si>
    <t>Duck</t>
  </si>
  <si>
    <t>Layer</t>
  </si>
  <si>
    <t>Quail</t>
  </si>
  <si>
    <t>Cow</t>
  </si>
  <si>
    <t>Bugget</t>
  </si>
  <si>
    <t>Diff</t>
  </si>
  <si>
    <t>Sale Volume</t>
  </si>
  <si>
    <t>Year</t>
  </si>
  <si>
    <t>Production Cost</t>
  </si>
  <si>
    <t>Raw Material</t>
  </si>
  <si>
    <t>Medicine + premix</t>
  </si>
  <si>
    <t>Packaging</t>
  </si>
  <si>
    <t>Expenses-Fixed</t>
  </si>
  <si>
    <t>Expenses-Variable</t>
  </si>
  <si>
    <t>Expenses-Other</t>
  </si>
  <si>
    <t>Production (Tons)</t>
  </si>
  <si>
    <t>Corn</t>
  </si>
  <si>
    <t>Soy Bean Meal</t>
  </si>
  <si>
    <t>Rice Bran</t>
  </si>
  <si>
    <t>Feed Wheat</t>
  </si>
  <si>
    <t>Other</t>
  </si>
  <si>
    <t>Raw Matterial Price-Usage</t>
  </si>
  <si>
    <t>Ratio</t>
  </si>
  <si>
    <t>Other Exp</t>
  </si>
  <si>
    <t>SBM</t>
  </si>
  <si>
    <t>Wheat</t>
  </si>
  <si>
    <t>Total (Tons.)</t>
  </si>
  <si>
    <t>Sale</t>
  </si>
  <si>
    <t>Gross</t>
  </si>
  <si>
    <t>Month</t>
  </si>
  <si>
    <t>Net Profit</t>
  </si>
  <si>
    <t>Used</t>
  </si>
  <si>
    <t>Main RM</t>
  </si>
  <si>
    <t>Stock</t>
  </si>
  <si>
    <t>Price</t>
  </si>
  <si>
    <t>CHG</t>
  </si>
  <si>
    <t>Days</t>
  </si>
  <si>
    <t>Amount</t>
  </si>
  <si>
    <t>mVnd</t>
  </si>
  <si>
    <t>Ton</t>
  </si>
  <si>
    <t>Raw Material Cost</t>
  </si>
  <si>
    <t>Pre + Med</t>
  </si>
  <si>
    <t>Main RM (Ton)</t>
  </si>
  <si>
    <t>Main RM (Amount)</t>
  </si>
  <si>
    <t>Net profit</t>
  </si>
  <si>
    <t>Broiler Chicken</t>
  </si>
  <si>
    <t>SALES VOLUME BY FEED GROUP</t>
  </si>
  <si>
    <t>Year 2018</t>
  </si>
  <si>
    <t>Year 2017</t>
  </si>
  <si>
    <t>Year 2016</t>
  </si>
  <si>
    <t>SG&amp;A</t>
  </si>
  <si>
    <t>EBIT</t>
  </si>
  <si>
    <t>EBITDA</t>
  </si>
  <si>
    <t>▼</t>
  </si>
  <si>
    <t>▲</t>
  </si>
  <si>
    <t>Item</t>
  </si>
  <si>
    <t>Month 2017</t>
  </si>
  <si>
    <t>Month Acc 2017</t>
  </si>
  <si>
    <t>Month 2018</t>
  </si>
  <si>
    <t>Month Acc 2018</t>
  </si>
  <si>
    <t>Sales Volume (Tons.)</t>
  </si>
  <si>
    <t>Sale volumne</t>
  </si>
  <si>
    <t>Chart</t>
  </si>
  <si>
    <t>2018</t>
  </si>
  <si>
    <t>@</t>
  </si>
  <si>
    <t>Line</t>
  </si>
  <si>
    <t>Production</t>
  </si>
  <si>
    <t>Weight</t>
  </si>
  <si>
    <t>Main Raw Material (Used)</t>
  </si>
  <si>
    <t xml:space="preserve"> Corn</t>
  </si>
  <si>
    <t xml:space="preserve"> SBM</t>
  </si>
  <si>
    <t xml:space="preserve"> Wheat</t>
  </si>
  <si>
    <t xml:space="preserve"> Rice Bran</t>
  </si>
  <si>
    <t xml:space="preserve"> Other</t>
  </si>
  <si>
    <t>Gross Profit</t>
  </si>
  <si>
    <t>Icon</t>
  </si>
  <si>
    <t>SALES BY FEED GROUP (mVnd)</t>
  </si>
  <si>
    <t>COST SALES BY FEED GROUP (mVnd)</t>
  </si>
  <si>
    <t>Sale by group (Ton)</t>
  </si>
  <si>
    <t>Sale by group (NetSale)</t>
  </si>
  <si>
    <t>Sale by group (GrossSale)</t>
  </si>
  <si>
    <t>Sale by Group</t>
  </si>
  <si>
    <t>Total (Tons)</t>
  </si>
  <si>
    <t>Month Name</t>
  </si>
  <si>
    <t>RM+WIP(BF)-WIP(CF)</t>
  </si>
  <si>
    <t>Inventory FG</t>
  </si>
  <si>
    <t>Salary &amp; Welfare</t>
  </si>
  <si>
    <t>Maintenance</t>
  </si>
  <si>
    <t>Supplies</t>
  </si>
  <si>
    <t>Depreciation</t>
  </si>
  <si>
    <t>Utlitiles</t>
  </si>
  <si>
    <t>DNI</t>
  </si>
  <si>
    <t>BDG</t>
  </si>
  <si>
    <t>TGG</t>
  </si>
  <si>
    <t>BDH</t>
  </si>
  <si>
    <t>BXO</t>
  </si>
  <si>
    <t>HNI</t>
  </si>
  <si>
    <t>HDG</t>
  </si>
  <si>
    <t>Capacity (Tons)</t>
  </si>
  <si>
    <t>OEM</t>
  </si>
  <si>
    <t>Silo</t>
  </si>
  <si>
    <t>Depreciation &amp; Amortization</t>
  </si>
  <si>
    <t>Raw Matterial Price-Pur (Weight)</t>
  </si>
  <si>
    <t>Raw Matterial Price-Pur (Amount)</t>
  </si>
  <si>
    <t>Per/Kg</t>
  </si>
  <si>
    <t>2017</t>
  </si>
  <si>
    <t>Group Exp</t>
  </si>
  <si>
    <t>Admin &amp; Acc</t>
  </si>
  <si>
    <t>Inventory @Day</t>
  </si>
  <si>
    <t>Inventory Day</t>
  </si>
  <si>
    <t>Inventory Stock Main RM</t>
  </si>
  <si>
    <t>FC</t>
  </si>
  <si>
    <t>VC</t>
  </si>
  <si>
    <t>OverHead Cost</t>
  </si>
  <si>
    <t>Ranking</t>
  </si>
  <si>
    <t>Account Group</t>
  </si>
  <si>
    <t>Accumulate</t>
  </si>
  <si>
    <t>Overhead Cost</t>
  </si>
  <si>
    <t>Capacity</t>
  </si>
  <si>
    <t>%Utilize</t>
  </si>
  <si>
    <t>Productivity</t>
  </si>
  <si>
    <t>Ton/Month</t>
  </si>
  <si>
    <t>@Diff</t>
  </si>
  <si>
    <t>Bag &amp; Silo</t>
  </si>
  <si>
    <t>Raw Matterial Used (Ton)</t>
  </si>
  <si>
    <t>Total1</t>
  </si>
  <si>
    <t>%Used</t>
  </si>
  <si>
    <t>Main RM Used</t>
  </si>
  <si>
    <t>Inventory Stock Main</t>
  </si>
  <si>
    <t>Raw Matterial Price-Pur (Ton)</t>
  </si>
  <si>
    <t>Fuel</t>
  </si>
  <si>
    <t>Stock Main RM</t>
  </si>
  <si>
    <t>Min</t>
  </si>
  <si>
    <t>Max</t>
  </si>
  <si>
    <t>Gross PL</t>
  </si>
  <si>
    <t>@Kg</t>
  </si>
  <si>
    <t>COGS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</si>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</sst>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00_);_(* \(#,##0.000\);_(* &quot;-&quot;??_);_(@_)"/>
    <numFmt numFmtId="167" formatCode="_(* #,##0.0000_);_(* \(#,##0.0000\);_(* &quot;-&quot;??_);_(@_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99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1"/>
      <name val="Arial"/>
      <family val="2"/>
    </font>
    <font>
      <sz val="10"/>
      <color rgb="FF000099"/>
      <name val="Arial"/>
      <family val="2"/>
    </font>
    <font>
      <b/>
      <sz val="12"/>
      <color theme="1"/>
      <name val="Arial"/>
      <family val="2"/>
    </font>
    <font>
      <sz val="11"/>
      <color rgb="FF0000CC"/>
      <name val="Arial"/>
      <family val="2"/>
    </font>
    <font>
      <b/>
      <sz val="11"/>
      <color rgb="FF0000CC"/>
      <name val="Arial"/>
      <family val="2"/>
    </font>
    <font>
      <b/>
      <sz val="12"/>
      <color rgb="FF0000CC"/>
      <name val="Arial"/>
      <family val="2"/>
    </font>
    <font>
      <b/>
      <sz val="20"/>
      <color theme="1"/>
      <name val="Arial"/>
      <family val="2"/>
    </font>
    <font>
      <sz val="8"/>
      <name val="Arial"/>
      <family val="2"/>
    </font>
    <font>
      <sz val="20"/>
      <color theme="1"/>
      <name val="Arial"/>
      <family val="2"/>
    </font>
    <font>
      <sz val="20"/>
      <color rgb="FF009900"/>
      <name val="Arial"/>
      <family val="2"/>
    </font>
    <font>
      <sz val="2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3"/>
      <color rgb="FF0000CC"/>
      <name val="Arial"/>
      <family val="2"/>
    </font>
    <font>
      <b/>
      <sz val="13"/>
      <color theme="1"/>
      <name val="Arial"/>
      <family val="2"/>
    </font>
    <font>
      <sz val="11"/>
      <color rgb="FF0000CC"/>
      <name val="Calibri"/>
      <family val="2"/>
      <scheme val="minor"/>
    </font>
    <font>
      <sz val="15"/>
      <color theme="1"/>
      <name val="Arial"/>
      <family val="2"/>
    </font>
    <font>
      <b/>
      <sz val="11"/>
      <color rgb="FF0000CC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theme="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" fontId="15" fillId="0" borderId="1" applyNumberFormat="0" applyProtection="0">
      <alignment horizontal="right" vertical="center"/>
    </xf>
    <xf numFmtId="0" fontId="15" fillId="7" borderId="1" applyNumberFormat="0" applyProtection="0">
      <alignment horizontal="left" vertical="center" indent="1"/>
    </xf>
  </cellStyleXfs>
  <cellXfs count="193">
    <xf numFmtId="0" fontId="0" fillId="0" borderId="0" xfId="0"/>
    <xf numFmtId="0" fontId="4" fillId="0" borderId="0" xfId="0" applyFont="1"/>
    <xf numFmtId="0" fontId="7" fillId="3" borderId="0" xfId="0" applyFont="1" applyFill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3" fontId="6" fillId="0" borderId="0" xfId="0" applyNumberFormat="1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3" fontId="6" fillId="0" borderId="0" xfId="1" applyNumberFormat="1" applyFont="1" applyFill="1" applyAlignment="1">
      <alignment vertical="center"/>
    </xf>
    <xf numFmtId="3" fontId="9" fillId="0" borderId="0" xfId="1" applyNumberFormat="1" applyFont="1" applyFill="1" applyAlignment="1">
      <alignment vertical="center"/>
    </xf>
    <xf numFmtId="9" fontId="4" fillId="0" borderId="0" xfId="0" applyNumberFormat="1" applyFont="1"/>
    <xf numFmtId="0" fontId="4" fillId="0" borderId="0" xfId="0" applyFont="1" applyFill="1"/>
    <xf numFmtId="0" fontId="4" fillId="0" borderId="0" xfId="0" applyFont="1" applyBorder="1"/>
    <xf numFmtId="164" fontId="0" fillId="0" borderId="0" xfId="1" applyNumberFormat="1" applyFont="1"/>
    <xf numFmtId="10" fontId="0" fillId="0" borderId="0" xfId="1" applyNumberFormat="1" applyFont="1"/>
    <xf numFmtId="165" fontId="0" fillId="0" borderId="0" xfId="2" applyNumberFormat="1" applyFont="1"/>
    <xf numFmtId="43" fontId="0" fillId="0" borderId="0" xfId="0" applyNumberFormat="1"/>
    <xf numFmtId="0" fontId="6" fillId="5" borderId="0" xfId="0" applyFont="1" applyFill="1" applyAlignment="1">
      <alignment horizontal="left" vertical="center"/>
    </xf>
    <xf numFmtId="165" fontId="0" fillId="5" borderId="0" xfId="2" applyNumberFormat="1" applyFont="1" applyFill="1"/>
    <xf numFmtId="0" fontId="0" fillId="5" borderId="0" xfId="0" applyFill="1"/>
    <xf numFmtId="165" fontId="0" fillId="0" borderId="0" xfId="0" applyNumberFormat="1"/>
    <xf numFmtId="0" fontId="9" fillId="5" borderId="0" xfId="0" applyFont="1" applyFill="1" applyAlignment="1">
      <alignment horizontal="left" vertical="center"/>
    </xf>
    <xf numFmtId="0" fontId="17" fillId="0" borderId="0" xfId="0" applyFont="1"/>
    <xf numFmtId="0" fontId="18" fillId="0" borderId="0" xfId="0" applyFont="1"/>
    <xf numFmtId="0" fontId="0" fillId="0" borderId="0" xfId="0" quotePrefix="1"/>
    <xf numFmtId="9" fontId="0" fillId="0" borderId="0" xfId="1" applyFont="1"/>
    <xf numFmtId="165" fontId="16" fillId="0" borderId="0" xfId="2" applyNumberFormat="1" applyFont="1" applyBorder="1" applyAlignment="1">
      <alignment horizontal="centerContinuous" vertical="center"/>
    </xf>
    <xf numFmtId="0" fontId="4" fillId="0" borderId="3" xfId="0" applyFont="1" applyBorder="1"/>
    <xf numFmtId="0" fontId="16" fillId="0" borderId="4" xfId="0" applyFont="1" applyBorder="1" applyAlignment="1">
      <alignment horizontal="right"/>
    </xf>
    <xf numFmtId="164" fontId="4" fillId="0" borderId="5" xfId="0" applyNumberFormat="1" applyFont="1" applyBorder="1" applyAlignment="1">
      <alignment horizontal="left"/>
    </xf>
    <xf numFmtId="0" fontId="4" fillId="0" borderId="5" xfId="0" applyFont="1" applyBorder="1"/>
    <xf numFmtId="0" fontId="4" fillId="0" borderId="6" xfId="0" applyFont="1" applyBorder="1"/>
    <xf numFmtId="0" fontId="16" fillId="0" borderId="0" xfId="0" applyFont="1" applyAlignment="1">
      <alignment horizontal="right"/>
    </xf>
    <xf numFmtId="164" fontId="4" fillId="0" borderId="0" xfId="0" applyNumberFormat="1" applyFont="1" applyAlignment="1">
      <alignment horizontal="left"/>
    </xf>
    <xf numFmtId="0" fontId="16" fillId="0" borderId="0" xfId="0" applyFont="1" applyFill="1" applyAlignment="1">
      <alignment horizontal="right"/>
    </xf>
    <xf numFmtId="164" fontId="4" fillId="0" borderId="0" xfId="0" applyNumberFormat="1" applyFont="1" applyFill="1" applyAlignment="1">
      <alignment horizontal="left"/>
    </xf>
    <xf numFmtId="0" fontId="16" fillId="0" borderId="0" xfId="0" quotePrefix="1" applyFont="1" applyBorder="1" applyAlignment="1">
      <alignment horizontal="right" vertical="center"/>
    </xf>
    <xf numFmtId="165" fontId="16" fillId="0" borderId="0" xfId="2" applyNumberFormat="1" applyFont="1" applyFill="1" applyBorder="1" applyAlignment="1">
      <alignment vertical="center"/>
    </xf>
    <xf numFmtId="0" fontId="16" fillId="0" borderId="5" xfId="0" applyFont="1" applyBorder="1" applyAlignment="1">
      <alignment horizontal="right"/>
    </xf>
    <xf numFmtId="164" fontId="4" fillId="0" borderId="5" xfId="0" applyNumberFormat="1" applyFont="1" applyFill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/>
    <xf numFmtId="9" fontId="10" fillId="0" borderId="5" xfId="0" applyNumberFormat="1" applyFont="1" applyBorder="1"/>
    <xf numFmtId="165" fontId="10" fillId="0" borderId="5" xfId="2" applyNumberFormat="1" applyFont="1" applyBorder="1"/>
    <xf numFmtId="164" fontId="10" fillId="0" borderId="6" xfId="1" applyNumberFormat="1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justify" readingOrder="1"/>
    </xf>
    <xf numFmtId="0" fontId="4" fillId="0" borderId="4" xfId="0" applyFont="1" applyBorder="1" applyAlignment="1">
      <alignment horizontal="centerContinuous" vertical="justify" readingOrder="1"/>
    </xf>
    <xf numFmtId="165" fontId="16" fillId="0" borderId="0" xfId="2" applyNumberFormat="1" applyFont="1" applyFill="1" applyBorder="1" applyAlignment="1">
      <alignment horizontal="centerContinuous" vertical="center"/>
    </xf>
    <xf numFmtId="0" fontId="4" fillId="0" borderId="3" xfId="0" applyFont="1" applyBorder="1" applyAlignment="1">
      <alignment horizontal="centerContinuous" vertical="center"/>
    </xf>
    <xf numFmtId="165" fontId="16" fillId="0" borderId="0" xfId="2" applyNumberFormat="1" applyFont="1" applyBorder="1" applyAlignment="1">
      <alignment vertical="center"/>
    </xf>
    <xf numFmtId="10" fontId="4" fillId="0" borderId="4" xfId="0" applyNumberFormat="1" applyFont="1" applyBorder="1" applyAlignment="1">
      <alignment horizontal="left"/>
    </xf>
    <xf numFmtId="10" fontId="21" fillId="0" borderId="5" xfId="0" applyNumberFormat="1" applyFont="1" applyBorder="1" applyAlignment="1">
      <alignment horizontal="left"/>
    </xf>
    <xf numFmtId="1" fontId="4" fillId="0" borderId="6" xfId="0" applyNumberFormat="1" applyFont="1" applyBorder="1" applyAlignment="1">
      <alignment horizontal="left"/>
    </xf>
    <xf numFmtId="10" fontId="23" fillId="0" borderId="0" xfId="0" applyNumberFormat="1" applyFont="1"/>
    <xf numFmtId="0" fontId="23" fillId="0" borderId="0" xfId="0" applyFont="1"/>
    <xf numFmtId="43" fontId="23" fillId="0" borderId="0" xfId="0" applyNumberFormat="1" applyFont="1"/>
    <xf numFmtId="10" fontId="23" fillId="0" borderId="0" xfId="1" applyNumberFormat="1" applyFont="1"/>
    <xf numFmtId="165" fontId="23" fillId="0" borderId="0" xfId="2" applyNumberFormat="1" applyFont="1"/>
    <xf numFmtId="0" fontId="10" fillId="0" borderId="0" xfId="0" applyFont="1" applyBorder="1"/>
    <xf numFmtId="9" fontId="10" fillId="0" borderId="0" xfId="0" applyNumberFormat="1" applyFont="1" applyBorder="1"/>
    <xf numFmtId="165" fontId="10" fillId="0" borderId="0" xfId="2" applyNumberFormat="1" applyFont="1" applyBorder="1"/>
    <xf numFmtId="164" fontId="10" fillId="0" borderId="0" xfId="1" applyNumberFormat="1" applyFont="1" applyBorder="1"/>
    <xf numFmtId="0" fontId="24" fillId="0" borderId="0" xfId="0" applyFont="1" applyBorder="1" applyAlignment="1"/>
    <xf numFmtId="0" fontId="24" fillId="0" borderId="5" xfId="0" applyFont="1" applyBorder="1" applyAlignment="1"/>
    <xf numFmtId="3" fontId="22" fillId="0" borderId="2" xfId="2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3" fontId="22" fillId="0" borderId="0" xfId="0" applyNumberFormat="1" applyFont="1" applyBorder="1" applyAlignment="1">
      <alignment horizontal="centerContinuous" vertical="justify"/>
    </xf>
    <xf numFmtId="3" fontId="4" fillId="0" borderId="3" xfId="0" applyNumberFormat="1" applyFont="1" applyBorder="1" applyAlignment="1">
      <alignment horizontal="centerContinuous" vertical="justify"/>
    </xf>
    <xf numFmtId="10" fontId="4" fillId="0" borderId="2" xfId="0" applyNumberFormat="1" applyFont="1" applyBorder="1" applyAlignment="1">
      <alignment horizontal="left" indent="4"/>
    </xf>
    <xf numFmtId="10" fontId="4" fillId="0" borderId="0" xfId="0" applyNumberFormat="1" applyFont="1" applyBorder="1" applyAlignment="1">
      <alignment horizontal="left"/>
    </xf>
    <xf numFmtId="1" fontId="4" fillId="0" borderId="3" xfId="0" applyNumberFormat="1" applyFont="1" applyBorder="1"/>
    <xf numFmtId="10" fontId="4" fillId="0" borderId="4" xfId="0" applyNumberFormat="1" applyFont="1" applyBorder="1" applyAlignment="1">
      <alignment horizontal="left" indent="4"/>
    </xf>
    <xf numFmtId="10" fontId="4" fillId="0" borderId="5" xfId="0" applyNumberFormat="1" applyFont="1" applyBorder="1" applyAlignment="1">
      <alignment horizontal="left"/>
    </xf>
    <xf numFmtId="1" fontId="4" fillId="0" borderId="6" xfId="0" applyNumberFormat="1" applyFont="1" applyBorder="1"/>
    <xf numFmtId="9" fontId="23" fillId="0" borderId="0" xfId="1" applyFont="1"/>
    <xf numFmtId="9" fontId="23" fillId="0" borderId="0" xfId="0" applyNumberFormat="1" applyFont="1"/>
    <xf numFmtId="165" fontId="23" fillId="0" borderId="0" xfId="0" applyNumberFormat="1" applyFont="1"/>
    <xf numFmtId="0" fontId="25" fillId="0" borderId="0" xfId="0" applyFont="1" applyFill="1"/>
    <xf numFmtId="0" fontId="26" fillId="0" borderId="0" xfId="0" applyFont="1"/>
    <xf numFmtId="0" fontId="0" fillId="0" borderId="0" xfId="0" applyAlignment="1">
      <alignment vertical="top"/>
    </xf>
    <xf numFmtId="166" fontId="0" fillId="0" borderId="0" xfId="2" applyNumberFormat="1" applyFont="1"/>
    <xf numFmtId="0" fontId="27" fillId="0" borderId="0" xfId="0" applyFont="1"/>
    <xf numFmtId="0" fontId="3" fillId="0" borderId="8" xfId="0" applyFont="1" applyBorder="1"/>
    <xf numFmtId="0" fontId="12" fillId="0" borderId="0" xfId="0" applyFont="1" applyBorder="1" applyAlignment="1">
      <alignment horizontal="left" indent="3"/>
    </xf>
    <xf numFmtId="0" fontId="12" fillId="0" borderId="0" xfId="0" applyFont="1" applyBorder="1"/>
    <xf numFmtId="165" fontId="12" fillId="0" borderId="0" xfId="2" applyNumberFormat="1" applyFont="1" applyBorder="1"/>
    <xf numFmtId="9" fontId="12" fillId="0" borderId="0" xfId="1" applyFont="1" applyBorder="1"/>
    <xf numFmtId="0" fontId="12" fillId="0" borderId="0" xfId="0" applyFont="1" applyBorder="1" applyAlignment="1">
      <alignment horizontal="left" vertical="justify" indent="3" readingOrder="1"/>
    </xf>
    <xf numFmtId="0" fontId="3" fillId="0" borderId="5" xfId="0" applyFont="1" applyBorder="1" applyAlignment="1">
      <alignment horizontal="left" vertical="top" readingOrder="1"/>
    </xf>
    <xf numFmtId="0" fontId="3" fillId="0" borderId="5" xfId="0" applyFont="1" applyBorder="1" applyAlignment="1">
      <alignment horizontal="left" vertical="top"/>
    </xf>
    <xf numFmtId="165" fontId="3" fillId="0" borderId="5" xfId="2" applyNumberFormat="1" applyFont="1" applyBorder="1"/>
    <xf numFmtId="9" fontId="3" fillId="0" borderId="5" xfId="1" applyFont="1" applyBorder="1"/>
    <xf numFmtId="0" fontId="6" fillId="8" borderId="0" xfId="0" applyFont="1" applyFill="1" applyAlignment="1">
      <alignment horizontal="left" vertical="center"/>
    </xf>
    <xf numFmtId="165" fontId="0" fillId="8" borderId="0" xfId="2" applyNumberFormat="1" applyFont="1" applyFill="1"/>
    <xf numFmtId="165" fontId="14" fillId="0" borderId="2" xfId="2" applyNumberFormat="1" applyFont="1" applyBorder="1" applyAlignment="1">
      <alignment horizontal="left" vertical="center"/>
    </xf>
    <xf numFmtId="165" fontId="14" fillId="0" borderId="2" xfId="2" applyNumberFormat="1" applyFont="1" applyBorder="1" applyAlignment="1">
      <alignment horizontal="centerContinuous" vertical="center"/>
    </xf>
    <xf numFmtId="0" fontId="2" fillId="6" borderId="10" xfId="0" applyFont="1" applyFill="1" applyBorder="1" applyAlignment="1">
      <alignment horizontal="centerContinuous" vertical="center"/>
    </xf>
    <xf numFmtId="0" fontId="2" fillId="6" borderId="11" xfId="0" applyFont="1" applyFill="1" applyBorder="1" applyAlignment="1">
      <alignment horizontal="centerContinuous" vertical="center"/>
    </xf>
    <xf numFmtId="0" fontId="2" fillId="6" borderId="12" xfId="0" applyFont="1" applyFill="1" applyBorder="1" applyAlignment="1">
      <alignment horizontal="centerContinuous" vertical="center"/>
    </xf>
    <xf numFmtId="0" fontId="2" fillId="6" borderId="7" xfId="0" applyFont="1" applyFill="1" applyBorder="1" applyAlignment="1">
      <alignment horizontal="centerContinuous" vertical="center"/>
    </xf>
    <xf numFmtId="0" fontId="2" fillId="6" borderId="8" xfId="0" applyFont="1" applyFill="1" applyBorder="1" applyAlignment="1">
      <alignment horizontal="centerContinuous" vertical="center"/>
    </xf>
    <xf numFmtId="0" fontId="2" fillId="6" borderId="9" xfId="0" applyFont="1" applyFill="1" applyBorder="1" applyAlignment="1">
      <alignment horizontal="centerContinuous" vertical="center"/>
    </xf>
    <xf numFmtId="3" fontId="23" fillId="0" borderId="0" xfId="2" applyNumberFormat="1" applyFont="1"/>
    <xf numFmtId="165" fontId="28" fillId="0" borderId="2" xfId="2" applyNumberFormat="1" applyFont="1" applyBorder="1" applyAlignment="1">
      <alignment horizontal="left" vertical="center"/>
    </xf>
    <xf numFmtId="0" fontId="0" fillId="4" borderId="0" xfId="0" applyFill="1"/>
    <xf numFmtId="0" fontId="0" fillId="4" borderId="0" xfId="0" quotePrefix="1" applyFill="1"/>
    <xf numFmtId="165" fontId="29" fillId="0" borderId="0" xfId="2" applyNumberFormat="1" applyFont="1"/>
    <xf numFmtId="167" fontId="0" fillId="0" borderId="0" xfId="0" applyNumberFormat="1"/>
    <xf numFmtId="14" fontId="0" fillId="0" borderId="0" xfId="0" applyNumberFormat="1"/>
    <xf numFmtId="3" fontId="4" fillId="0" borderId="5" xfId="2" applyNumberFormat="1" applyFont="1" applyFill="1" applyBorder="1" applyAlignment="1">
      <alignment horizontal="left"/>
    </xf>
    <xf numFmtId="3" fontId="16" fillId="0" borderId="0" xfId="2" applyNumberFormat="1" applyFont="1" applyFill="1" applyBorder="1" applyAlignment="1">
      <alignment horizontal="left" vertical="center"/>
    </xf>
    <xf numFmtId="0" fontId="29" fillId="0" borderId="0" xfId="0" applyFont="1"/>
    <xf numFmtId="0" fontId="8" fillId="0" borderId="5" xfId="0" applyFont="1" applyBorder="1" applyAlignment="1">
      <alignment horizontal="left" vertical="top" readingOrder="1"/>
    </xf>
    <xf numFmtId="0" fontId="8" fillId="0" borderId="5" xfId="0" applyFont="1" applyBorder="1" applyAlignment="1">
      <alignment horizontal="left" vertical="top"/>
    </xf>
    <xf numFmtId="165" fontId="8" fillId="0" borderId="5" xfId="2" applyNumberFormat="1" applyFont="1" applyBorder="1"/>
    <xf numFmtId="9" fontId="8" fillId="0" borderId="5" xfId="1" applyFont="1" applyBorder="1"/>
    <xf numFmtId="1" fontId="0" fillId="0" borderId="0" xfId="0" applyNumberFormat="1"/>
    <xf numFmtId="10" fontId="30" fillId="0" borderId="4" xfId="0" applyNumberFormat="1" applyFont="1" applyBorder="1" applyAlignment="1">
      <alignment horizontal="left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1" fontId="4" fillId="0" borderId="0" xfId="0" applyNumberFormat="1" applyFont="1"/>
    <xf numFmtId="0" fontId="11" fillId="0" borderId="8" xfId="0" applyFont="1" applyBorder="1"/>
    <xf numFmtId="0" fontId="3" fillId="0" borderId="8" xfId="0" quotePrefix="1" applyFont="1" applyBorder="1"/>
    <xf numFmtId="0" fontId="11" fillId="0" borderId="9" xfId="0" applyFont="1" applyBorder="1"/>
    <xf numFmtId="0" fontId="3" fillId="0" borderId="2" xfId="0" applyFont="1" applyBorder="1"/>
    <xf numFmtId="0" fontId="3" fillId="0" borderId="4" xfId="0" applyFont="1" applyBorder="1"/>
    <xf numFmtId="0" fontId="11" fillId="0" borderId="0" xfId="0" applyFont="1" applyBorder="1"/>
    <xf numFmtId="165" fontId="3" fillId="0" borderId="0" xfId="2" applyNumberFormat="1" applyFont="1" applyBorder="1"/>
    <xf numFmtId="9" fontId="4" fillId="0" borderId="0" xfId="0" applyNumberFormat="1" applyFont="1" applyBorder="1"/>
    <xf numFmtId="9" fontId="24" fillId="0" borderId="0" xfId="0" applyNumberFormat="1" applyFont="1" applyBorder="1"/>
    <xf numFmtId="1" fontId="4" fillId="0" borderId="0" xfId="0" applyNumberFormat="1" applyFont="1" applyBorder="1"/>
    <xf numFmtId="9" fontId="24" fillId="0" borderId="3" xfId="0" applyNumberFormat="1" applyFont="1" applyBorder="1"/>
    <xf numFmtId="0" fontId="4" fillId="9" borderId="7" xfId="0" applyFont="1" applyFill="1" applyBorder="1"/>
    <xf numFmtId="0" fontId="3" fillId="4" borderId="8" xfId="0" applyFont="1" applyFill="1" applyBorder="1" applyAlignment="1">
      <alignment horizontal="centerContinuous"/>
    </xf>
    <xf numFmtId="0" fontId="3" fillId="4" borderId="9" xfId="0" applyFont="1" applyFill="1" applyBorder="1" applyAlignment="1">
      <alignment horizontal="centerContinuous"/>
    </xf>
    <xf numFmtId="0" fontId="4" fillId="9" borderId="2" xfId="0" applyFont="1" applyFill="1" applyBorder="1"/>
    <xf numFmtId="0" fontId="3" fillId="9" borderId="2" xfId="0" applyFont="1" applyFill="1" applyBorder="1"/>
    <xf numFmtId="165" fontId="22" fillId="0" borderId="0" xfId="2" applyNumberFormat="1" applyFont="1" applyBorder="1"/>
    <xf numFmtId="9" fontId="12" fillId="0" borderId="0" xfId="0" applyNumberFormat="1" applyFont="1" applyBorder="1"/>
    <xf numFmtId="9" fontId="12" fillId="0" borderId="3" xfId="0" applyNumberFormat="1" applyFont="1" applyBorder="1"/>
    <xf numFmtId="0" fontId="4" fillId="9" borderId="4" xfId="0" applyFont="1" applyFill="1" applyBorder="1"/>
    <xf numFmtId="0" fontId="5" fillId="0" borderId="0" xfId="0" applyFont="1" applyAlignment="1">
      <alignment horizontal="center" vertical="top"/>
    </xf>
    <xf numFmtId="1" fontId="3" fillId="0" borderId="0" xfId="0" applyNumberFormat="1" applyFont="1" applyBorder="1"/>
    <xf numFmtId="1" fontId="3" fillId="0" borderId="5" xfId="0" applyNumberFormat="1" applyFont="1" applyBorder="1"/>
    <xf numFmtId="9" fontId="11" fillId="0" borderId="0" xfId="0" applyNumberFormat="1" applyFont="1" applyBorder="1"/>
    <xf numFmtId="9" fontId="11" fillId="0" borderId="5" xfId="0" applyNumberFormat="1" applyFont="1" applyBorder="1"/>
    <xf numFmtId="1" fontId="11" fillId="0" borderId="3" xfId="0" applyNumberFormat="1" applyFont="1" applyBorder="1"/>
    <xf numFmtId="1" fontId="11" fillId="0" borderId="6" xfId="0" applyNumberFormat="1" applyFont="1" applyBorder="1"/>
    <xf numFmtId="0" fontId="3" fillId="0" borderId="0" xfId="0" applyFont="1" applyBorder="1"/>
    <xf numFmtId="0" fontId="3" fillId="0" borderId="0" xfId="0" quotePrefix="1" applyFont="1" applyBorder="1"/>
    <xf numFmtId="0" fontId="11" fillId="0" borderId="3" xfId="0" applyFont="1" applyBorder="1"/>
    <xf numFmtId="0" fontId="2" fillId="6" borderId="2" xfId="0" applyFont="1" applyFill="1" applyBorder="1" applyAlignment="1">
      <alignment horizontal="centerContinuous" vertical="center"/>
    </xf>
    <xf numFmtId="0" fontId="2" fillId="6" borderId="0" xfId="0" applyFont="1" applyFill="1" applyBorder="1" applyAlignment="1">
      <alignment horizontal="centerContinuous" vertical="center"/>
    </xf>
    <xf numFmtId="0" fontId="2" fillId="6" borderId="3" xfId="0" applyFont="1" applyFill="1" applyBorder="1" applyAlignment="1">
      <alignment horizontal="centerContinuous" vertical="center"/>
    </xf>
    <xf numFmtId="0" fontId="3" fillId="4" borderId="0" xfId="0" applyFont="1" applyFill="1" applyBorder="1" applyAlignment="1">
      <alignment horizontal="centerContinuous"/>
    </xf>
    <xf numFmtId="0" fontId="3" fillId="4" borderId="3" xfId="0" applyFont="1" applyFill="1" applyBorder="1" applyAlignment="1">
      <alignment horizontal="centerContinuous"/>
    </xf>
    <xf numFmtId="0" fontId="22" fillId="0" borderId="2" xfId="0" applyFont="1" applyBorder="1" applyAlignment="1">
      <alignment horizontal="left"/>
    </xf>
    <xf numFmtId="0" fontId="22" fillId="0" borderId="0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4" xfId="0" applyFont="1" applyBorder="1"/>
    <xf numFmtId="9" fontId="22" fillId="0" borderId="5" xfId="0" applyNumberFormat="1" applyFont="1" applyBorder="1"/>
    <xf numFmtId="165" fontId="22" fillId="0" borderId="5" xfId="2" applyNumberFormat="1" applyFont="1" applyBorder="1"/>
    <xf numFmtId="9" fontId="22" fillId="0" borderId="6" xfId="1" applyNumberFormat="1" applyFont="1" applyBorder="1"/>
    <xf numFmtId="0" fontId="12" fillId="0" borderId="2" xfId="0" applyFont="1" applyBorder="1"/>
    <xf numFmtId="9" fontId="12" fillId="0" borderId="3" xfId="1" applyNumberFormat="1" applyFont="1" applyBorder="1"/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9" fontId="4" fillId="0" borderId="5" xfId="0" applyNumberFormat="1" applyFont="1" applyBorder="1"/>
    <xf numFmtId="9" fontId="24" fillId="0" borderId="5" xfId="0" applyNumberFormat="1" applyFont="1" applyBorder="1"/>
    <xf numFmtId="1" fontId="4" fillId="0" borderId="5" xfId="0" applyNumberFormat="1" applyFont="1" applyBorder="1"/>
    <xf numFmtId="9" fontId="24" fillId="0" borderId="6" xfId="0" applyNumberFormat="1" applyFont="1" applyBorder="1"/>
    <xf numFmtId="0" fontId="13" fillId="0" borderId="2" xfId="0" applyFont="1" applyBorder="1"/>
    <xf numFmtId="9" fontId="13" fillId="0" borderId="0" xfId="0" applyNumberFormat="1" applyFont="1" applyBorder="1"/>
    <xf numFmtId="165" fontId="13" fillId="0" borderId="0" xfId="2" applyNumberFormat="1" applyFont="1" applyBorder="1"/>
    <xf numFmtId="164" fontId="13" fillId="0" borderId="3" xfId="1" applyNumberFormat="1" applyFont="1" applyBorder="1"/>
    <xf numFmtId="0" fontId="3" fillId="0" borderId="8" xfId="0" applyFont="1" applyBorder="1" applyAlignment="1">
      <alignment horizontal="right"/>
    </xf>
    <xf numFmtId="10" fontId="11" fillId="0" borderId="4" xfId="0" applyNumberFormat="1" applyFont="1" applyBorder="1" applyAlignment="1">
      <alignment horizontal="left"/>
    </xf>
    <xf numFmtId="164" fontId="4" fillId="0" borderId="5" xfId="1" applyNumberFormat="1" applyFont="1" applyFill="1" applyBorder="1" applyAlignment="1">
      <alignment horizontal="left"/>
    </xf>
    <xf numFmtId="17" fontId="0" fillId="0" borderId="0" xfId="0" quotePrefix="1" applyNumberFormat="1"/>
    <xf numFmtId="1" fontId="23" fillId="0" borderId="0" xfId="0" applyNumberFormat="1" applyFont="1"/>
    <xf numFmtId="165" fontId="23" fillId="0" borderId="0" xfId="1" applyNumberFormat="1" applyFont="1"/>
    <xf numFmtId="0" fontId="12" fillId="0" borderId="0" xfId="0" applyFont="1"/>
    <xf numFmtId="0" fontId="29" fillId="4" borderId="0" xfId="0" applyFont="1" applyFill="1"/>
    <xf numFmtId="165" fontId="0" fillId="4" borderId="0" xfId="0" applyNumberFormat="1" applyFill="1"/>
    <xf numFmtId="164" fontId="23" fillId="0" borderId="0" xfId="1" applyNumberFormat="1" applyFont="1"/>
    <xf numFmtId="9" fontId="23" fillId="0" borderId="0" xfId="1" applyNumberFormat="1" applyFont="1"/>
    <xf numFmtId="0" fontId="0" fillId="4" borderId="0" xfId="2" applyNumberFormat="1" applyFont="1" applyFill="1"/>
  </cellXfs>
  <cellStyles count="6">
    <cellStyle name="Comma" xfId="2" builtinId="3"/>
    <cellStyle name="Normal" xfId="0" builtinId="0"/>
    <cellStyle name="Normal 11" xfId="3" xr:uid="{00000000-0005-0000-0000-000002000000}"/>
    <cellStyle name="Percent" xfId="1" builtinId="5"/>
    <cellStyle name="SAPBEXHLevel0" xfId="5" xr:uid="{1ABB5797-65B9-4C45-AD09-AFC9DD776A0A}"/>
    <cellStyle name="SAPBEXstdData" xfId="4" xr:uid="{F151859F-B313-412E-A9BF-806C3DE9C45E}"/>
  </cellStyles>
  <dxfs count="98"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009900"/>
      </font>
    </dxf>
    <dxf>
      <font>
        <color rgb="FFFF0000"/>
      </font>
    </dxf>
    <dxf>
      <font>
        <color rgb="FFFF0000"/>
      </font>
    </dxf>
    <dxf>
      <font>
        <color rgb="FF009900"/>
      </font>
    </dxf>
    <dxf>
      <font>
        <b/>
        <i val="0"/>
        <color rgb="FFFF0000"/>
      </font>
    </dxf>
    <dxf>
      <font>
        <b val="0"/>
        <i val="0"/>
        <color rgb="FF0099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FF0000"/>
      </font>
    </dxf>
    <dxf>
      <font>
        <color rgb="FF009900"/>
      </font>
    </dxf>
    <dxf>
      <font>
        <b/>
        <i val="0"/>
        <color rgb="FFFF0000"/>
      </font>
    </dxf>
    <dxf>
      <font>
        <b val="0"/>
        <i val="0"/>
        <color rgb="FF0099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  <dxf>
      <font>
        <color rgb="FF009900"/>
      </font>
    </dxf>
    <dxf>
      <font>
        <color rgb="FFFF0000"/>
      </font>
    </dxf>
  </dxfs>
  <tableStyles count="0" defaultTableStyle="TableStyleMedium2" defaultPivotStyle="PivotStyleLight16"/>
  <colors>
    <mruColors>
      <color rgb="FF0000CC"/>
      <color rgb="FF009900"/>
      <color rgb="FF000099"/>
      <color rgb="FFFF9900"/>
      <color rgb="FF000066"/>
      <color rgb="FFFF66CC"/>
      <color rgb="FF538DD5"/>
      <color rgb="FF0070C0"/>
      <color rgb="FF003399"/>
      <color rgb="FF8497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194543297746143E-2"/>
          <c:y val="0.10864197530864197"/>
          <c:w val="0.89561091340450771"/>
          <c:h val="0.83333216681248157"/>
        </c:manualLayout>
      </c:layout>
      <c:areaChart>
        <c:grouping val="stacked"/>
        <c:varyColors val="0"/>
        <c:ser>
          <c:idx val="1"/>
          <c:order val="1"/>
          <c:tx>
            <c:strRef>
              <c:f>'1'!$C$8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val>
            <c:numRef>
              <c:f>'1'!$D$8:$O$8</c:f>
              <c:numCache>
                <c:formatCode>_(* #,##0_);_(* \(#,##0\);_(* "-"??_);_(@_)</c:formatCode>
                <c:ptCount val="12"/>
                <c:pt idx="0">
                  <c:v>140025.03899999999</c:v>
                </c:pt>
                <c:pt idx="1">
                  <c:v>128230</c:v>
                </c:pt>
                <c:pt idx="2">
                  <c:v>139067.416</c:v>
                </c:pt>
                <c:pt idx="3">
                  <c:v>139834.715</c:v>
                </c:pt>
                <c:pt idx="4">
                  <c:v>143349.715</c:v>
                </c:pt>
                <c:pt idx="5">
                  <c:v>144294.715</c:v>
                </c:pt>
                <c:pt idx="6">
                  <c:v>147734.715</c:v>
                </c:pt>
                <c:pt idx="7">
                  <c:v>149699.715</c:v>
                </c:pt>
                <c:pt idx="8">
                  <c:v>152604.715</c:v>
                </c:pt>
                <c:pt idx="9">
                  <c:v>154759.715</c:v>
                </c:pt>
                <c:pt idx="10">
                  <c:v>157504.715</c:v>
                </c:pt>
                <c:pt idx="11">
                  <c:v>159894.715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6-426D-B9A4-9AE21665B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95808"/>
        <c:axId val="191900400"/>
      </c:areaChart>
      <c:lineChart>
        <c:grouping val="standard"/>
        <c:varyColors val="0"/>
        <c:ser>
          <c:idx val="0"/>
          <c:order val="0"/>
          <c:tx>
            <c:strRef>
              <c:f>'1'!$C$7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rgbClr val="0000CC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00CC"/>
              </a:solidFill>
              <a:ln w="9525">
                <a:solidFill>
                  <a:srgbClr val="0000CC"/>
                </a:solidFill>
              </a:ln>
              <a:effectLst/>
            </c:spPr>
          </c:marker>
          <c:val>
            <c:numRef>
              <c:f>'1'!$D$7:$O$7</c:f>
              <c:numCache>
                <c:formatCode>_(* #,##0_);_(* \(#,##0\);_(* "-"??_);_(@_)</c:formatCode>
                <c:ptCount val="12"/>
                <c:pt idx="0">
                  <c:v>127163.56499999999</c:v>
                </c:pt>
                <c:pt idx="1">
                  <c:v>101548.73999999999</c:v>
                </c:pt>
                <c:pt idx="2">
                  <c:v>116581.955</c:v>
                </c:pt>
                <c:pt idx="3">
                  <c:v>109890.06499999999</c:v>
                </c:pt>
                <c:pt idx="4">
                  <c:v>121937.61500000001</c:v>
                </c:pt>
                <c:pt idx="5">
                  <c:v>109808.045</c:v>
                </c:pt>
                <c:pt idx="6">
                  <c:v>114049.64</c:v>
                </c:pt>
                <c:pt idx="7">
                  <c:v>123473.745</c:v>
                </c:pt>
                <c:pt idx="8">
                  <c:v>119758.35999999999</c:v>
                </c:pt>
                <c:pt idx="9">
                  <c:v>131023.30500000001</c:v>
                </c:pt>
                <c:pt idx="10">
                  <c:v>133546.44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16-426D-B9A4-9AE21665B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895808"/>
        <c:axId val="191900400"/>
      </c:lineChart>
      <c:catAx>
        <c:axId val="191895808"/>
        <c:scaling>
          <c:orientation val="minMax"/>
        </c:scaling>
        <c:delete val="1"/>
        <c:axPos val="b"/>
        <c:majorTickMark val="none"/>
        <c:minorTickMark val="none"/>
        <c:tickLblPos val="nextTo"/>
        <c:crossAx val="191900400"/>
        <c:crosses val="autoZero"/>
        <c:auto val="1"/>
        <c:lblAlgn val="ctr"/>
        <c:lblOffset val="100"/>
        <c:noMultiLvlLbl val="0"/>
      </c:catAx>
      <c:valAx>
        <c:axId val="191900400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19189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715265129225394"/>
          <c:y val="2.345562360260528E-2"/>
          <c:w val="0.52569432379671399"/>
          <c:h val="0.166667833187518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latin typeface="Arial" panose="020B0604020202020204" pitchFamily="34" charset="0"/>
                <a:cs typeface="Arial" panose="020B0604020202020204" pitchFamily="34" charset="0"/>
              </a:rPr>
              <a:t>Corn</a:t>
            </a:r>
          </a:p>
        </c:rich>
      </c:tx>
      <c:layout>
        <c:manualLayout>
          <c:xMode val="edge"/>
          <c:yMode val="edge"/>
          <c:x val="0.36752037574250584"/>
          <c:y val="1.851821153934705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879221347331584"/>
          <c:y val="0.24843784722222223"/>
          <c:w val="0.8534300087489064"/>
          <c:h val="0.64011774569845437"/>
        </c:manualLayout>
      </c:layout>
      <c:lineChart>
        <c:grouping val="standard"/>
        <c:varyColors val="0"/>
        <c:ser>
          <c:idx val="0"/>
          <c:order val="0"/>
          <c:tx>
            <c:strRef>
              <c:f>'1'!$C$92</c:f>
              <c:strCache>
                <c:ptCount val="1"/>
                <c:pt idx="0">
                  <c:v>Corn</c:v>
                </c:pt>
              </c:strCache>
            </c:strRef>
          </c:tx>
          <c:marker>
            <c:symbol val="circle"/>
            <c:size val="7"/>
            <c:spPr>
              <a:solidFill>
                <a:srgbClr val="0000CC"/>
              </a:solidFill>
              <a:ln w="9525">
                <a:solidFill>
                  <a:srgbClr val="0000CC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1405569914154185E-2"/>
                  <c:y val="0.11729691876750689"/>
                </c:manualLayout>
              </c:layout>
              <c:tx>
                <c:rich>
                  <a:bodyPr/>
                  <a:lstStyle/>
                  <a:p>
                    <a:fld id="{453C2EEB-06F5-41E3-BB65-39ACC95EF0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86-412B-ADDF-36FB7078AD3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AA30448-D05E-447E-B035-1FCAF49F78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86-412B-ADDF-36FB7078AD3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4B59014-EF3F-4E20-8342-1D43CE48D3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A86-412B-ADDF-36FB7078AD3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E539912-AEC7-4316-9136-4C96374B5B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86-412B-ADDF-36FB7078AD3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A6F3B80-8A53-41E1-B443-40BFF6BA10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A86-412B-ADDF-36FB7078AD3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E3F7505-A879-4D1C-A4CC-F6D275621C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A86-412B-ADDF-36FB7078AD3C}"/>
                </c:ext>
              </c:extLst>
            </c:dLbl>
            <c:dLbl>
              <c:idx val="6"/>
              <c:layout>
                <c:manualLayout>
                  <c:x val="-7.1405569914154268E-2"/>
                  <c:y val="0.12896825396825398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>
                        <a:latin typeface="Arial Black" panose="020B0A04020102020204" pitchFamily="34" charset="0"/>
                      </a:defRPr>
                    </a:pPr>
                    <a:fld id="{5596D25D-ACB2-4094-8CE3-5A3A5E20C567}" type="CELLRANGE">
                      <a:rPr lang="en-US"/>
                      <a:pPr>
                        <a:defRPr b="1">
                          <a:latin typeface="Arial Black" panose="020B0A04020102020204" pitchFamily="34" charset="0"/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38E-45F7-A094-E2EE2C54C43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EC03595-93D8-4090-8267-787F546BE1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A86-412B-ADDF-36FB7078AD3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CCEDCA1-C061-48DA-82E3-52FF24C520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A86-412B-ADDF-36FB7078AD3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EAEA0A4-F09F-4C76-BD14-2743502076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A86-412B-ADDF-36FB7078AD3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6B20B73-3366-443A-B5C8-45BB6D2F6C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A86-412B-ADDF-36FB7078AD3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A86-412B-ADDF-36FB7078AD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Arial Black" panose="020B0A040201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'1'!$D$79:$O$79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'1'!$D$92:$O$92</c:f>
              <c:numCache>
                <c:formatCode>_(* #,##0_);_(* \(#,##0\);_(* "-"??_);_(@_)</c:formatCode>
                <c:ptCount val="12"/>
                <c:pt idx="0">
                  <c:v>4847.7847155349091</c:v>
                </c:pt>
                <c:pt idx="1">
                  <c:v>5100.5085478631054</c:v>
                </c:pt>
                <c:pt idx="2">
                  <c:v>5162.8918099732136</c:v>
                </c:pt>
                <c:pt idx="3">
                  <c:v>5244.9728377257143</c:v>
                </c:pt>
                <c:pt idx="4">
                  <c:v>5466.9251239703453</c:v>
                </c:pt>
                <c:pt idx="5">
                  <c:v>5713.8030299240554</c:v>
                </c:pt>
                <c:pt idx="6">
                  <c:v>5817.0480776404429</c:v>
                </c:pt>
                <c:pt idx="7">
                  <c:v>5709.4777654822092</c:v>
                </c:pt>
                <c:pt idx="8">
                  <c:v>5563.5320136499822</c:v>
                </c:pt>
                <c:pt idx="9">
                  <c:v>5362.7788144485185</c:v>
                </c:pt>
                <c:pt idx="10">
                  <c:v>5382.8067420169746</c:v>
                </c:pt>
                <c:pt idx="11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'1'!$D$98:$O$98</c15:f>
                <c15:dlblRangeCache>
                  <c:ptCount val="12"/>
                  <c:pt idx="0">
                    <c:v> 4,848 </c:v>
                  </c:pt>
                  <c:pt idx="1">
                    <c:v>  </c:v>
                  </c:pt>
                  <c:pt idx="2">
                    <c:v>  </c:v>
                  </c:pt>
                  <c:pt idx="3">
                    <c:v>  </c:v>
                  </c:pt>
                  <c:pt idx="4">
                    <c:v>  </c:v>
                  </c:pt>
                  <c:pt idx="5">
                    <c:v>  </c:v>
                  </c:pt>
                  <c:pt idx="6">
                    <c:v> 5,817 </c:v>
                  </c:pt>
                  <c:pt idx="7">
                    <c:v>  </c:v>
                  </c:pt>
                  <c:pt idx="8">
                    <c:v>  </c:v>
                  </c:pt>
                  <c:pt idx="9">
                    <c:v>  </c:v>
                  </c:pt>
                  <c:pt idx="10">
                    <c:v>  </c:v>
                  </c:pt>
                  <c:pt idx="11">
                    <c:v> #N/A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8FF-4B62-B1FB-78A1880342CF}"/>
            </c:ext>
          </c:extLst>
        </c:ser>
        <c:ser>
          <c:idx val="3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rgbClr val="FF99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rgbClr val="FF9900"/>
                </a:solidFill>
              </a:ln>
              <a:effectLst/>
            </c:spPr>
          </c:marker>
          <c:cat>
            <c:numRef>
              <c:f>'1'!$D$79:$O$79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FF-4B62-B1FB-78A188034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822528"/>
        <c:axId val="90824704"/>
      </c:lineChart>
      <c:catAx>
        <c:axId val="90822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824704"/>
        <c:crosses val="autoZero"/>
        <c:auto val="1"/>
        <c:lblAlgn val="ctr"/>
        <c:lblOffset val="100"/>
        <c:noMultiLvlLbl val="0"/>
      </c:catAx>
      <c:valAx>
        <c:axId val="90824704"/>
        <c:scaling>
          <c:orientation val="minMax"/>
          <c:min val="1000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90822528"/>
        <c:crosses val="autoZero"/>
        <c:crossBetween val="between"/>
        <c:majorUnit val="2000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Arial" panose="020B0604020202020204" pitchFamily="34" charset="0"/>
                <a:cs typeface="Arial" panose="020B0604020202020204" pitchFamily="34" charset="0"/>
              </a:rPr>
              <a:t>Soy Bean Meal</a:t>
            </a:r>
          </a:p>
        </c:rich>
      </c:tx>
      <c:layout>
        <c:manualLayout>
          <c:xMode val="edge"/>
          <c:yMode val="edge"/>
          <c:x val="0.33881233595800525"/>
          <c:y val="1.851851851851851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879221347331584"/>
          <c:y val="0.24843784722222223"/>
          <c:w val="0.8534300087489064"/>
          <c:h val="0.64011774569845437"/>
        </c:manualLayout>
      </c:layout>
      <c:lineChart>
        <c:grouping val="standard"/>
        <c:varyColors val="0"/>
        <c:ser>
          <c:idx val="1"/>
          <c:order val="0"/>
          <c:tx>
            <c:strRef>
              <c:f>'1'!$C$81</c:f>
              <c:strCache>
                <c:ptCount val="1"/>
                <c:pt idx="0">
                  <c:v>Soy Bean Meal</c:v>
                </c:pt>
              </c:strCache>
            </c:strRef>
          </c:tx>
          <c:spPr>
            <a:ln w="28575">
              <a:solidFill>
                <a:srgbClr val="00B050"/>
              </a:solidFill>
            </a:ln>
          </c:spPr>
          <c:marker>
            <c:symbol val="circle"/>
            <c:size val="7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rgbClr val="0099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7387680637259634E-2"/>
                  <c:y val="0.14063958916900093"/>
                </c:manualLayout>
              </c:layout>
              <c:tx>
                <c:rich>
                  <a:bodyPr/>
                  <a:lstStyle/>
                  <a:p>
                    <a:fld id="{5A7A3569-287A-4F49-BF89-ADBCEAEE90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499-4A74-923E-E227191FD93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EC7F0EE-6280-487C-A0EE-3C69BC4475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499-4A74-923E-E227191FD93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F443C5D-BBCB-4E80-ABD6-4F057AE215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499-4A74-923E-E227191FD93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BF91FD7-2511-4B1A-9A82-B5ED5CBAC2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499-4A74-923E-E227191FD93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3E9E582-EA90-4EB6-B663-D8D1388FE2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499-4A74-923E-E227191FD93C}"/>
                </c:ext>
              </c:extLst>
            </c:dLbl>
            <c:dLbl>
              <c:idx val="5"/>
              <c:layout>
                <c:manualLayout>
                  <c:x val="-8.7248823728953248E-2"/>
                  <c:y val="0.12896825396825398"/>
                </c:manualLayout>
              </c:layout>
              <c:tx>
                <c:rich>
                  <a:bodyPr/>
                  <a:lstStyle/>
                  <a:p>
                    <a:fld id="{AC4EF941-A269-4EF9-8EBB-C8DA469485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6499-4A74-923E-E227191FD93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1C65C83-344E-4091-A00D-D58E69CFC0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499-4A74-923E-E227191FD93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0552264-094B-40D0-803A-E2593EC288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499-4A74-923E-E227191FD93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91DE7BB-EE11-47E2-B4C7-13EDA601AB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499-4A74-923E-E227191FD93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2E4D67C-1BC1-4B93-8D8C-1981E58464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499-4A74-923E-E227191FD93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5F645EA-82E6-4245-BF20-3A71A9875A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499-4A74-923E-E227191FD93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499-4A74-923E-E227191FD9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Arial Black" panose="020B0A040201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'1'!$D$79:$O$79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'1'!$D$93:$O$93</c:f>
              <c:numCache>
                <c:formatCode>_(* #,##0_);_(* \(#,##0\);_(* "-"??_);_(@_)</c:formatCode>
                <c:ptCount val="12"/>
                <c:pt idx="0">
                  <c:v>8827.2526680718638</c:v>
                </c:pt>
                <c:pt idx="1">
                  <c:v>8946.2624683975682</c:v>
                </c:pt>
                <c:pt idx="2">
                  <c:v>9946.2284602238069</c:v>
                </c:pt>
                <c:pt idx="3">
                  <c:v>10575.102525886205</c:v>
                </c:pt>
                <c:pt idx="4">
                  <c:v>10073.262636085101</c:v>
                </c:pt>
                <c:pt idx="5">
                  <c:v>11653.60462227537</c:v>
                </c:pt>
                <c:pt idx="6">
                  <c:v>11608.274368661429</c:v>
                </c:pt>
                <c:pt idx="7">
                  <c:v>11473.3156242763</c:v>
                </c:pt>
                <c:pt idx="8">
                  <c:v>11290.648842824819</c:v>
                </c:pt>
                <c:pt idx="9">
                  <c:v>10743.188236820495</c:v>
                </c:pt>
                <c:pt idx="10">
                  <c:v>10571.967480955391</c:v>
                </c:pt>
                <c:pt idx="11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'1'!$D$99:$O$99</c15:f>
                <c15:dlblRangeCache>
                  <c:ptCount val="12"/>
                  <c:pt idx="0">
                    <c:v> 8,827 </c:v>
                  </c:pt>
                  <c:pt idx="1">
                    <c:v>  </c:v>
                  </c:pt>
                  <c:pt idx="2">
                    <c:v>  </c:v>
                  </c:pt>
                  <c:pt idx="3">
                    <c:v>  </c:v>
                  </c:pt>
                  <c:pt idx="4">
                    <c:v>  </c:v>
                  </c:pt>
                  <c:pt idx="5">
                    <c:v> 11,654 </c:v>
                  </c:pt>
                  <c:pt idx="6">
                    <c:v>  </c:v>
                  </c:pt>
                  <c:pt idx="7">
                    <c:v>  </c:v>
                  </c:pt>
                  <c:pt idx="8">
                    <c:v>  </c:v>
                  </c:pt>
                  <c:pt idx="9">
                    <c:v>  </c:v>
                  </c:pt>
                  <c:pt idx="10">
                    <c:v>  </c:v>
                  </c:pt>
                  <c:pt idx="11">
                    <c:v> #N/A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3CB-47A6-80FA-3EB018CED471}"/>
            </c:ext>
          </c:extLst>
        </c:ser>
        <c:ser>
          <c:idx val="3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rgbClr val="FF99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rgbClr val="FF9900"/>
                </a:solidFill>
              </a:ln>
              <a:effectLst/>
            </c:spPr>
          </c:marker>
          <c:cat>
            <c:numRef>
              <c:f>'1'!$D$79:$O$79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CB-47A6-80FA-3EB018CED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922368"/>
        <c:axId val="90936832"/>
        <c:extLst/>
      </c:lineChart>
      <c:catAx>
        <c:axId val="90922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936832"/>
        <c:crosses val="autoZero"/>
        <c:auto val="1"/>
        <c:lblAlgn val="ctr"/>
        <c:lblOffset val="100"/>
        <c:noMultiLvlLbl val="0"/>
      </c:catAx>
      <c:valAx>
        <c:axId val="90936832"/>
        <c:scaling>
          <c:orientation val="minMax"/>
          <c:min val="1000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90922368"/>
        <c:crosses val="autoZero"/>
        <c:crossBetween val="between"/>
        <c:majorUnit val="2000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Arial" panose="020B0604020202020204" pitchFamily="34" charset="0"/>
                <a:cs typeface="Arial" panose="020B0604020202020204" pitchFamily="34" charset="0"/>
              </a:rPr>
              <a:t>Feed</a:t>
            </a:r>
            <a:r>
              <a:rPr lang="en-US" sz="1600" b="1" baseline="0">
                <a:latin typeface="Arial" panose="020B0604020202020204" pitchFamily="34" charset="0"/>
                <a:cs typeface="Arial" panose="020B0604020202020204" pitchFamily="34" charset="0"/>
              </a:rPr>
              <a:t> Wheat</a:t>
            </a:r>
            <a:endParaRPr lang="en-US" sz="16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33881233595800525"/>
          <c:y val="1.851851851851851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879221347331584"/>
          <c:y val="0.24843784722222223"/>
          <c:w val="0.8534300087489064"/>
          <c:h val="0.64011774569845437"/>
        </c:manualLayout>
      </c:layout>
      <c:lineChart>
        <c:grouping val="standard"/>
        <c:varyColors val="0"/>
        <c:ser>
          <c:idx val="1"/>
          <c:order val="0"/>
          <c:tx>
            <c:strRef>
              <c:f>'1'!$C$82</c:f>
              <c:strCache>
                <c:ptCount val="1"/>
                <c:pt idx="0">
                  <c:v>Feed Wheat</c:v>
                </c:pt>
              </c:strCache>
            </c:strRef>
          </c:tx>
          <c:spPr>
            <a:ln w="28575"/>
          </c:spPr>
          <c:marker>
            <c:symbol val="circle"/>
            <c:size val="7"/>
            <c:spPr>
              <a:solidFill>
                <a:srgbClr val="FF9900"/>
              </a:solidFill>
              <a:ln w="9525">
                <a:solidFill>
                  <a:srgbClr val="FF99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1405569914154185E-2"/>
                  <c:y val="0.10562558356676004"/>
                </c:manualLayout>
              </c:layout>
              <c:tx>
                <c:rich>
                  <a:bodyPr/>
                  <a:lstStyle/>
                  <a:p>
                    <a:fld id="{45476260-D9DD-459E-AE0C-EA216EAA71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85F-4C2B-A0B4-8D48CBAF797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9E3C295-8BA4-4657-B716-F2F762DDE4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85F-4C2B-A0B4-8D48CBAF797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AB415E3-99F1-43D8-82A7-F556DEBB00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85F-4C2B-A0B4-8D48CBAF797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F84AD54-BEF6-41C8-BE6D-8F849BF347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85F-4C2B-A0B4-8D48CBAF797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171437A-7B6E-4C34-8C8B-1C5F543834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85F-4C2B-A0B4-8D48CBAF797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FAA036C-2C51-40B1-8D1E-ED7499BF5E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85F-4C2B-A0B4-8D48CBAF797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559B21F-4D37-4965-93C4-8A512CB4B4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85F-4C2B-A0B4-8D48CBAF797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5D73FE8-EAD1-40FE-9A9E-957E96CE9A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85F-4C2B-A0B4-8D48CBAF797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90AAF7D-A28A-4576-A7B1-92E1CEEF3D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85F-4C2B-A0B4-8D48CBAF7978}"/>
                </c:ext>
              </c:extLst>
            </c:dLbl>
            <c:dLbl>
              <c:idx val="9"/>
              <c:layout>
                <c:manualLayout>
                  <c:x val="-7.1405569914154268E-2"/>
                  <c:y val="8.228291316526605E-2"/>
                </c:manualLayout>
              </c:layout>
              <c:tx>
                <c:rich>
                  <a:bodyPr/>
                  <a:lstStyle/>
                  <a:p>
                    <a:fld id="{147AC471-E8C9-43E5-B081-7E9C4018AB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285F-4C2B-A0B4-8D48CBAF797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6209A10-8BA5-47C2-8EEE-1496AD811B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85F-4C2B-A0B4-8D48CBAF797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85F-4C2B-A0B4-8D48CBAF7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Arial Black" panose="020B0A040201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'1'!$D$79:$O$79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'1'!$D$94:$O$94</c:f>
              <c:numCache>
                <c:formatCode>_(* #,##0_);_(* \(#,##0\);_(* "-"??_);_(@_)</c:formatCode>
                <c:ptCount val="12"/>
                <c:pt idx="0">
                  <c:v>5245.1039419193903</c:v>
                </c:pt>
                <c:pt idx="1">
                  <c:v>5317.8725747845556</c:v>
                </c:pt>
                <c:pt idx="2">
                  <c:v>5408.4053740119143</c:v>
                </c:pt>
                <c:pt idx="3">
                  <c:v>5538.9869488984586</c:v>
                </c:pt>
                <c:pt idx="4">
                  <c:v>5676.5704775786389</c:v>
                </c:pt>
                <c:pt idx="5">
                  <c:v>5787.5986986200678</c:v>
                </c:pt>
                <c:pt idx="6">
                  <c:v>5921.7187225541102</c:v>
                </c:pt>
                <c:pt idx="7">
                  <c:v>5922.6621392521492</c:v>
                </c:pt>
                <c:pt idx="8">
                  <c:v>5836.4150841454384</c:v>
                </c:pt>
                <c:pt idx="9">
                  <c:v>5945.0496149759147</c:v>
                </c:pt>
                <c:pt idx="10">
                  <c:v>5845.6601096792137</c:v>
                </c:pt>
                <c:pt idx="11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'1'!$D$100:$O$100</c15:f>
                <c15:dlblRangeCache>
                  <c:ptCount val="12"/>
                  <c:pt idx="0">
                    <c:v> 5,245 </c:v>
                  </c:pt>
                  <c:pt idx="1">
                    <c:v>  </c:v>
                  </c:pt>
                  <c:pt idx="2">
                    <c:v>  </c:v>
                  </c:pt>
                  <c:pt idx="3">
                    <c:v>  </c:v>
                  </c:pt>
                  <c:pt idx="4">
                    <c:v>  </c:v>
                  </c:pt>
                  <c:pt idx="5">
                    <c:v>  </c:v>
                  </c:pt>
                  <c:pt idx="6">
                    <c:v>  </c:v>
                  </c:pt>
                  <c:pt idx="7">
                    <c:v>  </c:v>
                  </c:pt>
                  <c:pt idx="8">
                    <c:v>  </c:v>
                  </c:pt>
                  <c:pt idx="9">
                    <c:v> 5,945 </c:v>
                  </c:pt>
                  <c:pt idx="10">
                    <c:v>  </c:v>
                  </c:pt>
                  <c:pt idx="11">
                    <c:v> #N/A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26B-48CA-B1D6-05C02359F65D}"/>
            </c:ext>
          </c:extLst>
        </c:ser>
        <c:ser>
          <c:idx val="3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rgbClr val="FF99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rgbClr val="FF9900"/>
                </a:solidFill>
              </a:ln>
              <a:effectLst/>
            </c:spPr>
          </c:marker>
          <c:cat>
            <c:numRef>
              <c:f>'1'!$D$79:$O$79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6B-48CA-B1D6-05C02359F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922368"/>
        <c:axId val="90936832"/>
        <c:extLst/>
      </c:lineChart>
      <c:catAx>
        <c:axId val="90922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936832"/>
        <c:crosses val="autoZero"/>
        <c:auto val="1"/>
        <c:lblAlgn val="ctr"/>
        <c:lblOffset val="100"/>
        <c:noMultiLvlLbl val="0"/>
      </c:catAx>
      <c:valAx>
        <c:axId val="90936832"/>
        <c:scaling>
          <c:orientation val="minMax"/>
          <c:min val="1000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90922368"/>
        <c:crosses val="autoZero"/>
        <c:crossBetween val="between"/>
        <c:majorUnit val="2000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Arial" panose="020B0604020202020204" pitchFamily="34" charset="0"/>
                <a:cs typeface="Arial" panose="020B0604020202020204" pitchFamily="34" charset="0"/>
              </a:rPr>
              <a:t>Rice Bran</a:t>
            </a:r>
          </a:p>
        </c:rich>
      </c:tx>
      <c:layout>
        <c:manualLayout>
          <c:xMode val="edge"/>
          <c:yMode val="edge"/>
          <c:x val="0.33881233595800525"/>
          <c:y val="1.851851851851851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879221347331584"/>
          <c:y val="0.24843784722222223"/>
          <c:w val="0.8534300087489064"/>
          <c:h val="0.64011774569845437"/>
        </c:manualLayout>
      </c:layout>
      <c:lineChart>
        <c:grouping val="standard"/>
        <c:varyColors val="0"/>
        <c:ser>
          <c:idx val="1"/>
          <c:order val="0"/>
          <c:tx>
            <c:strRef>
              <c:f>'1'!$C$83</c:f>
              <c:strCache>
                <c:ptCount val="1"/>
                <c:pt idx="0">
                  <c:v>Rice Bran</c:v>
                </c:pt>
              </c:strCache>
            </c:strRef>
          </c:tx>
          <c:spPr>
            <a:ln w="28575">
              <a:solidFill>
                <a:srgbClr val="C00000"/>
              </a:solidFill>
            </a:ln>
          </c:spPr>
          <c:marker>
            <c:symbol val="circle"/>
            <c:size val="7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801D241-E062-4333-8185-DF6F846329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363-460E-9E86-C406CC88DB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E139D27-CFCD-4FED-AEE2-4317B785D4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363-460E-9E86-C406CC88DB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66E546D-1D85-498D-A93E-5D310366A8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363-460E-9E86-C406CC88DB8C}"/>
                </c:ext>
              </c:extLst>
            </c:dLbl>
            <c:dLbl>
              <c:idx val="3"/>
              <c:layout>
                <c:manualLayout>
                  <c:x val="-7.7387680637259634E-2"/>
                  <c:y val="0.117296918767507"/>
                </c:manualLayout>
              </c:layout>
              <c:tx>
                <c:rich>
                  <a:bodyPr/>
                  <a:lstStyle/>
                  <a:p>
                    <a:fld id="{3EDC7247-B0F2-498B-89C4-CD0B1DB187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4363-460E-9E86-C406CC88DB8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5DC4B3A-3786-4398-84D6-941FA211C1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363-460E-9E86-C406CC88DB8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3528C36-171A-42C9-A42A-26CFC7EC0B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363-460E-9E86-C406CC88DB8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E2035EA-C8CD-4AC9-8F50-FD380CFC68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363-460E-9E86-C406CC88DB8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6A685F8-931D-4FC5-88BE-C6A193F704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363-460E-9E86-C406CC88DB8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4E52AEE-492F-4258-A0C8-D65F35282F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363-460E-9E86-C406CC88DB8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2234402-CC9B-46C7-A6F9-8072DEC98B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363-460E-9E86-C406CC88DB8C}"/>
                </c:ext>
              </c:extLst>
            </c:dLbl>
            <c:dLbl>
              <c:idx val="10"/>
              <c:layout>
                <c:manualLayout>
                  <c:x val="-7.6288531622128467E-2"/>
                  <c:y val="0.117296918767507"/>
                </c:manualLayout>
              </c:layout>
              <c:tx>
                <c:rich>
                  <a:bodyPr/>
                  <a:lstStyle/>
                  <a:p>
                    <a:fld id="{9E9F7234-2C7B-448F-9B9E-A54350765A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4363-460E-9E86-C406CC88DB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363-460E-9E86-C406CC88DB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Arial Black" panose="020B0A040201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'1'!$D$79:$O$79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'1'!$D$95:$O$95</c:f>
              <c:numCache>
                <c:formatCode>_(* #,##0_);_(* \(#,##0\);_(* "-"??_);_(@_)</c:formatCode>
                <c:ptCount val="12"/>
                <c:pt idx="0">
                  <c:v>5574.2361864413533</c:v>
                </c:pt>
                <c:pt idx="1">
                  <c:v>5731.4777814054933</c:v>
                </c:pt>
                <c:pt idx="2">
                  <c:v>5273.999070409599</c:v>
                </c:pt>
                <c:pt idx="3">
                  <c:v>5196.7444550727541</c:v>
                </c:pt>
                <c:pt idx="4">
                  <c:v>5443.9770886668966</c:v>
                </c:pt>
                <c:pt idx="5">
                  <c:v>5502.7240557870909</c:v>
                </c:pt>
                <c:pt idx="6">
                  <c:v>5382.5634489885915</c:v>
                </c:pt>
                <c:pt idx="7">
                  <c:v>5721.6205722002142</c:v>
                </c:pt>
                <c:pt idx="8">
                  <c:v>5749.9664997724312</c:v>
                </c:pt>
                <c:pt idx="9">
                  <c:v>5853.6743048590533</c:v>
                </c:pt>
                <c:pt idx="10">
                  <c:v>6166.8079143152054</c:v>
                </c:pt>
                <c:pt idx="11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'1'!$D$101:$O$101</c15:f>
                <c15:dlblRangeCache>
                  <c:ptCount val="12"/>
                  <c:pt idx="0">
                    <c:v>  </c:v>
                  </c:pt>
                  <c:pt idx="1">
                    <c:v>  </c:v>
                  </c:pt>
                  <c:pt idx="2">
                    <c:v>  </c:v>
                  </c:pt>
                  <c:pt idx="3">
                    <c:v> 5,197 </c:v>
                  </c:pt>
                  <c:pt idx="4">
                    <c:v>  </c:v>
                  </c:pt>
                  <c:pt idx="5">
                    <c:v>  </c:v>
                  </c:pt>
                  <c:pt idx="6">
                    <c:v>  </c:v>
                  </c:pt>
                  <c:pt idx="7">
                    <c:v>  </c:v>
                  </c:pt>
                  <c:pt idx="8">
                    <c:v>  </c:v>
                  </c:pt>
                  <c:pt idx="9">
                    <c:v>  </c:v>
                  </c:pt>
                  <c:pt idx="10">
                    <c:v> 6,167 </c:v>
                  </c:pt>
                  <c:pt idx="11">
                    <c:v> #N/A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7E1-46C3-9E46-423A3526D26A}"/>
            </c:ext>
          </c:extLst>
        </c:ser>
        <c:ser>
          <c:idx val="3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rgbClr val="FF99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rgbClr val="FF9900"/>
                </a:solidFill>
              </a:ln>
              <a:effectLst/>
            </c:spPr>
          </c:marker>
          <c:cat>
            <c:numRef>
              <c:f>'1'!$D$79:$O$79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E1-46C3-9E46-423A3526D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922368"/>
        <c:axId val="90936832"/>
        <c:extLst/>
      </c:lineChart>
      <c:catAx>
        <c:axId val="90922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936832"/>
        <c:crosses val="autoZero"/>
        <c:auto val="1"/>
        <c:lblAlgn val="ctr"/>
        <c:lblOffset val="100"/>
        <c:noMultiLvlLbl val="0"/>
      </c:catAx>
      <c:valAx>
        <c:axId val="90936832"/>
        <c:scaling>
          <c:orientation val="minMax"/>
          <c:min val="1000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90922368"/>
        <c:crosses val="autoZero"/>
        <c:crossBetween val="between"/>
        <c:majorUnit val="2000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194543297746143E-2"/>
          <c:y val="0.10864197530864197"/>
          <c:w val="0.89561091340450771"/>
          <c:h val="0.83333216681248157"/>
        </c:manualLayout>
      </c:layout>
      <c:areaChart>
        <c:grouping val="stacked"/>
        <c:varyColors val="0"/>
        <c:ser>
          <c:idx val="1"/>
          <c:order val="1"/>
          <c:tx>
            <c:strRef>
              <c:f>'2'!$C$9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val>
            <c:numRef>
              <c:f>'2'!$D$9:$O$9</c:f>
              <c:numCache>
                <c:formatCode>_(* #,##0_);_(* \(#,##0\);_(* "-"??_);_(@_)</c:formatCode>
                <c:ptCount val="12"/>
                <c:pt idx="0">
                  <c:v>140025.03899999999</c:v>
                </c:pt>
                <c:pt idx="1">
                  <c:v>128230</c:v>
                </c:pt>
                <c:pt idx="2">
                  <c:v>139067.416</c:v>
                </c:pt>
                <c:pt idx="3">
                  <c:v>139834.715</c:v>
                </c:pt>
                <c:pt idx="4">
                  <c:v>143349.715</c:v>
                </c:pt>
                <c:pt idx="5">
                  <c:v>144294.715</c:v>
                </c:pt>
                <c:pt idx="6">
                  <c:v>147734.715</c:v>
                </c:pt>
                <c:pt idx="7">
                  <c:v>149699.715</c:v>
                </c:pt>
                <c:pt idx="8">
                  <c:v>152604.715</c:v>
                </c:pt>
                <c:pt idx="9">
                  <c:v>154759.715</c:v>
                </c:pt>
                <c:pt idx="10">
                  <c:v>157504.715</c:v>
                </c:pt>
                <c:pt idx="11">
                  <c:v>159894.715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3-42C0-8C9A-78F1CD964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95808"/>
        <c:axId val="191900400"/>
      </c:areaChart>
      <c:lineChart>
        <c:grouping val="standard"/>
        <c:varyColors val="0"/>
        <c:ser>
          <c:idx val="0"/>
          <c:order val="0"/>
          <c:tx>
            <c:strRef>
              <c:f>'2'!$C$8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rgbClr val="0000CC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00CC"/>
              </a:solidFill>
              <a:ln w="9525">
                <a:solidFill>
                  <a:srgbClr val="0000CC"/>
                </a:solidFill>
              </a:ln>
              <a:effectLst/>
            </c:spPr>
          </c:marker>
          <c:val>
            <c:numRef>
              <c:f>'2'!$D$8:$O$8</c:f>
              <c:numCache>
                <c:formatCode>_(* #,##0_);_(* \(#,##0\);_(* "-"??_);_(@_)</c:formatCode>
                <c:ptCount val="12"/>
                <c:pt idx="0">
                  <c:v>127163.56499999999</c:v>
                </c:pt>
                <c:pt idx="1">
                  <c:v>101548.73999999999</c:v>
                </c:pt>
                <c:pt idx="2">
                  <c:v>116581.955</c:v>
                </c:pt>
                <c:pt idx="3">
                  <c:v>109890.06499999999</c:v>
                </c:pt>
                <c:pt idx="4">
                  <c:v>121937.61500000001</c:v>
                </c:pt>
                <c:pt idx="5">
                  <c:v>109808.045</c:v>
                </c:pt>
                <c:pt idx="6">
                  <c:v>114049.64</c:v>
                </c:pt>
                <c:pt idx="7">
                  <c:v>123473.745</c:v>
                </c:pt>
                <c:pt idx="8">
                  <c:v>119758.35999999999</c:v>
                </c:pt>
                <c:pt idx="9">
                  <c:v>131023.30500000001</c:v>
                </c:pt>
                <c:pt idx="10">
                  <c:v>133546.44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A3-42C0-8C9A-78F1CD9647BD}"/>
            </c:ext>
          </c:extLst>
        </c:ser>
        <c:ser>
          <c:idx val="2"/>
          <c:order val="2"/>
          <c:tx>
            <c:strRef>
              <c:f>'2'!$C$7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9900">
                  <a:alpha val="76000"/>
                </a:srgbClr>
              </a:solidFill>
              <a:ln w="9525">
                <a:solidFill>
                  <a:srgbClr val="00B050"/>
                </a:solidFill>
              </a:ln>
              <a:effectLst/>
            </c:spPr>
          </c:marker>
          <c:val>
            <c:numRef>
              <c:f>'2'!$D$7:$O$7</c:f>
              <c:numCache>
                <c:formatCode>_(* #,##0_);_(* \(#,##0\);_(* "-"??_);_(@_)</c:formatCode>
                <c:ptCount val="12"/>
                <c:pt idx="0">
                  <c:v>151235.78499999997</c:v>
                </c:pt>
                <c:pt idx="1">
                  <c:v>141382.76999999999</c:v>
                </c:pt>
                <c:pt idx="2">
                  <c:v>158187.21000000002</c:v>
                </c:pt>
                <c:pt idx="3">
                  <c:v>140073.69500000001</c:v>
                </c:pt>
                <c:pt idx="4">
                  <c:v>124672.8</c:v>
                </c:pt>
                <c:pt idx="5">
                  <c:v>110196.19</c:v>
                </c:pt>
                <c:pt idx="6">
                  <c:v>119218.19</c:v>
                </c:pt>
                <c:pt idx="7">
                  <c:v>127072.79000000001</c:v>
                </c:pt>
                <c:pt idx="8">
                  <c:v>121060.22500000001</c:v>
                </c:pt>
                <c:pt idx="9">
                  <c:v>119149.01999999999</c:v>
                </c:pt>
                <c:pt idx="10">
                  <c:v>118174.78499999999</c:v>
                </c:pt>
                <c:pt idx="11">
                  <c:v>124660.845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A3-42C0-8C9A-78F1CD964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895808"/>
        <c:axId val="191900400"/>
      </c:lineChart>
      <c:catAx>
        <c:axId val="191895808"/>
        <c:scaling>
          <c:orientation val="minMax"/>
        </c:scaling>
        <c:delete val="1"/>
        <c:axPos val="b"/>
        <c:majorTickMark val="none"/>
        <c:minorTickMark val="none"/>
        <c:tickLblPos val="nextTo"/>
        <c:crossAx val="191900400"/>
        <c:crosses val="autoZero"/>
        <c:auto val="1"/>
        <c:lblAlgn val="ctr"/>
        <c:lblOffset val="100"/>
        <c:noMultiLvlLbl val="0"/>
      </c:catAx>
      <c:valAx>
        <c:axId val="191900400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19189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715265129225394"/>
          <c:y val="2.345562360260528E-2"/>
          <c:w val="0.76284750487088826"/>
          <c:h val="0.292632372338420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0"/>
      <c:rotY val="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cene3d>
          <a:camera prst="orthographicFront"/>
          <a:lightRig rig="threePt" dir="t"/>
        </a:scene3d>
        <a:sp3d/>
      </c:spPr>
    </c:sideWall>
    <c:backWall>
      <c:thickness val="0"/>
      <c:spPr>
        <a:noFill/>
        <a:ln w="25400">
          <a:noFill/>
        </a:ln>
        <a:effectLst/>
        <a:scene3d>
          <a:camera prst="orthographicFront"/>
          <a:lightRig rig="threePt" dir="t"/>
        </a:scene3d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'S3'!$C$51</c:f>
              <c:strCache>
                <c:ptCount val="1"/>
                <c:pt idx="0">
                  <c:v>Packaging</c:v>
                </c:pt>
              </c:strCache>
            </c:strRef>
          </c:tx>
          <c:spPr>
            <a:solidFill>
              <a:srgbClr val="2E75B6"/>
            </a:solidFill>
            <a:ln>
              <a:noFill/>
            </a:ln>
            <a:effectLst/>
            <a:sp3d/>
          </c:spPr>
          <c:invertIfNegative val="1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72FC-45FC-8F65-19F6058FA29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38100" bIns="19050" anchor="ctr" anchorCtr="1">
                <a:spAutoFit/>
              </a:bodyPr>
              <a:lstStyle/>
              <a:p>
                <a:pPr>
                  <a:defRPr sz="1300" b="1" i="0" u="none" strike="noStrike" kern="1200" baseline="0">
                    <a:solidFill>
                      <a:sysClr val="windowText" lastClr="000000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'S3'!$D$50:$J$50</c:f>
              <c:strCache>
                <c:ptCount val="7"/>
                <c:pt idx="0">
                  <c:v>DNI</c:v>
                </c:pt>
                <c:pt idx="1">
                  <c:v>BXO</c:v>
                </c:pt>
                <c:pt idx="2">
                  <c:v>BDG</c:v>
                </c:pt>
                <c:pt idx="3">
                  <c:v>TGG</c:v>
                </c:pt>
                <c:pt idx="4">
                  <c:v>BDH</c:v>
                </c:pt>
                <c:pt idx="5">
                  <c:v>HNI</c:v>
                </c:pt>
                <c:pt idx="6">
                  <c:v>HDG</c:v>
                </c:pt>
              </c:strCache>
            </c:strRef>
          </c:cat>
          <c:val>
            <c:numRef>
              <c:f>'S3'!$D$51:$J$51</c:f>
              <c:numCache>
                <c:formatCode>0</c:formatCode>
                <c:ptCount val="7"/>
                <c:pt idx="0">
                  <c:v>111.79795501022494</c:v>
                </c:pt>
                <c:pt idx="1">
                  <c:v>79.084340993276498</c:v>
                </c:pt>
                <c:pt idx="2">
                  <c:v>102.45961035410717</c:v>
                </c:pt>
                <c:pt idx="3">
                  <c:v>122.8127626723342</c:v>
                </c:pt>
                <c:pt idx="4">
                  <c:v>107.36377279632144</c:v>
                </c:pt>
                <c:pt idx="5">
                  <c:v>135.5696683879606</c:v>
                </c:pt>
                <c:pt idx="6">
                  <c:v>136.97748508280844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  <a:sp3d/>
                </c14:spPr>
              </c14:invertSolidFillFmt>
            </c:ext>
            <c:ext xmlns:c16="http://schemas.microsoft.com/office/drawing/2014/chart" uri="{C3380CC4-5D6E-409C-BE32-E72D297353CC}">
              <c16:uniqueId val="{00000001-72FC-45FC-8F65-19F6058FA29D}"/>
            </c:ext>
          </c:extLst>
        </c:ser>
        <c:ser>
          <c:idx val="1"/>
          <c:order val="1"/>
          <c:tx>
            <c:strRef>
              <c:f>'S3'!$C$52</c:f>
              <c:strCache>
                <c:ptCount val="1"/>
                <c:pt idx="0">
                  <c:v>FC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38100" bIns="19050" anchor="ctr" anchorCtr="1">
                <a:spAutoFit/>
              </a:bodyPr>
              <a:lstStyle/>
              <a:p>
                <a:pPr>
                  <a:defRPr sz="1300" b="1" i="0" u="none" strike="noStrike" kern="1200" baseline="0">
                    <a:solidFill>
                      <a:sysClr val="windowText" lastClr="000000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cat>
            <c:strRef>
              <c:f>'S3'!$D$50:$J$50</c:f>
              <c:strCache>
                <c:ptCount val="7"/>
                <c:pt idx="0">
                  <c:v>DNI</c:v>
                </c:pt>
                <c:pt idx="1">
                  <c:v>BXO</c:v>
                </c:pt>
                <c:pt idx="2">
                  <c:v>BDG</c:v>
                </c:pt>
                <c:pt idx="3">
                  <c:v>TGG</c:v>
                </c:pt>
                <c:pt idx="4">
                  <c:v>BDH</c:v>
                </c:pt>
                <c:pt idx="5">
                  <c:v>HNI</c:v>
                </c:pt>
                <c:pt idx="6">
                  <c:v>HDG</c:v>
                </c:pt>
              </c:strCache>
            </c:strRef>
          </c:cat>
          <c:val>
            <c:numRef>
              <c:f>'S3'!$D$52:$J$52</c:f>
              <c:numCache>
                <c:formatCode>0</c:formatCode>
                <c:ptCount val="7"/>
                <c:pt idx="0">
                  <c:v>91.707393260364299</c:v>
                </c:pt>
                <c:pt idx="1">
                  <c:v>168.96649537681202</c:v>
                </c:pt>
                <c:pt idx="2">
                  <c:v>111.88088066136217</c:v>
                </c:pt>
                <c:pt idx="3">
                  <c:v>93.524053322695337</c:v>
                </c:pt>
                <c:pt idx="4">
                  <c:v>124.01064016036958</c:v>
                </c:pt>
                <c:pt idx="5">
                  <c:v>100.23926390491658</c:v>
                </c:pt>
                <c:pt idx="6">
                  <c:v>144.72856288458269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FC-45FC-8F65-19F6058FA29D}"/>
            </c:ext>
          </c:extLst>
        </c:ser>
        <c:ser>
          <c:idx val="2"/>
          <c:order val="2"/>
          <c:tx>
            <c:strRef>
              <c:f>'S3'!$C$53</c:f>
              <c:strCache>
                <c:ptCount val="1"/>
                <c:pt idx="0">
                  <c:v>VC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'S3'!$D$50:$J$50</c:f>
              <c:strCache>
                <c:ptCount val="7"/>
                <c:pt idx="0">
                  <c:v>DNI</c:v>
                </c:pt>
                <c:pt idx="1">
                  <c:v>BXO</c:v>
                </c:pt>
                <c:pt idx="2">
                  <c:v>BDG</c:v>
                </c:pt>
                <c:pt idx="3">
                  <c:v>TGG</c:v>
                </c:pt>
                <c:pt idx="4">
                  <c:v>BDH</c:v>
                </c:pt>
                <c:pt idx="5">
                  <c:v>HNI</c:v>
                </c:pt>
                <c:pt idx="6">
                  <c:v>HDG</c:v>
                </c:pt>
              </c:strCache>
            </c:strRef>
          </c:cat>
          <c:val>
            <c:numRef>
              <c:f>'S3'!$D$53:$J$53</c:f>
              <c:numCache>
                <c:formatCode>0</c:formatCode>
                <c:ptCount val="7"/>
                <c:pt idx="0">
                  <c:v>142.95225733634308</c:v>
                </c:pt>
                <c:pt idx="1">
                  <c:v>179.1310219461817</c:v>
                </c:pt>
                <c:pt idx="2">
                  <c:v>135.5135627440128</c:v>
                </c:pt>
                <c:pt idx="3">
                  <c:v>178.45776695860042</c:v>
                </c:pt>
                <c:pt idx="4">
                  <c:v>129.17070821276084</c:v>
                </c:pt>
                <c:pt idx="5">
                  <c:v>154.13149708926994</c:v>
                </c:pt>
                <c:pt idx="6">
                  <c:v>127.85646586107919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FC-45FC-8F65-19F6058FA29D}"/>
            </c:ext>
          </c:extLst>
        </c:ser>
        <c:ser>
          <c:idx val="3"/>
          <c:order val="3"/>
          <c:tx>
            <c:strRef>
              <c:f>'S3'!$C$54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0" h="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0" rIns="0" bIns="0" anchor="ctr" anchorCtr="0">
                <a:spAutoFit/>
              </a:bodyPr>
              <a:lstStyle/>
              <a:p>
                <a:pPr algn="ctr">
                  <a:defRPr sz="13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'S3'!$D$50:$J$50</c:f>
              <c:strCache>
                <c:ptCount val="7"/>
                <c:pt idx="0">
                  <c:v>DNI</c:v>
                </c:pt>
                <c:pt idx="1">
                  <c:v>BXO</c:v>
                </c:pt>
                <c:pt idx="2">
                  <c:v>BDG</c:v>
                </c:pt>
                <c:pt idx="3">
                  <c:v>TGG</c:v>
                </c:pt>
                <c:pt idx="4">
                  <c:v>BDH</c:v>
                </c:pt>
                <c:pt idx="5">
                  <c:v>HNI</c:v>
                </c:pt>
                <c:pt idx="6">
                  <c:v>HDG</c:v>
                </c:pt>
              </c:strCache>
            </c:strRef>
          </c:cat>
          <c:val>
            <c:numRef>
              <c:f>'S3'!$D$54:$J$54</c:f>
              <c:numCache>
                <c:formatCode>0</c:formatCode>
                <c:ptCount val="7"/>
                <c:pt idx="0">
                  <c:v>38.230648487162384</c:v>
                </c:pt>
                <c:pt idx="1">
                  <c:v>55.83673030634111</c:v>
                </c:pt>
                <c:pt idx="2">
                  <c:v>64.104767441177955</c:v>
                </c:pt>
                <c:pt idx="3">
                  <c:v>39.732798045529478</c:v>
                </c:pt>
                <c:pt idx="4">
                  <c:v>69.139864538410933</c:v>
                </c:pt>
                <c:pt idx="5">
                  <c:v>63.516774847716782</c:v>
                </c:pt>
                <c:pt idx="6">
                  <c:v>70.131129197729294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FC-45FC-8F65-19F6058FA29D}"/>
            </c:ext>
          </c:extLst>
        </c:ser>
        <c:ser>
          <c:idx val="4"/>
          <c:order val="4"/>
          <c:spPr>
            <a:solidFill>
              <a:schemeClr val="bg1"/>
            </a:solidFill>
          </c:spPr>
          <c:invertIfNegative val="0"/>
          <c:dLbls>
            <c:dLbl>
              <c:idx val="0"/>
              <c:layout>
                <c:manualLayout>
                  <c:x val="0"/>
                  <c:y val="-3.8183553251224328E-2"/>
                </c:manualLayout>
              </c:layout>
              <c:tx>
                <c:rich>
                  <a:bodyPr/>
                  <a:lstStyle/>
                  <a:p>
                    <a:fld id="{0E61714E-4DC6-4D5C-86C6-842C6E99DA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39D8-4F0C-9E51-32DC8194876A}"/>
                </c:ext>
              </c:extLst>
            </c:dLbl>
            <c:dLbl>
              <c:idx val="1"/>
              <c:layout>
                <c:manualLayout>
                  <c:x val="0"/>
                  <c:y val="-3.5637983034476038E-2"/>
                </c:manualLayout>
              </c:layout>
              <c:tx>
                <c:rich>
                  <a:bodyPr/>
                  <a:lstStyle/>
                  <a:p>
                    <a:fld id="{39F2A9AF-247C-4DF3-9EB5-F485B40B61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9D8-4F0C-9E51-32DC8194876A}"/>
                </c:ext>
              </c:extLst>
            </c:dLbl>
            <c:dLbl>
              <c:idx val="2"/>
              <c:layout>
                <c:manualLayout>
                  <c:x val="0"/>
                  <c:y val="-3.5637983034476038E-2"/>
                </c:manualLayout>
              </c:layout>
              <c:tx>
                <c:rich>
                  <a:bodyPr rot="0" wrap="square" lIns="0" tIns="0" rIns="38100" bIns="0" anchor="ctr" anchorCtr="1">
                    <a:spAutoFit/>
                  </a:bodyPr>
                  <a:lstStyle/>
                  <a:p>
                    <a:pPr>
                      <a:defRPr sz="1300" b="1">
                        <a:solidFill>
                          <a:srgbClr val="0000CC"/>
                        </a:solidFill>
                        <a:latin typeface="Arial Black" panose="020B0A04020102020204" pitchFamily="34" charset="0"/>
                      </a:defRPr>
                    </a:pPr>
                    <a:fld id="{F311A408-E3BF-4B9F-ADB2-035183823170}" type="CELLRANGE">
                      <a:rPr lang="en-US"/>
                      <a:pPr>
                        <a:defRPr sz="1300" b="1">
                          <a:solidFill>
                            <a:srgbClr val="0000CC"/>
                          </a:solidFill>
                          <a:latin typeface="Arial Black" panose="020B0A04020102020204" pitchFamily="34" charset="0"/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39D8-4F0C-9E51-32DC8194876A}"/>
                </c:ext>
              </c:extLst>
            </c:dLbl>
            <c:dLbl>
              <c:idx val="3"/>
              <c:layout>
                <c:manualLayout>
                  <c:x val="-5.5690519064883498E-17"/>
                  <c:y val="-3.0546842600979555E-2"/>
                </c:manualLayout>
              </c:layout>
              <c:tx>
                <c:rich>
                  <a:bodyPr/>
                  <a:lstStyle/>
                  <a:p>
                    <a:fld id="{50821D2E-E359-4D20-BC55-4433E4C5B2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39D8-4F0C-9E51-32DC8194876A}"/>
                </c:ext>
              </c:extLst>
            </c:dLbl>
            <c:dLbl>
              <c:idx val="4"/>
              <c:layout>
                <c:manualLayout>
                  <c:x val="0"/>
                  <c:y val="-3.054684260097951E-2"/>
                </c:manualLayout>
              </c:layout>
              <c:tx>
                <c:rich>
                  <a:bodyPr/>
                  <a:lstStyle/>
                  <a:p>
                    <a:fld id="{396C843E-F965-4785-A238-284630D583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39D8-4F0C-9E51-32DC8194876A}"/>
                </c:ext>
              </c:extLst>
            </c:dLbl>
            <c:dLbl>
              <c:idx val="5"/>
              <c:layout>
                <c:manualLayout>
                  <c:x val="0"/>
                  <c:y val="-2.2910131950734644E-2"/>
                </c:manualLayout>
              </c:layout>
              <c:tx>
                <c:rich>
                  <a:bodyPr/>
                  <a:lstStyle/>
                  <a:p>
                    <a:fld id="{653966E5-E87F-4E3E-91C6-C84643FCA3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39D8-4F0C-9E51-32DC8194876A}"/>
                </c:ext>
              </c:extLst>
            </c:dLbl>
            <c:dLbl>
              <c:idx val="6"/>
              <c:layout>
                <c:manualLayout>
                  <c:x val="0"/>
                  <c:y val="-2.0364561733986354E-2"/>
                </c:manualLayout>
              </c:layout>
              <c:tx>
                <c:rich>
                  <a:bodyPr/>
                  <a:lstStyle/>
                  <a:p>
                    <a:fld id="{475CBB5B-43FF-42EE-905F-8D21B52E9C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39D8-4F0C-9E51-32DC819487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300" b="1">
                    <a:solidFill>
                      <a:srgbClr val="0000CC"/>
                    </a:solidFill>
                    <a:latin typeface="Arial Black" panose="020B0A040201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'S3'!$D$50:$J$50</c:f>
              <c:strCache>
                <c:ptCount val="7"/>
                <c:pt idx="0">
                  <c:v>DNI</c:v>
                </c:pt>
                <c:pt idx="1">
                  <c:v>BXO</c:v>
                </c:pt>
                <c:pt idx="2">
                  <c:v>BDG</c:v>
                </c:pt>
                <c:pt idx="3">
                  <c:v>TGG</c:v>
                </c:pt>
                <c:pt idx="4">
                  <c:v>BDH</c:v>
                </c:pt>
                <c:pt idx="5">
                  <c:v>HNI</c:v>
                </c:pt>
                <c:pt idx="6">
                  <c:v>HDG</c:v>
                </c:pt>
              </c:strCache>
            </c:strRef>
          </c:cat>
          <c:val>
            <c:numRef>
              <c:f>'S3'!$D$57:$J$57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'S3'!$D$56:$J$56</c15:f>
                <c15:dlblRangeCache>
                  <c:ptCount val="7"/>
                  <c:pt idx="0">
                    <c:v>273</c:v>
                  </c:pt>
                  <c:pt idx="1">
                    <c:v>404</c:v>
                  </c:pt>
                  <c:pt idx="2">
                    <c:v>311</c:v>
                  </c:pt>
                  <c:pt idx="3">
                    <c:v>312</c:v>
                  </c:pt>
                  <c:pt idx="4">
                    <c:v>322</c:v>
                  </c:pt>
                  <c:pt idx="5">
                    <c:v>318</c:v>
                  </c:pt>
                  <c:pt idx="6">
                    <c:v>343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39D8-4F0C-9E51-32DC81948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gapDepth val="0"/>
        <c:shape val="cylinder"/>
        <c:axId val="1068882832"/>
        <c:axId val="1068878896"/>
        <c:axId val="0"/>
      </c:bar3DChart>
      <c:catAx>
        <c:axId val="1068882832"/>
        <c:scaling>
          <c:orientation val="minMax"/>
        </c:scaling>
        <c:delete val="0"/>
        <c:axPos val="b"/>
        <c:title>
          <c:overlay val="0"/>
          <c:txPr>
            <a:bodyPr/>
            <a:lstStyle/>
            <a:p>
              <a:pPr>
                <a:defRPr>
                  <a:solidFill>
                    <a:schemeClr val="bg1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en-US"/>
          </a:p>
        </c:txPr>
        <c:crossAx val="1068878896"/>
        <c:crosses val="autoZero"/>
        <c:auto val="1"/>
        <c:lblAlgn val="ctr"/>
        <c:lblOffset val="100"/>
        <c:noMultiLvlLbl val="0"/>
      </c:catAx>
      <c:valAx>
        <c:axId val="1068878896"/>
        <c:scaling>
          <c:orientation val="minMax"/>
          <c:max val="80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crossAx val="106888283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0"/>
      <c:rotY val="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cene3d>
          <a:camera prst="orthographicFront"/>
          <a:lightRig rig="threePt" dir="t"/>
        </a:scene3d>
        <a:sp3d/>
      </c:spPr>
    </c:sideWall>
    <c:backWall>
      <c:thickness val="0"/>
      <c:spPr>
        <a:noFill/>
        <a:ln w="25400">
          <a:noFill/>
        </a:ln>
        <a:effectLst/>
        <a:scene3d>
          <a:camera prst="orthographicFront"/>
          <a:lightRig rig="threePt" dir="t"/>
        </a:scene3d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'S4'!$C$51</c:f>
              <c:strCache>
                <c:ptCount val="1"/>
                <c:pt idx="0">
                  <c:v>Packaging</c:v>
                </c:pt>
              </c:strCache>
            </c:strRef>
          </c:tx>
          <c:spPr>
            <a:solidFill>
              <a:srgbClr val="2E75B6"/>
            </a:solidFill>
            <a:ln>
              <a:noFill/>
            </a:ln>
            <a:effectLst/>
            <a:sp3d/>
          </c:spPr>
          <c:invertIfNegative val="1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212E-4C61-B05D-DC4E1BA6B1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38100" bIns="19050" anchor="ctr" anchorCtr="1">
                <a:spAutoFit/>
              </a:bodyPr>
              <a:lstStyle/>
              <a:p>
                <a:pPr>
                  <a:defRPr sz="1300" b="1" i="0" u="none" strike="noStrike" kern="1200" baseline="0">
                    <a:solidFill>
                      <a:sysClr val="windowText" lastClr="000000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'S4'!$D$50:$J$50</c:f>
              <c:strCache>
                <c:ptCount val="7"/>
                <c:pt idx="0">
                  <c:v>DNI</c:v>
                </c:pt>
                <c:pt idx="1">
                  <c:v>BXO</c:v>
                </c:pt>
                <c:pt idx="2">
                  <c:v>BDG</c:v>
                </c:pt>
                <c:pt idx="3">
                  <c:v>TGG</c:v>
                </c:pt>
                <c:pt idx="4">
                  <c:v>BDH</c:v>
                </c:pt>
                <c:pt idx="5">
                  <c:v>HNI</c:v>
                </c:pt>
                <c:pt idx="6">
                  <c:v>HDG</c:v>
                </c:pt>
              </c:strCache>
            </c:strRef>
          </c:cat>
          <c:val>
            <c:numRef>
              <c:f>'S4'!$D$51:$J$51</c:f>
              <c:numCache>
                <c:formatCode>0</c:formatCode>
                <c:ptCount val="7"/>
                <c:pt idx="0">
                  <c:v>106.48294887677729</c:v>
                </c:pt>
                <c:pt idx="1">
                  <c:v>74.853681957690711</c:v>
                </c:pt>
                <c:pt idx="2">
                  <c:v>100.0949786147122</c:v>
                </c:pt>
                <c:pt idx="3">
                  <c:v>119.33194380401578</c:v>
                </c:pt>
                <c:pt idx="4">
                  <c:v>106.77800051457596</c:v>
                </c:pt>
                <c:pt idx="5">
                  <c:v>131.76329176440319</c:v>
                </c:pt>
                <c:pt idx="6">
                  <c:v>132.19741661376594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  <a:sp3d/>
                </c14:spPr>
              </c14:invertSolidFillFmt>
            </c:ext>
            <c:ext xmlns:c16="http://schemas.microsoft.com/office/drawing/2014/chart" uri="{C3380CC4-5D6E-409C-BE32-E72D297353CC}">
              <c16:uniqueId val="{00000001-212E-4C61-B05D-DC4E1BA6B191}"/>
            </c:ext>
          </c:extLst>
        </c:ser>
        <c:ser>
          <c:idx val="1"/>
          <c:order val="1"/>
          <c:tx>
            <c:strRef>
              <c:f>'S4'!$C$52</c:f>
              <c:strCache>
                <c:ptCount val="1"/>
                <c:pt idx="0">
                  <c:v>FC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38100" bIns="19050" anchor="ctr" anchorCtr="1">
                <a:spAutoFit/>
              </a:bodyPr>
              <a:lstStyle/>
              <a:p>
                <a:pPr>
                  <a:defRPr sz="1300" b="1" i="0" u="none" strike="noStrike" kern="1200" baseline="0">
                    <a:solidFill>
                      <a:sysClr val="windowText" lastClr="000000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cat>
            <c:strRef>
              <c:f>'S4'!$D$50:$J$50</c:f>
              <c:strCache>
                <c:ptCount val="7"/>
                <c:pt idx="0">
                  <c:v>DNI</c:v>
                </c:pt>
                <c:pt idx="1">
                  <c:v>BXO</c:v>
                </c:pt>
                <c:pt idx="2">
                  <c:v>BDG</c:v>
                </c:pt>
                <c:pt idx="3">
                  <c:v>TGG</c:v>
                </c:pt>
                <c:pt idx="4">
                  <c:v>BDH</c:v>
                </c:pt>
                <c:pt idx="5">
                  <c:v>HNI</c:v>
                </c:pt>
                <c:pt idx="6">
                  <c:v>HDG</c:v>
                </c:pt>
              </c:strCache>
            </c:strRef>
          </c:cat>
          <c:val>
            <c:numRef>
              <c:f>'S4'!$D$52:$J$52</c:f>
              <c:numCache>
                <c:formatCode>0</c:formatCode>
                <c:ptCount val="7"/>
                <c:pt idx="0">
                  <c:v>91.894527740598733</c:v>
                </c:pt>
                <c:pt idx="1">
                  <c:v>147.65855274475825</c:v>
                </c:pt>
                <c:pt idx="2">
                  <c:v>115.67669097145397</c:v>
                </c:pt>
                <c:pt idx="3">
                  <c:v>85.030714162495073</c:v>
                </c:pt>
                <c:pt idx="4">
                  <c:v>134.36830758905981</c:v>
                </c:pt>
                <c:pt idx="5">
                  <c:v>104.69503917591237</c:v>
                </c:pt>
                <c:pt idx="6">
                  <c:v>158.68008537457277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2E-4C61-B05D-DC4E1BA6B191}"/>
            </c:ext>
          </c:extLst>
        </c:ser>
        <c:ser>
          <c:idx val="2"/>
          <c:order val="2"/>
          <c:tx>
            <c:strRef>
              <c:f>'S4'!$C$53</c:f>
              <c:strCache>
                <c:ptCount val="1"/>
                <c:pt idx="0">
                  <c:v>VC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'S4'!$D$50:$J$50</c:f>
              <c:strCache>
                <c:ptCount val="7"/>
                <c:pt idx="0">
                  <c:v>DNI</c:v>
                </c:pt>
                <c:pt idx="1">
                  <c:v>BXO</c:v>
                </c:pt>
                <c:pt idx="2">
                  <c:v>BDG</c:v>
                </c:pt>
                <c:pt idx="3">
                  <c:v>TGG</c:v>
                </c:pt>
                <c:pt idx="4">
                  <c:v>BDH</c:v>
                </c:pt>
                <c:pt idx="5">
                  <c:v>HNI</c:v>
                </c:pt>
                <c:pt idx="6">
                  <c:v>HDG</c:v>
                </c:pt>
              </c:strCache>
            </c:strRef>
          </c:cat>
          <c:val>
            <c:numRef>
              <c:f>'S4'!$D$53:$J$53</c:f>
              <c:numCache>
                <c:formatCode>0</c:formatCode>
                <c:ptCount val="7"/>
                <c:pt idx="0">
                  <c:v>147.47609161266701</c:v>
                </c:pt>
                <c:pt idx="1">
                  <c:v>186.01188909358058</c:v>
                </c:pt>
                <c:pt idx="2">
                  <c:v>142.62950964027186</c:v>
                </c:pt>
                <c:pt idx="3">
                  <c:v>178.03317702812078</c:v>
                </c:pt>
                <c:pt idx="4">
                  <c:v>135.09752945534456</c:v>
                </c:pt>
                <c:pt idx="5">
                  <c:v>148.95573810849984</c:v>
                </c:pt>
                <c:pt idx="6">
                  <c:v>133.08077091253472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2E-4C61-B05D-DC4E1BA6B191}"/>
            </c:ext>
          </c:extLst>
        </c:ser>
        <c:ser>
          <c:idx val="3"/>
          <c:order val="3"/>
          <c:tx>
            <c:strRef>
              <c:f>'S4'!$C$54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0" h="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0" rIns="0" bIns="0" anchor="ctr" anchorCtr="0">
                <a:spAutoFit/>
              </a:bodyPr>
              <a:lstStyle/>
              <a:p>
                <a:pPr algn="ctr">
                  <a:defRPr sz="13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'S4'!$D$50:$J$50</c:f>
              <c:strCache>
                <c:ptCount val="7"/>
                <c:pt idx="0">
                  <c:v>DNI</c:v>
                </c:pt>
                <c:pt idx="1">
                  <c:v>BXO</c:v>
                </c:pt>
                <c:pt idx="2">
                  <c:v>BDG</c:v>
                </c:pt>
                <c:pt idx="3">
                  <c:v>TGG</c:v>
                </c:pt>
                <c:pt idx="4">
                  <c:v>BDH</c:v>
                </c:pt>
                <c:pt idx="5">
                  <c:v>HNI</c:v>
                </c:pt>
                <c:pt idx="6">
                  <c:v>HDG</c:v>
                </c:pt>
              </c:strCache>
            </c:strRef>
          </c:cat>
          <c:val>
            <c:numRef>
              <c:f>'S4'!$D$54:$J$54</c:f>
              <c:numCache>
                <c:formatCode>0</c:formatCode>
                <c:ptCount val="7"/>
                <c:pt idx="0">
                  <c:v>38.933061468429067</c:v>
                </c:pt>
                <c:pt idx="1">
                  <c:v>42.428612511505506</c:v>
                </c:pt>
                <c:pt idx="2">
                  <c:v>67.760120105609687</c:v>
                </c:pt>
                <c:pt idx="3">
                  <c:v>37.811026104065029</c:v>
                </c:pt>
                <c:pt idx="4">
                  <c:v>69.809182163877622</c:v>
                </c:pt>
                <c:pt idx="5">
                  <c:v>65.362848993500904</c:v>
                </c:pt>
                <c:pt idx="6">
                  <c:v>78.357857152614201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2E-4C61-B05D-DC4E1BA6B191}"/>
            </c:ext>
          </c:extLst>
        </c:ser>
        <c:ser>
          <c:idx val="4"/>
          <c:order val="4"/>
          <c:spPr>
            <a:solidFill>
              <a:schemeClr val="bg1"/>
            </a:solidFill>
          </c:spPr>
          <c:invertIfNegative val="0"/>
          <c:dLbls>
            <c:dLbl>
              <c:idx val="0"/>
              <c:layout>
                <c:manualLayout>
                  <c:x val="0"/>
                  <c:y val="-3.8183553251224328E-2"/>
                </c:manualLayout>
              </c:layout>
              <c:tx>
                <c:rich>
                  <a:bodyPr/>
                  <a:lstStyle/>
                  <a:p>
                    <a:fld id="{604A0D97-CEB6-4163-8DD8-BEF70FF2CF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12E-4C61-B05D-DC4E1BA6B191}"/>
                </c:ext>
              </c:extLst>
            </c:dLbl>
            <c:dLbl>
              <c:idx val="1"/>
              <c:layout>
                <c:manualLayout>
                  <c:x val="0"/>
                  <c:y val="-3.5637983034476038E-2"/>
                </c:manualLayout>
              </c:layout>
              <c:tx>
                <c:rich>
                  <a:bodyPr/>
                  <a:lstStyle/>
                  <a:p>
                    <a:fld id="{CA9FC66B-08AB-4ACD-A9C2-C0F1BC79A0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212E-4C61-B05D-DC4E1BA6B191}"/>
                </c:ext>
              </c:extLst>
            </c:dLbl>
            <c:dLbl>
              <c:idx val="2"/>
              <c:layout>
                <c:manualLayout>
                  <c:x val="0"/>
                  <c:y val="-3.5637983034476038E-2"/>
                </c:manualLayout>
              </c:layout>
              <c:tx>
                <c:rich>
                  <a:bodyPr rot="0" wrap="square" lIns="0" tIns="0" rIns="38100" bIns="0" anchor="ctr" anchorCtr="1">
                    <a:spAutoFit/>
                  </a:bodyPr>
                  <a:lstStyle/>
                  <a:p>
                    <a:pPr>
                      <a:defRPr sz="1300" b="1">
                        <a:solidFill>
                          <a:srgbClr val="0000CC"/>
                        </a:solidFill>
                        <a:latin typeface="Arial Black" panose="020B0A04020102020204" pitchFamily="34" charset="0"/>
                      </a:defRPr>
                    </a:pPr>
                    <a:fld id="{544A3762-6C87-45B3-9396-F26AA018E562}" type="CELLRANGE">
                      <a:rPr lang="en-US"/>
                      <a:pPr>
                        <a:defRPr sz="1300" b="1">
                          <a:solidFill>
                            <a:srgbClr val="0000CC"/>
                          </a:solidFill>
                          <a:latin typeface="Arial Black" panose="020B0A04020102020204" pitchFamily="34" charset="0"/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212E-4C61-B05D-DC4E1BA6B191}"/>
                </c:ext>
              </c:extLst>
            </c:dLbl>
            <c:dLbl>
              <c:idx val="3"/>
              <c:layout>
                <c:manualLayout>
                  <c:x val="-5.5690519064883498E-17"/>
                  <c:y val="-3.0546842600979555E-2"/>
                </c:manualLayout>
              </c:layout>
              <c:tx>
                <c:rich>
                  <a:bodyPr/>
                  <a:lstStyle/>
                  <a:p>
                    <a:fld id="{430D88F8-54C1-4BFA-9D9F-B50FF75C55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212E-4C61-B05D-DC4E1BA6B191}"/>
                </c:ext>
              </c:extLst>
            </c:dLbl>
            <c:dLbl>
              <c:idx val="4"/>
              <c:layout>
                <c:manualLayout>
                  <c:x val="0"/>
                  <c:y val="-3.054684260097951E-2"/>
                </c:manualLayout>
              </c:layout>
              <c:tx>
                <c:rich>
                  <a:bodyPr/>
                  <a:lstStyle/>
                  <a:p>
                    <a:fld id="{DE4EFE08-78E5-4ADC-9620-CC345C1AB0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212E-4C61-B05D-DC4E1BA6B191}"/>
                </c:ext>
              </c:extLst>
            </c:dLbl>
            <c:dLbl>
              <c:idx val="5"/>
              <c:layout>
                <c:manualLayout>
                  <c:x val="0"/>
                  <c:y val="-2.2910131950734644E-2"/>
                </c:manualLayout>
              </c:layout>
              <c:tx>
                <c:rich>
                  <a:bodyPr/>
                  <a:lstStyle/>
                  <a:p>
                    <a:fld id="{99834C8B-9137-45C8-B1FB-0D5643691C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212E-4C61-B05D-DC4E1BA6B191}"/>
                </c:ext>
              </c:extLst>
            </c:dLbl>
            <c:dLbl>
              <c:idx val="6"/>
              <c:layout>
                <c:manualLayout>
                  <c:x val="0"/>
                  <c:y val="-2.0364561733986354E-2"/>
                </c:manualLayout>
              </c:layout>
              <c:tx>
                <c:rich>
                  <a:bodyPr/>
                  <a:lstStyle/>
                  <a:p>
                    <a:fld id="{22483D11-182E-49D7-BDC3-E7F13547F8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212E-4C61-B05D-DC4E1BA6B1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300" b="1">
                    <a:solidFill>
                      <a:srgbClr val="0000CC"/>
                    </a:solidFill>
                    <a:latin typeface="Arial Black" panose="020B0A040201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'S4'!$D$50:$J$50</c:f>
              <c:strCache>
                <c:ptCount val="7"/>
                <c:pt idx="0">
                  <c:v>DNI</c:v>
                </c:pt>
                <c:pt idx="1">
                  <c:v>BXO</c:v>
                </c:pt>
                <c:pt idx="2">
                  <c:v>BDG</c:v>
                </c:pt>
                <c:pt idx="3">
                  <c:v>TGG</c:v>
                </c:pt>
                <c:pt idx="4">
                  <c:v>BDH</c:v>
                </c:pt>
                <c:pt idx="5">
                  <c:v>HNI</c:v>
                </c:pt>
                <c:pt idx="6">
                  <c:v>HDG</c:v>
                </c:pt>
              </c:strCache>
            </c:strRef>
          </c:cat>
          <c:val>
            <c:numRef>
              <c:f>'S4'!$D$57:$J$57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'S4'!$D$56:$J$56</c15:f>
                <c15:dlblRangeCache>
                  <c:ptCount val="7"/>
                  <c:pt idx="0">
                    <c:v>278</c:v>
                  </c:pt>
                  <c:pt idx="1">
                    <c:v>376</c:v>
                  </c:pt>
                  <c:pt idx="2">
                    <c:v>326</c:v>
                  </c:pt>
                  <c:pt idx="3">
                    <c:v>301</c:v>
                  </c:pt>
                  <c:pt idx="4">
                    <c:v>339</c:v>
                  </c:pt>
                  <c:pt idx="5">
                    <c:v>319</c:v>
                  </c:pt>
                  <c:pt idx="6">
                    <c:v>370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212E-4C61-B05D-DC4E1BA6B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gapDepth val="0"/>
        <c:shape val="cylinder"/>
        <c:axId val="1068882832"/>
        <c:axId val="1068878896"/>
        <c:axId val="0"/>
      </c:bar3DChart>
      <c:catAx>
        <c:axId val="1068882832"/>
        <c:scaling>
          <c:orientation val="minMax"/>
        </c:scaling>
        <c:delete val="0"/>
        <c:axPos val="b"/>
        <c:title>
          <c:overlay val="0"/>
          <c:txPr>
            <a:bodyPr/>
            <a:lstStyle/>
            <a:p>
              <a:pPr>
                <a:defRPr>
                  <a:solidFill>
                    <a:schemeClr val="bg1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en-US"/>
          </a:p>
        </c:txPr>
        <c:crossAx val="1068878896"/>
        <c:crosses val="autoZero"/>
        <c:auto val="1"/>
        <c:lblAlgn val="ctr"/>
        <c:lblOffset val="100"/>
        <c:noMultiLvlLbl val="0"/>
      </c:catAx>
      <c:valAx>
        <c:axId val="1068878896"/>
        <c:scaling>
          <c:orientation val="minMax"/>
          <c:max val="80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crossAx val="106888283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781051</xdr:colOff>
      <xdr:row>5</xdr:row>
      <xdr:rowOff>323850</xdr:rowOff>
    </xdr:from>
    <xdr:to>
      <xdr:col>3</xdr:col>
      <xdr:colOff>676275</xdr:colOff>
      <xdr:row>6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F63A842-D80B-4CAD-8FE0-DD47A301BA1D}"/>
            </a:ext>
          </a:extLst>
        </xdr:cNvPr>
        <xdr:cNvSpPr txBox="1"/>
      </xdr:nvSpPr>
      <xdr:spPr>
        <a:xfrm>
          <a:off x="2000251" y="1276350"/>
          <a:ext cx="733424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4</xdr:col>
      <xdr:colOff>33339</xdr:colOff>
      <xdr:row>5</xdr:row>
      <xdr:rowOff>19050</xdr:rowOff>
    </xdr:from>
    <xdr:to>
      <xdr:col>6</xdr:col>
      <xdr:colOff>804863</xdr:colOff>
      <xdr:row>6</xdr:row>
      <xdr:rowOff>285750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C10B86-A4F2-45A2-A31E-5777CC7D9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752476</xdr:colOff>
      <xdr:row>9</xdr:row>
      <xdr:rowOff>314325</xdr:rowOff>
    </xdr:from>
    <xdr:to>
      <xdr:col>3</xdr:col>
      <xdr:colOff>647700</xdr:colOff>
      <xdr:row>10</xdr:row>
      <xdr:rowOff>200025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E4262C8-94E0-4B53-9474-C27DB67943F4}"/>
            </a:ext>
          </a:extLst>
        </xdr:cNvPr>
        <xdr:cNvSpPr txBox="1"/>
      </xdr:nvSpPr>
      <xdr:spPr>
        <a:xfrm>
          <a:off x="1971676" y="2257425"/>
          <a:ext cx="733424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4</xdr:col>
      <xdr:colOff>828676</xdr:colOff>
      <xdr:row>9</xdr:row>
      <xdr:rowOff>371475</xdr:rowOff>
    </xdr:from>
    <xdr:to>
      <xdr:col>5</xdr:col>
      <xdr:colOff>723900</xdr:colOff>
      <xdr:row>10</xdr:row>
      <xdr:rowOff>257175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E360A9A-4A67-44F3-B803-B34BC17D85D0}"/>
            </a:ext>
          </a:extLst>
        </xdr:cNvPr>
        <xdr:cNvSpPr txBox="1"/>
      </xdr:nvSpPr>
      <xdr:spPr>
        <a:xfrm>
          <a:off x="3724276" y="2314575"/>
          <a:ext cx="733424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2</xdr:col>
      <xdr:colOff>752476</xdr:colOff>
      <xdr:row>13</xdr:row>
      <xdr:rowOff>314325</xdr:rowOff>
    </xdr:from>
    <xdr:to>
      <xdr:col>3</xdr:col>
      <xdr:colOff>647700</xdr:colOff>
      <xdr:row>14</xdr:row>
      <xdr:rowOff>200025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20BC357-CC75-4F11-B5B6-90BADFE94EBA}"/>
            </a:ext>
          </a:extLst>
        </xdr:cNvPr>
        <xdr:cNvSpPr txBox="1"/>
      </xdr:nvSpPr>
      <xdr:spPr>
        <a:xfrm>
          <a:off x="1971676" y="2257425"/>
          <a:ext cx="733424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4</xdr:col>
      <xdr:colOff>828676</xdr:colOff>
      <xdr:row>13</xdr:row>
      <xdr:rowOff>371475</xdr:rowOff>
    </xdr:from>
    <xdr:to>
      <xdr:col>5</xdr:col>
      <xdr:colOff>723900</xdr:colOff>
      <xdr:row>14</xdr:row>
      <xdr:rowOff>257175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5FF724D-2521-44E4-B3DD-1D94A5CBB183}"/>
            </a:ext>
          </a:extLst>
        </xdr:cNvPr>
        <xdr:cNvSpPr txBox="1"/>
      </xdr:nvSpPr>
      <xdr:spPr>
        <a:xfrm>
          <a:off x="3724276" y="2314575"/>
          <a:ext cx="733424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9</xdr:col>
      <xdr:colOff>288131</xdr:colOff>
      <xdr:row>5</xdr:row>
      <xdr:rowOff>380999</xdr:rowOff>
    </xdr:from>
    <xdr:to>
      <xdr:col>10</xdr:col>
      <xdr:colOff>719135</xdr:colOff>
      <xdr:row>6</xdr:row>
      <xdr:rowOff>95249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31E895C-01BD-4D7F-BA95-322FF5BD5365}"/>
            </a:ext>
          </a:extLst>
        </xdr:cNvPr>
        <xdr:cNvSpPr txBox="1"/>
      </xdr:nvSpPr>
      <xdr:spPr>
        <a:xfrm>
          <a:off x="7015162" y="1333499"/>
          <a:ext cx="752473" cy="178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11</xdr:col>
      <xdr:colOff>423862</xdr:colOff>
      <xdr:row>5</xdr:row>
      <xdr:rowOff>371476</xdr:rowOff>
    </xdr:from>
    <xdr:to>
      <xdr:col>13</xdr:col>
      <xdr:colOff>83342</xdr:colOff>
      <xdr:row>6</xdr:row>
      <xdr:rowOff>257176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871211E-3F9E-4899-867C-41F7FF9FE5D9}"/>
            </a:ext>
          </a:extLst>
        </xdr:cNvPr>
        <xdr:cNvSpPr txBox="1"/>
      </xdr:nvSpPr>
      <xdr:spPr>
        <a:xfrm>
          <a:off x="8782050" y="1276351"/>
          <a:ext cx="576261" cy="350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4</xdr:col>
      <xdr:colOff>309562</xdr:colOff>
      <xdr:row>9</xdr:row>
      <xdr:rowOff>59531</xdr:rowOff>
    </xdr:from>
    <xdr:to>
      <xdr:col>6</xdr:col>
      <xdr:colOff>59531</xdr:colOff>
      <xdr:row>10</xdr:row>
      <xdr:rowOff>297656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D9AA9C5-3760-446D-BE1C-2EE897A0A165}"/>
            </a:ext>
          </a:extLst>
        </xdr:cNvPr>
        <xdr:cNvSpPr/>
      </xdr:nvSpPr>
      <xdr:spPr>
        <a:xfrm>
          <a:off x="3190875" y="2035969"/>
          <a:ext cx="1404937" cy="690562"/>
        </a:xfrm>
        <a:prstGeom prst="rect">
          <a:avLst/>
        </a:prstGeom>
        <a:solidFill>
          <a:schemeClr val="accent1">
            <a:alpha val="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357187</xdr:colOff>
      <xdr:row>13</xdr:row>
      <xdr:rowOff>71439</xdr:rowOff>
    </xdr:from>
    <xdr:to>
      <xdr:col>6</xdr:col>
      <xdr:colOff>107156</xdr:colOff>
      <xdr:row>14</xdr:row>
      <xdr:rowOff>428626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0F0085A-B797-45C3-9489-039A19C451CC}"/>
            </a:ext>
          </a:extLst>
        </xdr:cNvPr>
        <xdr:cNvSpPr/>
      </xdr:nvSpPr>
      <xdr:spPr>
        <a:xfrm>
          <a:off x="3238500" y="3059908"/>
          <a:ext cx="1404937" cy="690562"/>
        </a:xfrm>
        <a:prstGeom prst="rect">
          <a:avLst/>
        </a:prstGeom>
        <a:solidFill>
          <a:schemeClr val="accent1">
            <a:alpha val="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547687</xdr:colOff>
      <xdr:row>6</xdr:row>
      <xdr:rowOff>130969</xdr:rowOff>
    </xdr:from>
    <xdr:to>
      <xdr:col>9</xdr:col>
      <xdr:colOff>73817</xdr:colOff>
      <xdr:row>6</xdr:row>
      <xdr:rowOff>309563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F9C943F-CB7F-4B1A-8B66-413949683EAB}"/>
            </a:ext>
          </a:extLst>
        </xdr:cNvPr>
        <xdr:cNvSpPr txBox="1"/>
      </xdr:nvSpPr>
      <xdr:spPr>
        <a:xfrm>
          <a:off x="6048375" y="1547813"/>
          <a:ext cx="752473" cy="178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>
              <a:solidFill>
                <a:srgbClr val="0000CC"/>
              </a:solidFill>
            </a:rPr>
            <a:t>Sale</a:t>
          </a:r>
        </a:p>
      </xdr:txBody>
    </xdr:sp>
    <xdr:clientData/>
  </xdr:twoCellAnchor>
  <xdr:twoCellAnchor>
    <xdr:from>
      <xdr:col>10</xdr:col>
      <xdr:colOff>500064</xdr:colOff>
      <xdr:row>5</xdr:row>
      <xdr:rowOff>35720</xdr:rowOff>
    </xdr:from>
    <xdr:to>
      <xdr:col>12</xdr:col>
      <xdr:colOff>440533</xdr:colOff>
      <xdr:row>7</xdr:row>
      <xdr:rowOff>11907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70D6877-3430-4E57-886C-89B331B7290B}"/>
            </a:ext>
          </a:extLst>
        </xdr:cNvPr>
        <xdr:cNvSpPr/>
      </xdr:nvSpPr>
      <xdr:spPr>
        <a:xfrm>
          <a:off x="8024814" y="940595"/>
          <a:ext cx="1238250" cy="773906"/>
        </a:xfrm>
        <a:prstGeom prst="rect">
          <a:avLst/>
        </a:prstGeom>
        <a:solidFill>
          <a:schemeClr val="accent1">
            <a:alpha val="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150548</xdr:colOff>
      <xdr:row>9</xdr:row>
      <xdr:rowOff>380999</xdr:rowOff>
    </xdr:from>
    <xdr:to>
      <xdr:col>10</xdr:col>
      <xdr:colOff>581552</xdr:colOff>
      <xdr:row>10</xdr:row>
      <xdr:rowOff>95249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05D42AB-DCB7-45D0-A2C0-FF898436CE08}"/>
            </a:ext>
          </a:extLst>
        </xdr:cNvPr>
        <xdr:cNvSpPr txBox="1"/>
      </xdr:nvSpPr>
      <xdr:spPr>
        <a:xfrm>
          <a:off x="7177881" y="2328332"/>
          <a:ext cx="949588" cy="1693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11</xdr:col>
      <xdr:colOff>423862</xdr:colOff>
      <xdr:row>9</xdr:row>
      <xdr:rowOff>371476</xdr:rowOff>
    </xdr:from>
    <xdr:to>
      <xdr:col>13</xdr:col>
      <xdr:colOff>83342</xdr:colOff>
      <xdr:row>10</xdr:row>
      <xdr:rowOff>257176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8A2C37E-7B70-47C1-B29E-5A4E5B76106F}"/>
            </a:ext>
          </a:extLst>
        </xdr:cNvPr>
        <xdr:cNvSpPr txBox="1"/>
      </xdr:nvSpPr>
      <xdr:spPr>
        <a:xfrm>
          <a:off x="8782050" y="1276351"/>
          <a:ext cx="576261" cy="350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8</xdr:col>
      <xdr:colOff>547687</xdr:colOff>
      <xdr:row>10</xdr:row>
      <xdr:rowOff>130969</xdr:rowOff>
    </xdr:from>
    <xdr:to>
      <xdr:col>9</xdr:col>
      <xdr:colOff>73817</xdr:colOff>
      <xdr:row>10</xdr:row>
      <xdr:rowOff>309563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A1FBF73-460A-4AD5-82D0-25F6C16B1FBC}"/>
            </a:ext>
          </a:extLst>
        </xdr:cNvPr>
        <xdr:cNvSpPr txBox="1"/>
      </xdr:nvSpPr>
      <xdr:spPr>
        <a:xfrm>
          <a:off x="6334125" y="1500188"/>
          <a:ext cx="752473" cy="178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>
              <a:solidFill>
                <a:srgbClr val="0000CC"/>
              </a:solidFill>
            </a:rPr>
            <a:t>Sale</a:t>
          </a:r>
        </a:p>
      </xdr:txBody>
    </xdr:sp>
    <xdr:clientData/>
  </xdr:twoCellAnchor>
  <xdr:twoCellAnchor>
    <xdr:from>
      <xdr:col>10</xdr:col>
      <xdr:colOff>500064</xdr:colOff>
      <xdr:row>9</xdr:row>
      <xdr:rowOff>35720</xdr:rowOff>
    </xdr:from>
    <xdr:to>
      <xdr:col>12</xdr:col>
      <xdr:colOff>440533</xdr:colOff>
      <xdr:row>11</xdr:row>
      <xdr:rowOff>11907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E05BCCE-A80D-4DFC-BBD7-29E3D15A8386}"/>
            </a:ext>
          </a:extLst>
        </xdr:cNvPr>
        <xdr:cNvSpPr/>
      </xdr:nvSpPr>
      <xdr:spPr>
        <a:xfrm>
          <a:off x="8024814" y="940595"/>
          <a:ext cx="1238250" cy="773906"/>
        </a:xfrm>
        <a:prstGeom prst="rect">
          <a:avLst/>
        </a:prstGeom>
        <a:solidFill>
          <a:schemeClr val="accent1">
            <a:alpha val="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738187</xdr:colOff>
      <xdr:row>18</xdr:row>
      <xdr:rowOff>0</xdr:rowOff>
    </xdr:from>
    <xdr:to>
      <xdr:col>9</xdr:col>
      <xdr:colOff>264317</xdr:colOff>
      <xdr:row>18</xdr:row>
      <xdr:rowOff>178594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7235806-D9C7-4463-A377-9AF8017C9BF2}"/>
            </a:ext>
          </a:extLst>
        </xdr:cNvPr>
        <xdr:cNvSpPr txBox="1"/>
      </xdr:nvSpPr>
      <xdr:spPr>
        <a:xfrm>
          <a:off x="6524625" y="4167188"/>
          <a:ext cx="752473" cy="178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>
              <a:solidFill>
                <a:srgbClr val="0000CC"/>
              </a:solidFill>
            </a:rPr>
            <a:t>Sale</a:t>
          </a:r>
        </a:p>
      </xdr:txBody>
    </xdr:sp>
    <xdr:clientData/>
  </xdr:twoCellAnchor>
  <xdr:twoCellAnchor>
    <xdr:from>
      <xdr:col>9</xdr:col>
      <xdr:colOff>464344</xdr:colOff>
      <xdr:row>17</xdr:row>
      <xdr:rowOff>71438</xdr:rowOff>
    </xdr:from>
    <xdr:to>
      <xdr:col>11</xdr:col>
      <xdr:colOff>61910</xdr:colOff>
      <xdr:row>18</xdr:row>
      <xdr:rowOff>23812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A5D3E9F-B427-46C9-A095-3B818859D6C4}"/>
            </a:ext>
          </a:extLst>
        </xdr:cNvPr>
        <xdr:cNvSpPr txBox="1"/>
      </xdr:nvSpPr>
      <xdr:spPr>
        <a:xfrm>
          <a:off x="7477125" y="4024313"/>
          <a:ext cx="942973" cy="166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12</xdr:col>
      <xdr:colOff>83345</xdr:colOff>
      <xdr:row>17</xdr:row>
      <xdr:rowOff>23813</xdr:rowOff>
    </xdr:from>
    <xdr:to>
      <xdr:col>14</xdr:col>
      <xdr:colOff>178595</xdr:colOff>
      <xdr:row>18</xdr:row>
      <xdr:rowOff>-1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E7E3F0ED-05D2-4A30-9E13-54AEA553EACB}"/>
            </a:ext>
          </a:extLst>
        </xdr:cNvPr>
        <xdr:cNvSpPr txBox="1"/>
      </xdr:nvSpPr>
      <xdr:spPr>
        <a:xfrm>
          <a:off x="8905876" y="3976688"/>
          <a:ext cx="666750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8</xdr:col>
      <xdr:colOff>809623</xdr:colOff>
      <xdr:row>21</xdr:row>
      <xdr:rowOff>59530</xdr:rowOff>
    </xdr:from>
    <xdr:to>
      <xdr:col>9</xdr:col>
      <xdr:colOff>335753</xdr:colOff>
      <xdr:row>21</xdr:row>
      <xdr:rowOff>238124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3655ECEF-BC82-4E32-BF2B-932F50F8704D}"/>
            </a:ext>
          </a:extLst>
        </xdr:cNvPr>
        <xdr:cNvSpPr txBox="1"/>
      </xdr:nvSpPr>
      <xdr:spPr>
        <a:xfrm>
          <a:off x="6596061" y="4822030"/>
          <a:ext cx="752473" cy="178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>
              <a:solidFill>
                <a:srgbClr val="0000CC"/>
              </a:solidFill>
            </a:rPr>
            <a:t>Sale</a:t>
          </a:r>
        </a:p>
      </xdr:txBody>
    </xdr:sp>
    <xdr:clientData/>
  </xdr:twoCellAnchor>
  <xdr:twoCellAnchor>
    <xdr:from>
      <xdr:col>9</xdr:col>
      <xdr:colOff>464344</xdr:colOff>
      <xdr:row>20</xdr:row>
      <xdr:rowOff>71438</xdr:rowOff>
    </xdr:from>
    <xdr:to>
      <xdr:col>11</xdr:col>
      <xdr:colOff>61910</xdr:colOff>
      <xdr:row>21</xdr:row>
      <xdr:rowOff>23812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FCE356C-A7DF-4652-87F5-7EF723B4DE21}"/>
            </a:ext>
          </a:extLst>
        </xdr:cNvPr>
        <xdr:cNvSpPr txBox="1"/>
      </xdr:nvSpPr>
      <xdr:spPr>
        <a:xfrm>
          <a:off x="7477125" y="4024313"/>
          <a:ext cx="942973" cy="166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8</xdr:col>
      <xdr:colOff>797717</xdr:colOff>
      <xdr:row>24</xdr:row>
      <xdr:rowOff>47624</xdr:rowOff>
    </xdr:from>
    <xdr:to>
      <xdr:col>9</xdr:col>
      <xdr:colOff>323847</xdr:colOff>
      <xdr:row>24</xdr:row>
      <xdr:rowOff>226218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1983900D-A300-4B17-AC52-804C0658C49F}"/>
            </a:ext>
          </a:extLst>
        </xdr:cNvPr>
        <xdr:cNvSpPr txBox="1"/>
      </xdr:nvSpPr>
      <xdr:spPr>
        <a:xfrm>
          <a:off x="6584155" y="5453062"/>
          <a:ext cx="752473" cy="178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>
              <a:solidFill>
                <a:srgbClr val="0000CC"/>
              </a:solidFill>
            </a:rPr>
            <a:t>Sale</a:t>
          </a:r>
        </a:p>
      </xdr:txBody>
    </xdr:sp>
    <xdr:clientData/>
  </xdr:twoCellAnchor>
  <xdr:twoCellAnchor>
    <xdr:from>
      <xdr:col>9</xdr:col>
      <xdr:colOff>464344</xdr:colOff>
      <xdr:row>23</xdr:row>
      <xdr:rowOff>71438</xdr:rowOff>
    </xdr:from>
    <xdr:to>
      <xdr:col>11</xdr:col>
      <xdr:colOff>61910</xdr:colOff>
      <xdr:row>24</xdr:row>
      <xdr:rowOff>23812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C952E19-0DF6-45EB-9CFF-4F6CF68F994C}"/>
            </a:ext>
          </a:extLst>
        </xdr:cNvPr>
        <xdr:cNvSpPr txBox="1"/>
      </xdr:nvSpPr>
      <xdr:spPr>
        <a:xfrm>
          <a:off x="7477125" y="4619626"/>
          <a:ext cx="942973" cy="166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11</xdr:col>
      <xdr:colOff>154781</xdr:colOff>
      <xdr:row>21</xdr:row>
      <xdr:rowOff>71438</xdr:rowOff>
    </xdr:from>
    <xdr:to>
      <xdr:col>14</xdr:col>
      <xdr:colOff>61911</xdr:colOff>
      <xdr:row>21</xdr:row>
      <xdr:rowOff>238124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F58B5F2-A183-4C0C-9DFE-20B55A9E1CEE}"/>
            </a:ext>
          </a:extLst>
        </xdr:cNvPr>
        <xdr:cNvSpPr txBox="1"/>
      </xdr:nvSpPr>
      <xdr:spPr>
        <a:xfrm>
          <a:off x="8512969" y="4833938"/>
          <a:ext cx="942973" cy="166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11</xdr:col>
      <xdr:colOff>130969</xdr:colOff>
      <xdr:row>18</xdr:row>
      <xdr:rowOff>23813</xdr:rowOff>
    </xdr:from>
    <xdr:to>
      <xdr:col>12</xdr:col>
      <xdr:colOff>333376</xdr:colOff>
      <xdr:row>19</xdr:row>
      <xdr:rowOff>23812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B44E6B2-48BD-4242-8844-B543B733AC47}"/>
            </a:ext>
          </a:extLst>
        </xdr:cNvPr>
        <xdr:cNvSpPr txBox="1"/>
      </xdr:nvSpPr>
      <xdr:spPr>
        <a:xfrm>
          <a:off x="8489157" y="4191001"/>
          <a:ext cx="666750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10</xdr:col>
      <xdr:colOff>511970</xdr:colOff>
      <xdr:row>16</xdr:row>
      <xdr:rowOff>83343</xdr:rowOff>
    </xdr:from>
    <xdr:to>
      <xdr:col>13</xdr:col>
      <xdr:colOff>1</xdr:colOff>
      <xdr:row>18</xdr:row>
      <xdr:rowOff>166687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D97038B3-4A4C-4548-86BB-207B04914D02}"/>
            </a:ext>
          </a:extLst>
        </xdr:cNvPr>
        <xdr:cNvSpPr/>
      </xdr:nvSpPr>
      <xdr:spPr>
        <a:xfrm>
          <a:off x="8036720" y="3845718"/>
          <a:ext cx="1238250" cy="488157"/>
        </a:xfrm>
        <a:prstGeom prst="rect">
          <a:avLst/>
        </a:prstGeom>
        <a:solidFill>
          <a:schemeClr val="accent1">
            <a:alpha val="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511970</xdr:colOff>
      <xdr:row>19</xdr:row>
      <xdr:rowOff>130967</xdr:rowOff>
    </xdr:from>
    <xdr:to>
      <xdr:col>13</xdr:col>
      <xdr:colOff>1</xdr:colOff>
      <xdr:row>21</xdr:row>
      <xdr:rowOff>214312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B0B216F5-16CB-491B-9BB0-0CD75DA2441F}"/>
            </a:ext>
          </a:extLst>
        </xdr:cNvPr>
        <xdr:cNvSpPr/>
      </xdr:nvSpPr>
      <xdr:spPr>
        <a:xfrm>
          <a:off x="8036720" y="4488655"/>
          <a:ext cx="1238250" cy="488157"/>
        </a:xfrm>
        <a:prstGeom prst="rect">
          <a:avLst/>
        </a:prstGeom>
        <a:solidFill>
          <a:schemeClr val="accent1">
            <a:alpha val="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500062</xdr:colOff>
      <xdr:row>23</xdr:row>
      <xdr:rowOff>11907</xdr:rowOff>
    </xdr:from>
    <xdr:to>
      <xdr:col>12</xdr:col>
      <xdr:colOff>440531</xdr:colOff>
      <xdr:row>25</xdr:row>
      <xdr:rowOff>47626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F3642F93-9285-4AAC-AFE8-353E76A4718E}"/>
            </a:ext>
          </a:extLst>
        </xdr:cNvPr>
        <xdr:cNvSpPr/>
      </xdr:nvSpPr>
      <xdr:spPr>
        <a:xfrm>
          <a:off x="8024812" y="5203032"/>
          <a:ext cx="1238250" cy="488157"/>
        </a:xfrm>
        <a:prstGeom prst="rect">
          <a:avLst/>
        </a:prstGeom>
        <a:solidFill>
          <a:schemeClr val="accent1">
            <a:alpha val="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21</xdr:col>
      <xdr:colOff>167640</xdr:colOff>
      <xdr:row>9</xdr:row>
      <xdr:rowOff>50970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AA0E96D6-543A-4C45-B3B0-6D0EE47CB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295277</xdr:colOff>
      <xdr:row>5</xdr:row>
      <xdr:rowOff>0</xdr:rowOff>
    </xdr:from>
    <xdr:to>
      <xdr:col>27</xdr:col>
      <xdr:colOff>568751</xdr:colOff>
      <xdr:row>9</xdr:row>
      <xdr:rowOff>50970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56CBC4B9-B1CB-4CDC-B2DB-55F03A81C3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9</xdr:row>
      <xdr:rowOff>116418</xdr:rowOff>
    </xdr:from>
    <xdr:to>
      <xdr:col>21</xdr:col>
      <xdr:colOff>167640</xdr:colOff>
      <xdr:row>13</xdr:row>
      <xdr:rowOff>177970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5C921ED6-D628-4E28-BAE1-62D176A6B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302683</xdr:colOff>
      <xdr:row>9</xdr:row>
      <xdr:rowOff>116417</xdr:rowOff>
    </xdr:from>
    <xdr:to>
      <xdr:col>27</xdr:col>
      <xdr:colOff>576157</xdr:colOff>
      <xdr:row>13</xdr:row>
      <xdr:rowOff>177969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674260B7-2258-49F1-B766-45BF6E3D35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0.00185</cdr:x>
      <cdr:y>0.13033</cdr:y>
    </cdr:from>
    <cdr:to>
      <cdr:x>0.1446</cdr:x>
      <cdr:y>0.21363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467" y="375356"/>
          <a:ext cx="652638" cy="2398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781051</xdr:colOff>
      <xdr:row>5</xdr:row>
      <xdr:rowOff>323850</xdr:rowOff>
    </xdr:from>
    <xdr:to>
      <xdr:col>3</xdr:col>
      <xdr:colOff>676275</xdr:colOff>
      <xdr:row>6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70C8593-768E-49F4-9398-268C4C6EB877}"/>
            </a:ext>
          </a:extLst>
        </xdr:cNvPr>
        <xdr:cNvSpPr txBox="1"/>
      </xdr:nvSpPr>
      <xdr:spPr>
        <a:xfrm>
          <a:off x="2000251" y="1238250"/>
          <a:ext cx="733424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4</xdr:col>
      <xdr:colOff>33339</xdr:colOff>
      <xdr:row>5</xdr:row>
      <xdr:rowOff>19050</xdr:rowOff>
    </xdr:from>
    <xdr:to>
      <xdr:col>6</xdr:col>
      <xdr:colOff>582083</xdr:colOff>
      <xdr:row>6</xdr:row>
      <xdr:rowOff>285750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9EA97A-07DD-4DD1-8656-4943D7D6B8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752476</xdr:colOff>
      <xdr:row>9</xdr:row>
      <xdr:rowOff>314325</xdr:rowOff>
    </xdr:from>
    <xdr:to>
      <xdr:col>3</xdr:col>
      <xdr:colOff>647700</xdr:colOff>
      <xdr:row>10</xdr:row>
      <xdr:rowOff>200025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86FD2C5-085A-49D5-A80D-EBEF06F90047}"/>
            </a:ext>
          </a:extLst>
        </xdr:cNvPr>
        <xdr:cNvSpPr txBox="1"/>
      </xdr:nvSpPr>
      <xdr:spPr>
        <a:xfrm>
          <a:off x="1971676" y="2257425"/>
          <a:ext cx="733424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4</xdr:col>
      <xdr:colOff>828676</xdr:colOff>
      <xdr:row>9</xdr:row>
      <xdr:rowOff>371475</xdr:rowOff>
    </xdr:from>
    <xdr:to>
      <xdr:col>5</xdr:col>
      <xdr:colOff>723900</xdr:colOff>
      <xdr:row>10</xdr:row>
      <xdr:rowOff>257175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B715C28-15D4-4341-B7A0-D6E0BE470924}"/>
            </a:ext>
          </a:extLst>
        </xdr:cNvPr>
        <xdr:cNvSpPr txBox="1"/>
      </xdr:nvSpPr>
      <xdr:spPr>
        <a:xfrm>
          <a:off x="3714751" y="2314575"/>
          <a:ext cx="723899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2</xdr:col>
      <xdr:colOff>752476</xdr:colOff>
      <xdr:row>13</xdr:row>
      <xdr:rowOff>314325</xdr:rowOff>
    </xdr:from>
    <xdr:to>
      <xdr:col>3</xdr:col>
      <xdr:colOff>647700</xdr:colOff>
      <xdr:row>14</xdr:row>
      <xdr:rowOff>200025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B66ECF9-7E35-4203-BAEB-65A648EED46C}"/>
            </a:ext>
          </a:extLst>
        </xdr:cNvPr>
        <xdr:cNvSpPr txBox="1"/>
      </xdr:nvSpPr>
      <xdr:spPr>
        <a:xfrm>
          <a:off x="1971676" y="3276600"/>
          <a:ext cx="733424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4</xdr:col>
      <xdr:colOff>828676</xdr:colOff>
      <xdr:row>13</xdr:row>
      <xdr:rowOff>371475</xdr:rowOff>
    </xdr:from>
    <xdr:to>
      <xdr:col>5</xdr:col>
      <xdr:colOff>723900</xdr:colOff>
      <xdr:row>14</xdr:row>
      <xdr:rowOff>257175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8A2AB5D-D0F0-4E4D-976A-C681B6DA64FC}"/>
            </a:ext>
          </a:extLst>
        </xdr:cNvPr>
        <xdr:cNvSpPr txBox="1"/>
      </xdr:nvSpPr>
      <xdr:spPr>
        <a:xfrm>
          <a:off x="3714751" y="3295650"/>
          <a:ext cx="723899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9</xdr:col>
      <xdr:colOff>288131</xdr:colOff>
      <xdr:row>5</xdr:row>
      <xdr:rowOff>380999</xdr:rowOff>
    </xdr:from>
    <xdr:to>
      <xdr:col>10</xdr:col>
      <xdr:colOff>719135</xdr:colOff>
      <xdr:row>6</xdr:row>
      <xdr:rowOff>95249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AF9B7BD-E233-49BD-A5FC-EC5A4AFF35D4}"/>
            </a:ext>
          </a:extLst>
        </xdr:cNvPr>
        <xdr:cNvSpPr txBox="1"/>
      </xdr:nvSpPr>
      <xdr:spPr>
        <a:xfrm>
          <a:off x="7308056" y="1295399"/>
          <a:ext cx="945354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11</xdr:col>
      <xdr:colOff>423862</xdr:colOff>
      <xdr:row>5</xdr:row>
      <xdr:rowOff>371476</xdr:rowOff>
    </xdr:from>
    <xdr:to>
      <xdr:col>13</xdr:col>
      <xdr:colOff>83342</xdr:colOff>
      <xdr:row>6</xdr:row>
      <xdr:rowOff>257176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B1B7C89-193A-49B7-B900-D1EFBAC23CD6}"/>
            </a:ext>
          </a:extLst>
        </xdr:cNvPr>
        <xdr:cNvSpPr txBox="1"/>
      </xdr:nvSpPr>
      <xdr:spPr>
        <a:xfrm>
          <a:off x="8796337" y="1285876"/>
          <a:ext cx="57388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4</xdr:col>
      <xdr:colOff>309562</xdr:colOff>
      <xdr:row>9</xdr:row>
      <xdr:rowOff>59531</xdr:rowOff>
    </xdr:from>
    <xdr:to>
      <xdr:col>6</xdr:col>
      <xdr:colOff>59531</xdr:colOff>
      <xdr:row>10</xdr:row>
      <xdr:rowOff>297656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C784E35-01D9-49C1-AA6C-685EBEB1C1BF}"/>
            </a:ext>
          </a:extLst>
        </xdr:cNvPr>
        <xdr:cNvSpPr/>
      </xdr:nvSpPr>
      <xdr:spPr>
        <a:xfrm>
          <a:off x="3205162" y="2002631"/>
          <a:ext cx="1540669" cy="695325"/>
        </a:xfrm>
        <a:prstGeom prst="rect">
          <a:avLst/>
        </a:prstGeom>
        <a:solidFill>
          <a:schemeClr val="accent1">
            <a:alpha val="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357187</xdr:colOff>
      <xdr:row>13</xdr:row>
      <xdr:rowOff>71439</xdr:rowOff>
    </xdr:from>
    <xdr:to>
      <xdr:col>6</xdr:col>
      <xdr:colOff>107156</xdr:colOff>
      <xdr:row>14</xdr:row>
      <xdr:rowOff>428626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97AD618-4EA6-4BAE-8263-14C1C3E276FF}"/>
            </a:ext>
          </a:extLst>
        </xdr:cNvPr>
        <xdr:cNvSpPr/>
      </xdr:nvSpPr>
      <xdr:spPr>
        <a:xfrm>
          <a:off x="3252787" y="3033714"/>
          <a:ext cx="1540669" cy="690562"/>
        </a:xfrm>
        <a:prstGeom prst="rect">
          <a:avLst/>
        </a:prstGeom>
        <a:solidFill>
          <a:schemeClr val="accent1">
            <a:alpha val="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547687</xdr:colOff>
      <xdr:row>6</xdr:row>
      <xdr:rowOff>130969</xdr:rowOff>
    </xdr:from>
    <xdr:to>
      <xdr:col>9</xdr:col>
      <xdr:colOff>73817</xdr:colOff>
      <xdr:row>6</xdr:row>
      <xdr:rowOff>309563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02ADFE1-78CB-4841-81A6-CB3D4662D5AD}"/>
            </a:ext>
          </a:extLst>
        </xdr:cNvPr>
        <xdr:cNvSpPr txBox="1"/>
      </xdr:nvSpPr>
      <xdr:spPr>
        <a:xfrm>
          <a:off x="6338887" y="1512094"/>
          <a:ext cx="754855" cy="178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>
              <a:solidFill>
                <a:srgbClr val="0000CC"/>
              </a:solidFill>
            </a:rPr>
            <a:t>Sale</a:t>
          </a:r>
        </a:p>
      </xdr:txBody>
    </xdr:sp>
    <xdr:clientData/>
  </xdr:twoCellAnchor>
  <xdr:twoCellAnchor>
    <xdr:from>
      <xdr:col>10</xdr:col>
      <xdr:colOff>500064</xdr:colOff>
      <xdr:row>5</xdr:row>
      <xdr:rowOff>35720</xdr:rowOff>
    </xdr:from>
    <xdr:to>
      <xdr:col>12</xdr:col>
      <xdr:colOff>440533</xdr:colOff>
      <xdr:row>7</xdr:row>
      <xdr:rowOff>11907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F3DBD80-2506-48FA-BF0A-11E6D47FDAAC}"/>
            </a:ext>
          </a:extLst>
        </xdr:cNvPr>
        <xdr:cNvSpPr/>
      </xdr:nvSpPr>
      <xdr:spPr>
        <a:xfrm>
          <a:off x="8034339" y="950120"/>
          <a:ext cx="1245394" cy="776287"/>
        </a:xfrm>
        <a:prstGeom prst="rect">
          <a:avLst/>
        </a:prstGeom>
        <a:solidFill>
          <a:schemeClr val="accent1">
            <a:alpha val="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288131</xdr:colOff>
      <xdr:row>9</xdr:row>
      <xdr:rowOff>380999</xdr:rowOff>
    </xdr:from>
    <xdr:to>
      <xdr:col>10</xdr:col>
      <xdr:colOff>719135</xdr:colOff>
      <xdr:row>10</xdr:row>
      <xdr:rowOff>95249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A2249AA-0923-4FCB-9C4D-5C7318F1BF17}"/>
            </a:ext>
          </a:extLst>
        </xdr:cNvPr>
        <xdr:cNvSpPr txBox="1"/>
      </xdr:nvSpPr>
      <xdr:spPr>
        <a:xfrm>
          <a:off x="7308056" y="2324099"/>
          <a:ext cx="945354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11</xdr:col>
      <xdr:colOff>423862</xdr:colOff>
      <xdr:row>9</xdr:row>
      <xdr:rowOff>371476</xdr:rowOff>
    </xdr:from>
    <xdr:to>
      <xdr:col>13</xdr:col>
      <xdr:colOff>83342</xdr:colOff>
      <xdr:row>10</xdr:row>
      <xdr:rowOff>257176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EA51BED-7E3D-47D6-89D9-37EBE4E9146B}"/>
            </a:ext>
          </a:extLst>
        </xdr:cNvPr>
        <xdr:cNvSpPr txBox="1"/>
      </xdr:nvSpPr>
      <xdr:spPr>
        <a:xfrm>
          <a:off x="8796337" y="2314576"/>
          <a:ext cx="57388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8</xdr:col>
      <xdr:colOff>547687</xdr:colOff>
      <xdr:row>10</xdr:row>
      <xdr:rowOff>130969</xdr:rowOff>
    </xdr:from>
    <xdr:to>
      <xdr:col>9</xdr:col>
      <xdr:colOff>73817</xdr:colOff>
      <xdr:row>10</xdr:row>
      <xdr:rowOff>309563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E65B564-5DA8-45C3-A2E9-FE40F69C478C}"/>
            </a:ext>
          </a:extLst>
        </xdr:cNvPr>
        <xdr:cNvSpPr txBox="1"/>
      </xdr:nvSpPr>
      <xdr:spPr>
        <a:xfrm>
          <a:off x="6338887" y="2531269"/>
          <a:ext cx="754855" cy="178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>
              <a:solidFill>
                <a:srgbClr val="0000CC"/>
              </a:solidFill>
            </a:rPr>
            <a:t>Sale</a:t>
          </a:r>
        </a:p>
      </xdr:txBody>
    </xdr:sp>
    <xdr:clientData/>
  </xdr:twoCellAnchor>
  <xdr:twoCellAnchor>
    <xdr:from>
      <xdr:col>10</xdr:col>
      <xdr:colOff>500064</xdr:colOff>
      <xdr:row>9</xdr:row>
      <xdr:rowOff>35720</xdr:rowOff>
    </xdr:from>
    <xdr:to>
      <xdr:col>12</xdr:col>
      <xdr:colOff>440533</xdr:colOff>
      <xdr:row>11</xdr:row>
      <xdr:rowOff>11907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968496F-B62E-4EDB-8061-4DFC46F5FDE7}"/>
            </a:ext>
          </a:extLst>
        </xdr:cNvPr>
        <xdr:cNvSpPr/>
      </xdr:nvSpPr>
      <xdr:spPr>
        <a:xfrm>
          <a:off x="8034339" y="1978820"/>
          <a:ext cx="1245394" cy="766762"/>
        </a:xfrm>
        <a:prstGeom prst="rect">
          <a:avLst/>
        </a:prstGeom>
        <a:solidFill>
          <a:schemeClr val="accent1">
            <a:alpha val="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738187</xdr:colOff>
      <xdr:row>18</xdr:row>
      <xdr:rowOff>0</xdr:rowOff>
    </xdr:from>
    <xdr:to>
      <xdr:col>9</xdr:col>
      <xdr:colOff>264317</xdr:colOff>
      <xdr:row>18</xdr:row>
      <xdr:rowOff>178594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A7A358A-22EC-4E44-A087-16791CADDF73}"/>
            </a:ext>
          </a:extLst>
        </xdr:cNvPr>
        <xdr:cNvSpPr txBox="1"/>
      </xdr:nvSpPr>
      <xdr:spPr>
        <a:xfrm>
          <a:off x="6529387" y="4200525"/>
          <a:ext cx="754855" cy="178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>
              <a:solidFill>
                <a:srgbClr val="0000CC"/>
              </a:solidFill>
            </a:rPr>
            <a:t>Sale</a:t>
          </a:r>
        </a:p>
      </xdr:txBody>
    </xdr:sp>
    <xdr:clientData/>
  </xdr:twoCellAnchor>
  <xdr:twoCellAnchor>
    <xdr:from>
      <xdr:col>9</xdr:col>
      <xdr:colOff>464344</xdr:colOff>
      <xdr:row>17</xdr:row>
      <xdr:rowOff>71438</xdr:rowOff>
    </xdr:from>
    <xdr:to>
      <xdr:col>11</xdr:col>
      <xdr:colOff>61910</xdr:colOff>
      <xdr:row>18</xdr:row>
      <xdr:rowOff>23812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554BA13-15A2-44C0-B346-7C99E7E214C8}"/>
            </a:ext>
          </a:extLst>
        </xdr:cNvPr>
        <xdr:cNvSpPr txBox="1"/>
      </xdr:nvSpPr>
      <xdr:spPr>
        <a:xfrm>
          <a:off x="7484269" y="4062413"/>
          <a:ext cx="950116" cy="161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12</xdr:col>
      <xdr:colOff>83345</xdr:colOff>
      <xdr:row>17</xdr:row>
      <xdr:rowOff>23813</xdr:rowOff>
    </xdr:from>
    <xdr:to>
      <xdr:col>14</xdr:col>
      <xdr:colOff>178595</xdr:colOff>
      <xdr:row>18</xdr:row>
      <xdr:rowOff>-1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8F7B53A-5D8A-4482-9CCA-4169487AC027}"/>
            </a:ext>
          </a:extLst>
        </xdr:cNvPr>
        <xdr:cNvSpPr txBox="1"/>
      </xdr:nvSpPr>
      <xdr:spPr>
        <a:xfrm>
          <a:off x="8922545" y="4014788"/>
          <a:ext cx="657225" cy="185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8</xdr:col>
      <xdr:colOff>809623</xdr:colOff>
      <xdr:row>21</xdr:row>
      <xdr:rowOff>59530</xdr:rowOff>
    </xdr:from>
    <xdr:to>
      <xdr:col>9</xdr:col>
      <xdr:colOff>335753</xdr:colOff>
      <xdr:row>21</xdr:row>
      <xdr:rowOff>238124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C1FE1ED-AE58-46A9-9DAA-2F050D7BACAE}"/>
            </a:ext>
          </a:extLst>
        </xdr:cNvPr>
        <xdr:cNvSpPr txBox="1"/>
      </xdr:nvSpPr>
      <xdr:spPr>
        <a:xfrm>
          <a:off x="6600823" y="4850605"/>
          <a:ext cx="754855" cy="178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>
              <a:solidFill>
                <a:srgbClr val="0000CC"/>
              </a:solidFill>
            </a:rPr>
            <a:t>Sale</a:t>
          </a:r>
        </a:p>
      </xdr:txBody>
    </xdr:sp>
    <xdr:clientData/>
  </xdr:twoCellAnchor>
  <xdr:twoCellAnchor>
    <xdr:from>
      <xdr:col>9</xdr:col>
      <xdr:colOff>464344</xdr:colOff>
      <xdr:row>20</xdr:row>
      <xdr:rowOff>71438</xdr:rowOff>
    </xdr:from>
    <xdr:to>
      <xdr:col>11</xdr:col>
      <xdr:colOff>61910</xdr:colOff>
      <xdr:row>21</xdr:row>
      <xdr:rowOff>23812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C1EF8D1-CA98-45DC-95CA-AF76B71AEA52}"/>
            </a:ext>
          </a:extLst>
        </xdr:cNvPr>
        <xdr:cNvSpPr txBox="1"/>
      </xdr:nvSpPr>
      <xdr:spPr>
        <a:xfrm>
          <a:off x="7484269" y="4652963"/>
          <a:ext cx="950116" cy="161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8</xdr:col>
      <xdr:colOff>797717</xdr:colOff>
      <xdr:row>24</xdr:row>
      <xdr:rowOff>47624</xdr:rowOff>
    </xdr:from>
    <xdr:to>
      <xdr:col>9</xdr:col>
      <xdr:colOff>323847</xdr:colOff>
      <xdr:row>24</xdr:row>
      <xdr:rowOff>226218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55C0E2B-F216-4CE9-AA65-C2A598AE6807}"/>
            </a:ext>
          </a:extLst>
        </xdr:cNvPr>
        <xdr:cNvSpPr txBox="1"/>
      </xdr:nvSpPr>
      <xdr:spPr>
        <a:xfrm>
          <a:off x="6588917" y="5476874"/>
          <a:ext cx="754855" cy="178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>
              <a:solidFill>
                <a:srgbClr val="0000CC"/>
              </a:solidFill>
            </a:rPr>
            <a:t>Sale</a:t>
          </a:r>
        </a:p>
      </xdr:txBody>
    </xdr:sp>
    <xdr:clientData/>
  </xdr:twoCellAnchor>
  <xdr:twoCellAnchor>
    <xdr:from>
      <xdr:col>9</xdr:col>
      <xdr:colOff>464344</xdr:colOff>
      <xdr:row>23</xdr:row>
      <xdr:rowOff>71438</xdr:rowOff>
    </xdr:from>
    <xdr:to>
      <xdr:col>11</xdr:col>
      <xdr:colOff>61910</xdr:colOff>
      <xdr:row>24</xdr:row>
      <xdr:rowOff>23812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88981CF-B12E-47EA-80FC-11865607A58A}"/>
            </a:ext>
          </a:extLst>
        </xdr:cNvPr>
        <xdr:cNvSpPr txBox="1"/>
      </xdr:nvSpPr>
      <xdr:spPr>
        <a:xfrm>
          <a:off x="7484269" y="5291138"/>
          <a:ext cx="950116" cy="161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11</xdr:col>
      <xdr:colOff>154781</xdr:colOff>
      <xdr:row>21</xdr:row>
      <xdr:rowOff>71438</xdr:rowOff>
    </xdr:from>
    <xdr:to>
      <xdr:col>14</xdr:col>
      <xdr:colOff>61911</xdr:colOff>
      <xdr:row>21</xdr:row>
      <xdr:rowOff>238124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2B6E421-FC82-4F8B-9932-3DBEAE417EFC}"/>
            </a:ext>
          </a:extLst>
        </xdr:cNvPr>
        <xdr:cNvSpPr txBox="1"/>
      </xdr:nvSpPr>
      <xdr:spPr>
        <a:xfrm>
          <a:off x="8527256" y="4862513"/>
          <a:ext cx="935830" cy="166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11</xdr:col>
      <xdr:colOff>130969</xdr:colOff>
      <xdr:row>18</xdr:row>
      <xdr:rowOff>23813</xdr:rowOff>
    </xdr:from>
    <xdr:to>
      <xdr:col>12</xdr:col>
      <xdr:colOff>333376</xdr:colOff>
      <xdr:row>19</xdr:row>
      <xdr:rowOff>23812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B80A2D6-2216-4E1B-9982-44FAABA32B4A}"/>
            </a:ext>
          </a:extLst>
        </xdr:cNvPr>
        <xdr:cNvSpPr txBox="1"/>
      </xdr:nvSpPr>
      <xdr:spPr>
        <a:xfrm>
          <a:off x="8503444" y="4224338"/>
          <a:ext cx="669132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10</xdr:col>
      <xdr:colOff>511970</xdr:colOff>
      <xdr:row>16</xdr:row>
      <xdr:rowOff>83343</xdr:rowOff>
    </xdr:from>
    <xdr:to>
      <xdr:col>13</xdr:col>
      <xdr:colOff>1</xdr:colOff>
      <xdr:row>18</xdr:row>
      <xdr:rowOff>166687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7D7E967A-E419-4BCE-B16C-10BA635D8182}"/>
            </a:ext>
          </a:extLst>
        </xdr:cNvPr>
        <xdr:cNvSpPr/>
      </xdr:nvSpPr>
      <xdr:spPr>
        <a:xfrm>
          <a:off x="8046245" y="3883818"/>
          <a:ext cx="1240631" cy="483394"/>
        </a:xfrm>
        <a:prstGeom prst="rect">
          <a:avLst/>
        </a:prstGeom>
        <a:solidFill>
          <a:schemeClr val="accent1">
            <a:alpha val="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511970</xdr:colOff>
      <xdr:row>19</xdr:row>
      <xdr:rowOff>130967</xdr:rowOff>
    </xdr:from>
    <xdr:to>
      <xdr:col>13</xdr:col>
      <xdr:colOff>1</xdr:colOff>
      <xdr:row>21</xdr:row>
      <xdr:rowOff>214312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F9B176F-738A-4F23-8EF1-51D187DFAF2E}"/>
            </a:ext>
          </a:extLst>
        </xdr:cNvPr>
        <xdr:cNvSpPr/>
      </xdr:nvSpPr>
      <xdr:spPr>
        <a:xfrm>
          <a:off x="8046245" y="4521992"/>
          <a:ext cx="1240631" cy="483395"/>
        </a:xfrm>
        <a:prstGeom prst="rect">
          <a:avLst/>
        </a:prstGeom>
        <a:solidFill>
          <a:schemeClr val="accent1">
            <a:alpha val="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500062</xdr:colOff>
      <xdr:row>23</xdr:row>
      <xdr:rowOff>11907</xdr:rowOff>
    </xdr:from>
    <xdr:to>
      <xdr:col>12</xdr:col>
      <xdr:colOff>440531</xdr:colOff>
      <xdr:row>25</xdr:row>
      <xdr:rowOff>47626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5C1ACA6A-124D-444D-A5F0-07412DE3B1A5}"/>
            </a:ext>
          </a:extLst>
        </xdr:cNvPr>
        <xdr:cNvSpPr/>
      </xdr:nvSpPr>
      <xdr:spPr>
        <a:xfrm>
          <a:off x="8034337" y="5231607"/>
          <a:ext cx="1245394" cy="483394"/>
        </a:xfrm>
        <a:prstGeom prst="rect">
          <a:avLst/>
        </a:prstGeom>
        <a:solidFill>
          <a:schemeClr val="accent1">
            <a:alpha val="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719667</xdr:colOff>
      <xdr:row>7</xdr:row>
      <xdr:rowOff>0</xdr:rowOff>
    </xdr:from>
    <xdr:to>
      <xdr:col>19</xdr:col>
      <xdr:colOff>568588</xdr:colOff>
      <xdr:row>7</xdr:row>
      <xdr:rowOff>169334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19D9AE3-621F-4DEE-9C21-2C78B219043A}"/>
            </a:ext>
          </a:extLst>
        </xdr:cNvPr>
        <xdr:cNvSpPr txBox="1"/>
      </xdr:nvSpPr>
      <xdr:spPr>
        <a:xfrm>
          <a:off x="9906000" y="1217083"/>
          <a:ext cx="1150671" cy="1693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3</xdr:col>
      <xdr:colOff>54428</xdr:colOff>
      <xdr:row>10</xdr:row>
      <xdr:rowOff>107155</xdr:rowOff>
    </xdr:from>
    <xdr:to>
      <xdr:col>17</xdr:col>
      <xdr:colOff>176893</xdr:colOff>
      <xdr:row>38</xdr:row>
      <xdr:rowOff>28914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AAB742-6F07-4FF8-A67C-F11FEA3227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0.05438</cdr:x>
      <cdr:y>0.92662</cdr:y>
    </cdr:from>
    <cdr:to>
      <cdr:x>0.15248</cdr:x>
      <cdr:y>0.97484</cdr:y>
    </cdr:to>
    <cdr:sp macro="" textlink="'S3'!$D$55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8D32C20-A895-4348-AE81-DAB08E63EFB4}"/>
            </a:ext>
          </a:extLst>
        </cdr:cNvPr>
        <cdr:cNvSpPr txBox="1"/>
      </cdr:nvSpPr>
      <cdr:spPr>
        <a:xfrm xmlns:a="http://schemas.openxmlformats.org/drawingml/2006/main">
          <a:off x="452967" y="4677833"/>
          <a:ext cx="817034" cy="24341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B8FC39C-E017-488B-A8C2-4CF7D28230E2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95%</a:t>
          </a:fld>
          <a:endParaRPr lang="en-US" sz="1100"/>
        </a:p>
      </cdr:txBody>
    </cdr:sp>
  </cdr:relSizeAnchor>
  <cdr:relSizeAnchor xmlns:cdr="http://schemas.openxmlformats.org/drawingml/2006/chartDrawing">
    <cdr:from>
      <cdr:x>0.76224</cdr:x>
      <cdr:y>0.92569</cdr:y>
    </cdr:from>
    <cdr:to>
      <cdr:x>0.86033</cdr:x>
      <cdr:y>0.97391</cdr:y>
    </cdr:to>
    <cdr:sp macro="" textlink="'S3'!$J$55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D362CF0D-3569-47B9-865B-E79E04BB4BE9}"/>
            </a:ext>
          </a:extLst>
        </cdr:cNvPr>
        <cdr:cNvSpPr txBox="1"/>
      </cdr:nvSpPr>
      <cdr:spPr>
        <a:xfrm xmlns:a="http://schemas.openxmlformats.org/drawingml/2006/main">
          <a:off x="6337208" y="4594734"/>
          <a:ext cx="815551" cy="239333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3D2B897-1C95-406A-9364-2E2F149D434C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94%</a:t>
          </a:fld>
          <a:endParaRPr lang="en-US" sz="1100"/>
        </a:p>
      </cdr:txBody>
    </cdr:sp>
  </cdr:relSizeAnchor>
  <cdr:relSizeAnchor xmlns:cdr="http://schemas.openxmlformats.org/drawingml/2006/chartDrawing">
    <cdr:from>
      <cdr:x>0.63949</cdr:x>
      <cdr:y>0.92569</cdr:y>
    </cdr:from>
    <cdr:to>
      <cdr:x>0.73758</cdr:x>
      <cdr:y>0.97391</cdr:y>
    </cdr:to>
    <cdr:sp macro="" textlink="'S3'!$I$55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D362CF0D-3569-47B9-865B-E79E04BB4BE9}"/>
            </a:ext>
          </a:extLst>
        </cdr:cNvPr>
        <cdr:cNvSpPr txBox="1"/>
      </cdr:nvSpPr>
      <cdr:spPr>
        <a:xfrm xmlns:a="http://schemas.openxmlformats.org/drawingml/2006/main">
          <a:off x="5316672" y="4594734"/>
          <a:ext cx="815551" cy="239333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AF881333-35A2-4208-8A2B-60E782240F0F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98%</a:t>
          </a:fld>
          <a:endParaRPr lang="en-US" sz="1100"/>
        </a:p>
      </cdr:txBody>
    </cdr:sp>
  </cdr:relSizeAnchor>
  <cdr:relSizeAnchor xmlns:cdr="http://schemas.openxmlformats.org/drawingml/2006/chartDrawing">
    <cdr:from>
      <cdr:x>0.52165</cdr:x>
      <cdr:y>0.92569</cdr:y>
    </cdr:from>
    <cdr:to>
      <cdr:x>0.61974</cdr:x>
      <cdr:y>0.97391</cdr:y>
    </cdr:to>
    <cdr:sp macro="" textlink="'S3'!$H$55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D362CF0D-3569-47B9-865B-E79E04BB4BE9}"/>
            </a:ext>
          </a:extLst>
        </cdr:cNvPr>
        <cdr:cNvSpPr txBox="1"/>
      </cdr:nvSpPr>
      <cdr:spPr>
        <a:xfrm xmlns:a="http://schemas.openxmlformats.org/drawingml/2006/main">
          <a:off x="4336958" y="4594734"/>
          <a:ext cx="815551" cy="239333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51347F9-05F0-4630-BB46-7326417C2659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99%</a:t>
          </a:fld>
          <a:endParaRPr lang="en-US" sz="1100"/>
        </a:p>
      </cdr:txBody>
    </cdr:sp>
  </cdr:relSizeAnchor>
  <cdr:relSizeAnchor xmlns:cdr="http://schemas.openxmlformats.org/drawingml/2006/chartDrawing">
    <cdr:from>
      <cdr:x>0.40053</cdr:x>
      <cdr:y>0.92569</cdr:y>
    </cdr:from>
    <cdr:to>
      <cdr:x>0.49863</cdr:x>
      <cdr:y>0.97391</cdr:y>
    </cdr:to>
    <cdr:sp macro="" textlink="'S3'!$G$55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D362CF0D-3569-47B9-865B-E79E04BB4BE9}"/>
            </a:ext>
          </a:extLst>
        </cdr:cNvPr>
        <cdr:cNvSpPr txBox="1"/>
      </cdr:nvSpPr>
      <cdr:spPr>
        <a:xfrm xmlns:a="http://schemas.openxmlformats.org/drawingml/2006/main">
          <a:off x="3330030" y="4594734"/>
          <a:ext cx="815551" cy="239333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D407801-28CA-479D-A625-66AB9A248EBB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86%</a:t>
          </a:fld>
          <a:endParaRPr lang="en-US" sz="1100"/>
        </a:p>
      </cdr:txBody>
    </cdr:sp>
  </cdr:relSizeAnchor>
  <cdr:relSizeAnchor xmlns:cdr="http://schemas.openxmlformats.org/drawingml/2006/chartDrawing">
    <cdr:from>
      <cdr:x>0.28597</cdr:x>
      <cdr:y>0.92569</cdr:y>
    </cdr:from>
    <cdr:to>
      <cdr:x>0.38406</cdr:x>
      <cdr:y>0.97391</cdr:y>
    </cdr:to>
    <cdr:sp macro="" textlink="'S3'!$F$55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D362CF0D-3569-47B9-865B-E79E04BB4BE9}"/>
            </a:ext>
          </a:extLst>
        </cdr:cNvPr>
        <cdr:cNvSpPr txBox="1"/>
      </cdr:nvSpPr>
      <cdr:spPr>
        <a:xfrm xmlns:a="http://schemas.openxmlformats.org/drawingml/2006/main">
          <a:off x="2377530" y="4594734"/>
          <a:ext cx="815551" cy="239333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A7F732EA-730D-4098-82F9-B616049A004C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97%</a:t>
          </a:fld>
          <a:endParaRPr lang="en-US" sz="1100"/>
        </a:p>
      </cdr:txBody>
    </cdr:sp>
  </cdr:relSizeAnchor>
  <cdr:relSizeAnchor xmlns:cdr="http://schemas.openxmlformats.org/drawingml/2006/chartDrawing">
    <cdr:from>
      <cdr:x>0.16389</cdr:x>
      <cdr:y>0.92717</cdr:y>
    </cdr:from>
    <cdr:to>
      <cdr:x>0.26198</cdr:x>
      <cdr:y>0.97539</cdr:y>
    </cdr:to>
    <cdr:sp macro="" textlink="'S3'!$E$55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D362CF0D-3569-47B9-865B-E79E04BB4BE9}"/>
            </a:ext>
          </a:extLst>
        </cdr:cNvPr>
        <cdr:cNvSpPr txBox="1"/>
      </cdr:nvSpPr>
      <cdr:spPr>
        <a:xfrm xmlns:a="http://schemas.openxmlformats.org/drawingml/2006/main">
          <a:off x="1362545" y="4602077"/>
          <a:ext cx="815550" cy="239333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BF1C3CB-8BEF-4696-8E99-A1696FDE0A61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84%</a:t>
          </a:fld>
          <a:endParaRPr lang="en-US" sz="1100"/>
        </a:p>
      </cdr:txBody>
    </cdr:sp>
  </cdr:relSizeAnchor>
  <cdr:relSizeAnchor xmlns:cdr="http://schemas.openxmlformats.org/drawingml/2006/chartDrawing">
    <cdr:from>
      <cdr:x>0.87467</cdr:x>
      <cdr:y>0.92086</cdr:y>
    </cdr:from>
    <cdr:to>
      <cdr:x>0.987</cdr:x>
      <cdr:y>0.96908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73F447B7-7E87-4BBC-AB1A-85A60443494F}"/>
            </a:ext>
          </a:extLst>
        </cdr:cNvPr>
        <cdr:cNvSpPr txBox="1"/>
      </cdr:nvSpPr>
      <cdr:spPr>
        <a:xfrm xmlns:a="http://schemas.openxmlformats.org/drawingml/2006/main">
          <a:off x="7413607" y="4594225"/>
          <a:ext cx="952065" cy="24057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>
              <a:solidFill>
                <a:sysClr val="windowText" lastClr="000000"/>
              </a:solidFill>
              <a:latin typeface="Arial Black" panose="020B0A04020102020204" pitchFamily="34" charset="0"/>
            </a:rPr>
            <a:t>%Utilize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786342</xdr:colOff>
      <xdr:row>7</xdr:row>
      <xdr:rowOff>0</xdr:rowOff>
    </xdr:from>
    <xdr:to>
      <xdr:col>19</xdr:col>
      <xdr:colOff>635263</xdr:colOff>
      <xdr:row>7</xdr:row>
      <xdr:rowOff>169334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EB2F91-F5EC-4FC2-889C-767EFBCE84E6}"/>
            </a:ext>
          </a:extLst>
        </xdr:cNvPr>
        <xdr:cNvSpPr txBox="1"/>
      </xdr:nvSpPr>
      <xdr:spPr>
        <a:xfrm>
          <a:off x="10558992" y="1266825"/>
          <a:ext cx="1249096" cy="1693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rgbClr val="0000CC"/>
              </a:solidFill>
            </a:rPr>
            <a:t>CHG</a:t>
          </a:r>
        </a:p>
      </xdr:txBody>
    </xdr:sp>
    <xdr:clientData/>
  </xdr:twoCellAnchor>
  <xdr:twoCellAnchor>
    <xdr:from>
      <xdr:col>3</xdr:col>
      <xdr:colOff>54428</xdr:colOff>
      <xdr:row>10</xdr:row>
      <xdr:rowOff>107155</xdr:rowOff>
    </xdr:from>
    <xdr:to>
      <xdr:col>17</xdr:col>
      <xdr:colOff>176893</xdr:colOff>
      <xdr:row>38</xdr:row>
      <xdr:rowOff>28914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57102C-65F3-44EE-8A69-EB84188492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0.05438</cdr:x>
      <cdr:y>0.92662</cdr:y>
    </cdr:from>
    <cdr:to>
      <cdr:x>0.15248</cdr:x>
      <cdr:y>0.97484</cdr:y>
    </cdr:to>
    <cdr:sp macro="" textlink="'S4'!$D$55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8D32C20-A895-4348-AE81-DAB08E63EFB4}"/>
            </a:ext>
          </a:extLst>
        </cdr:cNvPr>
        <cdr:cNvSpPr txBox="1"/>
      </cdr:nvSpPr>
      <cdr:spPr>
        <a:xfrm xmlns:a="http://schemas.openxmlformats.org/drawingml/2006/main">
          <a:off x="452967" y="4677833"/>
          <a:ext cx="817034" cy="24341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B8FC39C-E017-488B-A8C2-4CF7D28230E2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95%</a:t>
          </a:fld>
          <a:endParaRPr lang="en-US" sz="1100"/>
        </a:p>
      </cdr:txBody>
    </cdr:sp>
  </cdr:relSizeAnchor>
  <cdr:relSizeAnchor xmlns:cdr="http://schemas.openxmlformats.org/drawingml/2006/chartDrawing">
    <cdr:from>
      <cdr:x>0.76224</cdr:x>
      <cdr:y>0.92569</cdr:y>
    </cdr:from>
    <cdr:to>
      <cdr:x>0.86033</cdr:x>
      <cdr:y>0.97391</cdr:y>
    </cdr:to>
    <cdr:sp macro="" textlink="'S4'!$J$55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D362CF0D-3569-47B9-865B-E79E04BB4BE9}"/>
            </a:ext>
          </a:extLst>
        </cdr:cNvPr>
        <cdr:cNvSpPr txBox="1"/>
      </cdr:nvSpPr>
      <cdr:spPr>
        <a:xfrm xmlns:a="http://schemas.openxmlformats.org/drawingml/2006/main">
          <a:off x="6337208" y="4594734"/>
          <a:ext cx="815551" cy="239333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3D2B897-1C95-406A-9364-2E2F149D434C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85%</a:t>
          </a:fld>
          <a:endParaRPr lang="en-US" sz="1100"/>
        </a:p>
      </cdr:txBody>
    </cdr:sp>
  </cdr:relSizeAnchor>
  <cdr:relSizeAnchor xmlns:cdr="http://schemas.openxmlformats.org/drawingml/2006/chartDrawing">
    <cdr:from>
      <cdr:x>0.63949</cdr:x>
      <cdr:y>0.92569</cdr:y>
    </cdr:from>
    <cdr:to>
      <cdr:x>0.73758</cdr:x>
      <cdr:y>0.97391</cdr:y>
    </cdr:to>
    <cdr:sp macro="" textlink="'S4'!$I$55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D362CF0D-3569-47B9-865B-E79E04BB4BE9}"/>
            </a:ext>
          </a:extLst>
        </cdr:cNvPr>
        <cdr:cNvSpPr txBox="1"/>
      </cdr:nvSpPr>
      <cdr:spPr>
        <a:xfrm xmlns:a="http://schemas.openxmlformats.org/drawingml/2006/main">
          <a:off x="5316672" y="4594734"/>
          <a:ext cx="815551" cy="239333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AF881333-35A2-4208-8A2B-60E782240F0F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86%</a:t>
          </a:fld>
          <a:endParaRPr lang="en-US" sz="1100"/>
        </a:p>
      </cdr:txBody>
    </cdr:sp>
  </cdr:relSizeAnchor>
  <cdr:relSizeAnchor xmlns:cdr="http://schemas.openxmlformats.org/drawingml/2006/chartDrawing">
    <cdr:from>
      <cdr:x>0.52165</cdr:x>
      <cdr:y>0.92569</cdr:y>
    </cdr:from>
    <cdr:to>
      <cdr:x>0.61974</cdr:x>
      <cdr:y>0.97391</cdr:y>
    </cdr:to>
    <cdr:sp macro="" textlink="'S4'!$H$55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D362CF0D-3569-47B9-865B-E79E04BB4BE9}"/>
            </a:ext>
          </a:extLst>
        </cdr:cNvPr>
        <cdr:cNvSpPr txBox="1"/>
      </cdr:nvSpPr>
      <cdr:spPr>
        <a:xfrm xmlns:a="http://schemas.openxmlformats.org/drawingml/2006/main">
          <a:off x="4336958" y="4594734"/>
          <a:ext cx="815551" cy="239333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51347F9-05F0-4630-BB46-7326417C2659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101%</a:t>
          </a:fld>
          <a:endParaRPr lang="en-US" sz="1100"/>
        </a:p>
      </cdr:txBody>
    </cdr:sp>
  </cdr:relSizeAnchor>
  <cdr:relSizeAnchor xmlns:cdr="http://schemas.openxmlformats.org/drawingml/2006/chartDrawing">
    <cdr:from>
      <cdr:x>0.40053</cdr:x>
      <cdr:y>0.92569</cdr:y>
    </cdr:from>
    <cdr:to>
      <cdr:x>0.49863</cdr:x>
      <cdr:y>0.97391</cdr:y>
    </cdr:to>
    <cdr:sp macro="" textlink="'S4'!$G$55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D362CF0D-3569-47B9-865B-E79E04BB4BE9}"/>
            </a:ext>
          </a:extLst>
        </cdr:cNvPr>
        <cdr:cNvSpPr txBox="1"/>
      </cdr:nvSpPr>
      <cdr:spPr>
        <a:xfrm xmlns:a="http://schemas.openxmlformats.org/drawingml/2006/main">
          <a:off x="3330030" y="4594734"/>
          <a:ext cx="815551" cy="239333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D407801-28CA-479D-A625-66AB9A248EBB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91%</a:t>
          </a:fld>
          <a:endParaRPr lang="en-US" sz="1100"/>
        </a:p>
      </cdr:txBody>
    </cdr:sp>
  </cdr:relSizeAnchor>
  <cdr:relSizeAnchor xmlns:cdr="http://schemas.openxmlformats.org/drawingml/2006/chartDrawing">
    <cdr:from>
      <cdr:x>0.28597</cdr:x>
      <cdr:y>0.92569</cdr:y>
    </cdr:from>
    <cdr:to>
      <cdr:x>0.38406</cdr:x>
      <cdr:y>0.97391</cdr:y>
    </cdr:to>
    <cdr:sp macro="" textlink="'S4'!$F$55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D362CF0D-3569-47B9-865B-E79E04BB4BE9}"/>
            </a:ext>
          </a:extLst>
        </cdr:cNvPr>
        <cdr:cNvSpPr txBox="1"/>
      </cdr:nvSpPr>
      <cdr:spPr>
        <a:xfrm xmlns:a="http://schemas.openxmlformats.org/drawingml/2006/main">
          <a:off x="2377530" y="4594734"/>
          <a:ext cx="815551" cy="239333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A7F732EA-730D-4098-82F9-B616049A004C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97%</a:t>
          </a:fld>
          <a:endParaRPr lang="en-US" sz="1100"/>
        </a:p>
      </cdr:txBody>
    </cdr:sp>
  </cdr:relSizeAnchor>
  <cdr:relSizeAnchor xmlns:cdr="http://schemas.openxmlformats.org/drawingml/2006/chartDrawing">
    <cdr:from>
      <cdr:x>0.16389</cdr:x>
      <cdr:y>0.92717</cdr:y>
    </cdr:from>
    <cdr:to>
      <cdr:x>0.26198</cdr:x>
      <cdr:y>0.97539</cdr:y>
    </cdr:to>
    <cdr:sp macro="" textlink="'S4'!$E$55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D362CF0D-3569-47B9-865B-E79E04BB4BE9}"/>
            </a:ext>
          </a:extLst>
        </cdr:cNvPr>
        <cdr:cNvSpPr txBox="1"/>
      </cdr:nvSpPr>
      <cdr:spPr>
        <a:xfrm xmlns:a="http://schemas.openxmlformats.org/drawingml/2006/main">
          <a:off x="1362545" y="4602077"/>
          <a:ext cx="815550" cy="239333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BF1C3CB-8BEF-4696-8E99-A1696FDE0A61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89%</a:t>
          </a:fld>
          <a:endParaRPr lang="en-US" sz="1100"/>
        </a:p>
      </cdr:txBody>
    </cdr:sp>
  </cdr:relSizeAnchor>
  <cdr:relSizeAnchor xmlns:cdr="http://schemas.openxmlformats.org/drawingml/2006/chartDrawing">
    <cdr:from>
      <cdr:x>0.87467</cdr:x>
      <cdr:y>0.92086</cdr:y>
    </cdr:from>
    <cdr:to>
      <cdr:x>0.97277</cdr:x>
      <cdr:y>0.96908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73F447B7-7E87-4BBC-AB1A-85A60443494F}"/>
            </a:ext>
          </a:extLst>
        </cdr:cNvPr>
        <cdr:cNvSpPr txBox="1"/>
      </cdr:nvSpPr>
      <cdr:spPr>
        <a:xfrm xmlns:a="http://schemas.openxmlformats.org/drawingml/2006/main">
          <a:off x="7413625" y="4594225"/>
          <a:ext cx="831485" cy="24057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>
              <a:solidFill>
                <a:sysClr val="windowText" lastClr="000000"/>
              </a:solidFill>
              <a:latin typeface="Arial Black" panose="020B0A04020102020204" pitchFamily="34" charset="0"/>
            </a:rPr>
            <a:t>%Utilize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262</xdr:row>
      <xdr:rowOff>0</xdr:rowOff>
    </xdr:from>
    <xdr:ext cx="123825" cy="123825"/>
    <xdr:pic>
      <xdr:nvPicPr>
        <xdr:cNvPr id="2" name="BExW253QPOZK9KW8BJC3LBXGCG2N" descr="Y5HX37BEUWSN1NEFJKZJXI3SX" hidden="1">
          <a:extLst>
            <a:ext uri="{FF2B5EF4-FFF2-40B4-BE49-F238E27FC236}">
              <a16:creationId xmlns:a16="http://schemas.microsoft.com/office/drawing/2014/main" id="{C48B63BE-DF48-48B2-8B6A-F209CA847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2725" y="2124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262</xdr:row>
      <xdr:rowOff>0</xdr:rowOff>
    </xdr:from>
    <xdr:ext cx="123825" cy="123825"/>
    <xdr:pic>
      <xdr:nvPicPr>
        <xdr:cNvPr id="3" name="BEx5FXJGJOT93D0J2IRJ3985IUMI" hidden="1">
          <a:extLst>
            <a:ext uri="{FF2B5EF4-FFF2-40B4-BE49-F238E27FC236}">
              <a16:creationId xmlns:a16="http://schemas.microsoft.com/office/drawing/2014/main" id="{275C2B9C-137E-4316-9828-BEADAEB70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2124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262</xdr:row>
      <xdr:rowOff>0</xdr:rowOff>
    </xdr:from>
    <xdr:ext cx="123825" cy="123825"/>
    <xdr:pic>
      <xdr:nvPicPr>
        <xdr:cNvPr id="4" name="BEx5F64BJ6DCM4EJH81D5ZFNPZ0V" descr="7DJ9FILZD2YPS6X1JBP9E76TU" hidden="1">
          <a:extLst>
            <a:ext uri="{FF2B5EF4-FFF2-40B4-BE49-F238E27FC236}">
              <a16:creationId xmlns:a16="http://schemas.microsoft.com/office/drawing/2014/main" id="{20846D40-5C38-421C-B1C8-E7CA9A4FC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2124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262</xdr:row>
      <xdr:rowOff>0</xdr:rowOff>
    </xdr:from>
    <xdr:ext cx="123825" cy="123825"/>
    <xdr:pic>
      <xdr:nvPicPr>
        <xdr:cNvPr id="5" name="BExQEXXHA3EEXR44LT6RKCDWM6ZT" hidden="1">
          <a:extLst>
            <a:ext uri="{FF2B5EF4-FFF2-40B4-BE49-F238E27FC236}">
              <a16:creationId xmlns:a16="http://schemas.microsoft.com/office/drawing/2014/main" id="{AFE3ED74-276C-449B-A959-6155B216D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2124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262</xdr:row>
      <xdr:rowOff>0</xdr:rowOff>
    </xdr:from>
    <xdr:ext cx="123825" cy="123825"/>
    <xdr:pic>
      <xdr:nvPicPr>
        <xdr:cNvPr id="6" name="BExGMWEQ2BYRY9BAO5T1X850MJN1" descr="AZ9ST0XDIOP50HSUFO5V31BR0" hidden="1">
          <a:extLst>
            <a:ext uri="{FF2B5EF4-FFF2-40B4-BE49-F238E27FC236}">
              <a16:creationId xmlns:a16="http://schemas.microsoft.com/office/drawing/2014/main" id="{11487A75-3C37-45E0-A8C0-8369C2851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2124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9415EA-67A8-434C-AF2B-2EBBCA710C0E}" name="TMonth" displayName="TMonth" ref="B2:G14" totalsRowShown="0">
  <autoFilter ref="B2:G14" xr:uid="{28727065-A553-4587-B3FB-A7051164B72E}"/>
  <tableColumns count="6">
    <tableColumn id="1" xr3:uid="{D347DB3E-24F1-4E05-84D1-FF4062C3BF01}" name="Item"/>
    <tableColumn id="6" xr3:uid="{FBA8B382-59D7-4890-9704-E75E06A71329}" name="Month Name"/>
    <tableColumn id="2" xr3:uid="{1988BBD2-1991-47DD-B2AE-366D7E03C5FB}" name="Month 2017"/>
    <tableColumn id="3" xr3:uid="{E0331E2C-0FC3-4BA6-8F66-C1E3CE2FD9E4}" name="Month Acc 2017"/>
    <tableColumn id="4" xr3:uid="{2F2EEBE7-A9AC-4B09-8272-FF281F7A0E24}" name="Month 2018"/>
    <tableColumn id="5" xr3:uid="{982B9D0C-4BA3-48CD-BA42-61D07B6548FB}" name="Month Acc 20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2080-CD40-4290-956C-3B46BACCD15D}">
  <sheetPr codeName="Sheet9"/>
  <dimension ref="B1:I14"/>
  <sheetViews>
    <sheetView showGridLines="0" workbookViewId="0">
      <selection activeCell="K5" sqref="K5"/>
    </sheetView>
  </sheetViews>
  <sheetFormatPr defaultRowHeight="15" x14ac:dyDescent="0.25"/>
  <cols>
    <col min="4" max="4" width="14.85546875" customWidth="1"/>
    <col min="5" max="5" width="13.140625" customWidth="1"/>
    <col min="6" max="6" width="15.85546875" customWidth="1"/>
    <col min="7" max="7" width="13.5703125" customWidth="1"/>
    <col min="8" max="8" width="11.5703125" customWidth="1"/>
    <col min="11" max="11" width="12.140625" bestFit="1" customWidth="1"/>
  </cols>
  <sheetData>
    <row r="1" spans="2:9" x14ac:dyDescent="0.25">
      <c r="D1">
        <v>2017</v>
      </c>
      <c r="F1">
        <v>2018</v>
      </c>
    </row>
    <row r="2" spans="2:9" ht="25.5" x14ac:dyDescent="0.35">
      <c r="B2" t="s">
        <v>74</v>
      </c>
      <c r="C2" t="s">
        <v>102</v>
      </c>
      <c r="D2" t="s">
        <v>75</v>
      </c>
      <c r="E2" t="s">
        <v>76</v>
      </c>
      <c r="F2" t="s">
        <v>77</v>
      </c>
      <c r="G2" t="s">
        <v>78</v>
      </c>
      <c r="H2" s="22" t="s">
        <v>72</v>
      </c>
      <c r="I2" s="23" t="s">
        <v>73</v>
      </c>
    </row>
    <row r="3" spans="2:9" x14ac:dyDescent="0.25">
      <c r="B3">
        <v>1</v>
      </c>
      <c r="C3" t="s">
        <v>6</v>
      </c>
      <c r="D3" t="str">
        <f>"Jan "&amp;$D$1</f>
        <v>Jan 2017</v>
      </c>
      <c r="E3" t="str">
        <f>"Jan-Jan "&amp;$D$1</f>
        <v>Jan-Jan 2017</v>
      </c>
      <c r="F3" t="str">
        <f>"Jan "&amp;$F$1</f>
        <v>Jan 2018</v>
      </c>
      <c r="G3" t="str">
        <f>"Jan-Jan "&amp;$F$1</f>
        <v>Jan-Jan 2018</v>
      </c>
    </row>
    <row r="4" spans="2:9" x14ac:dyDescent="0.25">
      <c r="B4">
        <v>2</v>
      </c>
      <c r="C4" t="s">
        <v>7</v>
      </c>
      <c r="D4" t="str">
        <f>"Feb "&amp;$D$1</f>
        <v>Feb 2017</v>
      </c>
      <c r="E4" t="str">
        <f>"Jan-Feb "&amp;$D$1</f>
        <v>Jan-Feb 2017</v>
      </c>
      <c r="F4" t="str">
        <f>"Feb "&amp;$F$1</f>
        <v>Feb 2018</v>
      </c>
      <c r="G4" t="str">
        <f>"Jan-Feb "&amp;$F$1</f>
        <v>Jan-Feb 2018</v>
      </c>
    </row>
    <row r="5" spans="2:9" x14ac:dyDescent="0.25">
      <c r="B5">
        <v>3</v>
      </c>
      <c r="C5" t="s">
        <v>8</v>
      </c>
      <c r="D5" t="str">
        <f>"Mar "&amp;$D$1</f>
        <v>Mar 2017</v>
      </c>
      <c r="E5" t="str">
        <f>"Jan-Mar "&amp;$D$1</f>
        <v>Jan-Mar 2017</v>
      </c>
      <c r="F5" t="str">
        <f>"Mar "&amp;$F$1</f>
        <v>Mar 2018</v>
      </c>
      <c r="G5" t="str">
        <f>"Jan-Mar "&amp;$F$1</f>
        <v>Jan-Mar 2018</v>
      </c>
    </row>
    <row r="6" spans="2:9" x14ac:dyDescent="0.25">
      <c r="B6">
        <v>4</v>
      </c>
      <c r="C6" t="s">
        <v>9</v>
      </c>
      <c r="D6" t="str">
        <f>"Apr "&amp;$D$1</f>
        <v>Apr 2017</v>
      </c>
      <c r="E6" t="str">
        <f>"Jan-Apr "&amp;$D$1</f>
        <v>Jan-Apr 2017</v>
      </c>
      <c r="F6" t="str">
        <f>"Apr "&amp;$F$1</f>
        <v>Apr 2018</v>
      </c>
      <c r="G6" t="str">
        <f>"Jan-Apr "&amp;$F$1</f>
        <v>Jan-Apr 2018</v>
      </c>
    </row>
    <row r="7" spans="2:9" x14ac:dyDescent="0.25">
      <c r="B7">
        <v>5</v>
      </c>
      <c r="C7" t="s">
        <v>10</v>
      </c>
      <c r="D7" t="str">
        <f>"May "&amp;$D$1</f>
        <v>May 2017</v>
      </c>
      <c r="E7" t="str">
        <f>"Jan-May "&amp;$D$1</f>
        <v>Jan-May 2017</v>
      </c>
      <c r="F7" t="str">
        <f>"May "&amp;$F$1</f>
        <v>May 2018</v>
      </c>
      <c r="G7" t="str">
        <f>"Jan-May "&amp;$F$1</f>
        <v>Jan-May 2018</v>
      </c>
    </row>
    <row r="8" spans="2:9" x14ac:dyDescent="0.25">
      <c r="B8">
        <v>6</v>
      </c>
      <c r="C8" t="s">
        <v>11</v>
      </c>
      <c r="D8" t="str">
        <f>"Jun "&amp;$D$1</f>
        <v>Jun 2017</v>
      </c>
      <c r="E8" t="str">
        <f>"Jan-Jun "&amp;$D$1</f>
        <v>Jan-Jun 2017</v>
      </c>
      <c r="F8" t="str">
        <f>"Jun "&amp;$F$1</f>
        <v>Jun 2018</v>
      </c>
      <c r="G8" t="str">
        <f>"Jan-Jun "&amp;$F$1</f>
        <v>Jan-Jun 2018</v>
      </c>
    </row>
    <row r="9" spans="2:9" x14ac:dyDescent="0.25">
      <c r="B9">
        <v>7</v>
      </c>
      <c r="C9" t="s">
        <v>12</v>
      </c>
      <c r="D9" t="str">
        <f>"Jul "&amp;$D$1</f>
        <v>Jul 2017</v>
      </c>
      <c r="E9" t="str">
        <f>"Jan-Jul "&amp;$D$1</f>
        <v>Jan-Jul 2017</v>
      </c>
      <c r="F9" t="str">
        <f>"Jul "&amp;$F$1</f>
        <v>Jul 2018</v>
      </c>
      <c r="G9" t="str">
        <f>"Jan-Jul "&amp;$F$1</f>
        <v>Jan-Jul 2018</v>
      </c>
    </row>
    <row r="10" spans="2:9" x14ac:dyDescent="0.25">
      <c r="B10">
        <v>8</v>
      </c>
      <c r="C10" t="s">
        <v>13</v>
      </c>
      <c r="D10" t="str">
        <f>"Aug "&amp;$D$1</f>
        <v>Aug 2017</v>
      </c>
      <c r="E10" t="str">
        <f>"Jan-Aug "&amp;$D$1</f>
        <v>Jan-Aug 2017</v>
      </c>
      <c r="F10" t="str">
        <f>"Aug "&amp;$F$1</f>
        <v>Aug 2018</v>
      </c>
      <c r="G10" t="str">
        <f>"Jan-Aug "&amp;$F$1</f>
        <v>Jan-Aug 2018</v>
      </c>
    </row>
    <row r="11" spans="2:9" x14ac:dyDescent="0.25">
      <c r="B11">
        <v>9</v>
      </c>
      <c r="C11" t="s">
        <v>14</v>
      </c>
      <c r="D11" t="str">
        <f>"Sep "&amp;$D$1</f>
        <v>Sep 2017</v>
      </c>
      <c r="E11" t="str">
        <f>"Jan-Sep "&amp;$D$1</f>
        <v>Jan-Sep 2017</v>
      </c>
      <c r="F11" t="str">
        <f>"Sep "&amp;$F$1</f>
        <v>Sep 2018</v>
      </c>
      <c r="G11" t="str">
        <f>"Jan-Sep "&amp;$F$1</f>
        <v>Jan-Sep 2018</v>
      </c>
    </row>
    <row r="12" spans="2:9" x14ac:dyDescent="0.25">
      <c r="B12">
        <v>10</v>
      </c>
      <c r="C12" t="s">
        <v>15</v>
      </c>
      <c r="D12" t="str">
        <f>"Oct "&amp;$D$1</f>
        <v>Oct 2017</v>
      </c>
      <c r="E12" t="str">
        <f>"Jan-Oct "&amp;$D$1</f>
        <v>Jan-Oct 2017</v>
      </c>
      <c r="F12" t="str">
        <f>"Oct "&amp;$F$1</f>
        <v>Oct 2018</v>
      </c>
      <c r="G12" t="str">
        <f>"Jan-Oct "&amp;$F$1</f>
        <v>Jan-Oct 2018</v>
      </c>
    </row>
    <row r="13" spans="2:9" x14ac:dyDescent="0.25">
      <c r="B13">
        <v>11</v>
      </c>
      <c r="C13" t="s">
        <v>16</v>
      </c>
      <c r="D13" t="str">
        <f>"Nov "&amp;$D$1</f>
        <v>Nov 2017</v>
      </c>
      <c r="E13" t="str">
        <f>"Jan-Nov "&amp;$D$1</f>
        <v>Jan-Nov 2017</v>
      </c>
      <c r="F13" t="str">
        <f>"Nov "&amp;$F$1</f>
        <v>Nov 2018</v>
      </c>
      <c r="G13" t="str">
        <f>"Jan-Nov "&amp;$F$1</f>
        <v>Jan-Nov 2018</v>
      </c>
    </row>
    <row r="14" spans="2:9" x14ac:dyDescent="0.25">
      <c r="B14">
        <v>12</v>
      </c>
      <c r="C14" t="s">
        <v>17</v>
      </c>
      <c r="D14" t="str">
        <f>"Dec "&amp;$D$1</f>
        <v>Dec 2017</v>
      </c>
      <c r="E14" t="str">
        <f>"Jan-Dec "&amp;$D$1</f>
        <v>Jan-Dec 2017</v>
      </c>
      <c r="F14" t="str">
        <f>"Dec "&amp;$F$1</f>
        <v>Dec 2018</v>
      </c>
      <c r="G14" t="str">
        <f>"Jan-Dec "&amp;$F$1</f>
        <v>Jan-Dec 2018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B47B-A1BA-4D66-A361-FCD296F90C29}">
  <sheetPr codeName="Sheet10">
    <tabColor rgb="FF0000CC"/>
  </sheetPr>
  <dimension ref="A1:X34"/>
  <sheetViews>
    <sheetView showGridLines="0" topLeftCell="A10" zoomScale="90" zoomScaleNormal="90" workbookViewId="0">
      <selection activeCell="M15" sqref="M15"/>
    </sheetView>
  </sheetViews>
  <sheetFormatPr defaultRowHeight="14.25" x14ac:dyDescent="0.2"/>
  <cols>
    <col min="1" max="2" width="9.140625" style="1"/>
    <col min="3" max="4" width="12.5703125" style="1" customWidth="1"/>
    <col min="5" max="5" width="12.28515625" style="1" bestFit="1" customWidth="1"/>
    <col min="6" max="7" width="14.5703125" style="1" bestFit="1" customWidth="1"/>
    <col min="8" max="8" width="2" style="1" customWidth="1"/>
    <col min="9" max="9" width="18.42578125" style="1" bestFit="1" customWidth="1"/>
    <col min="10" max="10" width="7.7109375" style="1" bestFit="1" customWidth="1"/>
    <col min="11" max="11" width="12.5703125" style="1" customWidth="1"/>
    <col min="12" max="12" width="7" style="1" customWidth="1"/>
    <col min="13" max="13" width="6.7109375" style="1" customWidth="1"/>
    <col min="14" max="14" width="1.7109375" style="1" customWidth="1"/>
    <col min="15" max="16" width="9.140625" style="1"/>
    <col min="17" max="17" width="9.7109375" style="1" customWidth="1"/>
    <col min="18" max="18" width="13.140625" style="1" customWidth="1"/>
    <col min="19" max="23" width="11.7109375" style="1" customWidth="1"/>
    <col min="24" max="16384" width="9.140625" style="1"/>
  </cols>
  <sheetData>
    <row r="1" spans="1:13" ht="15" x14ac:dyDescent="0.25">
      <c r="A1" s="1" t="s">
        <v>48</v>
      </c>
      <c r="B1" s="187">
        <v>11</v>
      </c>
      <c r="C1" s="1">
        <v>2018</v>
      </c>
    </row>
    <row r="5" spans="1:13" ht="15" x14ac:dyDescent="0.2">
      <c r="C5" s="104" t="s">
        <v>79</v>
      </c>
      <c r="D5" s="105"/>
      <c r="E5" s="105"/>
      <c r="F5" s="105"/>
      <c r="G5" s="106"/>
      <c r="I5" s="104" t="s">
        <v>93</v>
      </c>
      <c r="J5" s="105"/>
      <c r="K5" s="105"/>
      <c r="L5" s="105"/>
      <c r="M5" s="106"/>
    </row>
    <row r="6" spans="1:13" ht="36.75" customHeight="1" x14ac:dyDescent="0.2">
      <c r="C6" s="100">
        <f ca="1">'1'!D3</f>
        <v>133546.44</v>
      </c>
      <c r="D6" s="26"/>
      <c r="E6" s="12"/>
      <c r="F6" s="12"/>
      <c r="G6" s="27"/>
      <c r="I6" s="99">
        <f ca="1">'1'!D36</f>
        <v>204822.08804550022</v>
      </c>
      <c r="J6" s="54"/>
      <c r="K6" s="36" t="s">
        <v>83</v>
      </c>
      <c r="L6" s="52">
        <f ca="1">'1'!M36</f>
        <v>1533.7143247360261</v>
      </c>
      <c r="M6" s="53"/>
    </row>
    <row r="7" spans="1:13" ht="26.25" customHeight="1" x14ac:dyDescent="0.35">
      <c r="C7" s="28" t="str">
        <f ca="1">'1'!H3</f>
        <v>▲</v>
      </c>
      <c r="D7" s="29">
        <f ca="1">'1'!G3</f>
        <v>1.925714665799336E-2</v>
      </c>
      <c r="E7" s="30"/>
      <c r="F7" s="30"/>
      <c r="G7" s="31"/>
      <c r="I7" s="182">
        <f ca="1">'1'!I36</f>
        <v>0.16971197272602659</v>
      </c>
      <c r="J7" s="38" t="str">
        <f ca="1">'1'!L36</f>
        <v>▲</v>
      </c>
      <c r="K7" s="56">
        <f ca="1">'1'!K36</f>
        <v>1.5954360212018542E-2</v>
      </c>
      <c r="L7" s="38" t="str">
        <f ca="1">'1'!P36</f>
        <v>▲</v>
      </c>
      <c r="M7" s="57">
        <f ca="1">'1'!O36</f>
        <v>127.55494076422178</v>
      </c>
    </row>
    <row r="8" spans="1:13" ht="3" customHeight="1" x14ac:dyDescent="0.35">
      <c r="C8" s="32"/>
      <c r="D8" s="33"/>
      <c r="I8" s="32"/>
      <c r="J8" s="33"/>
      <c r="K8" s="34"/>
      <c r="L8" s="35"/>
      <c r="M8" s="11"/>
    </row>
    <row r="9" spans="1:13" ht="15" x14ac:dyDescent="0.2">
      <c r="C9" s="104" t="s">
        <v>2</v>
      </c>
      <c r="D9" s="105"/>
      <c r="E9" s="105"/>
      <c r="F9" s="105"/>
      <c r="G9" s="106"/>
      <c r="I9" s="104" t="s">
        <v>49</v>
      </c>
      <c r="J9" s="105"/>
      <c r="K9" s="105"/>
      <c r="L9" s="105"/>
      <c r="M9" s="106"/>
    </row>
    <row r="10" spans="1:13" ht="36" customHeight="1" x14ac:dyDescent="0.2">
      <c r="C10" s="100">
        <f ca="1">'1'!D11</f>
        <v>1206880.6033865002</v>
      </c>
      <c r="D10" s="26"/>
      <c r="E10" s="36" t="s">
        <v>83</v>
      </c>
      <c r="F10" s="37">
        <f ca="1">'1'!I11</f>
        <v>9037.1604318804766</v>
      </c>
      <c r="G10" s="27"/>
      <c r="I10" s="99">
        <f ca="1">'1'!D38</f>
        <v>158274.92669662391</v>
      </c>
      <c r="J10" s="54"/>
      <c r="K10" s="36" t="s">
        <v>83</v>
      </c>
      <c r="L10" s="52">
        <f ca="1">'1'!M38</f>
        <v>1185.1676966950515</v>
      </c>
      <c r="M10" s="53"/>
    </row>
    <row r="11" spans="1:13" ht="26.25" customHeight="1" x14ac:dyDescent="0.35">
      <c r="C11" s="28" t="str">
        <f ca="1">'1'!H11</f>
        <v>▲</v>
      </c>
      <c r="D11" s="29">
        <f ca="1">'1'!G11</f>
        <v>7.2049112259084816E-3</v>
      </c>
      <c r="E11" s="38" t="str">
        <f ca="1">'1'!M11</f>
        <v>▼</v>
      </c>
      <c r="F11" s="39">
        <f ca="1">'1'!L11</f>
        <v>-1.1824528747826199E-2</v>
      </c>
      <c r="G11" s="31"/>
      <c r="I11" s="182">
        <f ca="1">'1'!I38</f>
        <v>0.13114381509861486</v>
      </c>
      <c r="J11" s="38" t="str">
        <f ca="1">'1'!L38</f>
        <v>▲</v>
      </c>
      <c r="K11" s="56">
        <f ca="1">'1'!K38</f>
        <v>1.0764757235722455E-2</v>
      </c>
      <c r="L11" s="38" t="str">
        <f ca="1">'1'!P38</f>
        <v>▲</v>
      </c>
      <c r="M11" s="57">
        <f ca="1">'1'!O38</f>
        <v>84.265184748402589</v>
      </c>
    </row>
    <row r="12" spans="1:13" ht="3" customHeight="1" x14ac:dyDescent="0.35">
      <c r="C12" s="32"/>
      <c r="D12" s="33"/>
      <c r="I12" s="32"/>
      <c r="J12" s="33"/>
      <c r="K12" s="32"/>
      <c r="L12" s="32"/>
    </row>
    <row r="13" spans="1:13" ht="15" x14ac:dyDescent="0.2">
      <c r="C13" s="104" t="s">
        <v>155</v>
      </c>
      <c r="D13" s="105"/>
      <c r="E13" s="105"/>
      <c r="F13" s="105"/>
      <c r="G13" s="106"/>
    </row>
    <row r="14" spans="1:13" ht="26.25" x14ac:dyDescent="0.2">
      <c r="C14" s="100">
        <f ca="1">'1'!D14</f>
        <v>1002058.5153409999</v>
      </c>
      <c r="D14" s="26"/>
      <c r="E14" s="36" t="s">
        <v>83</v>
      </c>
      <c r="F14" s="37">
        <f ca="1">'1'!I14</f>
        <v>3106.6582800296364</v>
      </c>
      <c r="G14" s="27"/>
    </row>
    <row r="15" spans="1:13" ht="36.75" customHeight="1" x14ac:dyDescent="0.35">
      <c r="C15" s="28" t="str">
        <f ca="1">'1'!H14</f>
        <v>▼</v>
      </c>
      <c r="D15" s="29">
        <f ca="1">'1'!G14</f>
        <v>-1.1784104449317661E-2</v>
      </c>
      <c r="E15" s="38" t="str">
        <f ca="1">'1'!M14</f>
        <v>▼</v>
      </c>
      <c r="F15" s="39">
        <f ca="1">'1'!L14</f>
        <v>-7.5248742809602513E-4</v>
      </c>
      <c r="G15" s="31"/>
    </row>
    <row r="16" spans="1:13" ht="3" customHeight="1" x14ac:dyDescent="0.35">
      <c r="C16" s="32"/>
      <c r="D16" s="33"/>
      <c r="I16" s="32"/>
      <c r="J16" s="33"/>
      <c r="K16" s="32"/>
    </row>
    <row r="17" spans="3:24" ht="15" x14ac:dyDescent="0.2">
      <c r="C17" s="101" t="s">
        <v>87</v>
      </c>
      <c r="D17" s="102"/>
      <c r="E17" s="102"/>
      <c r="F17" s="102"/>
      <c r="G17" s="103"/>
      <c r="I17" s="104" t="s">
        <v>69</v>
      </c>
      <c r="J17" s="105"/>
      <c r="K17" s="105"/>
      <c r="L17" s="105"/>
      <c r="M17" s="106"/>
    </row>
    <row r="18" spans="3:24" ht="16.5" customHeight="1" x14ac:dyDescent="0.25">
      <c r="C18" s="40" t="s">
        <v>51</v>
      </c>
      <c r="D18" s="41" t="s">
        <v>41</v>
      </c>
      <c r="E18" s="41" t="s">
        <v>50</v>
      </c>
      <c r="F18" s="41" t="s">
        <v>53</v>
      </c>
      <c r="G18" s="42" t="s">
        <v>54</v>
      </c>
      <c r="I18" s="69">
        <f ca="1">'1'!D40</f>
        <v>49334.201206125173</v>
      </c>
      <c r="J18" s="12"/>
      <c r="K18" s="70" t="s">
        <v>83</v>
      </c>
      <c r="L18" s="71">
        <f ca="1">'1'!M40</f>
        <v>369.41607133911748</v>
      </c>
      <c r="M18" s="72"/>
    </row>
    <row r="19" spans="3:24" ht="15" customHeight="1" x14ac:dyDescent="0.25">
      <c r="C19" s="177" t="s">
        <v>88</v>
      </c>
      <c r="D19" s="178">
        <f ca="1">'1'!J28</f>
        <v>0.44706933667921839</v>
      </c>
      <c r="E19" s="179">
        <f ca="1">'1'!D21</f>
        <v>143038.55660000001</v>
      </c>
      <c r="F19" s="179">
        <f ca="1">'1'!G28</f>
        <v>5620.9293494366812</v>
      </c>
      <c r="G19" s="180">
        <f ca="1">'1'!I28</f>
        <v>-1.4059506268098132E-2</v>
      </c>
      <c r="I19" s="73">
        <f ca="1">'1'!I40</f>
        <v>4.0877449739181893E-2</v>
      </c>
      <c r="J19" s="67" t="str">
        <f ca="1">'1'!L40</f>
        <v>▲</v>
      </c>
      <c r="K19" s="74">
        <f ca="1">'1'!K40</f>
        <v>4.6739608886929018E-3</v>
      </c>
      <c r="L19" s="67" t="str">
        <f ca="1">'1'!P40</f>
        <v>▲</v>
      </c>
      <c r="M19" s="75">
        <f ca="1">'1'!O40</f>
        <v>38.324330596877928</v>
      </c>
    </row>
    <row r="20" spans="3:24" ht="15.75" x14ac:dyDescent="0.25">
      <c r="C20" s="177" t="s">
        <v>89</v>
      </c>
      <c r="D20" s="178">
        <f ca="1">'1'!J29</f>
        <v>0.16242515390404386</v>
      </c>
      <c r="E20" s="179">
        <f ca="1">'1'!D22</f>
        <v>51967.46379999999</v>
      </c>
      <c r="F20" s="179">
        <f ca="1">'1'!G29</f>
        <v>10771.418670029323</v>
      </c>
      <c r="G20" s="180">
        <f ca="1">'1'!I29</f>
        <v>-2.6575528175734942E-2</v>
      </c>
      <c r="I20" s="156" t="s">
        <v>70</v>
      </c>
      <c r="J20" s="157"/>
      <c r="K20" s="157"/>
      <c r="L20" s="157"/>
      <c r="M20" s="158"/>
    </row>
    <row r="21" spans="3:24" ht="16.5" x14ac:dyDescent="0.25">
      <c r="C21" s="177" t="s">
        <v>90</v>
      </c>
      <c r="D21" s="178">
        <f ca="1">'1'!J30</f>
        <v>6.0195315958710964E-2</v>
      </c>
      <c r="E21" s="179">
        <f ca="1">'1'!D23</f>
        <v>19259.319309999999</v>
      </c>
      <c r="F21" s="179">
        <f ca="1">'1'!G30</f>
        <v>5847.8401836103103</v>
      </c>
      <c r="G21" s="180">
        <f ca="1">'1'!I30</f>
        <v>9.0517438299790435E-4</v>
      </c>
      <c r="I21" s="69">
        <f ca="1">'1'!D42</f>
        <v>168438.98056391341</v>
      </c>
      <c r="J21" s="12"/>
      <c r="K21" s="70" t="s">
        <v>83</v>
      </c>
      <c r="L21" s="71">
        <f ca="1">'1'!M42</f>
        <v>1261.2764560696146</v>
      </c>
      <c r="M21" s="72"/>
    </row>
    <row r="22" spans="3:24" ht="18.75" x14ac:dyDescent="0.25">
      <c r="C22" s="177" t="s">
        <v>91</v>
      </c>
      <c r="D22" s="178">
        <f ca="1">'1'!J31</f>
        <v>4.9587786610231596E-2</v>
      </c>
      <c r="E22" s="179">
        <f ca="1">'1'!D24</f>
        <v>15865.47061</v>
      </c>
      <c r="F22" s="179">
        <f ca="1">'1'!G31</f>
        <v>6128.6916303455309</v>
      </c>
      <c r="G22" s="180">
        <f ca="1">'1'!I31</f>
        <v>4.6989180020024814E-2</v>
      </c>
      <c r="I22" s="73">
        <f ca="1">'1'!I42</f>
        <v>0.1395655710194319</v>
      </c>
      <c r="J22" s="67" t="str">
        <f ca="1">'1'!L42</f>
        <v>▲</v>
      </c>
      <c r="K22" s="74">
        <f ca="1">'1'!K42</f>
        <v>1.1315143439686093E-2</v>
      </c>
      <c r="L22" s="67" t="str">
        <f ca="1">'1'!P42</f>
        <v>▲</v>
      </c>
      <c r="M22" s="75">
        <f ca="1">'1'!O42</f>
        <v>88.387912270028892</v>
      </c>
    </row>
    <row r="23" spans="3:24" ht="15.75" x14ac:dyDescent="0.25">
      <c r="C23" s="177" t="s">
        <v>92</v>
      </c>
      <c r="D23" s="178">
        <f ca="1">'1'!J32</f>
        <v>0.2807224068477952</v>
      </c>
      <c r="E23" s="179">
        <f ca="1">'1'!D25</f>
        <v>89816.331799999985</v>
      </c>
      <c r="F23" s="179">
        <f ca="1">'1'!G32</f>
        <v>7026.6110802159892</v>
      </c>
      <c r="G23" s="180">
        <f ca="1">'1'!I32</f>
        <v>-4.2523740376329368E-2</v>
      </c>
      <c r="I23" s="156" t="s">
        <v>71</v>
      </c>
      <c r="J23" s="157"/>
      <c r="K23" s="157"/>
      <c r="L23" s="157"/>
      <c r="M23" s="158"/>
    </row>
    <row r="24" spans="3:24" ht="16.5" x14ac:dyDescent="0.25">
      <c r="C24" s="43" t="s">
        <v>4</v>
      </c>
      <c r="D24" s="44">
        <f ca="1">SUM(D19:D23)</f>
        <v>1</v>
      </c>
      <c r="E24" s="45">
        <f ca="1">SUM(E19:E23)</f>
        <v>319947.14211999997</v>
      </c>
      <c r="F24" s="45">
        <f ca="1">'1'!G33</f>
        <v>6890.9425057333865</v>
      </c>
      <c r="G24" s="46">
        <f ca="1">'1'!I33</f>
        <v>-1.8471634974082999E-2</v>
      </c>
      <c r="I24" s="69">
        <f ca="1">'1'!D44</f>
        <v>196795.03775491341</v>
      </c>
      <c r="J24" s="12"/>
      <c r="K24" s="70" t="s">
        <v>83</v>
      </c>
      <c r="L24" s="71">
        <f ca="1">'1'!M44</f>
        <v>1473.6075162685984</v>
      </c>
      <c r="M24" s="72"/>
    </row>
    <row r="25" spans="3:24" ht="18.75" x14ac:dyDescent="0.25">
      <c r="C25" s="63"/>
      <c r="D25" s="64"/>
      <c r="E25" s="65"/>
      <c r="F25" s="65"/>
      <c r="G25" s="66"/>
      <c r="I25" s="76">
        <f ca="1">'1'!I44</f>
        <v>0.16306090031002873</v>
      </c>
      <c r="J25" s="68" t="str">
        <f ca="1">'1'!L44</f>
        <v>▲</v>
      </c>
      <c r="K25" s="77">
        <f ca="1">'1'!K44</f>
        <v>1.0538001184444201E-2</v>
      </c>
      <c r="L25" s="68" t="str">
        <f ca="1">'1'!P44</f>
        <v>▲</v>
      </c>
      <c r="M25" s="78">
        <f ca="1">'1'!O44</f>
        <v>78.739955766602407</v>
      </c>
    </row>
    <row r="27" spans="3:24" ht="15" x14ac:dyDescent="0.25">
      <c r="P27" s="47"/>
      <c r="Q27" s="87" t="s">
        <v>100</v>
      </c>
      <c r="R27" s="87"/>
      <c r="S27" s="181" t="str">
        <f>VLOOKUP('1'!D46,TMonth[],2,0)</f>
        <v>Sep</v>
      </c>
      <c r="T27" s="181" t="str">
        <f>VLOOKUP('1'!E46,TMonth[],2,0)</f>
        <v>Oct</v>
      </c>
      <c r="U27" s="181" t="str">
        <f>VLOOKUP('1'!F46,TMonth[],2,0)</f>
        <v>Nov</v>
      </c>
      <c r="V27" s="181" t="s">
        <v>41</v>
      </c>
      <c r="W27" s="181" t="s">
        <v>47</v>
      </c>
      <c r="X27" s="48"/>
    </row>
    <row r="28" spans="3:24" ht="15" x14ac:dyDescent="0.25">
      <c r="P28" s="49"/>
      <c r="Q28" s="88" t="s">
        <v>18</v>
      </c>
      <c r="R28" s="89"/>
      <c r="S28" s="90">
        <f ca="1">'1'!D47</f>
        <v>65660.320000000007</v>
      </c>
      <c r="T28" s="90">
        <f ca="1">'1'!E47</f>
        <v>71599.360000000001</v>
      </c>
      <c r="U28" s="90">
        <f ca="1">'1'!F47</f>
        <v>71478.845000000001</v>
      </c>
      <c r="V28" s="91">
        <f ca="1">'1'!G47</f>
        <v>0.53523587000896466</v>
      </c>
      <c r="W28" s="91">
        <f ca="1">'2'!I71</f>
        <v>0.1792034651861994</v>
      </c>
      <c r="X28" s="27"/>
    </row>
    <row r="29" spans="3:24" ht="15" x14ac:dyDescent="0.25">
      <c r="P29" s="49"/>
      <c r="Q29" s="88" t="s">
        <v>64</v>
      </c>
      <c r="R29" s="89"/>
      <c r="S29" s="90">
        <f ca="1">'1'!D48</f>
        <v>14672.605000000001</v>
      </c>
      <c r="T29" s="90">
        <f ca="1">'1'!E48</f>
        <v>16345.349999999999</v>
      </c>
      <c r="U29" s="90">
        <f ca="1">'1'!F48</f>
        <v>17059.775000000001</v>
      </c>
      <c r="V29" s="91">
        <f ca="1">'1'!G48</f>
        <v>0.12774413904256826</v>
      </c>
      <c r="W29" s="91">
        <f ca="1">'1'!H48</f>
        <v>0.15345746510257752</v>
      </c>
      <c r="X29" s="27"/>
    </row>
    <row r="30" spans="3:24" ht="15" x14ac:dyDescent="0.25">
      <c r="P30" s="49"/>
      <c r="Q30" s="88" t="s">
        <v>20</v>
      </c>
      <c r="R30" s="89"/>
      <c r="S30" s="90">
        <f ca="1">'1'!D49</f>
        <v>16314.035</v>
      </c>
      <c r="T30" s="90">
        <f ca="1">'1'!E49</f>
        <v>18274.725000000002</v>
      </c>
      <c r="U30" s="90">
        <f ca="1">'1'!F49</f>
        <v>19072.12</v>
      </c>
      <c r="V30" s="91">
        <f ca="1">'1'!G49</f>
        <v>0.14281264255340689</v>
      </c>
      <c r="W30" s="91">
        <f ca="1">'1'!H49</f>
        <v>0.11987000083859663</v>
      </c>
      <c r="X30" s="27"/>
    </row>
    <row r="31" spans="3:24" ht="15" x14ac:dyDescent="0.25">
      <c r="P31" s="49"/>
      <c r="Q31" s="88" t="s">
        <v>19</v>
      </c>
      <c r="R31" s="89"/>
      <c r="S31" s="90">
        <f ca="1">'1'!D50</f>
        <v>12999.599999999999</v>
      </c>
      <c r="T31" s="90">
        <f ca="1">'1'!E50</f>
        <v>13637.014999999999</v>
      </c>
      <c r="U31" s="90">
        <f ca="1">'1'!F50</f>
        <v>15045.174999999999</v>
      </c>
      <c r="V31" s="91">
        <f ca="1">'1'!G50</f>
        <v>0.11265875001984328</v>
      </c>
      <c r="W31" s="91">
        <f ca="1">'1'!H50</f>
        <v>4.5689949149065386E-2</v>
      </c>
      <c r="X31" s="27"/>
    </row>
    <row r="32" spans="3:24" ht="15" x14ac:dyDescent="0.25">
      <c r="P32" s="49"/>
      <c r="Q32" s="88" t="s">
        <v>21</v>
      </c>
      <c r="R32" s="89"/>
      <c r="S32" s="90">
        <f ca="1">'1'!D51</f>
        <v>6428.3249999999998</v>
      </c>
      <c r="T32" s="90">
        <f ca="1">'1'!E51</f>
        <v>7094.0250000000005</v>
      </c>
      <c r="U32" s="90">
        <f ca="1">'1'!F51</f>
        <v>6810.7500000000009</v>
      </c>
      <c r="V32" s="91">
        <f ca="1">'1'!G51</f>
        <v>5.0999113117504297E-2</v>
      </c>
      <c r="W32" s="91">
        <f ca="1">'1'!H51</f>
        <v>0.10562698530824868</v>
      </c>
      <c r="X32" s="27"/>
    </row>
    <row r="33" spans="16:24" ht="15" customHeight="1" x14ac:dyDescent="0.25">
      <c r="P33" s="50"/>
      <c r="Q33" s="92" t="s">
        <v>22</v>
      </c>
      <c r="R33" s="89"/>
      <c r="S33" s="90">
        <f ca="1">'1'!D52</f>
        <v>3683.4749999999999</v>
      </c>
      <c r="T33" s="90">
        <f ca="1">'1'!E52</f>
        <v>4072.83</v>
      </c>
      <c r="U33" s="90">
        <f ca="1">'1'!F52</f>
        <v>4079.7749999999996</v>
      </c>
      <c r="V33" s="91">
        <f ca="1">'1'!G52</f>
        <v>3.0549485257712596E-2</v>
      </c>
      <c r="W33" s="91">
        <f ca="1">'1'!H52</f>
        <v>0.16911672664362593</v>
      </c>
      <c r="X33" s="27"/>
    </row>
    <row r="34" spans="16:24" ht="15" x14ac:dyDescent="0.25">
      <c r="P34" s="51"/>
      <c r="Q34" s="93" t="s">
        <v>101</v>
      </c>
      <c r="R34" s="94"/>
      <c r="S34" s="95">
        <f ca="1">'1'!D53</f>
        <v>119758.36</v>
      </c>
      <c r="T34" s="95">
        <f ca="1">'1'!E53</f>
        <v>131023.30499999999</v>
      </c>
      <c r="U34" s="95">
        <f ca="1">'1'!F53</f>
        <v>133546.44</v>
      </c>
      <c r="V34" s="96">
        <f ca="1">'1'!G53</f>
        <v>1</v>
      </c>
      <c r="W34" s="96">
        <f ca="1">'1'!H53</f>
        <v>0.16969621929963763</v>
      </c>
      <c r="X34" s="31"/>
    </row>
  </sheetData>
  <conditionalFormatting sqref="C7:C8">
    <cfRule type="expression" dxfId="97" priority="57">
      <formula>$D$7&lt;0</formula>
    </cfRule>
    <cfRule type="expression" dxfId="96" priority="58">
      <formula>$D$7&gt;0</formula>
    </cfRule>
  </conditionalFormatting>
  <conditionalFormatting sqref="C11">
    <cfRule type="expression" dxfId="95" priority="53">
      <formula>$D$11&lt;0</formula>
    </cfRule>
    <cfRule type="expression" dxfId="94" priority="54">
      <formula>$D$11&gt;0</formula>
    </cfRule>
  </conditionalFormatting>
  <conditionalFormatting sqref="E11">
    <cfRule type="expression" dxfId="93" priority="51">
      <formula>$F$11&lt;0</formula>
    </cfRule>
    <cfRule type="expression" dxfId="92" priority="52">
      <formula>$F$11&gt;0</formula>
    </cfRule>
  </conditionalFormatting>
  <conditionalFormatting sqref="C15">
    <cfRule type="expression" dxfId="91" priority="49">
      <formula>$D$15&lt;0</formula>
    </cfRule>
    <cfRule type="expression" dxfId="90" priority="50">
      <formula>$D$15&gt;0</formula>
    </cfRule>
  </conditionalFormatting>
  <conditionalFormatting sqref="E15">
    <cfRule type="expression" dxfId="89" priority="47">
      <formula>$F$15&lt;0</formula>
    </cfRule>
    <cfRule type="expression" dxfId="88" priority="48">
      <formula>$F$11&gt;0</formula>
    </cfRule>
  </conditionalFormatting>
  <conditionalFormatting sqref="C12">
    <cfRule type="expression" dxfId="87" priority="33">
      <formula>$D$7&lt;0</formula>
    </cfRule>
    <cfRule type="expression" dxfId="86" priority="34">
      <formula>$D$7&gt;0</formula>
    </cfRule>
  </conditionalFormatting>
  <conditionalFormatting sqref="I12">
    <cfRule type="expression" dxfId="85" priority="31">
      <formula>$D$11&lt;0</formula>
    </cfRule>
    <cfRule type="expression" dxfId="84" priority="32">
      <formula>$D$11&gt;0</formula>
    </cfRule>
  </conditionalFormatting>
  <conditionalFormatting sqref="K12:L12">
    <cfRule type="expression" dxfId="83" priority="29">
      <formula>$F$11&lt;0</formula>
    </cfRule>
    <cfRule type="expression" dxfId="82" priority="30">
      <formula>$F$11&gt;0</formula>
    </cfRule>
  </conditionalFormatting>
  <conditionalFormatting sqref="C16">
    <cfRule type="expression" dxfId="81" priority="27">
      <formula>$D$7&lt;0</formula>
    </cfRule>
    <cfRule type="expression" dxfId="80" priority="28">
      <formula>$D$7&gt;0</formula>
    </cfRule>
  </conditionalFormatting>
  <conditionalFormatting sqref="I16">
    <cfRule type="expression" dxfId="79" priority="25">
      <formula>$D$11&lt;0</formula>
    </cfRule>
    <cfRule type="expression" dxfId="78" priority="26">
      <formula>$D$11&gt;0</formula>
    </cfRule>
  </conditionalFormatting>
  <conditionalFormatting sqref="K16">
    <cfRule type="expression" dxfId="77" priority="23">
      <formula>$F$11&lt;0</formula>
    </cfRule>
    <cfRule type="expression" dxfId="76" priority="24">
      <formula>$F$11&gt;0</formula>
    </cfRule>
  </conditionalFormatting>
  <conditionalFormatting sqref="J7">
    <cfRule type="expression" dxfId="75" priority="21">
      <formula>$K$7&lt;0</formula>
    </cfRule>
    <cfRule type="expression" dxfId="74" priority="22">
      <formula>$K$7&gt;0</formula>
    </cfRule>
  </conditionalFormatting>
  <conditionalFormatting sqref="L7">
    <cfRule type="expression" dxfId="73" priority="19">
      <formula>$M$7&lt;0</formula>
    </cfRule>
    <cfRule type="expression" dxfId="72" priority="20">
      <formula>$M$7&gt;0</formula>
    </cfRule>
  </conditionalFormatting>
  <conditionalFormatting sqref="J11">
    <cfRule type="expression" dxfId="71" priority="15">
      <formula>K11&lt;0</formula>
    </cfRule>
    <cfRule type="expression" dxfId="70" priority="16">
      <formula>K11&gt;0</formula>
    </cfRule>
  </conditionalFormatting>
  <conditionalFormatting sqref="L11">
    <cfRule type="expression" dxfId="69" priority="13">
      <formula>M11&lt;0</formula>
    </cfRule>
    <cfRule type="expression" dxfId="68" priority="14">
      <formula>M11&gt;0</formula>
    </cfRule>
  </conditionalFormatting>
  <conditionalFormatting sqref="J19">
    <cfRule type="expression" dxfId="67" priority="11">
      <formula>K19&lt;0</formula>
    </cfRule>
    <cfRule type="expression" dxfId="66" priority="12">
      <formula>K19&gt;0</formula>
    </cfRule>
  </conditionalFormatting>
  <conditionalFormatting sqref="L19">
    <cfRule type="expression" dxfId="65" priority="9">
      <formula>M19&lt;0</formula>
    </cfRule>
    <cfRule type="expression" dxfId="64" priority="10">
      <formula>M19&gt;0</formula>
    </cfRule>
  </conditionalFormatting>
  <conditionalFormatting sqref="J22">
    <cfRule type="expression" dxfId="63" priority="7">
      <formula>K22&lt;0</formula>
    </cfRule>
    <cfRule type="expression" dxfId="62" priority="8">
      <formula>K22&gt;0</formula>
    </cfRule>
  </conditionalFormatting>
  <conditionalFormatting sqref="L22">
    <cfRule type="expression" dxfId="61" priority="5">
      <formula>M22&lt;0</formula>
    </cfRule>
    <cfRule type="expression" dxfId="60" priority="6">
      <formula>M22&gt;0</formula>
    </cfRule>
  </conditionalFormatting>
  <conditionalFormatting sqref="J25">
    <cfRule type="expression" dxfId="59" priority="3">
      <formula>K25&lt;0</formula>
    </cfRule>
    <cfRule type="expression" dxfId="58" priority="4">
      <formula>K25&gt;0</formula>
    </cfRule>
  </conditionalFormatting>
  <conditionalFormatting sqref="L25">
    <cfRule type="expression" dxfId="57" priority="1">
      <formula>M25&lt;0</formula>
    </cfRule>
    <cfRule type="expression" dxfId="56" priority="2">
      <formula>M25&gt;0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27D1-79D5-474F-92DC-FC732E883E60}">
  <sheetPr codeName="Sheet2">
    <tabColor rgb="FF0000CC"/>
  </sheetPr>
  <dimension ref="A1:Q102"/>
  <sheetViews>
    <sheetView showGridLines="0" topLeftCell="C83" workbookViewId="0">
      <selection activeCell="G47" sqref="G47:H53"/>
    </sheetView>
  </sheetViews>
  <sheetFormatPr defaultRowHeight="15" x14ac:dyDescent="0.25"/>
  <cols>
    <col min="2" max="2" width="9.140625" style="82"/>
    <col min="3" max="3" width="13.140625" bestFit="1" customWidth="1"/>
    <col min="4" max="5" width="18.28515625" bestFit="1" customWidth="1"/>
    <col min="6" max="9" width="16.42578125" bestFit="1" customWidth="1"/>
    <col min="10" max="10" width="18.140625" bestFit="1" customWidth="1"/>
    <col min="11" max="11" width="16.42578125" bestFit="1" customWidth="1"/>
    <col min="12" max="12" width="18.140625" bestFit="1" customWidth="1"/>
    <col min="13" max="13" width="16.42578125" bestFit="1" customWidth="1"/>
    <col min="14" max="14" width="18.140625" bestFit="1" customWidth="1"/>
    <col min="15" max="15" width="11.5703125" bestFit="1" customWidth="1"/>
  </cols>
  <sheetData>
    <row r="1" spans="1:15" x14ac:dyDescent="0.25">
      <c r="A1" t="s">
        <v>48</v>
      </c>
      <c r="B1" s="82">
        <f>'S1'!B1</f>
        <v>11</v>
      </c>
      <c r="C1">
        <v>2018</v>
      </c>
      <c r="E1" s="59">
        <v>1000</v>
      </c>
    </row>
    <row r="2" spans="1:15" x14ac:dyDescent="0.25">
      <c r="B2" s="82" t="s">
        <v>84</v>
      </c>
      <c r="C2" s="109" t="s">
        <v>48</v>
      </c>
      <c r="D2" s="109">
        <f>'S1'!$B$1</f>
        <v>11</v>
      </c>
      <c r="E2" s="109">
        <f>D2-1</f>
        <v>10</v>
      </c>
      <c r="F2" s="109" t="s">
        <v>24</v>
      </c>
      <c r="G2" s="109" t="s">
        <v>1</v>
      </c>
    </row>
    <row r="3" spans="1:15" x14ac:dyDescent="0.25">
      <c r="B3" s="82">
        <v>3</v>
      </c>
      <c r="C3" t="s">
        <v>80</v>
      </c>
      <c r="D3" s="62">
        <f ca="1">OFFSET(DATA!$B$3,$B$3,D2)</f>
        <v>133546.44</v>
      </c>
      <c r="E3" s="15">
        <f ca="1">OFFSET(DATA!$B$3,$B$3,E2)</f>
        <v>131023.30500000001</v>
      </c>
      <c r="F3" s="15">
        <f ca="1">D3-E3</f>
        <v>2523.1349999999948</v>
      </c>
      <c r="G3" s="190">
        <f ca="1">F3/E3</f>
        <v>1.925714665799336E-2</v>
      </c>
      <c r="H3" s="59" t="str">
        <f ca="1">IF(G3&gt;0,SET!$I$2,SET!$H$2)</f>
        <v>▲</v>
      </c>
    </row>
    <row r="5" spans="1:15" x14ac:dyDescent="0.25">
      <c r="C5" t="s">
        <v>81</v>
      </c>
    </row>
    <row r="6" spans="1:15" x14ac:dyDescent="0.25">
      <c r="C6" s="109" t="s">
        <v>48</v>
      </c>
      <c r="D6" s="109">
        <v>1</v>
      </c>
      <c r="E6" s="109">
        <v>2</v>
      </c>
      <c r="F6" s="109">
        <v>3</v>
      </c>
      <c r="G6" s="109">
        <v>4</v>
      </c>
      <c r="H6" s="109">
        <v>5</v>
      </c>
      <c r="I6" s="109">
        <v>6</v>
      </c>
      <c r="J6" s="109">
        <v>7</v>
      </c>
      <c r="K6" s="109">
        <v>8</v>
      </c>
      <c r="L6" s="109">
        <v>9</v>
      </c>
      <c r="M6" s="109">
        <v>10</v>
      </c>
      <c r="N6" s="109">
        <v>11</v>
      </c>
      <c r="O6" s="109">
        <v>12</v>
      </c>
    </row>
    <row r="7" spans="1:15" x14ac:dyDescent="0.25">
      <c r="B7" s="82">
        <v>3</v>
      </c>
      <c r="C7" s="24" t="s">
        <v>82</v>
      </c>
      <c r="D7" s="62">
        <f ca="1">IF(OFFSET(DATA!$B$3,$B7,D6)=0,"",OFFSET(DATA!$B$3,$B7,D6))</f>
        <v>127163.56499999999</v>
      </c>
      <c r="E7" s="62">
        <f ca="1">IF(OFFSET(DATA!$B$3,$B7,E6)=0,NA(),OFFSET(DATA!$B$3,$B7,E6))</f>
        <v>101548.73999999999</v>
      </c>
      <c r="F7" s="62">
        <f ca="1">IF(OFFSET(DATA!$B$3,$B7,F6)=0,NA(),OFFSET(DATA!$B$3,$B7,F6))</f>
        <v>116581.955</v>
      </c>
      <c r="G7" s="62">
        <f ca="1">IF(OFFSET(DATA!$B$3,$B7,G6)=0,NA(),OFFSET(DATA!$B$3,$B7,G6))</f>
        <v>109890.06499999999</v>
      </c>
      <c r="H7" s="62">
        <f ca="1">IF(OFFSET(DATA!$B$3,$B7,H6)=0,NA(),OFFSET(DATA!$B$3,$B7,H6))</f>
        <v>121937.61500000001</v>
      </c>
      <c r="I7" s="62">
        <f ca="1">IF(OFFSET(DATA!$B$3,$B7,I6)=0,NA(),OFFSET(DATA!$B$3,$B7,I6))</f>
        <v>109808.045</v>
      </c>
      <c r="J7" s="62">
        <f ca="1">IF(OFFSET(DATA!$B$3,$B7,J6)=0,NA(),OFFSET(DATA!$B$3,$B7,J6))</f>
        <v>114049.64</v>
      </c>
      <c r="K7" s="62">
        <f ca="1">IF(OFFSET(DATA!$B$3,$B7,K6)=0,NA(),OFFSET(DATA!$B$3,$B7,K6))</f>
        <v>123473.745</v>
      </c>
      <c r="L7" s="62">
        <f ca="1">IF(OFFSET(DATA!$B$3,$B7,L6)=0,NA(),OFFSET(DATA!$B$3,$B7,L6))</f>
        <v>119758.35999999999</v>
      </c>
      <c r="M7" s="62">
        <f ca="1">IF(OFFSET(DATA!$B$3,$B7,M6)=0,NA(),OFFSET(DATA!$B$3,$B7,M6))</f>
        <v>131023.30500000001</v>
      </c>
      <c r="N7" s="62">
        <f ca="1">IF(OFFSET(DATA!$B$3,$B7,N6)=0,NA(),OFFSET(DATA!$B$3,$B7,N6))</f>
        <v>133546.44</v>
      </c>
      <c r="O7" s="62" t="e">
        <f ca="1">IF(OFFSET(DATA!$B$3,$B7,O6)=0,NA(),OFFSET(DATA!$B$3,$B7,O6))</f>
        <v>#N/A</v>
      </c>
    </row>
    <row r="8" spans="1:15" x14ac:dyDescent="0.25">
      <c r="B8" s="82">
        <v>4</v>
      </c>
      <c r="C8" s="24" t="s">
        <v>0</v>
      </c>
      <c r="D8" s="62">
        <f ca="1">OFFSET(DATA!$B$3,$B8,D6)</f>
        <v>140025.03899999999</v>
      </c>
      <c r="E8" s="62">
        <f ca="1">OFFSET(DATA!$B$3,$B8,E6)</f>
        <v>128230</v>
      </c>
      <c r="F8" s="62">
        <f ca="1">OFFSET(DATA!$B$3,$B8,F6)</f>
        <v>139067.416</v>
      </c>
      <c r="G8" s="62">
        <f ca="1">OFFSET(DATA!$B$3,$B8,G6)</f>
        <v>139834.715</v>
      </c>
      <c r="H8" s="62">
        <f ca="1">OFFSET(DATA!$B$3,$B8,H6)</f>
        <v>143349.715</v>
      </c>
      <c r="I8" s="62">
        <f ca="1">OFFSET(DATA!$B$3,$B8,I6)</f>
        <v>144294.715</v>
      </c>
      <c r="J8" s="62">
        <f ca="1">OFFSET(DATA!$B$3,$B8,J6)</f>
        <v>147734.715</v>
      </c>
      <c r="K8" s="62">
        <f ca="1">OFFSET(DATA!$B$3,$B8,K6)</f>
        <v>149699.715</v>
      </c>
      <c r="L8" s="62">
        <f ca="1">OFFSET(DATA!$B$3,$B8,L6)</f>
        <v>152604.715</v>
      </c>
      <c r="M8" s="62">
        <f ca="1">OFFSET(DATA!$B$3,$B8,M6)</f>
        <v>154759.715</v>
      </c>
      <c r="N8" s="62">
        <f ca="1">OFFSET(DATA!$B$3,$B8,N6)</f>
        <v>157504.715</v>
      </c>
      <c r="O8" s="62">
        <f ca="1">OFFSET(DATA!$B$3,$B8,O6)</f>
        <v>159894.715</v>
      </c>
    </row>
    <row r="10" spans="1:15" x14ac:dyDescent="0.25">
      <c r="C10" s="109" t="s">
        <v>48</v>
      </c>
      <c r="D10" s="109">
        <f>'S1'!$B$1</f>
        <v>11</v>
      </c>
      <c r="E10" s="109">
        <f>D10-1</f>
        <v>10</v>
      </c>
      <c r="F10" s="109" t="s">
        <v>24</v>
      </c>
      <c r="G10" s="109" t="s">
        <v>1</v>
      </c>
      <c r="H10" s="109"/>
      <c r="I10" s="110" t="str">
        <f>"@" &amp;D10</f>
        <v>@11</v>
      </c>
      <c r="J10" s="110" t="str">
        <f>"@" &amp;E10</f>
        <v>@10</v>
      </c>
      <c r="K10" s="109" t="s">
        <v>24</v>
      </c>
      <c r="L10" s="109" t="s">
        <v>1</v>
      </c>
      <c r="M10" s="109" t="s">
        <v>94</v>
      </c>
    </row>
    <row r="11" spans="1:15" x14ac:dyDescent="0.25">
      <c r="B11" s="82">
        <v>10</v>
      </c>
      <c r="C11" t="s">
        <v>2</v>
      </c>
      <c r="D11" s="62">
        <f ca="1">OFFSET(DATA!$B$3,$B11,D10)</f>
        <v>1206880.6033865002</v>
      </c>
      <c r="E11" s="15">
        <f ca="1">OFFSET(DATA!$B$3,$B11,E10)</f>
        <v>1198247.3376917499</v>
      </c>
      <c r="F11" s="15">
        <f ca="1">D11-E11</f>
        <v>8633.2656947502401</v>
      </c>
      <c r="G11" s="190">
        <f ca="1">F11/E11</f>
        <v>7.2049112259084816E-3</v>
      </c>
      <c r="H11" s="59" t="str">
        <f ca="1">IF(G11&gt;0,SET!$I$2,SET!$H$2)</f>
        <v>▲</v>
      </c>
      <c r="I11" s="62">
        <f ca="1">D11/D3*1000</f>
        <v>9037.1604318804766</v>
      </c>
      <c r="J11" s="16">
        <f ca="1">E11/E3*1000</f>
        <v>9145.2992861975945</v>
      </c>
      <c r="K11" s="16">
        <f ca="1">I11-J11</f>
        <v>-108.13885431711788</v>
      </c>
      <c r="L11" s="190">
        <f ca="1">K11/J11</f>
        <v>-1.1824528747826199E-2</v>
      </c>
      <c r="M11" s="59" t="str">
        <f ca="1">IF(L11&gt;0,SET!$I$2,SET!$H$2)</f>
        <v>▼</v>
      </c>
    </row>
    <row r="13" spans="1:15" x14ac:dyDescent="0.25">
      <c r="C13" s="109" t="s">
        <v>48</v>
      </c>
      <c r="D13" s="109">
        <f>'S1'!$B$1</f>
        <v>11</v>
      </c>
      <c r="E13" s="109">
        <f>D13-1</f>
        <v>10</v>
      </c>
      <c r="F13" s="109" t="s">
        <v>24</v>
      </c>
      <c r="G13" s="109" t="s">
        <v>1</v>
      </c>
      <c r="H13" s="109"/>
      <c r="I13" s="110" t="str">
        <f>I10</f>
        <v>@11</v>
      </c>
      <c r="J13" s="110" t="str">
        <f>J10</f>
        <v>@10</v>
      </c>
      <c r="K13" s="109" t="s">
        <v>24</v>
      </c>
      <c r="L13" s="109" t="s">
        <v>1</v>
      </c>
      <c r="M13" s="109" t="s">
        <v>94</v>
      </c>
    </row>
    <row r="14" spans="1:15" x14ac:dyDescent="0.25">
      <c r="B14" s="82">
        <v>244</v>
      </c>
      <c r="C14" t="s">
        <v>155</v>
      </c>
      <c r="D14" s="62">
        <f ca="1">OFFSET(DATA!$B$3,$B14,D13)</f>
        <v>1002058.5153409999</v>
      </c>
      <c r="E14" s="15">
        <f ca="1">OFFSET(DATA!$B$3,$B14,E13)</f>
        <v>1014007.6878470001</v>
      </c>
      <c r="F14" s="15">
        <f ca="1">D14-E14</f>
        <v>-11949.172506000148</v>
      </c>
      <c r="G14" s="190">
        <f ca="1">F14/E14</f>
        <v>-1.1784104449317661E-2</v>
      </c>
      <c r="H14" s="59" t="str">
        <f ca="1">IF(G14&gt;0,SET!$I$2,SET!$H$2)</f>
        <v>▼</v>
      </c>
      <c r="I14" s="81">
        <f ca="1">D14/D17*1000</f>
        <v>3106.6582800296364</v>
      </c>
      <c r="J14" s="16">
        <f ca="1">E14/E17*1000</f>
        <v>3108.997761759339</v>
      </c>
      <c r="K14" s="16">
        <f ca="1">I14-J14</f>
        <v>-2.3394817297025838</v>
      </c>
      <c r="L14" s="190">
        <f ca="1">K14/J14</f>
        <v>-7.5248742809602513E-4</v>
      </c>
      <c r="M14" s="59" t="str">
        <f ca="1">IF(L14&gt;0,SET!$I$2,SET!$H$2)</f>
        <v>▼</v>
      </c>
    </row>
    <row r="16" spans="1:15" x14ac:dyDescent="0.25">
      <c r="C16" s="109" t="s">
        <v>85</v>
      </c>
      <c r="D16" s="109">
        <f>'S1'!$B$1</f>
        <v>11</v>
      </c>
      <c r="E16" s="109">
        <f>D16-1</f>
        <v>10</v>
      </c>
      <c r="I16" s="24"/>
      <c r="J16" s="24"/>
    </row>
    <row r="17" spans="2:12" x14ac:dyDescent="0.25">
      <c r="B17" s="82">
        <v>127</v>
      </c>
      <c r="C17" t="s">
        <v>86</v>
      </c>
      <c r="D17" s="15">
        <f ca="1">OFFSET(DATA!$B$3,$B17,D16)</f>
        <v>322551.89500000002</v>
      </c>
      <c r="E17" s="15">
        <f ca="1">OFFSET(DATA!$B$3,$B17,E16)</f>
        <v>326152.59499999997</v>
      </c>
      <c r="F17" s="15"/>
      <c r="G17" s="13"/>
      <c r="I17" s="16"/>
      <c r="J17" s="16"/>
      <c r="K17" s="16"/>
      <c r="L17" s="13"/>
    </row>
    <row r="20" spans="2:12" x14ac:dyDescent="0.25">
      <c r="C20" s="109" t="s">
        <v>86</v>
      </c>
      <c r="D20" s="109">
        <f>D16</f>
        <v>11</v>
      </c>
      <c r="E20" s="109">
        <f>E16</f>
        <v>10</v>
      </c>
    </row>
    <row r="21" spans="2:12" x14ac:dyDescent="0.25">
      <c r="B21" s="82">
        <v>31</v>
      </c>
      <c r="C21" t="s">
        <v>35</v>
      </c>
      <c r="D21" s="62">
        <f ca="1">OFFSET(DATA!$B$3,$B21,D$20)</f>
        <v>143038.55660000001</v>
      </c>
      <c r="E21" s="15">
        <f ca="1">OFFSET(DATA!$B$3,$B21,E$20)</f>
        <v>135423.64654000002</v>
      </c>
    </row>
    <row r="22" spans="2:12" x14ac:dyDescent="0.25">
      <c r="B22" s="82">
        <v>32</v>
      </c>
      <c r="C22" t="s">
        <v>43</v>
      </c>
      <c r="D22" s="62">
        <f ca="1">OFFSET(DATA!$B$3,$B22,D$20)</f>
        <v>51967.46379999999</v>
      </c>
      <c r="E22" s="15">
        <f ca="1">OFFSET(DATA!$B$3,$B22,E$20)</f>
        <v>51378.242609999994</v>
      </c>
    </row>
    <row r="23" spans="2:12" x14ac:dyDescent="0.25">
      <c r="B23" s="82">
        <v>33</v>
      </c>
      <c r="C23" t="s">
        <v>44</v>
      </c>
      <c r="D23" s="62">
        <f ca="1">OFFSET(DATA!$B$3,$B23,D$20)</f>
        <v>19259.319309999999</v>
      </c>
      <c r="E23" s="15">
        <f ca="1">OFFSET(DATA!$B$3,$B23,E$20)</f>
        <v>25974.7601</v>
      </c>
    </row>
    <row r="24" spans="2:12" x14ac:dyDescent="0.25">
      <c r="B24" s="82">
        <v>34</v>
      </c>
      <c r="C24" t="s">
        <v>37</v>
      </c>
      <c r="D24" s="62">
        <f ca="1">OFFSET(DATA!$B$3,$B24,D$20)</f>
        <v>15865.47061</v>
      </c>
      <c r="E24" s="15">
        <f ca="1">OFFSET(DATA!$B$3,$B24,E$20)</f>
        <v>22523.24742</v>
      </c>
    </row>
    <row r="25" spans="2:12" x14ac:dyDescent="0.25">
      <c r="B25" s="82">
        <v>35</v>
      </c>
      <c r="C25" t="s">
        <v>39</v>
      </c>
      <c r="D25" s="62">
        <f ca="1">OFFSET(DATA!$B$3,$B25,D$20)</f>
        <v>89816.331799999985</v>
      </c>
      <c r="E25" s="15">
        <f ca="1">OFFSET(DATA!$B$3,$B25,E$20)</f>
        <v>87292.069199999998</v>
      </c>
    </row>
    <row r="26" spans="2:12" x14ac:dyDescent="0.25">
      <c r="C26" t="s">
        <v>4</v>
      </c>
      <c r="D26" s="81">
        <f ca="1">SUM(D21:D25)</f>
        <v>319947.14211999997</v>
      </c>
      <c r="E26" s="20">
        <f ca="1">SUM(E21:E25)</f>
        <v>322591.96587000001</v>
      </c>
    </row>
    <row r="27" spans="2:12" x14ac:dyDescent="0.25">
      <c r="C27" s="109" t="s">
        <v>56</v>
      </c>
      <c r="D27" s="109">
        <f>D20</f>
        <v>11</v>
      </c>
      <c r="E27" s="109">
        <f>E20</f>
        <v>10</v>
      </c>
      <c r="F27" s="110"/>
      <c r="G27" s="109" t="str">
        <f>"@"&amp;D27</f>
        <v>@11</v>
      </c>
      <c r="H27" s="109" t="str">
        <f>"@"&amp;E27</f>
        <v>@10</v>
      </c>
      <c r="I27" s="109" t="s">
        <v>1</v>
      </c>
      <c r="J27" s="109" t="s">
        <v>41</v>
      </c>
    </row>
    <row r="28" spans="2:12" x14ac:dyDescent="0.25">
      <c r="B28" s="82">
        <v>40</v>
      </c>
      <c r="C28" t="s">
        <v>35</v>
      </c>
      <c r="D28" s="15">
        <f ca="1">OFFSET(DATA!$B$3,$B28,D$20)</f>
        <v>804009.62089399993</v>
      </c>
      <c r="E28" s="15">
        <f ca="1">OFFSET(DATA!$B$3,$B28,E$20)</f>
        <v>772061.55369799992</v>
      </c>
      <c r="F28" s="16"/>
      <c r="G28" s="62">
        <f ca="1">D28/D21*$E$1</f>
        <v>5620.9293494366812</v>
      </c>
      <c r="H28" s="15">
        <f ca="1">E28/E21*$E$1</f>
        <v>5701.0837724706853</v>
      </c>
      <c r="I28" s="190">
        <f ca="1">(G28-H28)/H28</f>
        <v>-1.4059506268098132E-2</v>
      </c>
      <c r="J28" s="79">
        <f ca="1">D21/$D$26</f>
        <v>0.44706933667921839</v>
      </c>
    </row>
    <row r="29" spans="2:12" x14ac:dyDescent="0.25">
      <c r="B29" s="82">
        <v>41</v>
      </c>
      <c r="C29" t="s">
        <v>43</v>
      </c>
      <c r="D29" s="15">
        <f ca="1">OFFSET(DATA!$B$3,$B29,D$20)</f>
        <v>559763.3098093929</v>
      </c>
      <c r="E29" s="15">
        <f ca="1">OFFSET(DATA!$B$3,$B29,E$20)</f>
        <v>568525.42513700004</v>
      </c>
      <c r="F29" s="16"/>
      <c r="G29" s="62">
        <f t="shared" ref="G29:G33" ca="1" si="0">D29/D22*$E$1</f>
        <v>10771.418670029323</v>
      </c>
      <c r="H29" s="15">
        <f t="shared" ref="H29:H33" ca="1" si="1">E29/E22*$E$1</f>
        <v>11065.489908881103</v>
      </c>
      <c r="I29" s="190">
        <f t="shared" ref="I29:I33" ca="1" si="2">(G29-H29)/H29</f>
        <v>-2.6575528175734942E-2</v>
      </c>
      <c r="J29" s="79">
        <f t="shared" ref="J29:J33" ca="1" si="3">D22/$D$26</f>
        <v>0.16242515390404386</v>
      </c>
    </row>
    <row r="30" spans="2:12" x14ac:dyDescent="0.25">
      <c r="B30" s="82">
        <v>42</v>
      </c>
      <c r="C30" t="s">
        <v>44</v>
      </c>
      <c r="D30" s="15">
        <f ca="1">OFFSET(DATA!$B$3,$B30,D$20)</f>
        <v>112625.42137</v>
      </c>
      <c r="E30" s="15">
        <f ca="1">OFFSET(DATA!$B$3,$B30,E$20)</f>
        <v>151758.87762399999</v>
      </c>
      <c r="F30" s="16"/>
      <c r="G30" s="62">
        <f t="shared" ca="1" si="0"/>
        <v>5847.8401836103103</v>
      </c>
      <c r="H30" s="15">
        <f t="shared" ca="1" si="1"/>
        <v>5842.5516555203913</v>
      </c>
      <c r="I30" s="190">
        <f t="shared" ca="1" si="2"/>
        <v>9.0517438299790435E-4</v>
      </c>
      <c r="J30" s="79">
        <f t="shared" ca="1" si="3"/>
        <v>6.0195315958710964E-2</v>
      </c>
    </row>
    <row r="31" spans="2:12" x14ac:dyDescent="0.25">
      <c r="B31" s="82">
        <v>43</v>
      </c>
      <c r="C31" t="s">
        <v>37</v>
      </c>
      <c r="D31" s="15">
        <f ca="1">OFFSET(DATA!$B$3,$B31,D$20)</f>
        <v>97234.576939000006</v>
      </c>
      <c r="E31" s="15">
        <f ca="1">OFFSET(DATA!$B$3,$B31,E$20)</f>
        <v>131842.85051399999</v>
      </c>
      <c r="F31" s="16"/>
      <c r="G31" s="62">
        <f t="shared" ca="1" si="0"/>
        <v>6128.6916303455309</v>
      </c>
      <c r="H31" s="15">
        <f t="shared" ca="1" si="1"/>
        <v>5853.6341609837009</v>
      </c>
      <c r="I31" s="190">
        <f t="shared" ca="1" si="2"/>
        <v>4.6989180020024814E-2</v>
      </c>
      <c r="J31" s="79">
        <f t="shared" ca="1" si="3"/>
        <v>4.9587786610231596E-2</v>
      </c>
    </row>
    <row r="32" spans="2:12" x14ac:dyDescent="0.25">
      <c r="B32" s="82">
        <v>44</v>
      </c>
      <c r="C32" t="s">
        <v>39</v>
      </c>
      <c r="D32" s="15">
        <f ca="1">OFFSET(DATA!$B$3,$B32,D$20)</f>
        <v>631104.43221023562</v>
      </c>
      <c r="E32" s="15">
        <f ca="1">OFFSET(DATA!$B$3,$B32,E$20)</f>
        <v>640608.489757</v>
      </c>
      <c r="F32" s="16"/>
      <c r="G32" s="62">
        <f t="shared" ca="1" si="0"/>
        <v>7026.6110802159892</v>
      </c>
      <c r="H32" s="15">
        <f t="shared" ca="1" si="1"/>
        <v>7338.6791678550335</v>
      </c>
      <c r="I32" s="190">
        <f t="shared" ca="1" si="2"/>
        <v>-4.2523740376329368E-2</v>
      </c>
      <c r="J32" s="79">
        <f t="shared" ca="1" si="3"/>
        <v>0.2807224068477952</v>
      </c>
    </row>
    <row r="33" spans="2:16" x14ac:dyDescent="0.25">
      <c r="C33" t="s">
        <v>4</v>
      </c>
      <c r="D33" s="20">
        <f ca="1">SUM(D28:D32)</f>
        <v>2204737.3612226285</v>
      </c>
      <c r="E33" s="20">
        <f ca="1">SUM(E28:E32)</f>
        <v>2264797.19673</v>
      </c>
      <c r="G33" s="62">
        <f t="shared" ca="1" si="0"/>
        <v>6890.9425057333865</v>
      </c>
      <c r="H33" s="15">
        <f t="shared" ca="1" si="1"/>
        <v>7020.6249266687601</v>
      </c>
      <c r="I33" s="190">
        <f t="shared" ca="1" si="2"/>
        <v>-1.8471634974082999E-2</v>
      </c>
      <c r="J33" s="79">
        <f t="shared" ca="1" si="3"/>
        <v>1</v>
      </c>
    </row>
    <row r="35" spans="2:16" x14ac:dyDescent="0.25">
      <c r="C35" s="109" t="s">
        <v>93</v>
      </c>
      <c r="D35" s="109">
        <f>$B$1</f>
        <v>11</v>
      </c>
      <c r="E35" s="109">
        <f>$B$1-1</f>
        <v>10</v>
      </c>
      <c r="F35" s="110"/>
      <c r="G35" s="109" t="s">
        <v>24</v>
      </c>
      <c r="H35" s="109" t="s">
        <v>1</v>
      </c>
      <c r="I35" s="109" t="str">
        <f>"% Sales" &amp;D35</f>
        <v>% Sales11</v>
      </c>
      <c r="J35" s="109" t="str">
        <f>"% Sales" &amp;E35</f>
        <v>% Sales10</v>
      </c>
      <c r="K35" s="109" t="s">
        <v>54</v>
      </c>
      <c r="L35" s="109" t="s">
        <v>94</v>
      </c>
      <c r="M35" s="110" t="str">
        <f>"@"&amp;D35</f>
        <v>@11</v>
      </c>
      <c r="N35" s="110" t="str">
        <f>"@"&amp;E35</f>
        <v>@10</v>
      </c>
      <c r="O35" s="109" t="s">
        <v>54</v>
      </c>
      <c r="P35" s="109" t="s">
        <v>94</v>
      </c>
    </row>
    <row r="36" spans="2:16" x14ac:dyDescent="0.25">
      <c r="B36" s="82">
        <v>51</v>
      </c>
      <c r="C36" t="s">
        <v>56</v>
      </c>
      <c r="D36" s="62">
        <f ca="1">OFFSET(DATA!$B$3,$B36,D$20)</f>
        <v>204822.08804550022</v>
      </c>
      <c r="E36" s="15">
        <f ca="1">OFFSET(DATA!$B$3,$B36,E$20)</f>
        <v>184239.64984474983</v>
      </c>
      <c r="F36" s="16"/>
      <c r="G36" s="15">
        <f ca="1">D36-E36</f>
        <v>20582.438200750388</v>
      </c>
      <c r="H36" s="25">
        <f ca="1">G36/E36</f>
        <v>0.11171557380886389</v>
      </c>
      <c r="I36" s="61">
        <f ca="1">D36/D11</f>
        <v>0.16971197272602659</v>
      </c>
      <c r="J36" s="14">
        <f ca="1">E36/E11</f>
        <v>0.15375761251400805</v>
      </c>
      <c r="K36" s="58">
        <f ca="1">I36-J36</f>
        <v>1.5954360212018542E-2</v>
      </c>
      <c r="L36" s="59" t="str">
        <f ca="1">IF(K36&gt;0,SET!$I$2,SET!$H$2)</f>
        <v>▲</v>
      </c>
      <c r="M36" s="60">
        <f ca="1">D36/D3*1000</f>
        <v>1533.7143247360261</v>
      </c>
      <c r="N36" s="16">
        <f ca="1">E36/E3*1000</f>
        <v>1406.1593839718043</v>
      </c>
      <c r="O36" s="62">
        <f ca="1">M36-N36</f>
        <v>127.55494076422178</v>
      </c>
      <c r="P36" s="59" t="str">
        <f ca="1">IF(O36&gt;0,SET!$I$2,SET!$H$2)</f>
        <v>▲</v>
      </c>
    </row>
    <row r="37" spans="2:16" x14ac:dyDescent="0.25">
      <c r="C37" s="109" t="s">
        <v>49</v>
      </c>
      <c r="D37" s="109">
        <f>$B$1</f>
        <v>11</v>
      </c>
      <c r="E37" s="109">
        <f>$B$1-1</f>
        <v>10</v>
      </c>
      <c r="F37" s="110"/>
      <c r="G37" s="109" t="s">
        <v>24</v>
      </c>
      <c r="H37" s="109" t="s">
        <v>1</v>
      </c>
      <c r="I37" s="109" t="str">
        <f>"% Sales" &amp;D37</f>
        <v>% Sales11</v>
      </c>
      <c r="J37" s="109" t="str">
        <f>"% Sales" &amp;E37</f>
        <v>% Sales10</v>
      </c>
      <c r="K37" s="109" t="s">
        <v>54</v>
      </c>
      <c r="L37" s="109"/>
      <c r="M37" s="110" t="str">
        <f>"@"&amp;D37</f>
        <v>@11</v>
      </c>
      <c r="N37" s="110" t="str">
        <f>"@"&amp;E37</f>
        <v>@10</v>
      </c>
      <c r="O37" s="109" t="s">
        <v>54</v>
      </c>
      <c r="P37" s="109" t="s">
        <v>94</v>
      </c>
    </row>
    <row r="38" spans="2:16" x14ac:dyDescent="0.25">
      <c r="B38" s="82">
        <v>58</v>
      </c>
      <c r="C38" t="s">
        <v>56</v>
      </c>
      <c r="D38" s="62">
        <f ca="1">OFFSET(DATA!$B$3,$B38,D$20)</f>
        <v>158274.92669662391</v>
      </c>
      <c r="E38" s="15">
        <f ca="1">OFFSET(DATA!$B$3,$B38,E$20)</f>
        <v>144243.88559805194</v>
      </c>
      <c r="F38" s="16"/>
      <c r="G38" s="15">
        <f ca="1">D38-E38</f>
        <v>14031.041098571965</v>
      </c>
      <c r="H38" s="25">
        <f ca="1">G38/E38</f>
        <v>9.7273038925689184E-2</v>
      </c>
      <c r="I38" s="61">
        <f ca="1">D38/D11</f>
        <v>0.13114381509861486</v>
      </c>
      <c r="J38" s="14">
        <f ca="1">E38/E11</f>
        <v>0.12037905786289241</v>
      </c>
      <c r="K38" s="58">
        <f ca="1">I38-J38</f>
        <v>1.0764757235722455E-2</v>
      </c>
      <c r="L38" s="59" t="str">
        <f ca="1">IF(K38&gt;0,SET!$I$2,SET!$H$2)</f>
        <v>▲</v>
      </c>
      <c r="M38" s="60">
        <f ca="1">D38/D3*1000</f>
        <v>1185.1676966950515</v>
      </c>
      <c r="N38" s="16">
        <f ca="1">E38/E3*1000</f>
        <v>1100.9025119466489</v>
      </c>
      <c r="O38" s="62">
        <f ca="1">M38-N38</f>
        <v>84.265184748402589</v>
      </c>
      <c r="P38" s="59" t="str">
        <f ca="1">IF(O38&gt;0,SET!$I$2,SET!$H$2)</f>
        <v>▲</v>
      </c>
    </row>
    <row r="39" spans="2:16" x14ac:dyDescent="0.25">
      <c r="C39" s="109" t="s">
        <v>69</v>
      </c>
      <c r="D39" s="109">
        <f>$B$1</f>
        <v>11</v>
      </c>
      <c r="E39" s="109">
        <f>$B$1-1</f>
        <v>10</v>
      </c>
      <c r="F39" s="110"/>
      <c r="G39" s="109" t="s">
        <v>24</v>
      </c>
      <c r="H39" s="109" t="s">
        <v>1</v>
      </c>
      <c r="I39" s="109" t="str">
        <f>"% Sales" &amp;D39</f>
        <v>% Sales11</v>
      </c>
      <c r="J39" s="109" t="str">
        <f>"% Sales" &amp;E39</f>
        <v>% Sales10</v>
      </c>
      <c r="K39" s="109" t="s">
        <v>54</v>
      </c>
      <c r="L39" s="109"/>
      <c r="M39" s="110" t="str">
        <f>"@"&amp;D39</f>
        <v>@11</v>
      </c>
      <c r="N39" s="110" t="str">
        <f>"@"&amp;E39</f>
        <v>@10</v>
      </c>
      <c r="O39" s="109" t="s">
        <v>54</v>
      </c>
      <c r="P39" s="109" t="s">
        <v>94</v>
      </c>
    </row>
    <row r="40" spans="2:16" x14ac:dyDescent="0.25">
      <c r="B40" s="82">
        <v>106</v>
      </c>
      <c r="C40" t="s">
        <v>56</v>
      </c>
      <c r="D40" s="62">
        <f ca="1">OFFSET(DATA!$B$3,$B40,D$20)</f>
        <v>49334.201206125173</v>
      </c>
      <c r="E40" s="15">
        <f ca="1">OFFSET(DATA!$B$3,$B40,E$20)</f>
        <v>43380.734130251381</v>
      </c>
      <c r="F40" s="16"/>
      <c r="G40" s="15">
        <f ca="1">D40-E40</f>
        <v>5953.4670758737921</v>
      </c>
      <c r="H40" s="25">
        <f ca="1">G40/E40</f>
        <v>0.13723758242537823</v>
      </c>
      <c r="I40" s="61">
        <f ca="1">D40/D11</f>
        <v>4.0877449739181893E-2</v>
      </c>
      <c r="J40" s="14">
        <f ca="1">E40/E11</f>
        <v>3.6203488850488991E-2</v>
      </c>
      <c r="K40" s="58">
        <f ca="1">I40-J40</f>
        <v>4.6739608886929018E-3</v>
      </c>
      <c r="L40" s="59" t="str">
        <f ca="1">IF(K40&gt;0,SET!$I$2,SET!$H$2)</f>
        <v>▲</v>
      </c>
      <c r="M40" s="60">
        <f ca="1">D40/D3*1000</f>
        <v>369.41607133911748</v>
      </c>
      <c r="N40" s="16">
        <f ca="1">E40/E3*1000</f>
        <v>331.09174074223955</v>
      </c>
      <c r="O40" s="62">
        <f ca="1">M40-N40</f>
        <v>38.324330596877928</v>
      </c>
      <c r="P40" s="59" t="str">
        <f ca="1">IF(O40&gt;0,SET!$I$2,SET!$H$2)</f>
        <v>▲</v>
      </c>
    </row>
    <row r="41" spans="2:16" x14ac:dyDescent="0.25">
      <c r="C41" s="109" t="s">
        <v>70</v>
      </c>
      <c r="D41" s="109">
        <f>$B$1</f>
        <v>11</v>
      </c>
      <c r="E41" s="109">
        <f>$B$1-1</f>
        <v>10</v>
      </c>
      <c r="F41" s="110"/>
      <c r="G41" s="109" t="s">
        <v>24</v>
      </c>
      <c r="H41" s="109" t="s">
        <v>1</v>
      </c>
      <c r="I41" s="109" t="str">
        <f>"% Sales" &amp;D41</f>
        <v>% Sales11</v>
      </c>
      <c r="J41" s="109" t="str">
        <f>"% Sales" &amp;E41</f>
        <v>% Sales10</v>
      </c>
      <c r="K41" s="109" t="s">
        <v>54</v>
      </c>
      <c r="L41" s="109"/>
      <c r="M41" s="110" t="str">
        <f>"@"&amp;D41</f>
        <v>@11</v>
      </c>
      <c r="N41" s="110" t="str">
        <f>"@"&amp;E41</f>
        <v>@10</v>
      </c>
      <c r="O41" s="109" t="s">
        <v>54</v>
      </c>
      <c r="P41" s="109" t="s">
        <v>94</v>
      </c>
    </row>
    <row r="42" spans="2:16" x14ac:dyDescent="0.25">
      <c r="B42" s="82">
        <v>113</v>
      </c>
      <c r="C42" t="s">
        <v>56</v>
      </c>
      <c r="D42" s="62">
        <f ca="1">OFFSET(DATA!$B$3,$B42,D$20)</f>
        <v>168438.98056391341</v>
      </c>
      <c r="E42" s="15">
        <f ca="1">OFFSET(DATA!$B$3,$B42,E$20)</f>
        <v>153675.733405259</v>
      </c>
      <c r="F42" s="16"/>
      <c r="G42" s="15">
        <f ca="1">D42-E42</f>
        <v>14763.247158654412</v>
      </c>
      <c r="H42" s="25">
        <f ca="1">G42/E42</f>
        <v>9.6067523684576689E-2</v>
      </c>
      <c r="I42" s="61">
        <f ca="1">D42/D11</f>
        <v>0.1395655710194319</v>
      </c>
      <c r="J42" s="14">
        <f ca="1">E42/E11</f>
        <v>0.12825042757974581</v>
      </c>
      <c r="K42" s="58">
        <f ca="1">I42-J42</f>
        <v>1.1315143439686093E-2</v>
      </c>
      <c r="L42" s="59" t="str">
        <f ca="1">IF(K42&gt;0,SET!$I$2,SET!$H$2)</f>
        <v>▲</v>
      </c>
      <c r="M42" s="60">
        <f ca="1">D42/D3*1000</f>
        <v>1261.2764560696146</v>
      </c>
      <c r="N42" s="16">
        <f ca="1">E42/E3*1000</f>
        <v>1172.8885437995857</v>
      </c>
      <c r="O42" s="62">
        <f ca="1">M42-N42</f>
        <v>88.387912270028892</v>
      </c>
      <c r="P42" s="59" t="str">
        <f ca="1">IF(O42&gt;0,SET!$I$2,SET!$H$2)</f>
        <v>▲</v>
      </c>
    </row>
    <row r="43" spans="2:16" x14ac:dyDescent="0.25">
      <c r="C43" s="109" t="s">
        <v>71</v>
      </c>
      <c r="D43" s="109">
        <f>$B$1</f>
        <v>11</v>
      </c>
      <c r="E43" s="109">
        <f>$B$1-1</f>
        <v>10</v>
      </c>
      <c r="F43" s="110"/>
      <c r="G43" s="109" t="s">
        <v>24</v>
      </c>
      <c r="H43" s="109" t="s">
        <v>1</v>
      </c>
      <c r="I43" s="109" t="str">
        <f>"% Sales" &amp;D43</f>
        <v>% Sales11</v>
      </c>
      <c r="J43" s="109" t="str">
        <f>"% Sales" &amp;E43</f>
        <v>% Sales10</v>
      </c>
      <c r="K43" s="109" t="s">
        <v>54</v>
      </c>
      <c r="L43" s="109"/>
      <c r="M43" s="110" t="str">
        <f>"@"&amp;D43</f>
        <v>@11</v>
      </c>
      <c r="N43" s="110" t="str">
        <f>"@"&amp;E43</f>
        <v>@10</v>
      </c>
      <c r="O43" s="109" t="s">
        <v>54</v>
      </c>
      <c r="P43" s="109" t="s">
        <v>94</v>
      </c>
    </row>
    <row r="44" spans="2:16" x14ac:dyDescent="0.25">
      <c r="B44" s="82">
        <v>120</v>
      </c>
      <c r="C44" t="s">
        <v>56</v>
      </c>
      <c r="D44" s="62">
        <f ca="1">OFFSET(DATA!$B$3,$B44,D$20)</f>
        <v>196795.03775491341</v>
      </c>
      <c r="E44" s="15">
        <f ca="1">OFFSET(DATA!$B$3,$B44,E$20)</f>
        <v>182760.157814259</v>
      </c>
      <c r="F44" s="16"/>
      <c r="G44" s="15">
        <f ca="1">D44-E44</f>
        <v>14034.879940654413</v>
      </c>
      <c r="H44" s="25">
        <f ca="1">G44/E44</f>
        <v>7.6793980200642001E-2</v>
      </c>
      <c r="I44" s="61">
        <f ca="1">D44/D11</f>
        <v>0.16306090031002873</v>
      </c>
      <c r="J44" s="14">
        <f ca="1">E44/E11</f>
        <v>0.15252289912558453</v>
      </c>
      <c r="K44" s="58">
        <f ca="1">I44-J44</f>
        <v>1.0538001184444201E-2</v>
      </c>
      <c r="L44" s="59" t="str">
        <f ca="1">IF(K44&gt;0,SET!$I$2,SET!$H$2)</f>
        <v>▲</v>
      </c>
      <c r="M44" s="60">
        <f ca="1">D44/D3*1000</f>
        <v>1473.6075162685984</v>
      </c>
      <c r="N44" s="16">
        <f ca="1">E44/E3*1000</f>
        <v>1394.867560501996</v>
      </c>
      <c r="O44" s="62">
        <f ca="1">M44-N44</f>
        <v>78.739955766602407</v>
      </c>
      <c r="P44" s="59" t="str">
        <f ca="1">IF(O44&gt;0,SET!$I$2,SET!$H$2)</f>
        <v>▲</v>
      </c>
    </row>
    <row r="46" spans="2:16" x14ac:dyDescent="0.25">
      <c r="C46" s="188" t="s">
        <v>97</v>
      </c>
      <c r="D46" s="188">
        <f>$D$2-2</f>
        <v>9</v>
      </c>
      <c r="E46" s="188">
        <f>D46+1</f>
        <v>10</v>
      </c>
      <c r="F46" s="188">
        <f>E46+1</f>
        <v>11</v>
      </c>
      <c r="G46" s="188" t="s">
        <v>41</v>
      </c>
      <c r="H46" s="188" t="s">
        <v>47</v>
      </c>
    </row>
    <row r="47" spans="2:16" x14ac:dyDescent="0.25">
      <c r="B47" s="82">
        <v>81</v>
      </c>
      <c r="C47" s="116" t="s">
        <v>18</v>
      </c>
      <c r="D47" s="62">
        <f ca="1">OFFSET(DATA!$B$3,$B47,D$46)</f>
        <v>65660.320000000007</v>
      </c>
      <c r="E47" s="62">
        <f ca="1">OFFSET(DATA!$B$3,$B47,E$46)</f>
        <v>71599.360000000001</v>
      </c>
      <c r="F47" s="62">
        <f ca="1">OFFSET(DATA!$B$3,$B47,F$46)</f>
        <v>71478.845000000001</v>
      </c>
      <c r="G47" s="79">
        <f ca="1">F47/$F$53</f>
        <v>0.53523587000896466</v>
      </c>
      <c r="H47" s="80">
        <f ca="1">G71</f>
        <v>0.21007618635844158</v>
      </c>
    </row>
    <row r="48" spans="2:16" x14ac:dyDescent="0.25">
      <c r="B48" s="82">
        <v>82</v>
      </c>
      <c r="C48" s="116" t="s">
        <v>64</v>
      </c>
      <c r="D48" s="62">
        <f ca="1">OFFSET(DATA!$B$3,$B48,D$46)</f>
        <v>14672.605000000001</v>
      </c>
      <c r="E48" s="62">
        <f ca="1">OFFSET(DATA!$B$3,$B48,E$46)</f>
        <v>16345.349999999999</v>
      </c>
      <c r="F48" s="62">
        <f ca="1">OFFSET(DATA!$B$3,$B48,F$46)</f>
        <v>17059.775000000001</v>
      </c>
      <c r="G48" s="79">
        <f t="shared" ref="G48:G53" ca="1" si="4">F48/$F$53</f>
        <v>0.12774413904256826</v>
      </c>
      <c r="H48" s="80">
        <f t="shared" ref="H48:H53" ca="1" si="5">G72</f>
        <v>0.15345746510257752</v>
      </c>
    </row>
    <row r="49" spans="2:8" x14ac:dyDescent="0.25">
      <c r="B49" s="82">
        <v>83</v>
      </c>
      <c r="C49" s="116" t="s">
        <v>20</v>
      </c>
      <c r="D49" s="62">
        <f ca="1">OFFSET(DATA!$B$3,$B49,D$46)</f>
        <v>16314.035</v>
      </c>
      <c r="E49" s="62">
        <f ca="1">OFFSET(DATA!$B$3,$B49,E$46)</f>
        <v>18274.725000000002</v>
      </c>
      <c r="F49" s="62">
        <f ca="1">OFFSET(DATA!$B$3,$B49,F$46)</f>
        <v>19072.12</v>
      </c>
      <c r="G49" s="79">
        <f t="shared" ca="1" si="4"/>
        <v>0.14281264255340689</v>
      </c>
      <c r="H49" s="80">
        <f t="shared" ca="1" si="5"/>
        <v>0.11987000083859663</v>
      </c>
    </row>
    <row r="50" spans="2:8" x14ac:dyDescent="0.25">
      <c r="B50" s="82">
        <v>84</v>
      </c>
      <c r="C50" s="116" t="s">
        <v>19</v>
      </c>
      <c r="D50" s="62">
        <f ca="1">OFFSET(DATA!$B$3,$B50,D$46)</f>
        <v>12999.599999999999</v>
      </c>
      <c r="E50" s="62">
        <f ca="1">OFFSET(DATA!$B$3,$B50,E$46)</f>
        <v>13637.014999999999</v>
      </c>
      <c r="F50" s="62">
        <f ca="1">OFFSET(DATA!$B$3,$B50,F$46)</f>
        <v>15045.174999999999</v>
      </c>
      <c r="G50" s="79">
        <f t="shared" ca="1" si="4"/>
        <v>0.11265875001984328</v>
      </c>
      <c r="H50" s="80">
        <f t="shared" ca="1" si="5"/>
        <v>4.5689949149065386E-2</v>
      </c>
    </row>
    <row r="51" spans="2:8" x14ac:dyDescent="0.25">
      <c r="B51" s="82">
        <v>85</v>
      </c>
      <c r="C51" s="116" t="s">
        <v>21</v>
      </c>
      <c r="D51" s="62">
        <f ca="1">OFFSET(DATA!$B$3,$B51,D$46)</f>
        <v>6428.3249999999998</v>
      </c>
      <c r="E51" s="62">
        <f ca="1">OFFSET(DATA!$B$3,$B51,E$46)</f>
        <v>7094.0250000000005</v>
      </c>
      <c r="F51" s="62">
        <f ca="1">OFFSET(DATA!$B$3,$B51,F$46)</f>
        <v>6810.7500000000009</v>
      </c>
      <c r="G51" s="79">
        <f t="shared" ca="1" si="4"/>
        <v>5.0999113117504297E-2</v>
      </c>
      <c r="H51" s="80">
        <f t="shared" ca="1" si="5"/>
        <v>0.10562698530824868</v>
      </c>
    </row>
    <row r="52" spans="2:8" x14ac:dyDescent="0.25">
      <c r="B52" s="82">
        <v>86</v>
      </c>
      <c r="C52" s="116" t="s">
        <v>22</v>
      </c>
      <c r="D52" s="62">
        <f ca="1">OFFSET(DATA!$B$3,$B52,D$46)</f>
        <v>3683.4749999999999</v>
      </c>
      <c r="E52" s="62">
        <f ca="1">OFFSET(DATA!$B$3,$B52,E$46)</f>
        <v>4072.83</v>
      </c>
      <c r="F52" s="62">
        <f ca="1">OFFSET(DATA!$B$3,$B52,F$46)</f>
        <v>4079.7749999999996</v>
      </c>
      <c r="G52" s="79">
        <f t="shared" ca="1" si="4"/>
        <v>3.0549485257712596E-2</v>
      </c>
      <c r="H52" s="80">
        <f t="shared" ca="1" si="5"/>
        <v>0.16911672664362593</v>
      </c>
    </row>
    <row r="53" spans="2:8" x14ac:dyDescent="0.25">
      <c r="C53" s="116" t="s">
        <v>4</v>
      </c>
      <c r="D53" s="81">
        <f ca="1">SUM(D47:D52)</f>
        <v>119758.36</v>
      </c>
      <c r="E53" s="81">
        <f t="shared" ref="E53:F53" ca="1" si="6">SUM(E47:E52)</f>
        <v>131023.30499999999</v>
      </c>
      <c r="F53" s="81">
        <f t="shared" ca="1" si="6"/>
        <v>133546.44</v>
      </c>
      <c r="G53" s="79">
        <f t="shared" ca="1" si="4"/>
        <v>1</v>
      </c>
      <c r="H53" s="80">
        <f t="shared" ca="1" si="5"/>
        <v>0.16969621929963763</v>
      </c>
    </row>
    <row r="54" spans="2:8" x14ac:dyDescent="0.25">
      <c r="C54" s="109" t="s">
        <v>98</v>
      </c>
      <c r="D54" s="109">
        <f>D46</f>
        <v>9</v>
      </c>
      <c r="E54" s="109">
        <f t="shared" ref="E54:F54" si="7">E46</f>
        <v>10</v>
      </c>
      <c r="F54" s="109">
        <f t="shared" si="7"/>
        <v>11</v>
      </c>
      <c r="G54" s="109"/>
      <c r="H54" s="109"/>
    </row>
    <row r="55" spans="2:8" x14ac:dyDescent="0.25">
      <c r="B55" s="82">
        <v>149</v>
      </c>
      <c r="C55" t="s">
        <v>18</v>
      </c>
      <c r="D55" s="15">
        <f ca="1">OFFSET(DATA!$B$3,$B55,D$46)</f>
        <v>651644.5278087249</v>
      </c>
      <c r="E55" s="15">
        <f ca="1">OFFSET(DATA!$B$3,$B55,E$46)</f>
        <v>706178.69441617944</v>
      </c>
      <c r="F55" s="15">
        <f ca="1">OFFSET(DATA!$B$3,$B55,F$46)</f>
        <v>699012.99410828843</v>
      </c>
      <c r="G55" s="25">
        <f ca="1">F55/$F$61</f>
        <v>0.57918984872880608</v>
      </c>
    </row>
    <row r="56" spans="2:8" x14ac:dyDescent="0.25">
      <c r="B56" s="82">
        <v>150</v>
      </c>
      <c r="C56" t="s">
        <v>64</v>
      </c>
      <c r="D56" s="15">
        <f ca="1">OFFSET(DATA!$B$3,$B56,D$46)</f>
        <v>138088.83604321454</v>
      </c>
      <c r="E56" s="15">
        <f ca="1">OFFSET(DATA!$B$3,$B56,E$46)</f>
        <v>152644.47926202035</v>
      </c>
      <c r="F56" s="15">
        <f ca="1">OFFSET(DATA!$B$3,$B56,F$46)</f>
        <v>158415.64085725264</v>
      </c>
      <c r="G56" s="25">
        <f t="shared" ref="G56:G61" ca="1" si="8">F56/$F$61</f>
        <v>0.13126040837257319</v>
      </c>
    </row>
    <row r="57" spans="2:8" x14ac:dyDescent="0.25">
      <c r="B57" s="82">
        <v>151</v>
      </c>
      <c r="C57" t="s">
        <v>20</v>
      </c>
      <c r="D57" s="15">
        <f ca="1">OFFSET(DATA!$B$3,$B57,D$46)</f>
        <v>130392.16034128248</v>
      </c>
      <c r="E57" s="15">
        <f ca="1">OFFSET(DATA!$B$3,$B57,E$46)</f>
        <v>145056.0686635852</v>
      </c>
      <c r="F57" s="15">
        <f ca="1">OFFSET(DATA!$B$3,$B57,F$46)</f>
        <v>150545.24333760631</v>
      </c>
      <c r="G57" s="25">
        <f t="shared" ca="1" si="8"/>
        <v>0.12473913568199235</v>
      </c>
    </row>
    <row r="58" spans="2:8" x14ac:dyDescent="0.25">
      <c r="B58" s="82">
        <v>152</v>
      </c>
      <c r="C58" t="s">
        <v>19</v>
      </c>
      <c r="D58" s="15">
        <f ca="1">OFFSET(DATA!$B$3,$B58,D$46)</f>
        <v>104077.07800930641</v>
      </c>
      <c r="E58" s="15">
        <f ca="1">OFFSET(DATA!$B$3,$B58,E$46)</f>
        <v>108934.42713218761</v>
      </c>
      <c r="F58" s="15">
        <f ca="1">OFFSET(DATA!$B$3,$B58,F$46)</f>
        <v>116529.40818237975</v>
      </c>
      <c r="G58" s="25">
        <f t="shared" ca="1" si="8"/>
        <v>9.6554214108291847E-2</v>
      </c>
    </row>
    <row r="59" spans="2:8" x14ac:dyDescent="0.25">
      <c r="B59" s="82">
        <v>153</v>
      </c>
      <c r="C59" t="s">
        <v>21</v>
      </c>
      <c r="D59" s="15">
        <f ca="1">OFFSET(DATA!$B$3,$B59,D$46)</f>
        <v>54897.019036550613</v>
      </c>
      <c r="E59" s="15">
        <f ca="1">OFFSET(DATA!$B$3,$B59,E$46)</f>
        <v>60185.397118876783</v>
      </c>
      <c r="F59" s="15">
        <f ca="1">OFFSET(DATA!$B$3,$B59,F$46)</f>
        <v>57559.448842104786</v>
      </c>
      <c r="G59" s="25">
        <f t="shared" ca="1" si="8"/>
        <v>4.7692744982945991E-2</v>
      </c>
    </row>
    <row r="60" spans="2:8" x14ac:dyDescent="0.25">
      <c r="B60" s="82">
        <v>154</v>
      </c>
      <c r="C60" t="s">
        <v>22</v>
      </c>
      <c r="D60" s="15">
        <f ca="1">OFFSET(DATA!$B$3,$B60,D$46)</f>
        <v>22727.303079921279</v>
      </c>
      <c r="E60" s="15">
        <f ca="1">OFFSET(DATA!$B$3,$B60,E$46)</f>
        <v>25227.912681820613</v>
      </c>
      <c r="F60" s="15">
        <f ca="1">OFFSET(DATA!$B$3,$B60,F$46)</f>
        <v>24817.868057367992</v>
      </c>
      <c r="G60" s="25">
        <f t="shared" ca="1" si="8"/>
        <v>2.05636481253904E-2</v>
      </c>
    </row>
    <row r="61" spans="2:8" x14ac:dyDescent="0.25">
      <c r="C61" t="s">
        <v>4</v>
      </c>
      <c r="D61" s="20">
        <f ca="1">SUM(D55:D60)</f>
        <v>1101826.9243190002</v>
      </c>
      <c r="E61" s="20">
        <f t="shared" ref="E61:F61" ca="1" si="9">SUM(E55:E60)</f>
        <v>1198226.9792746699</v>
      </c>
      <c r="F61" s="20">
        <f t="shared" ca="1" si="9"/>
        <v>1206880.603385</v>
      </c>
      <c r="G61" s="25">
        <f t="shared" ca="1" si="8"/>
        <v>1</v>
      </c>
    </row>
    <row r="62" spans="2:8" x14ac:dyDescent="0.25">
      <c r="C62" s="109" t="s">
        <v>98</v>
      </c>
      <c r="D62" s="109">
        <f>D54</f>
        <v>9</v>
      </c>
      <c r="E62" s="109">
        <f t="shared" ref="E62:F62" si="10">E54</f>
        <v>10</v>
      </c>
      <c r="F62" s="109">
        <f t="shared" si="10"/>
        <v>11</v>
      </c>
      <c r="G62" s="109"/>
      <c r="H62" s="109"/>
    </row>
    <row r="63" spans="2:8" x14ac:dyDescent="0.25">
      <c r="B63" s="82">
        <v>176</v>
      </c>
      <c r="C63" t="s">
        <v>18</v>
      </c>
      <c r="D63" s="15">
        <f ca="1">OFFSET(DATA!$B$3,$B63,D$46)</f>
        <v>-537876.07928130729</v>
      </c>
      <c r="E63" s="15">
        <f ca="1">OFFSET(DATA!$B$3,$B63,E$46)</f>
        <v>-573889.6831738652</v>
      </c>
      <c r="F63" s="15">
        <f ca="1">OFFSET(DATA!$B$3,$B63,F$46)</f>
        <v>-552167.0100910234</v>
      </c>
      <c r="G63" s="25">
        <f ca="1">F63/$F$69</f>
        <v>0.55102224603195316</v>
      </c>
    </row>
    <row r="64" spans="2:8" x14ac:dyDescent="0.25">
      <c r="B64" s="82">
        <v>177</v>
      </c>
      <c r="C64" t="s">
        <v>64</v>
      </c>
      <c r="D64" s="15">
        <f ca="1">OFFSET(DATA!$B$3,$B64,D$46)</f>
        <v>-123246.14501189535</v>
      </c>
      <c r="E64" s="15">
        <f ca="1">OFFSET(DATA!$B$3,$B64,E$46)</f>
        <v>-131471.86382412128</v>
      </c>
      <c r="F64" s="15">
        <f ca="1">OFFSET(DATA!$B$3,$B64,F$46)</f>
        <v>-134105.57817869834</v>
      </c>
      <c r="G64" s="25">
        <f t="shared" ref="G64:G69" ca="1" si="11">F64/$F$69</f>
        <v>0.13382754772194488</v>
      </c>
    </row>
    <row r="65" spans="2:15" x14ac:dyDescent="0.25">
      <c r="B65" s="82">
        <v>178</v>
      </c>
      <c r="C65" t="s">
        <v>20</v>
      </c>
      <c r="D65" s="15">
        <f ca="1">OFFSET(DATA!$B$3,$B65,D$46)</f>
        <v>-120063.22497054173</v>
      </c>
      <c r="E65" s="15">
        <f ca="1">OFFSET(DATA!$B$3,$B65,E$46)</f>
        <v>-131036.01192196833</v>
      </c>
      <c r="F65" s="15">
        <f ca="1">OFFSET(DATA!$B$3,$B65,F$46)</f>
        <v>-132499.38489248071</v>
      </c>
      <c r="G65" s="25">
        <f t="shared" ca="1" si="11"/>
        <v>0.13222468442884958</v>
      </c>
    </row>
    <row r="66" spans="2:15" x14ac:dyDescent="0.25">
      <c r="B66" s="82">
        <v>179</v>
      </c>
      <c r="C66" t="s">
        <v>19</v>
      </c>
      <c r="D66" s="15">
        <f ca="1">OFFSET(DATA!$B$3,$B66,D$46)</f>
        <v>-99754.827948565478</v>
      </c>
      <c r="E66" s="15">
        <f ca="1">OFFSET(DATA!$B$3,$B66,E$46)</f>
        <v>-102225.71671581037</v>
      </c>
      <c r="F66" s="15">
        <f ca="1">OFFSET(DATA!$B$3,$B66,F$46)</f>
        <v>-111205.18544815613</v>
      </c>
      <c r="G66" s="25">
        <f t="shared" ca="1" si="11"/>
        <v>0.11097463255898171</v>
      </c>
    </row>
    <row r="67" spans="2:15" x14ac:dyDescent="0.25">
      <c r="B67" s="82">
        <v>180</v>
      </c>
      <c r="C67" t="s">
        <v>21</v>
      </c>
      <c r="D67" s="15">
        <f ca="1">OFFSET(DATA!$B$3,$B67,D$46)</f>
        <v>-51324.567881989606</v>
      </c>
      <c r="E67" s="15">
        <f ca="1">OFFSET(DATA!$B$3,$B67,E$46)</f>
        <v>-55107.05472975412</v>
      </c>
      <c r="F67" s="15">
        <f ca="1">OFFSET(DATA!$B$3,$B67,F$46)</f>
        <v>-51479.617784908893</v>
      </c>
      <c r="G67" s="25">
        <f t="shared" ca="1" si="11"/>
        <v>5.1372889177190878E-2</v>
      </c>
    </row>
    <row r="68" spans="2:15" x14ac:dyDescent="0.25">
      <c r="B68" s="82">
        <v>181</v>
      </c>
      <c r="C68" t="s">
        <v>22</v>
      </c>
      <c r="D68" s="15">
        <f ca="1">OFFSET(DATA!$B$3,$B68,D$46)</f>
        <v>-19298.975681700664</v>
      </c>
      <c r="E68" s="15">
        <f ca="1">OFFSET(DATA!$B$3,$B68,E$46)</f>
        <v>-20258.344984480653</v>
      </c>
      <c r="F68" s="15">
        <f ca="1">OFFSET(DATA!$B$3,$B68,F$46)</f>
        <v>-20620.751449232514</v>
      </c>
      <c r="G68" s="25">
        <f t="shared" ca="1" si="11"/>
        <v>2.0578000081079951E-2</v>
      </c>
    </row>
    <row r="69" spans="2:15" x14ac:dyDescent="0.25">
      <c r="C69" t="s">
        <v>4</v>
      </c>
      <c r="D69" s="20">
        <f ca="1">SUM(D63:D68)</f>
        <v>-951563.82077600015</v>
      </c>
      <c r="E69" s="20">
        <f t="shared" ref="E69:F69" ca="1" si="12">SUM(E63:E68)</f>
        <v>-1013988.6753499999</v>
      </c>
      <c r="F69" s="20">
        <f t="shared" ca="1" si="12"/>
        <v>-1002077.5278444998</v>
      </c>
      <c r="G69" s="25">
        <f t="shared" ca="1" si="11"/>
        <v>1</v>
      </c>
    </row>
    <row r="70" spans="2:15" x14ac:dyDescent="0.25">
      <c r="C70" s="109" t="s">
        <v>99</v>
      </c>
      <c r="D70" s="109">
        <f>D62</f>
        <v>9</v>
      </c>
      <c r="E70" s="109">
        <f t="shared" ref="E70:F70" si="13">E62</f>
        <v>10</v>
      </c>
      <c r="F70" s="109">
        <f t="shared" si="13"/>
        <v>11</v>
      </c>
      <c r="G70" s="109"/>
      <c r="H70" s="109"/>
    </row>
    <row r="71" spans="2:15" x14ac:dyDescent="0.25">
      <c r="C71" t="s">
        <v>18</v>
      </c>
      <c r="D71" s="15">
        <f ca="1">D55+D63</f>
        <v>113768.44852741761</v>
      </c>
      <c r="E71" s="15">
        <f t="shared" ref="E71:F71" ca="1" si="14">E55+E63</f>
        <v>132289.01124231424</v>
      </c>
      <c r="F71" s="15">
        <f t="shared" ca="1" si="14"/>
        <v>146845.98401726503</v>
      </c>
      <c r="G71" s="25">
        <f ca="1">F71/F55</f>
        <v>0.21007618635844158</v>
      </c>
    </row>
    <row r="72" spans="2:15" x14ac:dyDescent="0.25">
      <c r="C72" t="s">
        <v>64</v>
      </c>
      <c r="D72" s="15">
        <f t="shared" ref="D72:F72" ca="1" si="15">D56+D64</f>
        <v>14842.691031319191</v>
      </c>
      <c r="E72" s="15">
        <f t="shared" ca="1" si="15"/>
        <v>21172.615437899076</v>
      </c>
      <c r="F72" s="15">
        <f t="shared" ca="1" si="15"/>
        <v>24310.062678554299</v>
      </c>
      <c r="G72" s="25">
        <f t="shared" ref="G72:G77" ca="1" si="16">F72/F56</f>
        <v>0.15345746510257752</v>
      </c>
    </row>
    <row r="73" spans="2:15" x14ac:dyDescent="0.25">
      <c r="C73" t="s">
        <v>20</v>
      </c>
      <c r="D73" s="15">
        <f t="shared" ref="D73:F73" ca="1" si="17">D57+D65</f>
        <v>10328.935370740743</v>
      </c>
      <c r="E73" s="15">
        <f t="shared" ca="1" si="17"/>
        <v>14020.056741616878</v>
      </c>
      <c r="F73" s="15">
        <f t="shared" ca="1" si="17"/>
        <v>18045.858445125603</v>
      </c>
      <c r="G73" s="25">
        <f t="shared" ca="1" si="16"/>
        <v>0.11987000083859663</v>
      </c>
    </row>
    <row r="74" spans="2:15" x14ac:dyDescent="0.25">
      <c r="C74" t="s">
        <v>19</v>
      </c>
      <c r="D74" s="15">
        <f t="shared" ref="D74:F74" ca="1" si="18">D58+D66</f>
        <v>4322.2500607409311</v>
      </c>
      <c r="E74" s="15">
        <f t="shared" ca="1" si="18"/>
        <v>6708.7104163772456</v>
      </c>
      <c r="F74" s="15">
        <f t="shared" ca="1" si="18"/>
        <v>5324.2227342236147</v>
      </c>
      <c r="G74" s="25">
        <f t="shared" ca="1" si="16"/>
        <v>4.5689949149065386E-2</v>
      </c>
    </row>
    <row r="75" spans="2:15" x14ac:dyDescent="0.25">
      <c r="C75" t="s">
        <v>21</v>
      </c>
      <c r="D75" s="15">
        <f t="shared" ref="D75:F75" ca="1" si="19">D59+D67</f>
        <v>3572.4511545610076</v>
      </c>
      <c r="E75" s="15">
        <f t="shared" ca="1" si="19"/>
        <v>5078.342389122663</v>
      </c>
      <c r="F75" s="15">
        <f t="shared" ca="1" si="19"/>
        <v>6079.8310571958937</v>
      </c>
      <c r="G75" s="25">
        <f t="shared" ca="1" si="16"/>
        <v>0.10562698530824868</v>
      </c>
    </row>
    <row r="76" spans="2:15" x14ac:dyDescent="0.25">
      <c r="C76" t="s">
        <v>22</v>
      </c>
      <c r="D76" s="15">
        <f t="shared" ref="D76:F76" ca="1" si="20">D60+D68</f>
        <v>3428.3273982206156</v>
      </c>
      <c r="E76" s="15">
        <f t="shared" ca="1" si="20"/>
        <v>4969.5676973399604</v>
      </c>
      <c r="F76" s="15">
        <f t="shared" ca="1" si="20"/>
        <v>4197.1166081354786</v>
      </c>
      <c r="G76" s="25">
        <f t="shared" ca="1" si="16"/>
        <v>0.16911672664362593</v>
      </c>
    </row>
    <row r="77" spans="2:15" x14ac:dyDescent="0.25">
      <c r="C77" t="s">
        <v>4</v>
      </c>
      <c r="D77" s="20">
        <f ca="1">SUM(D71:D76)</f>
        <v>150263.10354300006</v>
      </c>
      <c r="E77" s="20">
        <f t="shared" ref="E77:F77" ca="1" si="21">SUM(E71:E76)</f>
        <v>184238.30392467004</v>
      </c>
      <c r="F77" s="20">
        <f t="shared" ca="1" si="21"/>
        <v>204803.07554049994</v>
      </c>
      <c r="G77" s="25">
        <f t="shared" ca="1" si="16"/>
        <v>0.16969621929963763</v>
      </c>
    </row>
    <row r="79" spans="2:15" x14ac:dyDescent="0.25">
      <c r="C79" s="109" t="s">
        <v>121</v>
      </c>
      <c r="D79" s="109">
        <v>1</v>
      </c>
      <c r="E79" s="109">
        <v>2</v>
      </c>
      <c r="F79" s="109">
        <f>E79+1</f>
        <v>3</v>
      </c>
      <c r="G79" s="109">
        <f t="shared" ref="G79:O79" si="22">F79+1</f>
        <v>4</v>
      </c>
      <c r="H79" s="109">
        <f t="shared" si="22"/>
        <v>5</v>
      </c>
      <c r="I79" s="109">
        <f t="shared" si="22"/>
        <v>6</v>
      </c>
      <c r="J79" s="109">
        <f t="shared" si="22"/>
        <v>7</v>
      </c>
      <c r="K79" s="109">
        <f t="shared" si="22"/>
        <v>8</v>
      </c>
      <c r="L79" s="109">
        <f t="shared" si="22"/>
        <v>9</v>
      </c>
      <c r="M79" s="109">
        <f t="shared" si="22"/>
        <v>10</v>
      </c>
      <c r="N79" s="109">
        <f t="shared" si="22"/>
        <v>11</v>
      </c>
      <c r="O79" s="109">
        <f t="shared" si="22"/>
        <v>12</v>
      </c>
    </row>
    <row r="80" spans="2:15" x14ac:dyDescent="0.25">
      <c r="B80" s="82">
        <v>205</v>
      </c>
      <c r="C80" t="s">
        <v>35</v>
      </c>
      <c r="D80" s="15">
        <f ca="1">OFFSET(DATA!$B$3,$B80,D$79)</f>
        <v>175967532</v>
      </c>
      <c r="E80" s="15">
        <f ca="1">OFFSET(DATA!$B$3,$B80,E$79)</f>
        <v>71791978</v>
      </c>
      <c r="F80" s="15">
        <f ca="1">OFFSET(DATA!$B$3,$B80,F$79)</f>
        <v>114944911</v>
      </c>
      <c r="G80" s="15">
        <f ca="1">OFFSET(DATA!$B$3,$B80,G$79)</f>
        <v>97441951</v>
      </c>
      <c r="H80" s="15">
        <f ca="1">OFFSET(DATA!$B$3,$B80,H$79)</f>
        <v>156538041</v>
      </c>
      <c r="I80" s="15">
        <f ca="1">OFFSET(DATA!$B$3,$B80,I$79)</f>
        <v>121979691</v>
      </c>
      <c r="J80" s="15">
        <f ca="1">OFFSET(DATA!$B$3,$B80,J$79)</f>
        <v>55545072</v>
      </c>
      <c r="K80" s="15">
        <f ca="1">OFFSET(DATA!$B$3,$B80,K$79)</f>
        <v>100513176</v>
      </c>
      <c r="L80" s="15">
        <f ca="1">OFFSET(DATA!$B$3,$B80,L$79)</f>
        <v>210649067</v>
      </c>
      <c r="M80" s="15">
        <f ca="1">OFFSET(DATA!$B$3,$B80,M$79)</f>
        <v>121163511</v>
      </c>
      <c r="N80" s="15">
        <f ca="1">OFFSET(DATA!$B$3,$B80,N$79)</f>
        <v>192823543</v>
      </c>
      <c r="O80" s="15">
        <f ca="1">OFFSET(DATA!$B$3,$B80,O$79)</f>
        <v>0</v>
      </c>
    </row>
    <row r="81" spans="2:17" x14ac:dyDescent="0.25">
      <c r="B81" s="82">
        <v>206</v>
      </c>
      <c r="C81" t="s">
        <v>36</v>
      </c>
      <c r="D81" s="15">
        <f ca="1">OFFSET(DATA!$B$3,$B81,D$79)</f>
        <v>108165190</v>
      </c>
      <c r="E81" s="15">
        <f ca="1">OFFSET(DATA!$B$3,$B81,E$79)</f>
        <v>18368840</v>
      </c>
      <c r="F81" s="15">
        <f ca="1">OFFSET(DATA!$B$3,$B81,F$79)</f>
        <v>98130430</v>
      </c>
      <c r="G81" s="15">
        <f ca="1">OFFSET(DATA!$B$3,$B81,G$79)</f>
        <v>16530040</v>
      </c>
      <c r="H81" s="15">
        <f ca="1">OFFSET(DATA!$B$3,$B81,H$79)</f>
        <v>59463710</v>
      </c>
      <c r="I81" s="15">
        <f ca="1">OFFSET(DATA!$B$3,$B81,I$79)</f>
        <v>71982730</v>
      </c>
      <c r="J81" s="15">
        <f ca="1">OFFSET(DATA!$B$3,$B81,J$79)</f>
        <v>104373870</v>
      </c>
      <c r="K81" s="15">
        <f ca="1">OFFSET(DATA!$B$3,$B81,K$79)</f>
        <v>24267620</v>
      </c>
      <c r="L81" s="15">
        <f ca="1">OFFSET(DATA!$B$3,$B81,L$79)</f>
        <v>19866050</v>
      </c>
      <c r="M81" s="15">
        <f ca="1">OFFSET(DATA!$B$3,$B81,M$79)</f>
        <v>87203736</v>
      </c>
      <c r="N81" s="15">
        <f ca="1">OFFSET(DATA!$B$3,$B81,N$79)</f>
        <v>56630200</v>
      </c>
      <c r="O81" s="15">
        <f ca="1">OFFSET(DATA!$B$3,$B81,O$79)</f>
        <v>0</v>
      </c>
    </row>
    <row r="82" spans="2:17" x14ac:dyDescent="0.25">
      <c r="B82" s="82">
        <v>207</v>
      </c>
      <c r="C82" t="s">
        <v>38</v>
      </c>
      <c r="D82" s="15">
        <f ca="1">OFFSET(DATA!$B$3,$B82,D$79)</f>
        <v>36725510</v>
      </c>
      <c r="E82" s="15">
        <f ca="1">OFFSET(DATA!$B$3,$B82,E$79)</f>
        <v>30311740</v>
      </c>
      <c r="F82" s="15">
        <f ca="1">OFFSET(DATA!$B$3,$B82,F$79)</f>
        <v>37484100</v>
      </c>
      <c r="G82" s="15">
        <f ca="1">OFFSET(DATA!$B$3,$B82,G$79)</f>
        <v>56634300</v>
      </c>
      <c r="H82" s="15">
        <f ca="1">OFFSET(DATA!$B$3,$B82,H$79)</f>
        <v>59359020</v>
      </c>
      <c r="I82" s="15">
        <f ca="1">OFFSET(DATA!$B$3,$B82,I$79)</f>
        <v>44008670</v>
      </c>
      <c r="J82" s="15">
        <f ca="1">OFFSET(DATA!$B$3,$B82,J$79)</f>
        <v>60380170</v>
      </c>
      <c r="K82" s="15">
        <f ca="1">OFFSET(DATA!$B$3,$B82,K$79)</f>
        <v>27669950</v>
      </c>
      <c r="L82" s="15">
        <f ca="1">OFFSET(DATA!$B$3,$B82,L$79)</f>
        <v>29484070</v>
      </c>
      <c r="M82" s="15">
        <f ca="1">OFFSET(DATA!$B$3,$B82,M$79)</f>
        <v>18463780</v>
      </c>
      <c r="N82" s="15">
        <f ca="1">OFFSET(DATA!$B$3,$B82,N$79)</f>
        <v>6508070</v>
      </c>
      <c r="O82" s="15">
        <f ca="1">OFFSET(DATA!$B$3,$B82,O$79)</f>
        <v>0</v>
      </c>
    </row>
    <row r="83" spans="2:17" x14ac:dyDescent="0.25">
      <c r="B83" s="82">
        <v>208</v>
      </c>
      <c r="C83" t="s">
        <v>37</v>
      </c>
      <c r="D83" s="15">
        <f ca="1">OFFSET(DATA!$B$3,$B83,D$79)</f>
        <v>23076168</v>
      </c>
      <c r="E83" s="15">
        <f ca="1">OFFSET(DATA!$B$3,$B83,E$79)</f>
        <v>12606648</v>
      </c>
      <c r="F83" s="15">
        <f ca="1">OFFSET(DATA!$B$3,$B83,F$79)</f>
        <v>21532064</v>
      </c>
      <c r="G83" s="15">
        <f ca="1">OFFSET(DATA!$B$3,$B83,G$79)</f>
        <v>21930946</v>
      </c>
      <c r="H83" s="15">
        <f ca="1">OFFSET(DATA!$B$3,$B83,H$79)</f>
        <v>28929613</v>
      </c>
      <c r="I83" s="15">
        <f ca="1">OFFSET(DATA!$B$3,$B83,I$79)</f>
        <v>26808281</v>
      </c>
      <c r="J83" s="15">
        <f ca="1">OFFSET(DATA!$B$3,$B83,J$79)</f>
        <v>30259584</v>
      </c>
      <c r="K83" s="15">
        <f ca="1">OFFSET(DATA!$B$3,$B83,K$79)</f>
        <v>33910578</v>
      </c>
      <c r="L83" s="15">
        <f ca="1">OFFSET(DATA!$B$3,$B83,L$79)</f>
        <v>26198628</v>
      </c>
      <c r="M83" s="15">
        <f ca="1">OFFSET(DATA!$B$3,$B83,M$79)</f>
        <v>22463430</v>
      </c>
      <c r="N83" s="15">
        <f ca="1">OFFSET(DATA!$B$3,$B83,N$79)</f>
        <v>15261611</v>
      </c>
      <c r="O83" s="15">
        <f ca="1">OFFSET(DATA!$B$3,$B83,O$79)</f>
        <v>0</v>
      </c>
    </row>
    <row r="84" spans="2:17" x14ac:dyDescent="0.25">
      <c r="B84" s="82">
        <v>209</v>
      </c>
      <c r="C84" t="s">
        <v>39</v>
      </c>
      <c r="D84" s="15">
        <f ca="1">OFFSET(DATA!$B$3,$B84,D$79)</f>
        <v>93591052</v>
      </c>
      <c r="E84" s="15">
        <f ca="1">OFFSET(DATA!$B$3,$B84,E$79)</f>
        <v>70455137</v>
      </c>
      <c r="F84" s="15">
        <f ca="1">OFFSET(DATA!$B$3,$B84,F$79)</f>
        <v>86065615</v>
      </c>
      <c r="G84" s="15">
        <f ca="1">OFFSET(DATA!$B$3,$B84,G$79)</f>
        <v>79819126</v>
      </c>
      <c r="H84" s="15">
        <f ca="1">OFFSET(DATA!$B$3,$B84,H$79)</f>
        <v>83654269</v>
      </c>
      <c r="I84" s="15">
        <f ca="1">OFFSET(DATA!$B$3,$B84,I$79)</f>
        <v>82092793</v>
      </c>
      <c r="J84" s="15">
        <f ca="1">OFFSET(DATA!$B$3,$B84,J$79)</f>
        <v>74301814</v>
      </c>
      <c r="K84" s="15">
        <f ca="1">OFFSET(DATA!$B$3,$B84,K$79)</f>
        <v>65555637</v>
      </c>
      <c r="L84" s="15">
        <f ca="1">OFFSET(DATA!$B$3,$B84,L$79)</f>
        <v>74205091</v>
      </c>
      <c r="M84" s="15">
        <f ca="1">OFFSET(DATA!$B$3,$B84,M$79)</f>
        <v>71897630</v>
      </c>
      <c r="N84" s="15">
        <f ca="1">OFFSET(DATA!$B$3,$B84,N$79)</f>
        <v>77905927</v>
      </c>
      <c r="O84" s="15">
        <f ca="1">OFFSET(DATA!$B$3,$B84,O$79)</f>
        <v>0</v>
      </c>
    </row>
    <row r="85" spans="2:17" x14ac:dyDescent="0.25">
      <c r="C85" s="109" t="s">
        <v>122</v>
      </c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</row>
    <row r="86" spans="2:17" x14ac:dyDescent="0.25">
      <c r="B86" s="82">
        <v>233</v>
      </c>
      <c r="C86" t="s">
        <v>35</v>
      </c>
      <c r="D86" s="15">
        <f ca="1">OFFSET(DATA!$B$3,$B86,D$79)</f>
        <v>853052712060</v>
      </c>
      <c r="E86" s="15">
        <f ca="1">OFFSET(DATA!$B$3,$B86,E$79)</f>
        <v>366175597457</v>
      </c>
      <c r="F86" s="15">
        <f ca="1">OFFSET(DATA!$B$3,$B86,F$79)</f>
        <v>593448139600</v>
      </c>
      <c r="G86" s="15">
        <f ca="1">OFFSET(DATA!$B$3,$B86,G$79)</f>
        <v>511080386250</v>
      </c>
      <c r="H86" s="15">
        <f ca="1">OFFSET(DATA!$B$3,$B86,H$79)</f>
        <v>855781749200</v>
      </c>
      <c r="I86" s="15">
        <f ca="1">OFFSET(DATA!$B$3,$B86,I$79)</f>
        <v>696967928025</v>
      </c>
      <c r="J86" s="15">
        <f ca="1">OFFSET(DATA!$B$3,$B86,J$79)</f>
        <v>323108354300</v>
      </c>
      <c r="K86" s="15">
        <f ca="1">OFFSET(DATA!$B$3,$B86,K$79)</f>
        <v>573877743510</v>
      </c>
      <c r="L86" s="15">
        <f ca="1">OFFSET(DATA!$B$3,$B86,L$79)</f>
        <v>1171952827900</v>
      </c>
      <c r="M86" s="15">
        <f ca="1">OFFSET(DATA!$B$3,$B86,M$79)</f>
        <v>649773109875</v>
      </c>
      <c r="N86" s="15">
        <f ca="1">OFFSET(DATA!$B$3,$B86,N$79)</f>
        <v>1037931867280</v>
      </c>
      <c r="O86" s="15">
        <f ca="1">OFFSET(DATA!$B$3,$B86,O$79)</f>
        <v>0</v>
      </c>
    </row>
    <row r="87" spans="2:17" x14ac:dyDescent="0.25">
      <c r="B87" s="82">
        <v>234</v>
      </c>
      <c r="C87" t="s">
        <v>43</v>
      </c>
      <c r="D87" s="15">
        <f ca="1">OFFSET(DATA!$B$3,$B87,D$79)</f>
        <v>954801462020</v>
      </c>
      <c r="E87" s="15">
        <f ca="1">OFFSET(DATA!$B$3,$B87,E$79)</f>
        <v>164332463880</v>
      </c>
      <c r="F87" s="15">
        <f ca="1">OFFSET(DATA!$B$3,$B87,F$79)</f>
        <v>976027675680</v>
      </c>
      <c r="G87" s="15">
        <f ca="1">OFFSET(DATA!$B$3,$B87,G$79)</f>
        <v>174806867757</v>
      </c>
      <c r="H87" s="15">
        <f ca="1">OFFSET(DATA!$B$3,$B87,H$79)</f>
        <v>598993568146</v>
      </c>
      <c r="I87" s="15">
        <f ca="1">OFFSET(DATA!$B$3,$B87,I$79)</f>
        <v>838858275052</v>
      </c>
      <c r="J87" s="15">
        <f ca="1">OFFSET(DATA!$B$3,$B87,J$79)</f>
        <v>1211600519879</v>
      </c>
      <c r="K87" s="15">
        <f ca="1">OFFSET(DATA!$B$3,$B87,K$79)</f>
        <v>278430063710</v>
      </c>
      <c r="L87" s="15">
        <f ca="1">OFFSET(DATA!$B$3,$B87,L$79)</f>
        <v>224300594444</v>
      </c>
      <c r="M87" s="15">
        <f ca="1">OFFSET(DATA!$B$3,$B87,M$79)</f>
        <v>936846150802</v>
      </c>
      <c r="N87" s="15">
        <f ca="1">OFFSET(DATA!$B$3,$B87,N$79)</f>
        <v>598692632840</v>
      </c>
      <c r="O87" s="15">
        <f ca="1">OFFSET(DATA!$B$3,$B87,O$79)</f>
        <v>0</v>
      </c>
    </row>
    <row r="88" spans="2:17" x14ac:dyDescent="0.25">
      <c r="B88" s="82">
        <v>235</v>
      </c>
      <c r="C88" t="s">
        <v>44</v>
      </c>
      <c r="D88" s="15">
        <f ca="1">OFFSET(DATA!$B$3,$B88,D$79)</f>
        <v>192629117270</v>
      </c>
      <c r="E88" s="15">
        <f ca="1">OFFSET(DATA!$B$3,$B88,E$79)</f>
        <v>161193970840</v>
      </c>
      <c r="F88" s="15">
        <f ca="1">OFFSET(DATA!$B$3,$B88,F$79)</f>
        <v>202729207880</v>
      </c>
      <c r="G88" s="15">
        <f ca="1">OFFSET(DATA!$B$3,$B88,G$79)</f>
        <v>313696648560</v>
      </c>
      <c r="H88" s="15">
        <f ca="1">OFFSET(DATA!$B$3,$B88,H$79)</f>
        <v>336955660510</v>
      </c>
      <c r="I88" s="15">
        <f ca="1">OFFSET(DATA!$B$3,$B88,I$79)</f>
        <v>254704521220</v>
      </c>
      <c r="J88" s="15">
        <f ca="1">OFFSET(DATA!$B$3,$B88,J$79)</f>
        <v>357554383160</v>
      </c>
      <c r="K88" s="15">
        <f ca="1">OFFSET(DATA!$B$3,$B88,K$79)</f>
        <v>163879765260</v>
      </c>
      <c r="L88" s="15">
        <f ca="1">OFFSET(DATA!$B$3,$B88,L$79)</f>
        <v>172081270890</v>
      </c>
      <c r="M88" s="15">
        <f ca="1">OFFSET(DATA!$B$3,$B88,M$79)</f>
        <v>109768088180</v>
      </c>
      <c r="N88" s="15">
        <f ca="1">OFFSET(DATA!$B$3,$B88,N$79)</f>
        <v>38043965190</v>
      </c>
      <c r="O88" s="15">
        <f ca="1">OFFSET(DATA!$B$3,$B88,O$79)</f>
        <v>0</v>
      </c>
    </row>
    <row r="89" spans="2:17" x14ac:dyDescent="0.25">
      <c r="B89" s="82">
        <v>236</v>
      </c>
      <c r="C89" t="s">
        <v>37</v>
      </c>
      <c r="D89" s="15">
        <f ca="1">OFFSET(DATA!$B$3,$B89,D$79)</f>
        <v>128632010710</v>
      </c>
      <c r="E89" s="15">
        <f ca="1">OFFSET(DATA!$B$3,$B89,E$79)</f>
        <v>72254722910</v>
      </c>
      <c r="F89" s="15">
        <f ca="1">OFFSET(DATA!$B$3,$B89,F$79)</f>
        <v>113560085520</v>
      </c>
      <c r="G89" s="15">
        <f ca="1">OFFSET(DATA!$B$3,$B89,G$79)</f>
        <v>113969522020</v>
      </c>
      <c r="H89" s="15">
        <f ca="1">OFFSET(DATA!$B$3,$B89,H$79)</f>
        <v>157492150356</v>
      </c>
      <c r="I89" s="15">
        <f ca="1">OFFSET(DATA!$B$3,$B89,I$79)</f>
        <v>147518572753</v>
      </c>
      <c r="J89" s="15">
        <f ca="1">OFFSET(DATA!$B$3,$B89,J$79)</f>
        <v>162874130820</v>
      </c>
      <c r="K89" s="15">
        <f ca="1">OFFSET(DATA!$B$3,$B89,K$79)</f>
        <v>194023460700</v>
      </c>
      <c r="L89" s="15">
        <f ca="1">OFFSET(DATA!$B$3,$B89,L$79)</f>
        <v>150641233340</v>
      </c>
      <c r="M89" s="15">
        <f ca="1">OFFSET(DATA!$B$3,$B89,M$79)</f>
        <v>131493602990</v>
      </c>
      <c r="N89" s="15">
        <f ca="1">OFFSET(DATA!$B$3,$B89,N$79)</f>
        <v>94115423500</v>
      </c>
      <c r="O89" s="15">
        <f ca="1">OFFSET(DATA!$B$3,$B89,O$79)</f>
        <v>0</v>
      </c>
    </row>
    <row r="90" spans="2:17" x14ac:dyDescent="0.25">
      <c r="B90" s="82">
        <v>237</v>
      </c>
      <c r="C90" t="s">
        <v>39</v>
      </c>
      <c r="D90" s="15">
        <f ca="1">OFFSET(DATA!$B$3,$B90,D$79)</f>
        <v>614579722107</v>
      </c>
      <c r="E90" s="15">
        <f ca="1">OFFSET(DATA!$B$3,$B90,E$79)</f>
        <v>452980816841</v>
      </c>
      <c r="F90" s="15">
        <f ca="1">OFFSET(DATA!$B$3,$B90,F$79)</f>
        <v>555425940871</v>
      </c>
      <c r="G90" s="15">
        <f ca="1">OFFSET(DATA!$B$3,$B90,G$79)</f>
        <v>519015708373</v>
      </c>
      <c r="H90" s="15">
        <f ca="1">OFFSET(DATA!$B$3,$B90,H$79)</f>
        <v>562745597921</v>
      </c>
      <c r="I90" s="15">
        <f ca="1">OFFSET(DATA!$B$3,$B90,I$79)</f>
        <v>591005750488</v>
      </c>
      <c r="J90" s="15">
        <f ca="1">OFFSET(DATA!$B$3,$B90,J$79)</f>
        <v>582028209494</v>
      </c>
      <c r="K90" s="15">
        <f ca="1">OFFSET(DATA!$B$3,$B90,K$79)</f>
        <v>496188261438</v>
      </c>
      <c r="L90" s="15">
        <f ca="1">OFFSET(DATA!$B$3,$B90,L$79)</f>
        <v>552252743371</v>
      </c>
      <c r="M90" s="15">
        <f ca="1">OFFSET(DATA!$B$3,$B90,M$79)</f>
        <v>516019826947</v>
      </c>
      <c r="N90" s="15">
        <f ca="1">OFFSET(DATA!$B$3,$B90,N$79)</f>
        <v>542584332248</v>
      </c>
      <c r="O90" s="15">
        <f ca="1">OFFSET(DATA!$B$3,$B90,O$79)</f>
        <v>0</v>
      </c>
    </row>
    <row r="91" spans="2:17" x14ac:dyDescent="0.25">
      <c r="C91" s="109" t="s">
        <v>123</v>
      </c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t="s">
        <v>151</v>
      </c>
      <c r="Q91" t="s">
        <v>152</v>
      </c>
    </row>
    <row r="92" spans="2:17" x14ac:dyDescent="0.25">
      <c r="C92" t="s">
        <v>35</v>
      </c>
      <c r="D92" s="15">
        <f ca="1">IF(D80=0,NA(),D86/D80)</f>
        <v>4847.7847155349091</v>
      </c>
      <c r="E92" s="15">
        <f t="shared" ref="E92:O92" ca="1" si="23">IF(E80=0,NA(),E86/E80)</f>
        <v>5100.5085478631054</v>
      </c>
      <c r="F92" s="15">
        <f t="shared" ca="1" si="23"/>
        <v>5162.8918099732136</v>
      </c>
      <c r="G92" s="15">
        <f t="shared" ca="1" si="23"/>
        <v>5244.9728377257143</v>
      </c>
      <c r="H92" s="15">
        <f t="shared" ca="1" si="23"/>
        <v>5466.9251239703453</v>
      </c>
      <c r="I92" s="15">
        <f t="shared" ca="1" si="23"/>
        <v>5713.8030299240554</v>
      </c>
      <c r="J92" s="15">
        <f t="shared" ca="1" si="23"/>
        <v>5817.0480776404429</v>
      </c>
      <c r="K92" s="15">
        <f t="shared" ca="1" si="23"/>
        <v>5709.4777654822092</v>
      </c>
      <c r="L92" s="15">
        <f t="shared" ca="1" si="23"/>
        <v>5563.5320136499822</v>
      </c>
      <c r="M92" s="15">
        <f t="shared" ca="1" si="23"/>
        <v>5362.7788144485185</v>
      </c>
      <c r="N92" s="15">
        <f t="shared" ca="1" si="23"/>
        <v>5382.8067420169746</v>
      </c>
      <c r="O92" s="15" t="e">
        <f t="shared" ca="1" si="23"/>
        <v>#N/A</v>
      </c>
      <c r="P92">
        <f t="array" aca="1" ref="P92" ca="1">MIN(IF(ISNUMBER(D92:O92),D92:O92))</f>
        <v>4847.7847155349091</v>
      </c>
      <c r="Q92">
        <f t="array" aca="1" ref="Q92" ca="1">MAX(IF(ISNUMBER(D92:O92),D92:O92))</f>
        <v>5817.0480776404429</v>
      </c>
    </row>
    <row r="93" spans="2:17" x14ac:dyDescent="0.25">
      <c r="C93" t="s">
        <v>43</v>
      </c>
      <c r="D93" s="15">
        <f t="shared" ref="D93:O93" ca="1" si="24">IF(D81=0,NA(),D87/D81)</f>
        <v>8827.2526680718638</v>
      </c>
      <c r="E93" s="15">
        <f t="shared" ca="1" si="24"/>
        <v>8946.2624683975682</v>
      </c>
      <c r="F93" s="15">
        <f t="shared" ca="1" si="24"/>
        <v>9946.2284602238069</v>
      </c>
      <c r="G93" s="15">
        <f t="shared" ca="1" si="24"/>
        <v>10575.102525886205</v>
      </c>
      <c r="H93" s="15">
        <f t="shared" ca="1" si="24"/>
        <v>10073.262636085101</v>
      </c>
      <c r="I93" s="15">
        <f t="shared" ca="1" si="24"/>
        <v>11653.60462227537</v>
      </c>
      <c r="J93" s="15">
        <f t="shared" ca="1" si="24"/>
        <v>11608.274368661429</v>
      </c>
      <c r="K93" s="15">
        <f t="shared" ca="1" si="24"/>
        <v>11473.3156242763</v>
      </c>
      <c r="L93" s="15">
        <f t="shared" ca="1" si="24"/>
        <v>11290.648842824819</v>
      </c>
      <c r="M93" s="15">
        <f t="shared" ca="1" si="24"/>
        <v>10743.188236820495</v>
      </c>
      <c r="N93" s="15">
        <f t="shared" ca="1" si="24"/>
        <v>10571.967480955391</v>
      </c>
      <c r="O93" s="15" t="e">
        <f t="shared" ca="1" si="24"/>
        <v>#N/A</v>
      </c>
      <c r="P93">
        <f t="array" aca="1" ref="P93" ca="1">MIN(IF(ISNUMBER(D93:O93),D93:O93))</f>
        <v>8827.2526680718638</v>
      </c>
      <c r="Q93">
        <f t="array" aca="1" ref="Q93" ca="1">MAX(IF(ISNUMBER(D93:O93),D93:O93))</f>
        <v>11653.60462227537</v>
      </c>
    </row>
    <row r="94" spans="2:17" x14ac:dyDescent="0.25">
      <c r="C94" t="s">
        <v>44</v>
      </c>
      <c r="D94" s="15">
        <f t="shared" ref="D94:O94" ca="1" si="25">IF(D82=0,NA(),D88/D82)</f>
        <v>5245.1039419193903</v>
      </c>
      <c r="E94" s="15">
        <f t="shared" ca="1" si="25"/>
        <v>5317.8725747845556</v>
      </c>
      <c r="F94" s="15">
        <f t="shared" ca="1" si="25"/>
        <v>5408.4053740119143</v>
      </c>
      <c r="G94" s="15">
        <f t="shared" ca="1" si="25"/>
        <v>5538.9869488984586</v>
      </c>
      <c r="H94" s="15">
        <f t="shared" ca="1" si="25"/>
        <v>5676.5704775786389</v>
      </c>
      <c r="I94" s="15">
        <f t="shared" ca="1" si="25"/>
        <v>5787.5986986200678</v>
      </c>
      <c r="J94" s="15">
        <f t="shared" ca="1" si="25"/>
        <v>5921.7187225541102</v>
      </c>
      <c r="K94" s="15">
        <f t="shared" ca="1" si="25"/>
        <v>5922.6621392521492</v>
      </c>
      <c r="L94" s="15">
        <f t="shared" ca="1" si="25"/>
        <v>5836.4150841454384</v>
      </c>
      <c r="M94" s="15">
        <f t="shared" ca="1" si="25"/>
        <v>5945.0496149759147</v>
      </c>
      <c r="N94" s="15">
        <f t="shared" ca="1" si="25"/>
        <v>5845.6601096792137</v>
      </c>
      <c r="O94" s="15" t="e">
        <f t="shared" ca="1" si="25"/>
        <v>#N/A</v>
      </c>
      <c r="P94">
        <f t="array" aca="1" ref="P94" ca="1">MIN(IF(ISNUMBER(D94:O94),D94:O94))</f>
        <v>5245.1039419193903</v>
      </c>
      <c r="Q94">
        <f t="array" aca="1" ref="Q94" ca="1">MAX(IF(ISNUMBER(D94:O94),D94:O94))</f>
        <v>5945.0496149759147</v>
      </c>
    </row>
    <row r="95" spans="2:17" x14ac:dyDescent="0.25">
      <c r="C95" t="s">
        <v>37</v>
      </c>
      <c r="D95" s="15">
        <f t="shared" ref="D95:O95" ca="1" si="26">IF(D83=0,NA(),D89/D83)</f>
        <v>5574.2361864413533</v>
      </c>
      <c r="E95" s="15">
        <f t="shared" ca="1" si="26"/>
        <v>5731.4777814054933</v>
      </c>
      <c r="F95" s="15">
        <f t="shared" ca="1" si="26"/>
        <v>5273.999070409599</v>
      </c>
      <c r="G95" s="15">
        <f t="shared" ca="1" si="26"/>
        <v>5196.7444550727541</v>
      </c>
      <c r="H95" s="15">
        <f t="shared" ca="1" si="26"/>
        <v>5443.9770886668966</v>
      </c>
      <c r="I95" s="15">
        <f t="shared" ca="1" si="26"/>
        <v>5502.7240557870909</v>
      </c>
      <c r="J95" s="15">
        <f t="shared" ca="1" si="26"/>
        <v>5382.5634489885915</v>
      </c>
      <c r="K95" s="15">
        <f t="shared" ca="1" si="26"/>
        <v>5721.6205722002142</v>
      </c>
      <c r="L95" s="15">
        <f t="shared" ca="1" si="26"/>
        <v>5749.9664997724312</v>
      </c>
      <c r="M95" s="15">
        <f t="shared" ca="1" si="26"/>
        <v>5853.6743048590533</v>
      </c>
      <c r="N95" s="15">
        <f t="shared" ca="1" si="26"/>
        <v>6166.8079143152054</v>
      </c>
      <c r="O95" s="15" t="e">
        <f t="shared" ca="1" si="26"/>
        <v>#N/A</v>
      </c>
      <c r="P95">
        <f t="array" aca="1" ref="P95" ca="1">MIN(IF(ISNUMBER(D95:O95),D95:O95))</f>
        <v>5196.7444550727541</v>
      </c>
      <c r="Q95">
        <f t="array" aca="1" ref="Q95" ca="1">MAX(IF(ISNUMBER(D95:O95),D95:O95))</f>
        <v>6166.8079143152054</v>
      </c>
    </row>
    <row r="96" spans="2:17" x14ac:dyDescent="0.25">
      <c r="C96" t="s">
        <v>39</v>
      </c>
      <c r="D96" s="15">
        <f t="shared" ref="D96:O96" ca="1" si="27">IF(D84=0,NA(),D90/D84)</f>
        <v>6566.6504326396498</v>
      </c>
      <c r="E96" s="15">
        <f t="shared" ca="1" si="27"/>
        <v>6429.3511605974163</v>
      </c>
      <c r="F96" s="15">
        <f t="shared" ca="1" si="27"/>
        <v>6453.5173642923482</v>
      </c>
      <c r="G96" s="15">
        <f t="shared" ca="1" si="27"/>
        <v>6502.3977883821981</v>
      </c>
      <c r="H96" s="15">
        <f t="shared" ca="1" si="27"/>
        <v>6727.0398109748585</v>
      </c>
      <c r="I96" s="15">
        <f t="shared" ca="1" si="27"/>
        <v>7199.240382624087</v>
      </c>
      <c r="J96" s="15">
        <f t="shared" ca="1" si="27"/>
        <v>7833.2974413518359</v>
      </c>
      <c r="K96" s="15">
        <f t="shared" ca="1" si="27"/>
        <v>7568.9640760870034</v>
      </c>
      <c r="L96" s="15">
        <f t="shared" ca="1" si="27"/>
        <v>7442.2487180967137</v>
      </c>
      <c r="M96" s="15">
        <f t="shared" ca="1" si="27"/>
        <v>7177.1465477652046</v>
      </c>
      <c r="N96" s="15">
        <f t="shared" ca="1" si="27"/>
        <v>6964.6091528825527</v>
      </c>
      <c r="O96" s="15" t="e">
        <f t="shared" ca="1" si="27"/>
        <v>#N/A</v>
      </c>
      <c r="P96">
        <f t="array" aca="1" ref="P96" ca="1">MIN(IF(ISNUMBER(D96:O96),D96:O96))</f>
        <v>6429.3511605974163</v>
      </c>
      <c r="Q96">
        <f t="array" aca="1" ref="Q96" ca="1">MAX(IF(ISNUMBER(D96:O96),D96:O96))</f>
        <v>7833.2974413518359</v>
      </c>
    </row>
    <row r="97" spans="3:15" x14ac:dyDescent="0.25">
      <c r="C97" s="109"/>
      <c r="D97" s="18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</row>
    <row r="98" spans="3:15" x14ac:dyDescent="0.25">
      <c r="C98" t="str">
        <f>C92</f>
        <v>Corn</v>
      </c>
      <c r="D98" s="20">
        <f ca="1">IF(OR(D92=$P92,D92=$Q92),D92,"")</f>
        <v>4847.7847155349091</v>
      </c>
      <c r="E98" s="20" t="str">
        <f t="shared" ref="E98:O98" ca="1" si="28">IF(OR(E92=$P92,E92=$Q92),E92,"")</f>
        <v/>
      </c>
      <c r="F98" s="20" t="str">
        <f t="shared" ca="1" si="28"/>
        <v/>
      </c>
      <c r="G98" s="20" t="str">
        <f t="shared" ca="1" si="28"/>
        <v/>
      </c>
      <c r="H98" s="20" t="str">
        <f t="shared" ca="1" si="28"/>
        <v/>
      </c>
      <c r="I98" s="20" t="str">
        <f t="shared" ca="1" si="28"/>
        <v/>
      </c>
      <c r="J98" s="20">
        <f t="shared" ca="1" si="28"/>
        <v>5817.0480776404429</v>
      </c>
      <c r="K98" s="20" t="str">
        <f t="shared" ca="1" si="28"/>
        <v/>
      </c>
      <c r="L98" s="20" t="str">
        <f t="shared" ca="1" si="28"/>
        <v/>
      </c>
      <c r="M98" s="20" t="str">
        <f t="shared" ca="1" si="28"/>
        <v/>
      </c>
      <c r="N98" s="20" t="str">
        <f t="shared" ca="1" si="28"/>
        <v/>
      </c>
      <c r="O98" s="20" t="e">
        <f t="shared" ca="1" si="28"/>
        <v>#N/A</v>
      </c>
    </row>
    <row r="99" spans="3:15" x14ac:dyDescent="0.25">
      <c r="C99" t="str">
        <f t="shared" ref="C99:C102" si="29">C93</f>
        <v>SBM</v>
      </c>
      <c r="D99" s="20">
        <f t="shared" ref="D99:O99" ca="1" si="30">IF(OR(D93=$P93,D93=$Q93),D93,"")</f>
        <v>8827.2526680718638</v>
      </c>
      <c r="E99" s="20" t="str">
        <f t="shared" ca="1" si="30"/>
        <v/>
      </c>
      <c r="F99" s="20" t="str">
        <f t="shared" ca="1" si="30"/>
        <v/>
      </c>
      <c r="G99" s="20" t="str">
        <f t="shared" ca="1" si="30"/>
        <v/>
      </c>
      <c r="H99" s="20" t="str">
        <f t="shared" ca="1" si="30"/>
        <v/>
      </c>
      <c r="I99" s="20">
        <f t="shared" ca="1" si="30"/>
        <v>11653.60462227537</v>
      </c>
      <c r="J99" s="20" t="str">
        <f t="shared" ca="1" si="30"/>
        <v/>
      </c>
      <c r="K99" s="20" t="str">
        <f t="shared" ca="1" si="30"/>
        <v/>
      </c>
      <c r="L99" s="20" t="str">
        <f t="shared" ca="1" si="30"/>
        <v/>
      </c>
      <c r="M99" s="20" t="str">
        <f t="shared" ca="1" si="30"/>
        <v/>
      </c>
      <c r="N99" s="20" t="str">
        <f t="shared" ca="1" si="30"/>
        <v/>
      </c>
      <c r="O99" s="20" t="e">
        <f t="shared" ca="1" si="30"/>
        <v>#N/A</v>
      </c>
    </row>
    <row r="100" spans="3:15" x14ac:dyDescent="0.25">
      <c r="C100" t="str">
        <f t="shared" si="29"/>
        <v>Wheat</v>
      </c>
      <c r="D100" s="20">
        <f t="shared" ref="D100:O100" ca="1" si="31">IF(OR(D94=$P94,D94=$Q94),D94,"")</f>
        <v>5245.1039419193903</v>
      </c>
      <c r="E100" s="20" t="str">
        <f t="shared" ca="1" si="31"/>
        <v/>
      </c>
      <c r="F100" s="20" t="str">
        <f t="shared" ca="1" si="31"/>
        <v/>
      </c>
      <c r="G100" s="20" t="str">
        <f t="shared" ca="1" si="31"/>
        <v/>
      </c>
      <c r="H100" s="20" t="str">
        <f t="shared" ca="1" si="31"/>
        <v/>
      </c>
      <c r="I100" s="20" t="str">
        <f t="shared" ca="1" si="31"/>
        <v/>
      </c>
      <c r="J100" s="20" t="str">
        <f t="shared" ca="1" si="31"/>
        <v/>
      </c>
      <c r="K100" s="20" t="str">
        <f t="shared" ca="1" si="31"/>
        <v/>
      </c>
      <c r="L100" s="20" t="str">
        <f t="shared" ca="1" si="31"/>
        <v/>
      </c>
      <c r="M100" s="20">
        <f t="shared" ca="1" si="31"/>
        <v>5945.0496149759147</v>
      </c>
      <c r="N100" s="20" t="str">
        <f t="shared" ca="1" si="31"/>
        <v/>
      </c>
      <c r="O100" s="20" t="e">
        <f t="shared" ca="1" si="31"/>
        <v>#N/A</v>
      </c>
    </row>
    <row r="101" spans="3:15" x14ac:dyDescent="0.25">
      <c r="C101" t="str">
        <f t="shared" si="29"/>
        <v>Rice Bran</v>
      </c>
      <c r="D101" s="20" t="str">
        <f t="shared" ref="D101:O101" ca="1" si="32">IF(OR(D95=$P95,D95=$Q95),D95,"")</f>
        <v/>
      </c>
      <c r="E101" s="20" t="str">
        <f t="shared" ca="1" si="32"/>
        <v/>
      </c>
      <c r="F101" s="20" t="str">
        <f t="shared" ca="1" si="32"/>
        <v/>
      </c>
      <c r="G101" s="20">
        <f t="shared" ca="1" si="32"/>
        <v>5196.7444550727541</v>
      </c>
      <c r="H101" s="20" t="str">
        <f t="shared" ca="1" si="32"/>
        <v/>
      </c>
      <c r="I101" s="20" t="str">
        <f t="shared" ca="1" si="32"/>
        <v/>
      </c>
      <c r="J101" s="20" t="str">
        <f t="shared" ca="1" si="32"/>
        <v/>
      </c>
      <c r="K101" s="20" t="str">
        <f t="shared" ca="1" si="32"/>
        <v/>
      </c>
      <c r="L101" s="20" t="str">
        <f t="shared" ca="1" si="32"/>
        <v/>
      </c>
      <c r="M101" s="20" t="str">
        <f t="shared" ca="1" si="32"/>
        <v/>
      </c>
      <c r="N101" s="20">
        <f t="shared" ca="1" si="32"/>
        <v>6166.8079143152054</v>
      </c>
      <c r="O101" s="20" t="e">
        <f t="shared" ca="1" si="32"/>
        <v>#N/A</v>
      </c>
    </row>
    <row r="102" spans="3:15" x14ac:dyDescent="0.25">
      <c r="C102" t="str">
        <f t="shared" si="29"/>
        <v>Other</v>
      </c>
      <c r="D102" s="20" t="str">
        <f t="shared" ref="D102:O102" ca="1" si="33">IF(OR(D96=$P96,D96=$Q96),D96,"")</f>
        <v/>
      </c>
      <c r="E102" s="20">
        <f t="shared" ca="1" si="33"/>
        <v>6429.3511605974163</v>
      </c>
      <c r="F102" s="20" t="str">
        <f t="shared" ca="1" si="33"/>
        <v/>
      </c>
      <c r="G102" s="20" t="str">
        <f t="shared" ca="1" si="33"/>
        <v/>
      </c>
      <c r="H102" s="20" t="str">
        <f t="shared" ca="1" si="33"/>
        <v/>
      </c>
      <c r="I102" s="20" t="str">
        <f t="shared" ca="1" si="33"/>
        <v/>
      </c>
      <c r="J102" s="20">
        <f t="shared" ca="1" si="33"/>
        <v>7833.2974413518359</v>
      </c>
      <c r="K102" s="20" t="str">
        <f t="shared" ca="1" si="33"/>
        <v/>
      </c>
      <c r="L102" s="20" t="str">
        <f t="shared" ca="1" si="33"/>
        <v/>
      </c>
      <c r="M102" s="20" t="str">
        <f t="shared" ca="1" si="33"/>
        <v/>
      </c>
      <c r="N102" s="20" t="str">
        <f t="shared" ca="1" si="33"/>
        <v/>
      </c>
      <c r="O102" s="20" t="e">
        <f t="shared" ca="1" si="33"/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7797-209E-4063-B982-BBEAC8851A87}">
  <sheetPr codeName="Sheet11">
    <tabColor rgb="FF0000CC"/>
  </sheetPr>
  <dimension ref="A1:X34"/>
  <sheetViews>
    <sheetView showGridLines="0" topLeftCell="E1" zoomScale="90" zoomScaleNormal="90" workbookViewId="0">
      <selection activeCell="W28" sqref="W28"/>
    </sheetView>
  </sheetViews>
  <sheetFormatPr defaultRowHeight="14.25" x14ac:dyDescent="0.2"/>
  <cols>
    <col min="1" max="2" width="9.140625" style="1"/>
    <col min="3" max="4" width="12.5703125" style="1" customWidth="1"/>
    <col min="5" max="5" width="17.28515625" style="1" bestFit="1" customWidth="1"/>
    <col min="6" max="6" width="14" style="1" bestFit="1" customWidth="1"/>
    <col min="7" max="7" width="12.42578125" style="1" customWidth="1"/>
    <col min="8" max="8" width="2" style="1" customWidth="1"/>
    <col min="9" max="9" width="18.42578125" style="1" bestFit="1" customWidth="1"/>
    <col min="10" max="10" width="7.7109375" style="1" bestFit="1" customWidth="1"/>
    <col min="11" max="11" width="12.5703125" style="1" customWidth="1"/>
    <col min="12" max="12" width="7" style="1" customWidth="1"/>
    <col min="13" max="13" width="6.7109375" style="1" customWidth="1"/>
    <col min="14" max="14" width="1.7109375" style="1" customWidth="1"/>
    <col min="15" max="16" width="9.140625" style="1"/>
    <col min="17" max="17" width="9.7109375" style="1" customWidth="1"/>
    <col min="18" max="18" width="13.140625" style="1" customWidth="1"/>
    <col min="19" max="23" width="11.7109375" style="1" customWidth="1"/>
    <col min="24" max="16384" width="9.140625" style="1"/>
  </cols>
  <sheetData>
    <row r="1" spans="1:13" ht="15" x14ac:dyDescent="0.25">
      <c r="A1" s="1" t="s">
        <v>48</v>
      </c>
      <c r="B1" s="82">
        <f>'S1'!B1</f>
        <v>11</v>
      </c>
      <c r="C1" s="1">
        <v>2018</v>
      </c>
      <c r="D1" s="1" t="str">
        <f>VLOOKUP(B1,TMonth[#All],6,0)</f>
        <v>Jan-Nov 2018</v>
      </c>
    </row>
    <row r="5" spans="1:13" ht="15" x14ac:dyDescent="0.2">
      <c r="C5" s="104" t="s">
        <v>79</v>
      </c>
      <c r="D5" s="105"/>
      <c r="E5" s="105"/>
      <c r="F5" s="105"/>
      <c r="G5" s="106"/>
      <c r="I5" s="104" t="s">
        <v>93</v>
      </c>
      <c r="J5" s="105"/>
      <c r="K5" s="105"/>
      <c r="L5" s="105"/>
      <c r="M5" s="106"/>
    </row>
    <row r="6" spans="1:13" ht="36.75" customHeight="1" x14ac:dyDescent="0.2">
      <c r="C6" s="100">
        <f ca="1">'2'!D3</f>
        <v>1308781.4750000001</v>
      </c>
      <c r="D6" s="26"/>
      <c r="E6" s="12"/>
      <c r="F6" s="12"/>
      <c r="G6" s="27"/>
      <c r="I6" s="108">
        <f ca="1">'2'!D60</f>
        <v>1691327.6877464997</v>
      </c>
      <c r="J6" s="54"/>
      <c r="K6" s="36" t="s">
        <v>83</v>
      </c>
      <c r="L6" s="52">
        <f ca="1">'2'!M60</f>
        <v>1292.2918913919525</v>
      </c>
      <c r="M6" s="53"/>
    </row>
    <row r="7" spans="1:13" ht="26.25" customHeight="1" x14ac:dyDescent="0.35">
      <c r="C7" s="28" t="str">
        <f ca="1">'2'!H3</f>
        <v>▼</v>
      </c>
      <c r="D7" s="29">
        <f ca="1">'2'!G3</f>
        <v>-8.5039142884303559E-2</v>
      </c>
      <c r="E7" s="30"/>
      <c r="F7" s="30"/>
      <c r="G7" s="31"/>
      <c r="I7" s="122">
        <f ca="1">'2'!I60</f>
        <v>0.14647122433569115</v>
      </c>
      <c r="J7" s="38" t="str">
        <f ca="1">'2'!L60</f>
        <v>▼</v>
      </c>
      <c r="K7" s="56">
        <f ca="1">'2'!K60</f>
        <v>-1.2173397067506753E-2</v>
      </c>
      <c r="L7" s="38" t="str">
        <f ca="1">'2'!P60</f>
        <v>▼</v>
      </c>
      <c r="M7" s="57">
        <f ca="1">'2'!O60</f>
        <v>-86.93659319085782</v>
      </c>
    </row>
    <row r="8" spans="1:13" ht="3" customHeight="1" x14ac:dyDescent="0.35">
      <c r="C8" s="32"/>
      <c r="D8" s="33"/>
      <c r="I8" s="32"/>
      <c r="J8" s="33"/>
      <c r="K8" s="34"/>
      <c r="L8" s="35"/>
      <c r="M8" s="11"/>
    </row>
    <row r="9" spans="1:13" ht="15" x14ac:dyDescent="0.2">
      <c r="C9" s="104" t="s">
        <v>2</v>
      </c>
      <c r="D9" s="105"/>
      <c r="E9" s="105"/>
      <c r="F9" s="105"/>
      <c r="G9" s="106"/>
      <c r="I9" s="104" t="s">
        <v>49</v>
      </c>
      <c r="J9" s="105"/>
      <c r="K9" s="105"/>
      <c r="L9" s="105"/>
      <c r="M9" s="106"/>
    </row>
    <row r="10" spans="1:13" ht="36" customHeight="1" x14ac:dyDescent="0.2">
      <c r="C10" s="100">
        <f ca="1">'2'!D12</f>
        <v>11547166.9975955</v>
      </c>
      <c r="D10" s="26"/>
      <c r="E10" s="36" t="s">
        <v>83</v>
      </c>
      <c r="F10" s="37">
        <f ca="1">'2'!I12</f>
        <v>8822.8380506344638</v>
      </c>
      <c r="G10" s="27"/>
      <c r="I10" s="108">
        <f ca="1">'2'!D62</f>
        <v>1213310.634718952</v>
      </c>
      <c r="J10" s="54"/>
      <c r="K10" s="36" t="s">
        <v>83</v>
      </c>
      <c r="L10" s="52">
        <f ca="1">'2'!M62</f>
        <v>927.05364332800616</v>
      </c>
      <c r="M10" s="53"/>
    </row>
    <row r="11" spans="1:13" ht="26.25" customHeight="1" x14ac:dyDescent="0.35">
      <c r="C11" s="28" t="str">
        <f ca="1">'2'!H12</f>
        <v>▼</v>
      </c>
      <c r="D11" s="29">
        <f ca="1">'2'!G12</f>
        <v>-7.1461411043603179E-2</v>
      </c>
      <c r="E11" s="38" t="str">
        <f ca="1">'2'!M12</f>
        <v>▲</v>
      </c>
      <c r="F11" s="183">
        <f ca="1">'2'!L12</f>
        <v>1.4839686020561044E-2</v>
      </c>
      <c r="G11" s="31"/>
      <c r="I11" s="55">
        <f ca="1">'2'!I62</f>
        <v>0.10507431259733259</v>
      </c>
      <c r="J11" s="38" t="str">
        <f ca="1">'2'!L62</f>
        <v>▼</v>
      </c>
      <c r="K11" s="56">
        <f ca="1">'2'!K62</f>
        <v>-2.1024152750250782E-2</v>
      </c>
      <c r="L11" s="38" t="str">
        <f ca="1">'2'!P62</f>
        <v>▼</v>
      </c>
      <c r="M11" s="57">
        <f ca="1">'2'!O62</f>
        <v>-169.22427477139433</v>
      </c>
    </row>
    <row r="12" spans="1:13" ht="3" customHeight="1" x14ac:dyDescent="0.35">
      <c r="C12" s="32"/>
      <c r="D12" s="33"/>
      <c r="I12" s="32"/>
      <c r="J12" s="33"/>
      <c r="K12" s="32"/>
      <c r="L12" s="32"/>
    </row>
    <row r="13" spans="1:13" ht="15" x14ac:dyDescent="0.2">
      <c r="C13" s="104" t="s">
        <v>127</v>
      </c>
      <c r="D13" s="105"/>
      <c r="E13" s="105"/>
      <c r="F13" s="105"/>
      <c r="G13" s="106"/>
    </row>
    <row r="14" spans="1:13" ht="26.25" x14ac:dyDescent="0.2">
      <c r="C14" s="100">
        <f ca="1">'2'!D15</f>
        <v>4880793.1523880009</v>
      </c>
      <c r="D14" s="26"/>
      <c r="E14" s="36" t="s">
        <v>83</v>
      </c>
      <c r="F14" s="115">
        <f ca="1">'2'!F18</f>
        <v>58.903419643686881</v>
      </c>
      <c r="G14" s="27"/>
    </row>
    <row r="15" spans="1:13" ht="36.75" customHeight="1" x14ac:dyDescent="0.35">
      <c r="C15" s="28" t="str">
        <f ca="1">'2'!H15</f>
        <v>▲</v>
      </c>
      <c r="D15" s="29">
        <f ca="1">'2'!G15</f>
        <v>0.30041826771123586</v>
      </c>
      <c r="E15" s="38" t="str">
        <f ca="1">'2'!M15</f>
        <v>▲</v>
      </c>
      <c r="F15" s="114">
        <f ca="1">'2'!H18</f>
        <v>11.205097337151614</v>
      </c>
      <c r="G15" s="31"/>
    </row>
    <row r="16" spans="1:13" ht="3" customHeight="1" x14ac:dyDescent="0.35">
      <c r="C16" s="32"/>
      <c r="D16" s="33"/>
      <c r="I16" s="32"/>
      <c r="J16" s="33"/>
      <c r="K16" s="32"/>
    </row>
    <row r="17" spans="3:24" ht="15" x14ac:dyDescent="0.2">
      <c r="C17" s="101" t="s">
        <v>150</v>
      </c>
      <c r="D17" s="102"/>
      <c r="E17" s="102"/>
      <c r="F17" s="102"/>
      <c r="G17" s="103"/>
      <c r="I17" s="104" t="s">
        <v>69</v>
      </c>
      <c r="J17" s="105"/>
      <c r="K17" s="105"/>
      <c r="L17" s="105"/>
      <c r="M17" s="106"/>
    </row>
    <row r="18" spans="3:24" ht="16.5" customHeight="1" x14ac:dyDescent="0.25">
      <c r="C18" s="161" t="s">
        <v>51</v>
      </c>
      <c r="D18" s="162" t="s">
        <v>145</v>
      </c>
      <c r="E18" s="162" t="s">
        <v>52</v>
      </c>
      <c r="F18" s="162" t="s">
        <v>55</v>
      </c>
      <c r="G18" s="163" t="s">
        <v>53</v>
      </c>
      <c r="I18" s="69">
        <f ca="1">'2'!D64</f>
        <v>490143.1753926794</v>
      </c>
      <c r="J18" s="12"/>
      <c r="K18" s="70" t="s">
        <v>83</v>
      </c>
      <c r="L18" s="71">
        <f ca="1">'2'!M64</f>
        <v>374.50344824958603</v>
      </c>
      <c r="M18" s="72"/>
    </row>
    <row r="19" spans="3:24" ht="15" customHeight="1" x14ac:dyDescent="0.25">
      <c r="C19" s="168" t="s">
        <v>88</v>
      </c>
      <c r="D19" s="143">
        <f ca="1">'2'!F28</f>
        <v>0.37972758114404404</v>
      </c>
      <c r="E19" s="90">
        <f ca="1">'2'!E36/1000</f>
        <v>261111.65738000002</v>
      </c>
      <c r="F19" s="90">
        <f ca="1">'2'!G28</f>
        <v>68.203828633732286</v>
      </c>
      <c r="G19" s="169">
        <f ca="1">'2'!K28</f>
        <v>0.10720499375518959</v>
      </c>
      <c r="I19" s="73">
        <f ca="1">'2'!I64</f>
        <v>4.244705004220891E-2</v>
      </c>
      <c r="J19" s="67" t="str">
        <f ca="1">'2'!L64</f>
        <v>▲</v>
      </c>
      <c r="K19" s="74">
        <f ca="1">'2'!K64</f>
        <v>3.0270374976862913E-3</v>
      </c>
      <c r="L19" s="67" t="str">
        <f ca="1">'2'!P64</f>
        <v>▲</v>
      </c>
      <c r="M19" s="75">
        <f ca="1">'2'!O64</f>
        <v>31.792780323208206</v>
      </c>
    </row>
    <row r="20" spans="3:24" ht="15" x14ac:dyDescent="0.25">
      <c r="C20" s="168" t="s">
        <v>89</v>
      </c>
      <c r="D20" s="143">
        <f ca="1">'2'!F29</f>
        <v>0.16070166433638278</v>
      </c>
      <c r="E20" s="90">
        <f ca="1">'2'!E37/1000</f>
        <v>73058.354160000003</v>
      </c>
      <c r="F20" s="90">
        <f ca="1">'2'!G29</f>
        <v>45.092482524014116</v>
      </c>
      <c r="G20" s="169">
        <f ca="1">'2'!K29</f>
        <v>0.12971287298791462</v>
      </c>
      <c r="I20" s="156" t="s">
        <v>70</v>
      </c>
      <c r="J20" s="157"/>
      <c r="K20" s="157"/>
      <c r="L20" s="157"/>
      <c r="M20" s="158"/>
    </row>
    <row r="21" spans="3:24" ht="16.5" x14ac:dyDescent="0.25">
      <c r="C21" s="168" t="s">
        <v>90</v>
      </c>
      <c r="D21" s="143">
        <f ca="1">'2'!F30</f>
        <v>0.12605476222059753</v>
      </c>
      <c r="E21" s="90">
        <f ca="1">'2'!E38/1000</f>
        <v>8151.9089999999997</v>
      </c>
      <c r="F21" s="90">
        <f ca="1">'2'!G30</f>
        <v>6.4143802457752939</v>
      </c>
      <c r="G21" s="169">
        <f ca="1">'2'!K30</f>
        <v>0.15149547442129008</v>
      </c>
      <c r="I21" s="69">
        <f ca="1">'2'!D66</f>
        <v>1330893.3661284072</v>
      </c>
      <c r="J21" s="12"/>
      <c r="K21" s="70" t="s">
        <v>83</v>
      </c>
      <c r="L21" s="71">
        <f ca="1">'2'!M66</f>
        <v>1016.895021476681</v>
      </c>
      <c r="M21" s="72"/>
    </row>
    <row r="22" spans="3:24" ht="18.75" x14ac:dyDescent="0.25">
      <c r="C22" s="168" t="s">
        <v>91</v>
      </c>
      <c r="D22" s="143">
        <f ca="1">'2'!F31</f>
        <v>7.4859775856529684E-2</v>
      </c>
      <c r="E22" s="90">
        <f ca="1">'2'!E39/1000</f>
        <v>3698.1550699999998</v>
      </c>
      <c r="F22" s="90">
        <f ca="1">'2'!G31</f>
        <v>4.8999452954948177</v>
      </c>
      <c r="G22" s="169">
        <f ca="1">'2'!K31</f>
        <v>3.7537258577227964E-2</v>
      </c>
      <c r="I22" s="73">
        <f ca="1">'2'!I66</f>
        <v>0.11525713332157948</v>
      </c>
      <c r="J22" s="67" t="str">
        <f ca="1">'2'!L66</f>
        <v>▼</v>
      </c>
      <c r="K22" s="74">
        <f ca="1">'2'!K66</f>
        <v>-1.8884140136380331E-2</v>
      </c>
      <c r="L22" s="67" t="str">
        <f ca="1">'2'!P66</f>
        <v>▼</v>
      </c>
      <c r="M22" s="75">
        <f ca="1">'2'!O66</f>
        <v>-149.30565822503127</v>
      </c>
    </row>
    <row r="23" spans="3:24" ht="15" x14ac:dyDescent="0.25">
      <c r="C23" s="168" t="s">
        <v>92</v>
      </c>
      <c r="D23" s="143">
        <f ca="1">'2'!F32</f>
        <v>0.25865621644244613</v>
      </c>
      <c r="E23" s="90">
        <f ca="1">'2'!E40/1000</f>
        <v>55965.17330999994</v>
      </c>
      <c r="F23" s="90">
        <f ca="1">'2'!G32</f>
        <v>21.460980919369746</v>
      </c>
      <c r="G23" s="169">
        <f ca="1">'2'!K32</f>
        <v>0.11321934064815642</v>
      </c>
      <c r="I23" s="156" t="s">
        <v>71</v>
      </c>
      <c r="J23" s="157"/>
      <c r="K23" s="157"/>
      <c r="L23" s="157"/>
      <c r="M23" s="158"/>
    </row>
    <row r="24" spans="3:24" ht="16.5" x14ac:dyDescent="0.25">
      <c r="C24" s="164" t="s">
        <v>4</v>
      </c>
      <c r="D24" s="165">
        <f ca="1">SUM(D19:D23)</f>
        <v>1.0000000000000002</v>
      </c>
      <c r="E24" s="166">
        <f ca="1">SUM(E19:E23)</f>
        <v>401985.24891999993</v>
      </c>
      <c r="F24" s="166">
        <f ca="1">'2'!G33</f>
        <v>39.871699971469781</v>
      </c>
      <c r="G24" s="167">
        <f ca="1">'2'!K33</f>
        <v>9.6831421012082169E-2</v>
      </c>
      <c r="I24" s="69">
        <f ca="1">'2'!D68</f>
        <v>1639338.532565407</v>
      </c>
      <c r="J24" s="12"/>
      <c r="K24" s="70" t="s">
        <v>83</v>
      </c>
      <c r="L24" s="71">
        <f ca="1">'2'!M68</f>
        <v>1252.5685638738178</v>
      </c>
      <c r="M24" s="72"/>
    </row>
    <row r="25" spans="3:24" ht="18.75" x14ac:dyDescent="0.25">
      <c r="C25" s="63"/>
      <c r="D25" s="64"/>
      <c r="E25" s="65"/>
      <c r="F25" s="65"/>
      <c r="G25" s="66"/>
      <c r="I25" s="76">
        <f ca="1">'2'!I68</f>
        <v>0.14196889444023553</v>
      </c>
      <c r="J25" s="68" t="str">
        <f ca="1">'2'!L68</f>
        <v>▼</v>
      </c>
      <c r="K25" s="77">
        <f ca="1">'2'!K68</f>
        <v>-1.5165767244139372E-2</v>
      </c>
      <c r="L25" s="68" t="str">
        <f ca="1">'2'!P68</f>
        <v>▼</v>
      </c>
      <c r="M25" s="78">
        <f ca="1">'2'!O68</f>
        <v>-113.53259602345861</v>
      </c>
    </row>
    <row r="27" spans="3:24" ht="15" x14ac:dyDescent="0.25">
      <c r="P27" s="47"/>
      <c r="Q27" s="87" t="s">
        <v>100</v>
      </c>
      <c r="R27" s="87"/>
      <c r="S27" s="181" t="s">
        <v>46</v>
      </c>
      <c r="T27" s="181" t="s">
        <v>24</v>
      </c>
      <c r="U27" s="181" t="s">
        <v>41</v>
      </c>
      <c r="V27" s="181" t="s">
        <v>153</v>
      </c>
      <c r="W27" s="181" t="s">
        <v>24</v>
      </c>
      <c r="X27" s="48"/>
    </row>
    <row r="28" spans="3:24" ht="15" x14ac:dyDescent="0.25">
      <c r="P28" s="49"/>
      <c r="Q28" s="88" t="s">
        <v>18</v>
      </c>
      <c r="R28" s="89"/>
      <c r="S28" s="90">
        <f ca="1">'2'!D71</f>
        <v>717588.28999999992</v>
      </c>
      <c r="T28" s="91">
        <f ca="1">'2'!G71</f>
        <v>-0.22245340055277038</v>
      </c>
      <c r="U28" s="91">
        <f ca="1">'2'!H71</f>
        <v>0.54828732199162589</v>
      </c>
      <c r="V28" s="91">
        <f ca="1">'2'!I71</f>
        <v>0.1792034651861994</v>
      </c>
      <c r="W28" s="91">
        <f ca="1">'2'!J71</f>
        <v>6.1726021765976802E-3</v>
      </c>
      <c r="X28" s="27" t="str">
        <f ca="1">'2'!K71</f>
        <v>▲</v>
      </c>
    </row>
    <row r="29" spans="3:24" ht="15" x14ac:dyDescent="0.25">
      <c r="P29" s="49"/>
      <c r="Q29" s="88" t="s">
        <v>64</v>
      </c>
      <c r="R29" s="89"/>
      <c r="S29" s="90">
        <f ca="1">'2'!D72</f>
        <v>159845.60499999998</v>
      </c>
      <c r="T29" s="91">
        <f ca="1">'2'!G72</f>
        <v>6.9447523005127701E-2</v>
      </c>
      <c r="U29" s="91">
        <f ca="1">'2'!H72</f>
        <v>0.12213315060866062</v>
      </c>
      <c r="V29" s="91">
        <f ca="1">'2'!I72</f>
        <v>0.13729741968287623</v>
      </c>
      <c r="W29" s="91">
        <f ca="1">'2'!J72</f>
        <v>-1.8519637725570887E-2</v>
      </c>
      <c r="X29" s="27" t="str">
        <f ca="1">'2'!K72</f>
        <v>▼</v>
      </c>
    </row>
    <row r="30" spans="3:24" ht="15" x14ac:dyDescent="0.25">
      <c r="P30" s="49"/>
      <c r="Q30" s="88" t="s">
        <v>20</v>
      </c>
      <c r="R30" s="89"/>
      <c r="S30" s="90">
        <f ca="1">'2'!D73</f>
        <v>169912.285</v>
      </c>
      <c r="T30" s="91">
        <f ca="1">'2'!G73</f>
        <v>0.18184036383027299</v>
      </c>
      <c r="U30" s="91">
        <f ca="1">'2'!H73</f>
        <v>0.12982479370744457</v>
      </c>
      <c r="V30" s="91">
        <f ca="1">'2'!I73</f>
        <v>0.10487393709417195</v>
      </c>
      <c r="W30" s="91">
        <f ca="1">'2'!J73</f>
        <v>-1.3629709413561189E-2</v>
      </c>
      <c r="X30" s="27" t="str">
        <f ca="1">'2'!K73</f>
        <v>▼</v>
      </c>
    </row>
    <row r="31" spans="3:24" ht="15" x14ac:dyDescent="0.25">
      <c r="P31" s="49"/>
      <c r="Q31" s="88" t="s">
        <v>19</v>
      </c>
      <c r="R31" s="89"/>
      <c r="S31" s="90">
        <f ca="1">'2'!D74</f>
        <v>145712.48500000002</v>
      </c>
      <c r="T31" s="91">
        <f ca="1">'2'!G74</f>
        <v>0.33115505170482196</v>
      </c>
      <c r="U31" s="91">
        <f ca="1">'2'!H74</f>
        <v>0.11133446475470631</v>
      </c>
      <c r="V31" s="91">
        <f ca="1">'2'!I74</f>
        <v>4.4755087247003771E-2</v>
      </c>
      <c r="W31" s="91">
        <f ca="1">'2'!J74</f>
        <v>-2.6506952141503455E-2</v>
      </c>
      <c r="X31" s="27" t="str">
        <f ca="1">'2'!K74</f>
        <v>▼</v>
      </c>
    </row>
    <row r="32" spans="3:24" ht="15" x14ac:dyDescent="0.25">
      <c r="P32" s="49"/>
      <c r="Q32" s="88" t="s">
        <v>21</v>
      </c>
      <c r="R32" s="89"/>
      <c r="S32" s="90">
        <f ca="1">'2'!D75</f>
        <v>71873.775000000009</v>
      </c>
      <c r="T32" s="91">
        <f ca="1">'2'!G75</f>
        <v>9.2203283200031641E-2</v>
      </c>
      <c r="U32" s="91">
        <f ca="1">'2'!H75</f>
        <v>5.4916558931276144E-2</v>
      </c>
      <c r="V32" s="91">
        <f ca="1">'2'!I75</f>
        <v>8.2066093334247484E-2</v>
      </c>
      <c r="W32" s="91">
        <f ca="1">'2'!J75</f>
        <v>-1.0425079567569537E-2</v>
      </c>
      <c r="X32" s="27" t="str">
        <f ca="1">'2'!K75</f>
        <v>▼</v>
      </c>
    </row>
    <row r="33" spans="16:24" ht="15" customHeight="1" x14ac:dyDescent="0.25">
      <c r="P33" s="50"/>
      <c r="Q33" s="92" t="s">
        <v>22</v>
      </c>
      <c r="R33" s="89"/>
      <c r="S33" s="90">
        <f ca="1">'2'!D76</f>
        <v>43849.035000000003</v>
      </c>
      <c r="T33" s="91">
        <f ca="1">'2'!G76</f>
        <v>0.123430301465129</v>
      </c>
      <c r="U33" s="91">
        <f ca="1">'2'!H76</f>
        <v>3.3503710006286581E-2</v>
      </c>
      <c r="V33" s="91">
        <f ca="1">'2'!I76</f>
        <v>0.14405197191089231</v>
      </c>
      <c r="W33" s="91">
        <f ca="1">'2'!J76</f>
        <v>2.134411243494172E-2</v>
      </c>
      <c r="X33" s="27" t="str">
        <f ca="1">'2'!K76</f>
        <v>▲</v>
      </c>
    </row>
    <row r="34" spans="16:24" ht="15" x14ac:dyDescent="0.25">
      <c r="P34" s="51"/>
      <c r="Q34" s="117" t="s">
        <v>101</v>
      </c>
      <c r="R34" s="118"/>
      <c r="S34" s="119">
        <f ca="1">'2'!D77</f>
        <v>1308781.4749999999</v>
      </c>
      <c r="T34" s="120">
        <f ca="1">'2'!G77</f>
        <v>-8.5039136487870148E-2</v>
      </c>
      <c r="U34" s="120">
        <f ca="1">'2'!H77</f>
        <v>1</v>
      </c>
      <c r="V34" s="120">
        <f ca="1">'2'!I77</f>
        <v>0.1464697194424685</v>
      </c>
      <c r="W34" s="120">
        <f ca="1">'2'!J77</f>
        <v>-8.8778136054095957E-3</v>
      </c>
      <c r="X34" s="31" t="str">
        <f ca="1">'2'!K77</f>
        <v>▼</v>
      </c>
    </row>
  </sheetData>
  <conditionalFormatting sqref="C7:C8">
    <cfRule type="expression" dxfId="55" priority="51">
      <formula>$D$7&lt;0</formula>
    </cfRule>
    <cfRule type="expression" dxfId="54" priority="52">
      <formula>$D$7&gt;0</formula>
    </cfRule>
  </conditionalFormatting>
  <conditionalFormatting sqref="C11">
    <cfRule type="expression" dxfId="53" priority="49">
      <formula>$D$11&lt;0</formula>
    </cfRule>
    <cfRule type="expression" dxfId="52" priority="50">
      <formula>$D$11&gt;0</formula>
    </cfRule>
  </conditionalFormatting>
  <conditionalFormatting sqref="E11">
    <cfRule type="expression" dxfId="51" priority="47">
      <formula>$F$11&lt;0</formula>
    </cfRule>
    <cfRule type="expression" dxfId="50" priority="48">
      <formula>$F$11&gt;0</formula>
    </cfRule>
  </conditionalFormatting>
  <conditionalFormatting sqref="C15">
    <cfRule type="expression" dxfId="49" priority="45">
      <formula>$D$15&lt;0</formula>
    </cfRule>
    <cfRule type="expression" dxfId="48" priority="46">
      <formula>$D$15&gt;0</formula>
    </cfRule>
  </conditionalFormatting>
  <conditionalFormatting sqref="E15">
    <cfRule type="expression" dxfId="47" priority="43">
      <formula>$F$15&lt;0</formula>
    </cfRule>
    <cfRule type="expression" dxfId="46" priority="44">
      <formula>$F$11&gt;0</formula>
    </cfRule>
  </conditionalFormatting>
  <conditionalFormatting sqref="C12">
    <cfRule type="expression" dxfId="45" priority="39">
      <formula>$D$7&lt;0</formula>
    </cfRule>
    <cfRule type="expression" dxfId="44" priority="40">
      <formula>$D$7&gt;0</formula>
    </cfRule>
  </conditionalFormatting>
  <conditionalFormatting sqref="I12">
    <cfRule type="expression" dxfId="43" priority="37">
      <formula>$D$11&lt;0</formula>
    </cfRule>
    <cfRule type="expression" dxfId="42" priority="38">
      <formula>$D$11&gt;0</formula>
    </cfRule>
  </conditionalFormatting>
  <conditionalFormatting sqref="K12:L12">
    <cfRule type="expression" dxfId="41" priority="35">
      <formula>$F$11&lt;0</formula>
    </cfRule>
    <cfRule type="expression" dxfId="40" priority="36">
      <formula>$F$11&gt;0</formula>
    </cfRule>
  </conditionalFormatting>
  <conditionalFormatting sqref="C16">
    <cfRule type="expression" dxfId="39" priority="33">
      <formula>$D$7&lt;0</formula>
    </cfRule>
    <cfRule type="expression" dxfId="38" priority="34">
      <formula>$D$7&gt;0</formula>
    </cfRule>
  </conditionalFormatting>
  <conditionalFormatting sqref="I16">
    <cfRule type="expression" dxfId="37" priority="31">
      <formula>$D$11&lt;0</formula>
    </cfRule>
    <cfRule type="expression" dxfId="36" priority="32">
      <formula>$D$11&gt;0</formula>
    </cfRule>
  </conditionalFormatting>
  <conditionalFormatting sqref="K16">
    <cfRule type="expression" dxfId="35" priority="29">
      <formula>$F$11&lt;0</formula>
    </cfRule>
    <cfRule type="expression" dxfId="34" priority="30">
      <formula>$F$11&gt;0</formula>
    </cfRule>
  </conditionalFormatting>
  <conditionalFormatting sqref="J7">
    <cfRule type="expression" dxfId="33" priority="27">
      <formula>$K$7&lt;0</formula>
    </cfRule>
    <cfRule type="expression" dxfId="32" priority="28">
      <formula>$K$7&gt;0</formula>
    </cfRule>
  </conditionalFormatting>
  <conditionalFormatting sqref="L7">
    <cfRule type="expression" dxfId="31" priority="25">
      <formula>$M$7&lt;0</formula>
    </cfRule>
    <cfRule type="expression" dxfId="30" priority="26">
      <formula>$M$7&gt;0</formula>
    </cfRule>
  </conditionalFormatting>
  <conditionalFormatting sqref="J11">
    <cfRule type="expression" dxfId="29" priority="21">
      <formula>K11&lt;0</formula>
    </cfRule>
    <cfRule type="expression" dxfId="28" priority="22">
      <formula>K11&gt;0</formula>
    </cfRule>
  </conditionalFormatting>
  <conditionalFormatting sqref="L11">
    <cfRule type="expression" dxfId="27" priority="19">
      <formula>M11&lt;0</formula>
    </cfRule>
    <cfRule type="expression" dxfId="26" priority="20">
      <formula>M11&gt;0</formula>
    </cfRule>
  </conditionalFormatting>
  <conditionalFormatting sqref="J22">
    <cfRule type="expression" dxfId="25" priority="13">
      <formula>K22&lt;0</formula>
    </cfRule>
    <cfRule type="expression" dxfId="24" priority="14">
      <formula>K22&gt;0</formula>
    </cfRule>
  </conditionalFormatting>
  <conditionalFormatting sqref="L22">
    <cfRule type="expression" dxfId="23" priority="11">
      <formula>M22&lt;0</formula>
    </cfRule>
    <cfRule type="expression" dxfId="22" priority="12">
      <formula>M22&gt;0</formula>
    </cfRule>
  </conditionalFormatting>
  <conditionalFormatting sqref="J25">
    <cfRule type="expression" dxfId="21" priority="9">
      <formula>K25&lt;0</formula>
    </cfRule>
    <cfRule type="expression" dxfId="20" priority="10">
      <formula>K25&gt;0</formula>
    </cfRule>
  </conditionalFormatting>
  <conditionalFormatting sqref="L25">
    <cfRule type="expression" dxfId="19" priority="7">
      <formula>M25&lt;0</formula>
    </cfRule>
    <cfRule type="expression" dxfId="18" priority="8">
      <formula>M25&gt;0</formula>
    </cfRule>
  </conditionalFormatting>
  <conditionalFormatting sqref="J19">
    <cfRule type="expression" dxfId="17" priority="5">
      <formula>K19&lt;0</formula>
    </cfRule>
    <cfRule type="expression" dxfId="16" priority="6">
      <formula>K19&gt;0</formula>
    </cfRule>
  </conditionalFormatting>
  <conditionalFormatting sqref="L19">
    <cfRule type="expression" dxfId="15" priority="3">
      <formula>M19&lt;0</formula>
    </cfRule>
    <cfRule type="expression" dxfId="14" priority="4">
      <formula>M19&gt;0</formula>
    </cfRule>
  </conditionalFormatting>
  <conditionalFormatting sqref="X28:X34">
    <cfRule type="expression" dxfId="13" priority="1">
      <formula>$W28&lt;0</formula>
    </cfRule>
    <cfRule type="expression" dxfId="12" priority="2">
      <formula>$W28&gt;0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F805-2C70-48A7-BA4C-C96E35BBDACD}">
  <sheetPr codeName="Sheet12">
    <tabColor rgb="FF0000CC"/>
  </sheetPr>
  <dimension ref="A1:P120"/>
  <sheetViews>
    <sheetView showGridLines="0" topLeftCell="A94" workbookViewId="0">
      <selection activeCell="C43" sqref="C43:E43"/>
    </sheetView>
  </sheetViews>
  <sheetFormatPr defaultRowHeight="15" x14ac:dyDescent="0.25"/>
  <cols>
    <col min="2" max="2" width="9.140625" style="82"/>
    <col min="3" max="3" width="13.140625" bestFit="1" customWidth="1"/>
    <col min="4" max="5" width="19.140625" bestFit="1" customWidth="1"/>
    <col min="6" max="6" width="18.140625" bestFit="1" customWidth="1"/>
    <col min="7" max="7" width="16.42578125" bestFit="1" customWidth="1"/>
    <col min="8" max="8" width="18.140625" bestFit="1" customWidth="1"/>
    <col min="9" max="9" width="16.42578125" bestFit="1" customWidth="1"/>
    <col min="10" max="10" width="18.140625" bestFit="1" customWidth="1"/>
    <col min="11" max="11" width="16.42578125" bestFit="1" customWidth="1"/>
    <col min="12" max="12" width="18.140625" bestFit="1" customWidth="1"/>
    <col min="13" max="13" width="16.42578125" bestFit="1" customWidth="1"/>
    <col min="14" max="14" width="18.140625" bestFit="1" customWidth="1"/>
    <col min="15" max="15" width="11.5703125" bestFit="1" customWidth="1"/>
  </cols>
  <sheetData>
    <row r="1" spans="1:15" x14ac:dyDescent="0.25">
      <c r="A1" t="s">
        <v>48</v>
      </c>
      <c r="B1" s="82">
        <f>'S1'!B1</f>
        <v>11</v>
      </c>
      <c r="C1">
        <v>2018</v>
      </c>
      <c r="D1" s="15">
        <f>DATE(C1,B1+1,0)-DATE(C1,1,0)</f>
        <v>334</v>
      </c>
      <c r="E1" s="59">
        <v>1000</v>
      </c>
      <c r="F1" s="15">
        <f>DATE(C1-1,B1+1,0)-DATE(C1-1,1,0)</f>
        <v>334</v>
      </c>
      <c r="G1" s="113"/>
    </row>
    <row r="2" spans="1:15" x14ac:dyDescent="0.25">
      <c r="B2" s="82" t="s">
        <v>84</v>
      </c>
      <c r="C2" s="109" t="s">
        <v>26</v>
      </c>
      <c r="D2" s="109">
        <f>C1</f>
        <v>2018</v>
      </c>
      <c r="E2" s="109">
        <f>C1-1</f>
        <v>2017</v>
      </c>
      <c r="F2" s="109" t="s">
        <v>24</v>
      </c>
      <c r="G2" s="109" t="s">
        <v>1</v>
      </c>
      <c r="H2" s="109"/>
    </row>
    <row r="3" spans="1:15" x14ac:dyDescent="0.25">
      <c r="B3" s="82">
        <v>3</v>
      </c>
      <c r="C3" t="s">
        <v>80</v>
      </c>
      <c r="D3" s="62">
        <f ca="1">SUM(OFFSET(DATA!$B$3,$B3,1,,$B$1))</f>
        <v>1308781.4750000001</v>
      </c>
      <c r="E3" s="15">
        <f ca="1">SUM(OFFSET(DATA!$B$3,$B3-1,1,,$B$1))</f>
        <v>1430423.46</v>
      </c>
      <c r="F3" s="15">
        <f ca="1">D3-E3</f>
        <v>-121641.98499999987</v>
      </c>
      <c r="G3" s="190">
        <f ca="1">F3/E3</f>
        <v>-8.5039142884303559E-2</v>
      </c>
      <c r="H3" s="59" t="str">
        <f ca="1">IF(G3&gt;0,SET!$I$2,SET!$H$2)</f>
        <v>▼</v>
      </c>
    </row>
    <row r="5" spans="1:15" x14ac:dyDescent="0.25">
      <c r="C5" t="s">
        <v>81</v>
      </c>
    </row>
    <row r="6" spans="1:15" x14ac:dyDescent="0.25">
      <c r="C6" s="109" t="s">
        <v>48</v>
      </c>
      <c r="D6" s="109">
        <v>1</v>
      </c>
      <c r="E6" s="109">
        <v>2</v>
      </c>
      <c r="F6" s="109">
        <v>3</v>
      </c>
      <c r="G6" s="109">
        <v>4</v>
      </c>
      <c r="H6" s="109">
        <v>5</v>
      </c>
      <c r="I6" s="109">
        <v>6</v>
      </c>
      <c r="J6" s="109">
        <v>7</v>
      </c>
      <c r="K6" s="109">
        <v>8</v>
      </c>
      <c r="L6" s="109">
        <v>9</v>
      </c>
      <c r="M6" s="109">
        <v>10</v>
      </c>
      <c r="N6" s="109">
        <v>11</v>
      </c>
      <c r="O6" s="109">
        <v>12</v>
      </c>
    </row>
    <row r="7" spans="1:15" x14ac:dyDescent="0.25">
      <c r="B7" s="82">
        <v>2</v>
      </c>
      <c r="C7" s="24" t="s">
        <v>124</v>
      </c>
      <c r="D7" s="62">
        <f ca="1">IF(OFFSET(DATA!$B$3,$B7,D6)=0,"",OFFSET(DATA!$B$3,$B7,D6))</f>
        <v>151235.78499999997</v>
      </c>
      <c r="E7" s="62">
        <f ca="1">IF(OFFSET(DATA!$B$3,$B7,E6)=0,"",OFFSET(DATA!$B$3,$B7,E6))</f>
        <v>141382.76999999999</v>
      </c>
      <c r="F7" s="62">
        <f ca="1">IF(OFFSET(DATA!$B$3,$B7,F6)=0,"",OFFSET(DATA!$B$3,$B7,F6))</f>
        <v>158187.21000000002</v>
      </c>
      <c r="G7" s="62">
        <f ca="1">IF(OFFSET(DATA!$B$3,$B7,G6)=0,"",OFFSET(DATA!$B$3,$B7,G6))</f>
        <v>140073.69500000001</v>
      </c>
      <c r="H7" s="62">
        <f ca="1">IF(OFFSET(DATA!$B$3,$B7,H6)=0,"",OFFSET(DATA!$B$3,$B7,H6))</f>
        <v>124672.8</v>
      </c>
      <c r="I7" s="62">
        <f ca="1">IF(OFFSET(DATA!$B$3,$B7,I6)=0,"",OFFSET(DATA!$B$3,$B7,I6))</f>
        <v>110196.19</v>
      </c>
      <c r="J7" s="62">
        <f ca="1">IF(OFFSET(DATA!$B$3,$B7,J6)=0,"",OFFSET(DATA!$B$3,$B7,J6))</f>
        <v>119218.19</v>
      </c>
      <c r="K7" s="62">
        <f ca="1">IF(OFFSET(DATA!$B$3,$B7,K6)=0,"",OFFSET(DATA!$B$3,$B7,K6))</f>
        <v>127072.79000000001</v>
      </c>
      <c r="L7" s="62">
        <f ca="1">IF(OFFSET(DATA!$B$3,$B7,L6)=0,"",OFFSET(DATA!$B$3,$B7,L6))</f>
        <v>121060.22500000001</v>
      </c>
      <c r="M7" s="62">
        <f ca="1">IF(OFFSET(DATA!$B$3,$B7,M6)=0,"",OFFSET(DATA!$B$3,$B7,M6))</f>
        <v>119149.01999999999</v>
      </c>
      <c r="N7" s="62">
        <f ca="1">IF(OFFSET(DATA!$B$3,$B7,N6)=0,"",OFFSET(DATA!$B$3,$B7,N6))</f>
        <v>118174.78499999999</v>
      </c>
      <c r="O7" s="62">
        <f ca="1">IF(OFFSET(DATA!$B$3,$B7,O6)=0,"",OFFSET(DATA!$B$3,$B7,O6))</f>
        <v>124660.845</v>
      </c>
    </row>
    <row r="8" spans="1:15" x14ac:dyDescent="0.25">
      <c r="B8" s="82">
        <v>3</v>
      </c>
      <c r="C8" s="24" t="s">
        <v>82</v>
      </c>
      <c r="D8" s="62">
        <f ca="1">IF(OFFSET(DATA!$B$3,$B8,D6)=0,"",OFFSET(DATA!$B$3,$B8,D6))</f>
        <v>127163.56499999999</v>
      </c>
      <c r="E8" s="62">
        <f ca="1">IF(OFFSET(DATA!$B$3,$B8,E6)=0,NA(),OFFSET(DATA!$B$3,$B8,E6))</f>
        <v>101548.73999999999</v>
      </c>
      <c r="F8" s="62">
        <f ca="1">IF(OFFSET(DATA!$B$3,$B8,F6)=0,NA(),OFFSET(DATA!$B$3,$B8,F6))</f>
        <v>116581.955</v>
      </c>
      <c r="G8" s="62">
        <f ca="1">IF(OFFSET(DATA!$B$3,$B8,G6)=0,NA(),OFFSET(DATA!$B$3,$B8,G6))</f>
        <v>109890.06499999999</v>
      </c>
      <c r="H8" s="62">
        <f ca="1">IF(OFFSET(DATA!$B$3,$B8,H6)=0,NA(),OFFSET(DATA!$B$3,$B8,H6))</f>
        <v>121937.61500000001</v>
      </c>
      <c r="I8" s="62">
        <f ca="1">IF(OFFSET(DATA!$B$3,$B8,I6)=0,NA(),OFFSET(DATA!$B$3,$B8,I6))</f>
        <v>109808.045</v>
      </c>
      <c r="J8" s="62">
        <f ca="1">IF(OFFSET(DATA!$B$3,$B8,J6)=0,NA(),OFFSET(DATA!$B$3,$B8,J6))</f>
        <v>114049.64</v>
      </c>
      <c r="K8" s="62">
        <f ca="1">IF(OFFSET(DATA!$B$3,$B8,K6)=0,NA(),OFFSET(DATA!$B$3,$B8,K6))</f>
        <v>123473.745</v>
      </c>
      <c r="L8" s="62">
        <f ca="1">IF(OFFSET(DATA!$B$3,$B8,L6)=0,NA(),OFFSET(DATA!$B$3,$B8,L6))</f>
        <v>119758.35999999999</v>
      </c>
      <c r="M8" s="62">
        <f ca="1">IF(OFFSET(DATA!$B$3,$B8,M6)=0,NA(),OFFSET(DATA!$B$3,$B8,M6))</f>
        <v>131023.30500000001</v>
      </c>
      <c r="N8" s="62">
        <f ca="1">IF(OFFSET(DATA!$B$3,$B8,N6)=0,NA(),OFFSET(DATA!$B$3,$B8,N6))</f>
        <v>133546.44</v>
      </c>
      <c r="O8" s="62" t="e">
        <f ca="1">IF(OFFSET(DATA!$B$3,$B8,O6)=0,NA(),OFFSET(DATA!$B$3,$B8,O6))</f>
        <v>#N/A</v>
      </c>
    </row>
    <row r="9" spans="1:15" x14ac:dyDescent="0.25">
      <c r="B9" s="82">
        <v>4</v>
      </c>
      <c r="C9" s="24" t="s">
        <v>0</v>
      </c>
      <c r="D9" s="62">
        <f ca="1">OFFSET(DATA!$B$3,$B9,D6)</f>
        <v>140025.03899999999</v>
      </c>
      <c r="E9" s="62">
        <f ca="1">OFFSET(DATA!$B$3,$B9,E6)</f>
        <v>128230</v>
      </c>
      <c r="F9" s="62">
        <f ca="1">OFFSET(DATA!$B$3,$B9,F6)</f>
        <v>139067.416</v>
      </c>
      <c r="G9" s="62">
        <f ca="1">OFFSET(DATA!$B$3,$B9,G6)</f>
        <v>139834.715</v>
      </c>
      <c r="H9" s="62">
        <f ca="1">OFFSET(DATA!$B$3,$B9,H6)</f>
        <v>143349.715</v>
      </c>
      <c r="I9" s="62">
        <f ca="1">OFFSET(DATA!$B$3,$B9,I6)</f>
        <v>144294.715</v>
      </c>
      <c r="J9" s="62">
        <f ca="1">OFFSET(DATA!$B$3,$B9,J6)</f>
        <v>147734.715</v>
      </c>
      <c r="K9" s="62">
        <f ca="1">OFFSET(DATA!$B$3,$B9,K6)</f>
        <v>149699.715</v>
      </c>
      <c r="L9" s="62">
        <f ca="1">OFFSET(DATA!$B$3,$B9,L6)</f>
        <v>152604.715</v>
      </c>
      <c r="M9" s="62">
        <f ca="1">OFFSET(DATA!$B$3,$B9,M6)</f>
        <v>154759.715</v>
      </c>
      <c r="N9" s="62">
        <f ca="1">OFFSET(DATA!$B$3,$B9,N6)</f>
        <v>157504.715</v>
      </c>
      <c r="O9" s="62">
        <f ca="1">OFFSET(DATA!$B$3,$B9,O6)</f>
        <v>159894.715</v>
      </c>
    </row>
    <row r="11" spans="1:15" x14ac:dyDescent="0.25">
      <c r="C11" s="109" t="s">
        <v>26</v>
      </c>
      <c r="D11" s="109">
        <f>D2</f>
        <v>2018</v>
      </c>
      <c r="E11" s="109">
        <f>E2</f>
        <v>2017</v>
      </c>
      <c r="F11" s="109" t="s">
        <v>24</v>
      </c>
      <c r="G11" s="109" t="s">
        <v>1</v>
      </c>
      <c r="H11" s="109"/>
      <c r="I11" s="110" t="str">
        <f>"@"&amp;D11</f>
        <v>@2018</v>
      </c>
      <c r="J11" s="110" t="str">
        <f>"@"&amp;E11</f>
        <v>@2017</v>
      </c>
      <c r="K11" s="109" t="s">
        <v>24</v>
      </c>
      <c r="L11" s="109" t="s">
        <v>1</v>
      </c>
      <c r="M11" s="109" t="s">
        <v>94</v>
      </c>
      <c r="N11" s="109"/>
      <c r="O11" s="109"/>
    </row>
    <row r="12" spans="1:15" x14ac:dyDescent="0.25">
      <c r="B12" s="82">
        <v>10</v>
      </c>
      <c r="C12" t="s">
        <v>2</v>
      </c>
      <c r="D12" s="62">
        <f ca="1">SUM(OFFSET(DATA!$B$3,$B12,1,,$B$1))</f>
        <v>11547166.9975955</v>
      </c>
      <c r="E12" s="15">
        <f ca="1">SUM(OFFSET(DATA!$B$3,$B12-1,1,,$B$1))</f>
        <v>12435850.415838499</v>
      </c>
      <c r="F12" s="15">
        <f ca="1">D12-E12</f>
        <v>-888683.41824299842</v>
      </c>
      <c r="G12" s="190">
        <f ca="1">F12/E12</f>
        <v>-7.1461411043603179E-2</v>
      </c>
      <c r="H12" s="59" t="str">
        <f ca="1">IF(G12&gt;0,SET!$I$2,SET!$H$2)</f>
        <v>▼</v>
      </c>
      <c r="I12" s="62">
        <f ca="1">D12/D3*1000</f>
        <v>8822.8380506344638</v>
      </c>
      <c r="J12" s="16">
        <f ca="1">E12/E3*1000</f>
        <v>8693.824425837156</v>
      </c>
      <c r="K12" s="16">
        <f ca="1">I12-J12</f>
        <v>129.01362479730778</v>
      </c>
      <c r="L12" s="190">
        <f ca="1">K12/J12</f>
        <v>1.4839686020561044E-2</v>
      </c>
      <c r="M12" s="59" t="str">
        <f ca="1">IF(L12&gt;0,SET!$I$2,SET!$H$2)</f>
        <v>▲</v>
      </c>
    </row>
    <row r="14" spans="1:15" x14ac:dyDescent="0.25">
      <c r="C14" s="109" t="s">
        <v>26</v>
      </c>
      <c r="D14" s="109">
        <f t="shared" ref="D14:L14" si="0">D11</f>
        <v>2018</v>
      </c>
      <c r="E14" s="109">
        <f t="shared" si="0"/>
        <v>2017</v>
      </c>
      <c r="F14" s="109" t="str">
        <f t="shared" si="0"/>
        <v>Diff</v>
      </c>
      <c r="G14" s="109" t="str">
        <f t="shared" si="0"/>
        <v>%</v>
      </c>
      <c r="H14" s="109"/>
      <c r="I14" s="110" t="str">
        <f t="shared" si="0"/>
        <v>@2018</v>
      </c>
      <c r="J14" s="110" t="str">
        <f t="shared" si="0"/>
        <v>@2017</v>
      </c>
      <c r="K14" s="109" t="str">
        <f t="shared" si="0"/>
        <v>Diff</v>
      </c>
      <c r="L14" s="109" t="str">
        <f t="shared" si="0"/>
        <v>%</v>
      </c>
      <c r="M14" s="109" t="s">
        <v>94</v>
      </c>
      <c r="N14" s="109"/>
      <c r="O14" s="109"/>
    </row>
    <row r="15" spans="1:15" x14ac:dyDescent="0.25">
      <c r="B15" s="82">
        <v>271</v>
      </c>
      <c r="C15" t="s">
        <v>128</v>
      </c>
      <c r="D15" s="62">
        <f ca="1">OFFSET(DATA!$B$3,$B15,$B$1)</f>
        <v>4880793.1523880009</v>
      </c>
      <c r="E15" s="15">
        <f ca="1">OFFSET(DATA!$B$3,$B15-1,$B$1)</f>
        <v>3753248.684347</v>
      </c>
      <c r="F15" s="15">
        <f ca="1">D15-E15</f>
        <v>1127544.4680410009</v>
      </c>
      <c r="G15" s="190">
        <f ca="1">F15/E15</f>
        <v>0.30041826771123586</v>
      </c>
      <c r="H15" s="59" t="str">
        <f ca="1">IF(G15&gt;0,SET!$I$2,SET!$H$2)</f>
        <v>▲</v>
      </c>
      <c r="I15" s="60">
        <f ca="1">D15/D18*1000</f>
        <v>1433.1579661261217</v>
      </c>
      <c r="J15" s="16">
        <f ca="1">E15/E18*1000</f>
        <v>1090.1515822132894</v>
      </c>
      <c r="K15" s="16">
        <f ca="1">I15-J15</f>
        <v>343.00638391283223</v>
      </c>
      <c r="L15" s="190">
        <f ca="1">K15/J15</f>
        <v>0.31464099993914668</v>
      </c>
      <c r="M15" s="59" t="str">
        <f ca="1">IF(L15&gt;0,SET!$I$2,SET!$H$2)</f>
        <v>▲</v>
      </c>
    </row>
    <row r="17" spans="2:12" x14ac:dyDescent="0.25">
      <c r="C17" s="109" t="s">
        <v>85</v>
      </c>
      <c r="D17" s="109">
        <f>D14</f>
        <v>2018</v>
      </c>
      <c r="E17" s="109">
        <f>E14</f>
        <v>2017</v>
      </c>
      <c r="F17" s="109" t="str">
        <f>"@day "&amp;D17</f>
        <v>@day 2018</v>
      </c>
      <c r="G17" s="109" t="str">
        <f t="shared" ref="G17" si="1">"@day "&amp;E17</f>
        <v>@day 2017</v>
      </c>
      <c r="H17" s="109" t="s">
        <v>24</v>
      </c>
      <c r="I17" s="110" t="s">
        <v>94</v>
      </c>
      <c r="J17" s="24"/>
    </row>
    <row r="18" spans="2:12" x14ac:dyDescent="0.25">
      <c r="B18" s="82">
        <v>127</v>
      </c>
      <c r="C18" t="s">
        <v>85</v>
      </c>
      <c r="D18" s="15">
        <f ca="1">SUM(OFFSET(DATA!$B$3,$B18,1,,$B$1))</f>
        <v>3405621.1999999997</v>
      </c>
      <c r="E18" s="15">
        <f ca="1">SUM(OFFSET(DATA!$B$3,$B18-1,1,,$B$1))</f>
        <v>3442868.63</v>
      </c>
      <c r="F18" s="15">
        <f ca="1">D15/D19*$D$1</f>
        <v>58.903419643686881</v>
      </c>
      <c r="G18" s="15">
        <f ca="1">E15/E19*$F$1</f>
        <v>47.698322306535268</v>
      </c>
      <c r="H18" s="20">
        <f ca="1">F18-G18</f>
        <v>11.205097337151614</v>
      </c>
      <c r="I18" s="16" t="str">
        <f ca="1">IF(H18&gt;0,SET!I2,SET!H2)</f>
        <v>▲</v>
      </c>
      <c r="J18" s="16"/>
      <c r="K18" s="16"/>
      <c r="L18" s="13"/>
    </row>
    <row r="19" spans="2:12" x14ac:dyDescent="0.25">
      <c r="C19" t="s">
        <v>27</v>
      </c>
      <c r="D19" s="15">
        <f ca="1">SUM(D20:D25)</f>
        <v>27675556.406720627</v>
      </c>
      <c r="E19" s="15">
        <f ca="1">SUM(E20:E25)</f>
        <v>26281533.604382999</v>
      </c>
    </row>
    <row r="20" spans="2:12" x14ac:dyDescent="0.25">
      <c r="B20" s="82">
        <v>277</v>
      </c>
      <c r="C20" t="s">
        <v>28</v>
      </c>
      <c r="D20" s="15">
        <f ca="1">SUM(OFFSET(DATA!$B$3,$B20,1,,$B$1))</f>
        <v>22485895.026449628</v>
      </c>
      <c r="E20" s="15">
        <f ca="1">SUM(OFFSET(DATA!$B$3,$B20-1,1,,$B$1))</f>
        <v>21120131.474064</v>
      </c>
      <c r="F20" s="20"/>
      <c r="H20" s="15"/>
    </row>
    <row r="21" spans="2:12" x14ac:dyDescent="0.25">
      <c r="B21" s="82">
        <v>289</v>
      </c>
      <c r="C21" t="s">
        <v>29</v>
      </c>
      <c r="D21" s="15">
        <f ca="1">SUM(OFFSET(DATA!$B$3,$B21,1,,$B$1))</f>
        <v>3725552.4402789995</v>
      </c>
      <c r="E21" s="15">
        <f ca="1">SUM(OFFSET(DATA!$B$3,$B21-1,1,,$B$1))</f>
        <v>3709771.9922310007</v>
      </c>
      <c r="F21" s="20"/>
      <c r="H21" s="16"/>
    </row>
    <row r="22" spans="2:12" x14ac:dyDescent="0.25">
      <c r="B22" s="82">
        <v>295</v>
      </c>
      <c r="C22" t="s">
        <v>30</v>
      </c>
      <c r="D22" s="15">
        <f ca="1">SUM(OFFSET(DATA!$B$3,$B22,1,,$B$1))</f>
        <v>353027.58357000002</v>
      </c>
      <c r="E22" s="15">
        <f ca="1">SUM(OFFSET(DATA!$B$3,$B22-1,1,,$B$1))</f>
        <v>384289.06029300002</v>
      </c>
      <c r="F22" s="16"/>
      <c r="H22" s="112"/>
    </row>
    <row r="23" spans="2:12" x14ac:dyDescent="0.25">
      <c r="B23" s="82">
        <v>301</v>
      </c>
      <c r="C23" t="s">
        <v>31</v>
      </c>
      <c r="D23" s="15">
        <f ca="1">SUM(OFFSET(DATA!$B$3,$B23,1,,$B$1))</f>
        <v>400664.59426500008</v>
      </c>
      <c r="E23" s="15">
        <f ca="1">SUM(OFFSET(DATA!$B$3,$B23-1,1,,$B$1))</f>
        <v>374199.86868099996</v>
      </c>
      <c r="F23" s="20"/>
    </row>
    <row r="24" spans="2:12" x14ac:dyDescent="0.25">
      <c r="B24" s="82">
        <v>307</v>
      </c>
      <c r="C24" t="s">
        <v>32</v>
      </c>
      <c r="D24" s="15">
        <f ca="1">SUM(OFFSET(DATA!$B$3,$B24,1,,$B$1))</f>
        <v>508497.50624400005</v>
      </c>
      <c r="E24" s="15">
        <f ca="1">SUM(OFFSET(DATA!$B$3,$B24-1,1,,$B$1))</f>
        <v>493713.82506700006</v>
      </c>
      <c r="F24" s="20"/>
    </row>
    <row r="25" spans="2:12" x14ac:dyDescent="0.25">
      <c r="B25" s="82">
        <v>313</v>
      </c>
      <c r="C25" t="s">
        <v>33</v>
      </c>
      <c r="D25" s="15">
        <f ca="1">SUM(OFFSET(DATA!$B$3,$B25,1,,$B$1))</f>
        <v>201919.25591299997</v>
      </c>
      <c r="E25" s="15">
        <f ca="1">SUM(OFFSET(DATA!$B$3,$B25-1,1,,$B$1))</f>
        <v>199427.38404700003</v>
      </c>
      <c r="F25" s="20"/>
    </row>
    <row r="26" spans="2:12" x14ac:dyDescent="0.25">
      <c r="C26" t="s">
        <v>146</v>
      </c>
    </row>
    <row r="27" spans="2:12" x14ac:dyDescent="0.25">
      <c r="C27" s="109" t="s">
        <v>26</v>
      </c>
      <c r="D27" s="109">
        <f>D17</f>
        <v>2018</v>
      </c>
      <c r="E27" s="109">
        <f>E17</f>
        <v>2017</v>
      </c>
      <c r="F27" s="109" t="s">
        <v>145</v>
      </c>
      <c r="G27" s="109" t="str">
        <f>"@ Day"&amp;$B$1</f>
        <v>@ Day11</v>
      </c>
      <c r="H27" s="109" t="str">
        <f>"@"&amp;D27</f>
        <v>@2018</v>
      </c>
      <c r="I27" s="109" t="str">
        <f>"@"&amp;E27</f>
        <v>@2017</v>
      </c>
      <c r="J27" s="109" t="s">
        <v>24</v>
      </c>
      <c r="K27" s="109" t="s">
        <v>1</v>
      </c>
    </row>
    <row r="28" spans="2:12" x14ac:dyDescent="0.25">
      <c r="B28" s="82">
        <v>617</v>
      </c>
      <c r="C28" t="s">
        <v>88</v>
      </c>
      <c r="D28" s="15">
        <f ca="1">SUM(OFFSET(DATA!$B$3,$B28,1,,$B$1))</f>
        <v>1278686186.8599999</v>
      </c>
      <c r="E28" s="15">
        <f ca="1">SUM(OFFSET(DATA!$B$3,$B28-9,1,,$B$1))</f>
        <v>1032908545.6400001</v>
      </c>
      <c r="F28" s="191">
        <f ca="1">D28/$D$33</f>
        <v>0.37972758114404404</v>
      </c>
      <c r="G28" s="81">
        <f ca="1">E36/(D28/$D$1)</f>
        <v>68.203828633732286</v>
      </c>
      <c r="H28" s="15">
        <f ca="1">D52/D44</f>
        <v>5377.8876588684025</v>
      </c>
      <c r="I28" s="15">
        <f ca="1">E52/E44</f>
        <v>4857.1743165904554</v>
      </c>
      <c r="J28" s="20">
        <f ca="1">H28-I28</f>
        <v>520.71334227794705</v>
      </c>
      <c r="K28" s="79">
        <f ca="1">J28/I28</f>
        <v>0.10720499375518959</v>
      </c>
    </row>
    <row r="29" spans="2:12" x14ac:dyDescent="0.25">
      <c r="B29" s="82">
        <v>618</v>
      </c>
      <c r="C29" t="s">
        <v>89</v>
      </c>
      <c r="D29" s="15">
        <f ca="1">SUM(OFFSET(DATA!$B$3,$B29,1,,$B$1))</f>
        <v>541143200.00999999</v>
      </c>
      <c r="E29" s="15">
        <f ca="1">SUM(OFFSET(DATA!$B$3,$B29-9,1,,$B$1))</f>
        <v>599585359.60000002</v>
      </c>
      <c r="F29" s="191">
        <f t="shared" ref="F29:F33" ca="1" si="2">D29/$D$33</f>
        <v>0.16070166433638278</v>
      </c>
      <c r="G29" s="81">
        <f t="shared" ref="G29:G33" ca="1" si="3">E37/(D29/$D$1)</f>
        <v>45.092482524014116</v>
      </c>
      <c r="H29" s="15">
        <f t="shared" ref="H29:I29" ca="1" si="4">D53/D45</f>
        <v>10462.968804591668</v>
      </c>
      <c r="I29" s="15">
        <f t="shared" ca="1" si="4"/>
        <v>9261.6177568365183</v>
      </c>
      <c r="J29" s="20">
        <f t="shared" ref="J29:J33" ca="1" si="5">H29-I29</f>
        <v>1201.3510477551499</v>
      </c>
      <c r="K29" s="79">
        <f t="shared" ref="K29:K33" ca="1" si="6">J29/I29</f>
        <v>0.12971287298791462</v>
      </c>
    </row>
    <row r="30" spans="2:12" x14ac:dyDescent="0.25">
      <c r="B30" s="82">
        <v>619</v>
      </c>
      <c r="C30" t="s">
        <v>90</v>
      </c>
      <c r="D30" s="15">
        <f ca="1">SUM(OFFSET(DATA!$B$3,$B30,1,,$B$1))</f>
        <v>424473994.63</v>
      </c>
      <c r="E30" s="15">
        <f ca="1">SUM(OFFSET(DATA!$B$3,$B30-9,1,,$B$1))</f>
        <v>549472670.37</v>
      </c>
      <c r="F30" s="191">
        <f t="shared" ca="1" si="2"/>
        <v>0.12605476222059753</v>
      </c>
      <c r="G30" s="81">
        <f t="shared" ca="1" si="3"/>
        <v>6.4143802457752939</v>
      </c>
      <c r="H30" s="15">
        <f t="shared" ref="H30:I30" ca="1" si="7">D54/D46</f>
        <v>5658.6495032864705</v>
      </c>
      <c r="I30" s="15">
        <f t="shared" ca="1" si="7"/>
        <v>4914.1743315407748</v>
      </c>
      <c r="J30" s="20">
        <f t="shared" ca="1" si="5"/>
        <v>744.47517174569566</v>
      </c>
      <c r="K30" s="79">
        <f t="shared" ca="1" si="6"/>
        <v>0.15149547442129008</v>
      </c>
    </row>
    <row r="31" spans="2:12" x14ac:dyDescent="0.25">
      <c r="B31" s="82">
        <v>620</v>
      </c>
      <c r="C31" t="s">
        <v>91</v>
      </c>
      <c r="D31" s="15">
        <f ca="1">SUM(OFFSET(DATA!$B$3,$B31,1,,$B$1))</f>
        <v>252081139.45999998</v>
      </c>
      <c r="E31" s="15">
        <f ca="1">SUM(OFFSET(DATA!$B$3,$B31-9,1,,$B$1))</f>
        <v>239508137.18000001</v>
      </c>
      <c r="F31" s="191">
        <f t="shared" ca="1" si="2"/>
        <v>7.4859775856529684E-2</v>
      </c>
      <c r="G31" s="81">
        <f t="shared" ca="1" si="3"/>
        <v>4.8999452954948177</v>
      </c>
      <c r="H31" s="15">
        <f t="shared" ref="H31:I31" ca="1" si="8">D55/D47</f>
        <v>5576.8064994224542</v>
      </c>
      <c r="I31" s="15">
        <f t="shared" ca="1" si="8"/>
        <v>5375.0421522885008</v>
      </c>
      <c r="J31" s="20">
        <f t="shared" ca="1" si="5"/>
        <v>201.76434713395338</v>
      </c>
      <c r="K31" s="79">
        <f t="shared" ca="1" si="6"/>
        <v>3.7537258577227964E-2</v>
      </c>
    </row>
    <row r="32" spans="2:12" x14ac:dyDescent="0.25">
      <c r="B32" s="82">
        <v>621</v>
      </c>
      <c r="C32" t="s">
        <v>92</v>
      </c>
      <c r="D32" s="15">
        <f ca="1">SUM(OFFSET(DATA!$B$3,$B32,1,,$B$1))</f>
        <v>870993173.88000023</v>
      </c>
      <c r="E32" s="15">
        <f ca="1">SUM(OFFSET(DATA!$B$3,$B32-9,1,,$B$1))</f>
        <v>975469559.43999994</v>
      </c>
      <c r="F32" s="191">
        <f t="shared" ca="1" si="2"/>
        <v>0.25865621644244613</v>
      </c>
      <c r="G32" s="81">
        <f t="shared" ca="1" si="3"/>
        <v>21.460980919369746</v>
      </c>
      <c r="H32" s="15">
        <f t="shared" ref="H32:I32" ca="1" si="9">D56/D48</f>
        <v>6962.792220625015</v>
      </c>
      <c r="I32" s="15">
        <f t="shared" ca="1" si="9"/>
        <v>6254.6453932169616</v>
      </c>
      <c r="J32" s="20">
        <f t="shared" ca="1" si="5"/>
        <v>708.14682740805347</v>
      </c>
      <c r="K32" s="79">
        <f t="shared" ca="1" si="6"/>
        <v>0.11321934064815642</v>
      </c>
    </row>
    <row r="33" spans="2:11" x14ac:dyDescent="0.25">
      <c r="B33" s="82">
        <v>622</v>
      </c>
      <c r="C33" t="s">
        <v>4</v>
      </c>
      <c r="D33" s="15">
        <f ca="1">SUM(OFFSET(DATA!$B$3,$B33,1,,$B$1))</f>
        <v>3367377694.8399997</v>
      </c>
      <c r="E33" s="15">
        <f ca="1">SUM(OFFSET(DATA!$B$3,$B33-9,1,,$B$1))</f>
        <v>3396944272.2299995</v>
      </c>
      <c r="F33" s="191">
        <f t="shared" ca="1" si="2"/>
        <v>1</v>
      </c>
      <c r="G33" s="81">
        <f t="shared" ca="1" si="3"/>
        <v>39.871699971469781</v>
      </c>
      <c r="H33" s="15">
        <f t="shared" ref="H33:I33" ca="1" si="10">D57/D49</f>
        <v>6736.6373189640753</v>
      </c>
      <c r="I33" s="15">
        <f t="shared" ca="1" si="10"/>
        <v>6141.9076714158682</v>
      </c>
      <c r="J33" s="20">
        <f t="shared" ca="1" si="5"/>
        <v>594.72964754820714</v>
      </c>
      <c r="K33" s="79">
        <f t="shared" ca="1" si="6"/>
        <v>9.6831421012082169E-2</v>
      </c>
    </row>
    <row r="34" spans="2:11" x14ac:dyDescent="0.25">
      <c r="C34" t="s">
        <v>147</v>
      </c>
    </row>
    <row r="35" spans="2:11" x14ac:dyDescent="0.25">
      <c r="C35" s="109" t="s">
        <v>48</v>
      </c>
      <c r="D35" s="109">
        <f>D27</f>
        <v>2018</v>
      </c>
      <c r="E35" s="109">
        <f>$B$1</f>
        <v>11</v>
      </c>
    </row>
    <row r="36" spans="2:11" x14ac:dyDescent="0.25">
      <c r="B36" s="82">
        <v>580</v>
      </c>
      <c r="C36" t="s">
        <v>88</v>
      </c>
      <c r="D36" s="15">
        <f ca="1">SUM(OFFSET(DATA!$B$3,$B36,1,,$B$1))</f>
        <v>1814742254.1300004</v>
      </c>
      <c r="E36" s="62">
        <f ca="1">OFFSET(DATA!$B$3,$B36,$B$1)</f>
        <v>261111657.38000003</v>
      </c>
    </row>
    <row r="37" spans="2:11" x14ac:dyDescent="0.25">
      <c r="B37" s="82">
        <v>581</v>
      </c>
      <c r="C37" t="s">
        <v>89</v>
      </c>
      <c r="D37" s="15">
        <f ca="1">SUM(OFFSET(DATA!$B$3,$B37,1,,$B$1))</f>
        <v>924564111.25</v>
      </c>
      <c r="E37" s="62">
        <f ca="1">OFFSET(DATA!$B$3,$B37,$B$1)</f>
        <v>73058354.159999996</v>
      </c>
    </row>
    <row r="38" spans="2:11" x14ac:dyDescent="0.25">
      <c r="B38" s="82">
        <v>582</v>
      </c>
      <c r="C38" t="s">
        <v>90</v>
      </c>
      <c r="D38" s="15">
        <f ca="1">SUM(OFFSET(DATA!$B$3,$B38,1,,$B$1))</f>
        <v>377911460.22000003</v>
      </c>
      <c r="E38" s="62">
        <f ca="1">OFFSET(DATA!$B$3,$B38,$B$1)</f>
        <v>8151909</v>
      </c>
    </row>
    <row r="39" spans="2:11" x14ac:dyDescent="0.25">
      <c r="B39" s="82">
        <v>583</v>
      </c>
      <c r="C39" t="s">
        <v>91</v>
      </c>
      <c r="D39" s="15">
        <f ca="1">SUM(OFFSET(DATA!$B$3,$B39,1,,$B$1))</f>
        <v>48779728.410000004</v>
      </c>
      <c r="E39" s="62">
        <f ca="1">OFFSET(DATA!$B$3,$B39,$B$1)</f>
        <v>3698155.07</v>
      </c>
    </row>
    <row r="40" spans="2:11" x14ac:dyDescent="0.25">
      <c r="B40" s="82">
        <v>584</v>
      </c>
      <c r="C40" t="s">
        <v>92</v>
      </c>
      <c r="D40" s="15">
        <f ca="1">SUM(OFFSET(DATA!$B$3,$B40,1,,$B$1))</f>
        <v>847943856.26999986</v>
      </c>
      <c r="E40" s="62">
        <f ca="1">OFFSET(DATA!$B$3,$B40,$B$1)</f>
        <v>55965173.309999943</v>
      </c>
    </row>
    <row r="41" spans="2:11" x14ac:dyDescent="0.25">
      <c r="B41" s="82">
        <v>585</v>
      </c>
      <c r="C41" t="s">
        <v>4</v>
      </c>
      <c r="D41" s="15">
        <f ca="1">SUM(OFFSET(DATA!$B$3,$B41,1,,$B$1))</f>
        <v>4013941410.2800002</v>
      </c>
      <c r="E41" s="62">
        <f ca="1">OFFSET(DATA!$B$3,$B41,$B$1)</f>
        <v>401985248.91999996</v>
      </c>
    </row>
    <row r="42" spans="2:11" x14ac:dyDescent="0.25">
      <c r="C42" t="s">
        <v>148</v>
      </c>
      <c r="D42" s="15"/>
      <c r="E42" s="15"/>
    </row>
    <row r="43" spans="2:11" x14ac:dyDescent="0.25">
      <c r="C43" s="109" t="s">
        <v>26</v>
      </c>
      <c r="D43" s="192">
        <f>C1</f>
        <v>2018</v>
      </c>
      <c r="E43" s="192">
        <f>D43-1</f>
        <v>2017</v>
      </c>
    </row>
    <row r="44" spans="2:11" x14ac:dyDescent="0.25">
      <c r="B44" s="82">
        <v>205</v>
      </c>
      <c r="C44" t="s">
        <v>88</v>
      </c>
      <c r="D44" s="15">
        <f ca="1">SUM(OFFSET(DATA!$B$3,$B44,1,,$B$1))</f>
        <v>1419358473</v>
      </c>
      <c r="E44" s="15">
        <f ca="1">SUM(OFFSET(DATA!$B$3,$B44-9,1,,$B$1))</f>
        <v>1030239196</v>
      </c>
    </row>
    <row r="45" spans="2:11" x14ac:dyDescent="0.25">
      <c r="B45" s="82">
        <v>206</v>
      </c>
      <c r="C45" t="s">
        <v>89</v>
      </c>
      <c r="D45" s="15">
        <f ca="1">SUM(OFFSET(DATA!$B$3,$B45,1,,$B$1))</f>
        <v>664982416</v>
      </c>
      <c r="E45" s="15">
        <f ca="1">SUM(OFFSET(DATA!$B$3,$B45-9,1,,$B$1))</f>
        <v>635323797</v>
      </c>
    </row>
    <row r="46" spans="2:11" x14ac:dyDescent="0.25">
      <c r="B46" s="82">
        <v>207</v>
      </c>
      <c r="C46" t="s">
        <v>90</v>
      </c>
      <c r="D46" s="15">
        <f ca="1">SUM(OFFSET(DATA!$B$3,$B46,1,,$B$1))</f>
        <v>407029380</v>
      </c>
      <c r="E46" s="15">
        <f ca="1">SUM(OFFSET(DATA!$B$3,$B46-9,1,,$B$1))</f>
        <v>479444165</v>
      </c>
    </row>
    <row r="47" spans="2:11" x14ac:dyDescent="0.25">
      <c r="B47" s="82">
        <v>208</v>
      </c>
      <c r="C47" t="s">
        <v>91</v>
      </c>
      <c r="D47" s="15">
        <f ca="1">SUM(OFFSET(DATA!$B$3,$B47,1,,$B$1))</f>
        <v>262977551</v>
      </c>
      <c r="E47" s="15">
        <f ca="1">SUM(OFFSET(DATA!$B$3,$B47-9,1,,$B$1))</f>
        <v>237714377</v>
      </c>
    </row>
    <row r="48" spans="2:11" x14ac:dyDescent="0.25">
      <c r="B48" s="82">
        <v>209</v>
      </c>
      <c r="C48" t="s">
        <v>92</v>
      </c>
      <c r="D48" s="15">
        <f ca="1">SUM(OFFSET(DATA!$B$3,$B48,1,,$B$1))</f>
        <v>859544091</v>
      </c>
      <c r="E48" s="15">
        <f ca="1">SUM(OFFSET(DATA!$B$3,$B48-9,1,,$B$1))</f>
        <v>997724141</v>
      </c>
    </row>
    <row r="49" spans="2:16" x14ac:dyDescent="0.25">
      <c r="B49" s="82">
        <v>210</v>
      </c>
      <c r="C49" t="s">
        <v>4</v>
      </c>
      <c r="D49" s="15">
        <f ca="1">SUM(OFFSET(DATA!$B$3,$B49,1,,$B$1))</f>
        <v>3613891911</v>
      </c>
      <c r="E49" s="15">
        <f ca="1">SUM(OFFSET(DATA!$B$3,$B49-9,1,,$B$1))</f>
        <v>3380445676</v>
      </c>
    </row>
    <row r="50" spans="2:16" x14ac:dyDescent="0.25">
      <c r="C50" t="s">
        <v>122</v>
      </c>
      <c r="F50" s="24"/>
    </row>
    <row r="51" spans="2:16" x14ac:dyDescent="0.25">
      <c r="C51" s="109" t="str">
        <f>C43</f>
        <v>Year</v>
      </c>
      <c r="D51" s="192">
        <f>D43</f>
        <v>2018</v>
      </c>
      <c r="E51" s="192">
        <f>E43</f>
        <v>2017</v>
      </c>
      <c r="F51" s="16"/>
      <c r="G51" s="15"/>
      <c r="H51" s="15"/>
      <c r="I51" s="13"/>
      <c r="J51" s="25"/>
    </row>
    <row r="52" spans="2:16" x14ac:dyDescent="0.25">
      <c r="B52" s="82">
        <v>233</v>
      </c>
      <c r="C52" t="s">
        <v>88</v>
      </c>
      <c r="D52" s="15">
        <f ca="1">SUM(OFFSET(DATA!$B$3,$B52,1,,$B$1))</f>
        <v>7633150415457</v>
      </c>
      <c r="E52" s="15">
        <f ca="1">SUM(OFFSET(DATA!$B$3,$B52-9,1,,$B$1))</f>
        <v>5004051362756</v>
      </c>
      <c r="F52" s="16"/>
      <c r="G52" s="15"/>
      <c r="H52" s="15"/>
      <c r="I52" s="13"/>
      <c r="J52" s="25"/>
    </row>
    <row r="53" spans="2:16" x14ac:dyDescent="0.25">
      <c r="B53" s="82">
        <v>234</v>
      </c>
      <c r="C53" t="s">
        <v>89</v>
      </c>
      <c r="D53" s="15">
        <f ca="1">SUM(OFFSET(DATA!$B$3,$B53,1,,$B$1))</f>
        <v>6957690274210</v>
      </c>
      <c r="E53" s="15">
        <f ca="1">SUM(OFFSET(DATA!$B$3,$B53-9,1,,$B$1))</f>
        <v>5884126159636</v>
      </c>
      <c r="F53" s="16"/>
      <c r="G53" s="15"/>
      <c r="H53" s="15"/>
      <c r="I53" s="13"/>
      <c r="J53" s="25"/>
    </row>
    <row r="54" spans="2:16" x14ac:dyDescent="0.25">
      <c r="B54" s="82">
        <v>235</v>
      </c>
      <c r="C54" t="s">
        <v>90</v>
      </c>
      <c r="D54" s="15">
        <f ca="1">SUM(OFFSET(DATA!$B$3,$B54,1,,$B$1))</f>
        <v>2303236598960</v>
      </c>
      <c r="E54" s="15">
        <f ca="1">SUM(OFFSET(DATA!$B$3,$B54-9,1,,$B$1))</f>
        <v>2356072209050</v>
      </c>
      <c r="F54" s="16"/>
      <c r="G54" s="15"/>
      <c r="H54" s="15"/>
      <c r="I54" s="13"/>
      <c r="J54" s="25"/>
    </row>
    <row r="55" spans="2:16" x14ac:dyDescent="0.25">
      <c r="B55" s="82">
        <v>236</v>
      </c>
      <c r="C55" t="s">
        <v>91</v>
      </c>
      <c r="D55" s="15">
        <f ca="1">SUM(OFFSET(DATA!$B$3,$B55,1,,$B$1))</f>
        <v>1466574915619</v>
      </c>
      <c r="E55" s="15">
        <f ca="1">SUM(OFFSET(DATA!$B$3,$B55-9,1,,$B$1))</f>
        <v>1277724796580</v>
      </c>
      <c r="F55" s="16"/>
      <c r="G55" s="15"/>
      <c r="H55" s="15"/>
      <c r="I55" s="13"/>
      <c r="J55" s="25"/>
    </row>
    <row r="56" spans="2:16" x14ac:dyDescent="0.25">
      <c r="B56" s="82">
        <v>237</v>
      </c>
      <c r="C56" t="s">
        <v>92</v>
      </c>
      <c r="D56" s="15">
        <f ca="1">SUM(OFFSET(DATA!$B$3,$B56,1,,$B$1))</f>
        <v>5984826910099</v>
      </c>
      <c r="E56" s="15">
        <f ca="1">SUM(OFFSET(DATA!$B$3,$B56-9,1,,$B$1))</f>
        <v>6240410702207</v>
      </c>
      <c r="G56" s="15"/>
      <c r="H56" s="15"/>
      <c r="I56" s="13"/>
      <c r="J56" s="25"/>
    </row>
    <row r="57" spans="2:16" x14ac:dyDescent="0.25">
      <c r="B57" s="82">
        <v>238</v>
      </c>
      <c r="C57" t="s">
        <v>4</v>
      </c>
      <c r="D57" s="15">
        <f ca="1">SUM(OFFSET(DATA!$B$3,$B57,1,,$B$1))</f>
        <v>24345479114345</v>
      </c>
      <c r="E57" s="15">
        <f ca="1">SUM(OFFSET(DATA!$B$3,$B57-9,1,,$B$1))</f>
        <v>20762385230229</v>
      </c>
    </row>
    <row r="58" spans="2:16" x14ac:dyDescent="0.25">
      <c r="D58" s="15"/>
      <c r="E58" s="15"/>
    </row>
    <row r="59" spans="2:16" x14ac:dyDescent="0.25">
      <c r="C59" s="109" t="s">
        <v>93</v>
      </c>
      <c r="D59" s="109">
        <f>D2</f>
        <v>2018</v>
      </c>
      <c r="E59" s="109">
        <f>E2</f>
        <v>2017</v>
      </c>
      <c r="F59" s="110"/>
      <c r="G59" s="109" t="s">
        <v>24</v>
      </c>
      <c r="H59" s="109" t="s">
        <v>1</v>
      </c>
      <c r="I59" s="109" t="str">
        <f>"% Sales " &amp;D59</f>
        <v>% Sales 2018</v>
      </c>
      <c r="J59" s="109" t="str">
        <f>"% Sales " &amp;E59</f>
        <v>% Sales 2017</v>
      </c>
      <c r="K59" s="109" t="s">
        <v>54</v>
      </c>
      <c r="L59" s="109" t="s">
        <v>94</v>
      </c>
      <c r="M59" s="110" t="str">
        <f>"@ "&amp;D59</f>
        <v>@ 2018</v>
      </c>
      <c r="N59" s="110" t="str">
        <f>"@ "&amp;E59</f>
        <v>@ 2017</v>
      </c>
      <c r="O59" s="109" t="s">
        <v>54</v>
      </c>
      <c r="P59" s="109" t="s">
        <v>94</v>
      </c>
    </row>
    <row r="60" spans="2:16" x14ac:dyDescent="0.25">
      <c r="B60" s="82">
        <v>51</v>
      </c>
      <c r="C60" t="s">
        <v>56</v>
      </c>
      <c r="D60" s="62">
        <f ca="1">SUM(OFFSET(DATA!$B$3,$B60,1,,$B$1))</f>
        <v>1691327.6877464997</v>
      </c>
      <c r="E60" s="15">
        <f ca="1">SUM(OFFSET(DATA!$B$3,$B60-1,1,,$B$1))</f>
        <v>1972880.7810475</v>
      </c>
      <c r="F60" s="16"/>
      <c r="G60" s="15">
        <f ca="1">D60-E60</f>
        <v>-281553.09330100031</v>
      </c>
      <c r="H60" s="25">
        <f ca="1">G60/E60</f>
        <v>-0.14271166104193578</v>
      </c>
      <c r="I60" s="61">
        <f ca="1">D60/D12</f>
        <v>0.14647122433569115</v>
      </c>
      <c r="J60" s="14">
        <f ca="1">E60/E12</f>
        <v>0.15864462140319791</v>
      </c>
      <c r="K60" s="58">
        <f ca="1">I60-J60</f>
        <v>-1.2173397067506753E-2</v>
      </c>
      <c r="L60" s="59" t="str">
        <f ca="1">IF(K60&gt;0,SET!$I$2,SET!$H$2)</f>
        <v>▼</v>
      </c>
      <c r="M60" s="60">
        <f ca="1">D60/D3*1000</f>
        <v>1292.2918913919525</v>
      </c>
      <c r="N60" s="16">
        <f ca="1">E60/E3*1000</f>
        <v>1379.2284845828103</v>
      </c>
      <c r="O60" s="107">
        <f ca="1">M60-N60</f>
        <v>-86.93659319085782</v>
      </c>
      <c r="P60" s="59" t="str">
        <f ca="1">IF(O60&gt;0,SET!$I$2,SET!$H$2)</f>
        <v>▼</v>
      </c>
    </row>
    <row r="61" spans="2:16" x14ac:dyDescent="0.25">
      <c r="C61" s="109" t="s">
        <v>49</v>
      </c>
      <c r="D61" s="109">
        <f>D59</f>
        <v>2018</v>
      </c>
      <c r="E61" s="109">
        <f>E59</f>
        <v>2017</v>
      </c>
      <c r="F61" s="110"/>
      <c r="G61" s="109" t="s">
        <v>24</v>
      </c>
      <c r="H61" s="109" t="s">
        <v>1</v>
      </c>
      <c r="I61" s="109" t="str">
        <f>I59</f>
        <v>% Sales 2018</v>
      </c>
      <c r="J61" s="109" t="str">
        <f>J59</f>
        <v>% Sales 2017</v>
      </c>
      <c r="K61" s="109" t="s">
        <v>54</v>
      </c>
      <c r="L61" s="109"/>
      <c r="M61" s="110" t="str">
        <f>M59</f>
        <v>@ 2018</v>
      </c>
      <c r="N61" s="110" t="str">
        <f>N59</f>
        <v>@ 2017</v>
      </c>
      <c r="O61" s="109" t="s">
        <v>54</v>
      </c>
      <c r="P61" s="109"/>
    </row>
    <row r="62" spans="2:16" x14ac:dyDescent="0.25">
      <c r="B62" s="82">
        <v>58</v>
      </c>
      <c r="C62" t="s">
        <v>56</v>
      </c>
      <c r="D62" s="62">
        <f ca="1">SUM(OFFSET(DATA!$B$3,$B62,1,,$B$1))</f>
        <v>1213310.634718952</v>
      </c>
      <c r="E62" s="15">
        <f ca="1">SUM(OFFSET(DATA!$B$3,$B62-1,1,,$B$1))</f>
        <v>1568141.6527293411</v>
      </c>
      <c r="F62" s="16"/>
      <c r="G62" s="15">
        <f ca="1">D62-E62</f>
        <v>-354831.01801038906</v>
      </c>
      <c r="H62" s="25">
        <f ca="1">G62/E62</f>
        <v>-0.2262748504848448</v>
      </c>
      <c r="I62" s="61">
        <f ca="1">D62/D12</f>
        <v>0.10507431259733259</v>
      </c>
      <c r="J62" s="14">
        <f ca="1">E62/E12</f>
        <v>0.12609846534758337</v>
      </c>
      <c r="K62" s="58">
        <f ca="1">I62-J62</f>
        <v>-2.1024152750250782E-2</v>
      </c>
      <c r="L62" s="59" t="str">
        <f ca="1">IF(K62&gt;0,SET!$I$2,SET!$H$2)</f>
        <v>▼</v>
      </c>
      <c r="M62" s="60">
        <f ca="1">D62/D3*1000</f>
        <v>927.05364332800616</v>
      </c>
      <c r="N62" s="16">
        <f ca="1">E62/E3*1000</f>
        <v>1096.2779180994005</v>
      </c>
      <c r="O62" s="107">
        <f ca="1">M62-N62</f>
        <v>-169.22427477139433</v>
      </c>
      <c r="P62" s="59" t="str">
        <f ca="1">IF(O62&gt;0,SET!$I$2,SET!$H$2)</f>
        <v>▼</v>
      </c>
    </row>
    <row r="63" spans="2:16" x14ac:dyDescent="0.25">
      <c r="C63" s="109" t="s">
        <v>69</v>
      </c>
      <c r="D63" s="109">
        <f>D61</f>
        <v>2018</v>
      </c>
      <c r="E63" s="109">
        <f>E61</f>
        <v>2017</v>
      </c>
      <c r="F63" s="109"/>
      <c r="G63" s="109" t="str">
        <f t="shared" ref="G63:P63" si="11">G59</f>
        <v>Diff</v>
      </c>
      <c r="H63" s="109" t="str">
        <f t="shared" si="11"/>
        <v>%</v>
      </c>
      <c r="I63" s="109" t="str">
        <f t="shared" si="11"/>
        <v>% Sales 2018</v>
      </c>
      <c r="J63" s="109" t="str">
        <f t="shared" si="11"/>
        <v>% Sales 2017</v>
      </c>
      <c r="K63" s="109" t="str">
        <f t="shared" si="11"/>
        <v>CHG</v>
      </c>
      <c r="L63" s="109" t="str">
        <f t="shared" si="11"/>
        <v>Icon</v>
      </c>
      <c r="M63" s="109" t="str">
        <f t="shared" si="11"/>
        <v>@ 2018</v>
      </c>
      <c r="N63" s="109" t="str">
        <f t="shared" si="11"/>
        <v>@ 2017</v>
      </c>
      <c r="O63" s="109" t="str">
        <f t="shared" si="11"/>
        <v>CHG</v>
      </c>
      <c r="P63" s="109" t="str">
        <f t="shared" si="11"/>
        <v>Icon</v>
      </c>
    </row>
    <row r="64" spans="2:16" x14ac:dyDescent="0.25">
      <c r="B64" s="82">
        <v>106</v>
      </c>
      <c r="C64" t="s">
        <v>56</v>
      </c>
      <c r="D64" s="62">
        <f ca="1">SUM(OFFSET(DATA!$B$3,$B64,1,,$B$1))</f>
        <v>490143.1753926794</v>
      </c>
      <c r="E64" s="15">
        <f ca="1">SUM(OFFSET(DATA!$B$3,100,1,,$B$1))</f>
        <v>490221.37939416041</v>
      </c>
      <c r="F64" s="16"/>
      <c r="G64" s="15">
        <f ca="1">D64-E64</f>
        <v>-78.204001481004525</v>
      </c>
      <c r="H64" s="25">
        <f ca="1">G64/E64</f>
        <v>-1.5952792915244305E-4</v>
      </c>
      <c r="I64" s="61">
        <f ca="1">D64/D12</f>
        <v>4.244705004220891E-2</v>
      </c>
      <c r="J64" s="14">
        <f ca="1">E64/E12</f>
        <v>3.9420012544522619E-2</v>
      </c>
      <c r="K64" s="58">
        <f ca="1">I64-J64</f>
        <v>3.0270374976862913E-3</v>
      </c>
      <c r="L64" s="59" t="str">
        <f ca="1">IF(K64&gt;0,SET!$I$2,SET!$H$2)</f>
        <v>▲</v>
      </c>
      <c r="M64" s="60">
        <f ca="1">D64/D3*1000</f>
        <v>374.50344824958603</v>
      </c>
      <c r="N64" s="16">
        <f ca="1">E64/E3*1000</f>
        <v>342.71066792637782</v>
      </c>
      <c r="O64" s="62">
        <f ca="1">M64-N64</f>
        <v>31.792780323208206</v>
      </c>
      <c r="P64" s="59" t="str">
        <f ca="1">IF(O64&gt;0,SET!$I$2,SET!$H$2)</f>
        <v>▲</v>
      </c>
    </row>
    <row r="65" spans="2:16" x14ac:dyDescent="0.25">
      <c r="C65" s="109" t="s">
        <v>70</v>
      </c>
      <c r="D65" s="109">
        <f t="shared" ref="D65:P65" si="12">D63</f>
        <v>2018</v>
      </c>
      <c r="E65" s="109">
        <f t="shared" si="12"/>
        <v>2017</v>
      </c>
      <c r="F65" s="109"/>
      <c r="G65" s="109" t="str">
        <f t="shared" si="12"/>
        <v>Diff</v>
      </c>
      <c r="H65" s="109" t="str">
        <f t="shared" si="12"/>
        <v>%</v>
      </c>
      <c r="I65" s="109" t="str">
        <f t="shared" si="12"/>
        <v>% Sales 2018</v>
      </c>
      <c r="J65" s="109" t="str">
        <f t="shared" si="12"/>
        <v>% Sales 2017</v>
      </c>
      <c r="K65" s="109" t="str">
        <f t="shared" si="12"/>
        <v>CHG</v>
      </c>
      <c r="L65" s="109" t="str">
        <f t="shared" si="12"/>
        <v>Icon</v>
      </c>
      <c r="M65" s="109" t="str">
        <f t="shared" si="12"/>
        <v>@ 2018</v>
      </c>
      <c r="N65" s="109" t="str">
        <f t="shared" si="12"/>
        <v>@ 2017</v>
      </c>
      <c r="O65" s="109" t="str">
        <f t="shared" si="12"/>
        <v>CHG</v>
      </c>
      <c r="P65" s="109" t="str">
        <f t="shared" si="12"/>
        <v>Icon</v>
      </c>
    </row>
    <row r="66" spans="2:16" x14ac:dyDescent="0.25">
      <c r="B66" s="82">
        <v>113</v>
      </c>
      <c r="C66" t="s">
        <v>56</v>
      </c>
      <c r="D66" s="62">
        <f ca="1">SUM(OFFSET(DATA!$B$3,$B66,1,,$B$1))</f>
        <v>1330893.3661284072</v>
      </c>
      <c r="E66" s="15">
        <f ca="1">SUM(OFFSET(DATA!$B$3,B66-1,1,,$B$1))</f>
        <v>1668160.8113132752</v>
      </c>
      <c r="F66" s="16"/>
      <c r="G66" s="15">
        <f ca="1">D66-E66</f>
        <v>-337267.44518486806</v>
      </c>
      <c r="H66" s="25">
        <f ca="1">G66/E66</f>
        <v>-0.20217921611487269</v>
      </c>
      <c r="I66" s="61">
        <f ca="1">D66/D12</f>
        <v>0.11525713332157948</v>
      </c>
      <c r="J66" s="14">
        <f ca="1">E66/E12</f>
        <v>0.13414127345795981</v>
      </c>
      <c r="K66" s="58">
        <f ca="1">I66-J66</f>
        <v>-1.8884140136380331E-2</v>
      </c>
      <c r="L66" s="59" t="str">
        <f ca="1">IF(K66&gt;0,SET!$I$2,SET!$H$2)</f>
        <v>▼</v>
      </c>
      <c r="M66" s="60">
        <f ca="1">D66/D3*1000</f>
        <v>1016.895021476681</v>
      </c>
      <c r="N66" s="16">
        <f ca="1">E66/E3*1000</f>
        <v>1166.2006797017123</v>
      </c>
      <c r="O66" s="62">
        <f ca="1">M66-N66</f>
        <v>-149.30565822503127</v>
      </c>
      <c r="P66" s="59" t="str">
        <f ca="1">IF(O66&gt;0,SET!$I$2,SET!$H$2)</f>
        <v>▼</v>
      </c>
    </row>
    <row r="67" spans="2:16" x14ac:dyDescent="0.25">
      <c r="C67" s="109" t="s">
        <v>71</v>
      </c>
      <c r="D67" s="109">
        <f t="shared" ref="D67:P67" si="13">D65</f>
        <v>2018</v>
      </c>
      <c r="E67" s="109">
        <f t="shared" si="13"/>
        <v>2017</v>
      </c>
      <c r="F67" s="109"/>
      <c r="G67" s="109" t="str">
        <f t="shared" si="13"/>
        <v>Diff</v>
      </c>
      <c r="H67" s="109" t="str">
        <f t="shared" si="13"/>
        <v>%</v>
      </c>
      <c r="I67" s="109" t="str">
        <f t="shared" si="13"/>
        <v>% Sales 2018</v>
      </c>
      <c r="J67" s="109" t="str">
        <f t="shared" si="13"/>
        <v>% Sales 2017</v>
      </c>
      <c r="K67" s="109" t="str">
        <f t="shared" si="13"/>
        <v>CHG</v>
      </c>
      <c r="L67" s="109" t="str">
        <f t="shared" si="13"/>
        <v>Icon</v>
      </c>
      <c r="M67" s="109" t="str">
        <f t="shared" si="13"/>
        <v>@ 2018</v>
      </c>
      <c r="N67" s="109" t="str">
        <f t="shared" si="13"/>
        <v>@ 2017</v>
      </c>
      <c r="O67" s="109" t="str">
        <f t="shared" si="13"/>
        <v>CHG</v>
      </c>
      <c r="P67" s="109" t="str">
        <f t="shared" si="13"/>
        <v>Icon</v>
      </c>
    </row>
    <row r="68" spans="2:16" x14ac:dyDescent="0.25">
      <c r="B68" s="82">
        <v>120</v>
      </c>
      <c r="C68" t="s">
        <v>56</v>
      </c>
      <c r="D68" s="62">
        <f ca="1">SUM(OFFSET(DATA!$B$3,$B68,1,,$B$1))</f>
        <v>1639338.532565407</v>
      </c>
      <c r="E68" s="15">
        <f ca="1">SUM(OFFSET(DATA!$B$3,B68-1,1,,$B$1))</f>
        <v>1954103.1478502753</v>
      </c>
      <c r="F68" s="16"/>
      <c r="G68" s="15">
        <f ca="1">D68-E68</f>
        <v>-314764.61528486828</v>
      </c>
      <c r="H68" s="25">
        <f ca="1">G68/E68</f>
        <v>-0.16107881287185039</v>
      </c>
      <c r="I68" s="61">
        <f ca="1">D68/D12</f>
        <v>0.14196889444023553</v>
      </c>
      <c r="J68" s="14">
        <f ca="1">E68/E12</f>
        <v>0.1571346616843749</v>
      </c>
      <c r="K68" s="58">
        <f ca="1">I68-J68</f>
        <v>-1.5165767244139372E-2</v>
      </c>
      <c r="L68" s="59" t="str">
        <f ca="1">IF(K68&gt;0,SET!$I$2,SET!$H$2)</f>
        <v>▼</v>
      </c>
      <c r="M68" s="60">
        <f ca="1">D68/D3*1000</f>
        <v>1252.5685638738178</v>
      </c>
      <c r="N68" s="16">
        <f ca="1">E68/E3*1000</f>
        <v>1366.1011598972764</v>
      </c>
      <c r="O68" s="62">
        <f ca="1">M68-N68</f>
        <v>-113.53259602345861</v>
      </c>
      <c r="P68" s="59" t="str">
        <f ca="1">IF(O68&gt;0,SET!$I$2,SET!$H$2)</f>
        <v>▼</v>
      </c>
    </row>
    <row r="70" spans="2:16" x14ac:dyDescent="0.25">
      <c r="C70" s="188" t="s">
        <v>97</v>
      </c>
      <c r="D70" s="188">
        <f>$C$1</f>
        <v>2018</v>
      </c>
      <c r="E70" s="188">
        <f>$C$1-1</f>
        <v>2017</v>
      </c>
      <c r="F70" s="188" t="s">
        <v>24</v>
      </c>
      <c r="G70" s="188" t="s">
        <v>1</v>
      </c>
      <c r="H70" s="188" t="s">
        <v>41</v>
      </c>
      <c r="I70" s="188" t="str">
        <f>F94</f>
        <v>%Gross 2018</v>
      </c>
      <c r="J70" s="188" t="s">
        <v>24</v>
      </c>
      <c r="K70" s="188" t="s">
        <v>94</v>
      </c>
    </row>
    <row r="71" spans="2:16" x14ac:dyDescent="0.25">
      <c r="B71" s="82">
        <v>81</v>
      </c>
      <c r="C71" s="116" t="s">
        <v>18</v>
      </c>
      <c r="D71" s="62">
        <f ca="1">SUM(OFFSET(DATA!$B$3,$B71,1,,$B$1))</f>
        <v>717588.28999999992</v>
      </c>
      <c r="E71" s="15">
        <f ca="1">SUM(OFFSET(DATA!$B$3,$B71-9,1,,$B$1))</f>
        <v>922887.82499999995</v>
      </c>
      <c r="F71" s="62">
        <f ca="1">D71-E71</f>
        <v>-205299.53500000003</v>
      </c>
      <c r="G71" s="79">
        <f ca="1">F71/E71</f>
        <v>-0.22245340055277038</v>
      </c>
      <c r="H71" s="80">
        <f ca="1">D71/$D$77</f>
        <v>0.54828732199162589</v>
      </c>
      <c r="I71" s="79">
        <f t="shared" ref="I71:I77" ca="1" si="14">F95</f>
        <v>0.1792034651861994</v>
      </c>
      <c r="J71" s="80">
        <f ca="1">F95-G95</f>
        <v>6.1726021765976802E-3</v>
      </c>
      <c r="K71" s="59" t="str">
        <f ca="1">IF(J71&gt;0,SET!$I$2,SET!$H$2)</f>
        <v>▲</v>
      </c>
    </row>
    <row r="72" spans="2:16" x14ac:dyDescent="0.25">
      <c r="B72" s="82">
        <v>82</v>
      </c>
      <c r="C72" s="116" t="s">
        <v>64</v>
      </c>
      <c r="D72" s="62">
        <f ca="1">SUM(OFFSET(DATA!$B$3,$B72,1,,$B$1))</f>
        <v>159845.60499999998</v>
      </c>
      <c r="E72" s="15">
        <f ca="1">SUM(OFFSET(DATA!$B$3,$B72-9,1,,$B$1))</f>
        <v>149465.59</v>
      </c>
      <c r="F72" s="62">
        <f t="shared" ref="F72:F77" ca="1" si="15">D72-E72</f>
        <v>10380.014999999985</v>
      </c>
      <c r="G72" s="79">
        <f t="shared" ref="G72:G77" ca="1" si="16">F72/E72</f>
        <v>6.9447523005127701E-2</v>
      </c>
      <c r="H72" s="80">
        <f t="shared" ref="H72:H77" ca="1" si="17">D72/$D$77</f>
        <v>0.12213315060866062</v>
      </c>
      <c r="I72" s="79">
        <f t="shared" ca="1" si="14"/>
        <v>0.13729741968287623</v>
      </c>
      <c r="J72" s="80">
        <f t="shared" ref="J72:J77" ca="1" si="18">F96-G96</f>
        <v>-1.8519637725570887E-2</v>
      </c>
      <c r="K72" s="59" t="str">
        <f ca="1">IF(J72&gt;0,SET!$I$2,SET!$H$2)</f>
        <v>▼</v>
      </c>
    </row>
    <row r="73" spans="2:16" x14ac:dyDescent="0.25">
      <c r="B73" s="82">
        <v>83</v>
      </c>
      <c r="C73" s="116" t="s">
        <v>20</v>
      </c>
      <c r="D73" s="62">
        <f ca="1">SUM(OFFSET(DATA!$B$3,$B73,1,,$B$1))</f>
        <v>169912.285</v>
      </c>
      <c r="E73" s="15">
        <f ca="1">SUM(OFFSET(DATA!$B$3,$B73-9,1,,$B$1))</f>
        <v>143769.23499999999</v>
      </c>
      <c r="F73" s="62">
        <f t="shared" ca="1" si="15"/>
        <v>26143.050000000017</v>
      </c>
      <c r="G73" s="79">
        <f t="shared" ca="1" si="16"/>
        <v>0.18184036383027299</v>
      </c>
      <c r="H73" s="80">
        <f t="shared" ca="1" si="17"/>
        <v>0.12982479370744457</v>
      </c>
      <c r="I73" s="79">
        <f t="shared" ca="1" si="14"/>
        <v>0.10487393709417195</v>
      </c>
      <c r="J73" s="80">
        <f t="shared" ca="1" si="18"/>
        <v>-1.3629709413561189E-2</v>
      </c>
      <c r="K73" s="59" t="str">
        <f ca="1">IF(J73&gt;0,SET!$I$2,SET!$H$2)</f>
        <v>▼</v>
      </c>
    </row>
    <row r="74" spans="2:16" x14ac:dyDescent="0.25">
      <c r="B74" s="82">
        <v>84</v>
      </c>
      <c r="C74" s="116" t="s">
        <v>19</v>
      </c>
      <c r="D74" s="62">
        <f ca="1">SUM(OFFSET(DATA!$B$3,$B74,1,,$B$1))</f>
        <v>145712.48500000002</v>
      </c>
      <c r="E74" s="15">
        <f ca="1">SUM(OFFSET(DATA!$B$3,$B74-9,1,,$B$1))</f>
        <v>109463.19500000001</v>
      </c>
      <c r="F74" s="62">
        <f t="shared" ca="1" si="15"/>
        <v>36249.290000000008</v>
      </c>
      <c r="G74" s="79">
        <f t="shared" ca="1" si="16"/>
        <v>0.33115505170482196</v>
      </c>
      <c r="H74" s="80">
        <f t="shared" ca="1" si="17"/>
        <v>0.11133446475470631</v>
      </c>
      <c r="I74" s="79">
        <f t="shared" ca="1" si="14"/>
        <v>4.4755087247003771E-2</v>
      </c>
      <c r="J74" s="80">
        <f t="shared" ca="1" si="18"/>
        <v>-2.6506952141503455E-2</v>
      </c>
      <c r="K74" s="59" t="str">
        <f ca="1">IF(J74&gt;0,SET!$I$2,SET!$H$2)</f>
        <v>▼</v>
      </c>
    </row>
    <row r="75" spans="2:16" x14ac:dyDescent="0.25">
      <c r="B75" s="82">
        <v>85</v>
      </c>
      <c r="C75" s="116" t="s">
        <v>21</v>
      </c>
      <c r="D75" s="62">
        <f ca="1">SUM(OFFSET(DATA!$B$3,$B75,1,,$B$1))</f>
        <v>71873.775000000009</v>
      </c>
      <c r="E75" s="15">
        <f ca="1">SUM(OFFSET(DATA!$B$3,$B75-9,1,,$B$1))</f>
        <v>65806.225000000006</v>
      </c>
      <c r="F75" s="62">
        <f t="shared" ca="1" si="15"/>
        <v>6067.5500000000029</v>
      </c>
      <c r="G75" s="79">
        <f t="shared" ca="1" si="16"/>
        <v>9.2203283200031641E-2</v>
      </c>
      <c r="H75" s="80">
        <f t="shared" ca="1" si="17"/>
        <v>5.4916558931276144E-2</v>
      </c>
      <c r="I75" s="79">
        <f t="shared" ca="1" si="14"/>
        <v>8.2066093334247484E-2</v>
      </c>
      <c r="J75" s="80">
        <f t="shared" ca="1" si="18"/>
        <v>-1.0425079567569537E-2</v>
      </c>
      <c r="K75" s="59" t="str">
        <f ca="1">IF(J75&gt;0,SET!$I$2,SET!$H$2)</f>
        <v>▼</v>
      </c>
    </row>
    <row r="76" spans="2:16" x14ac:dyDescent="0.25">
      <c r="B76" s="82">
        <v>86</v>
      </c>
      <c r="C76" s="116" t="s">
        <v>22</v>
      </c>
      <c r="D76" s="62">
        <f ca="1">SUM(OFFSET(DATA!$B$3,$B76,1,,$B$1))</f>
        <v>43849.035000000003</v>
      </c>
      <c r="E76" s="15">
        <f ca="1">SUM(OFFSET(DATA!$B$3,$B76-9,1,,$B$1))</f>
        <v>39031.379999999997</v>
      </c>
      <c r="F76" s="62">
        <f t="shared" ca="1" si="15"/>
        <v>4817.6550000000061</v>
      </c>
      <c r="G76" s="79">
        <f t="shared" ca="1" si="16"/>
        <v>0.123430301465129</v>
      </c>
      <c r="H76" s="80">
        <f t="shared" ca="1" si="17"/>
        <v>3.3503710006286581E-2</v>
      </c>
      <c r="I76" s="79">
        <f t="shared" ca="1" si="14"/>
        <v>0.14405197191089231</v>
      </c>
      <c r="J76" s="80">
        <f t="shared" ca="1" si="18"/>
        <v>2.134411243494172E-2</v>
      </c>
      <c r="K76" s="59" t="str">
        <f ca="1">IF(J76&gt;0,SET!$I$2,SET!$H$2)</f>
        <v>▲</v>
      </c>
    </row>
    <row r="77" spans="2:16" x14ac:dyDescent="0.25">
      <c r="C77" s="116" t="s">
        <v>4</v>
      </c>
      <c r="D77" s="81">
        <f ca="1">SUM(D71:D76)</f>
        <v>1308781.4749999999</v>
      </c>
      <c r="E77" s="81">
        <f t="shared" ref="E77" ca="1" si="19">SUM(E71:E76)</f>
        <v>1430423.45</v>
      </c>
      <c r="F77" s="62">
        <f t="shared" ca="1" si="15"/>
        <v>-121641.97500000009</v>
      </c>
      <c r="G77" s="79">
        <f t="shared" ca="1" si="16"/>
        <v>-8.5039136487870148E-2</v>
      </c>
      <c r="H77" s="80">
        <f t="shared" ca="1" si="17"/>
        <v>1</v>
      </c>
      <c r="I77" s="79">
        <f t="shared" ca="1" si="14"/>
        <v>0.1464697194424685</v>
      </c>
      <c r="J77" s="80">
        <f t="shared" ca="1" si="18"/>
        <v>-8.8778136054095957E-3</v>
      </c>
      <c r="K77" s="59" t="str">
        <f ca="1">IF(J77&gt;0,SET!$I$2,SET!$H$2)</f>
        <v>▼</v>
      </c>
    </row>
    <row r="78" spans="2:16" x14ac:dyDescent="0.25">
      <c r="C78" s="109" t="s">
        <v>98</v>
      </c>
      <c r="D78" s="109">
        <f>D70</f>
        <v>2018</v>
      </c>
      <c r="E78" s="109">
        <f t="shared" ref="E78" si="20">E70</f>
        <v>2017</v>
      </c>
    </row>
    <row r="79" spans="2:16" x14ac:dyDescent="0.25">
      <c r="B79" s="82">
        <v>149</v>
      </c>
      <c r="C79" t="s">
        <v>18</v>
      </c>
      <c r="D79" s="62">
        <f ca="1">SUM(OFFSET(DATA!$B$3,$B79,1,,$B$1))</f>
        <v>6786856.3650638405</v>
      </c>
      <c r="E79" s="15">
        <f ca="1">SUM(OFFSET(DATA!$B$3,$B79-9,1,,$B$1))</f>
        <v>8452958.4250208251</v>
      </c>
      <c r="F79" s="15"/>
      <c r="G79" s="25"/>
    </row>
    <row r="80" spans="2:16" x14ac:dyDescent="0.25">
      <c r="B80" s="82">
        <v>150</v>
      </c>
      <c r="C80" t="s">
        <v>64</v>
      </c>
      <c r="D80" s="62">
        <f ca="1">SUM(OFFSET(DATA!$B$3,$B80,1,,$B$1))</f>
        <v>1456347.2942715916</v>
      </c>
      <c r="E80" s="15">
        <f ca="1">SUM(OFFSET(DATA!$B$3,$B80-9,1,,$B$1))</f>
        <v>1321925.8641402628</v>
      </c>
      <c r="F80" s="15"/>
      <c r="G80" s="25"/>
    </row>
    <row r="81" spans="2:7" x14ac:dyDescent="0.25">
      <c r="B81" s="82">
        <v>151</v>
      </c>
      <c r="C81" t="s">
        <v>20</v>
      </c>
      <c r="D81" s="62">
        <f ca="1">SUM(OFFSET(DATA!$B$3,$B81,1,,$B$1))</f>
        <v>1316529.3818283866</v>
      </c>
      <c r="E81" s="15">
        <f ca="1">SUM(OFFSET(DATA!$B$3,$B81-9,1,,$B$1))</f>
        <v>1080576.902374858</v>
      </c>
      <c r="F81" s="15"/>
      <c r="G81" s="25"/>
    </row>
    <row r="82" spans="2:7" x14ac:dyDescent="0.25">
      <c r="B82" s="82">
        <v>152</v>
      </c>
      <c r="C82" t="s">
        <v>19</v>
      </c>
      <c r="D82" s="62">
        <f ca="1">SUM(OFFSET(DATA!$B$3,$B82,1,,$B$1))</f>
        <v>1130160.6509083826</v>
      </c>
      <c r="E82" s="15">
        <f ca="1">SUM(OFFSET(DATA!$B$3,$B82-9,1,,$B$1))</f>
        <v>829937.38092403836</v>
      </c>
      <c r="F82" s="15"/>
      <c r="G82" s="25"/>
    </row>
    <row r="83" spans="2:7" x14ac:dyDescent="0.25">
      <c r="B83" s="82">
        <v>153</v>
      </c>
      <c r="C83" t="s">
        <v>21</v>
      </c>
      <c r="D83" s="62">
        <f ca="1">SUM(OFFSET(DATA!$B$3,$B83,1,,$B$1))</f>
        <v>597113.59778386494</v>
      </c>
      <c r="E83" s="15">
        <f ca="1">SUM(OFFSET(DATA!$B$3,$B83-9,1,,$B$1))</f>
        <v>529648.74259321683</v>
      </c>
      <c r="F83" s="15"/>
      <c r="G83" s="25"/>
    </row>
    <row r="84" spans="2:7" x14ac:dyDescent="0.25">
      <c r="B84" s="82">
        <v>154</v>
      </c>
      <c r="C84" t="s">
        <v>22</v>
      </c>
      <c r="D84" s="62">
        <f ca="1">SUM(OFFSET(DATA!$B$3,$B84,1,,$B$1))</f>
        <v>260139.34931835378</v>
      </c>
      <c r="E84" s="15">
        <f ca="1">SUM(OFFSET(DATA!$B$3,$B84-9,1,,$B$1))</f>
        <v>220804.60078319983</v>
      </c>
      <c r="F84" s="15"/>
      <c r="G84" s="25"/>
    </row>
    <row r="85" spans="2:7" x14ac:dyDescent="0.25">
      <c r="C85" t="s">
        <v>4</v>
      </c>
      <c r="D85" s="20">
        <f ca="1">SUM(D79:D84)</f>
        <v>11547146.63917442</v>
      </c>
      <c r="E85" s="20">
        <f t="shared" ref="E85" ca="1" si="21">SUM(E79:E84)</f>
        <v>12435851.915836401</v>
      </c>
      <c r="F85" s="20"/>
      <c r="G85" s="25"/>
    </row>
    <row r="86" spans="2:7" x14ac:dyDescent="0.25">
      <c r="C86" s="109" t="s">
        <v>98</v>
      </c>
      <c r="D86" s="109">
        <f>D78</f>
        <v>2018</v>
      </c>
      <c r="E86" s="109">
        <f t="shared" ref="E86" si="22">E78</f>
        <v>2017</v>
      </c>
    </row>
    <row r="87" spans="2:7" x14ac:dyDescent="0.25">
      <c r="B87" s="82">
        <v>176</v>
      </c>
      <c r="C87" t="s">
        <v>18</v>
      </c>
      <c r="D87" s="62">
        <f ca="1">SUM(OFFSET(DATA!$B$3,$B87,1,,$B$1))</f>
        <v>-5570628.1867233869</v>
      </c>
      <c r="E87" s="15">
        <f ca="1">SUM(OFFSET(DATA!$B$3,$B87-9,1,,$B$1))</f>
        <v>-6990335.7337551881</v>
      </c>
      <c r="F87" s="15"/>
      <c r="G87" s="25"/>
    </row>
    <row r="88" spans="2:7" x14ac:dyDescent="0.25">
      <c r="B88" s="82">
        <v>177</v>
      </c>
      <c r="C88" t="s">
        <v>64</v>
      </c>
      <c r="D88" s="62">
        <f ca="1">SUM(OFFSET(DATA!$B$3,$B88,1,,$B$1))</f>
        <v>-1256394.5686059636</v>
      </c>
      <c r="E88" s="15">
        <f ca="1">SUM(OFFSET(DATA!$B$3,$B88-9,1,,$B$1))</f>
        <v>-1115947.2658778084</v>
      </c>
      <c r="F88" s="15"/>
      <c r="G88" s="25"/>
    </row>
    <row r="89" spans="2:7" x14ac:dyDescent="0.25">
      <c r="B89" s="82">
        <v>178</v>
      </c>
      <c r="C89" t="s">
        <v>20</v>
      </c>
      <c r="D89" s="62">
        <f ca="1">SUM(OFFSET(DATA!$B$3,$B89,1,,$B$1))</f>
        <v>-1178459.7622558873</v>
      </c>
      <c r="E89" s="15">
        <f ca="1">SUM(OFFSET(DATA!$B$3,$B89-9,1,,$B$1))</f>
        <v>-952524.5991114066</v>
      </c>
      <c r="F89" s="15"/>
      <c r="G89" s="25"/>
    </row>
    <row r="90" spans="2:7" x14ac:dyDescent="0.25">
      <c r="B90" s="82">
        <v>179</v>
      </c>
      <c r="C90" t="s">
        <v>19</v>
      </c>
      <c r="D90" s="62">
        <f ca="1">SUM(OFFSET(DATA!$B$3,$B90,1,,$B$1))</f>
        <v>-1079580.2123738474</v>
      </c>
      <c r="E90" s="15">
        <f ca="1">SUM(OFFSET(DATA!$B$3,$B90-9,1,,$B$1))</f>
        <v>-770794.35059463501</v>
      </c>
      <c r="F90" s="15"/>
      <c r="G90" s="25"/>
    </row>
    <row r="91" spans="2:7" x14ac:dyDescent="0.25">
      <c r="B91" s="82">
        <v>180</v>
      </c>
      <c r="C91" t="s">
        <v>21</v>
      </c>
      <c r="D91" s="62">
        <f ca="1">SUM(OFFSET(DATA!$B$3,$B91,1,,$B$1))</f>
        <v>-548110.81753698597</v>
      </c>
      <c r="E91" s="15">
        <f ca="1">SUM(OFFSET(DATA!$B$3,$B91-9,1,,$B$1))</f>
        <v>-480660.90916479763</v>
      </c>
      <c r="F91" s="15"/>
      <c r="G91" s="25"/>
    </row>
    <row r="92" spans="2:7" x14ac:dyDescent="0.25">
      <c r="B92" s="82">
        <v>181</v>
      </c>
      <c r="C92" t="s">
        <v>22</v>
      </c>
      <c r="D92" s="62">
        <f ca="1">SUM(OFFSET(DATA!$B$3,$B92,1,,$B$1))</f>
        <v>-222665.76307742848</v>
      </c>
      <c r="E92" s="15">
        <f ca="1">SUM(OFFSET(DATA!$B$3,$B92-9,1,,$B$1))</f>
        <v>-193710.14085865158</v>
      </c>
      <c r="F92" s="15"/>
      <c r="G92" s="25"/>
    </row>
    <row r="93" spans="2:7" x14ac:dyDescent="0.25">
      <c r="C93" t="s">
        <v>4</v>
      </c>
      <c r="D93" s="20">
        <f ca="1">SUM(D87:D92)</f>
        <v>-9855839.3105734996</v>
      </c>
      <c r="E93" s="20">
        <f t="shared" ref="E93" ca="1" si="23">SUM(E87:E92)</f>
        <v>-10503972.999362487</v>
      </c>
      <c r="F93" s="20"/>
      <c r="G93" s="25"/>
    </row>
    <row r="94" spans="2:7" x14ac:dyDescent="0.25">
      <c r="C94" s="109" t="s">
        <v>99</v>
      </c>
      <c r="D94" s="109">
        <f>D86</f>
        <v>2018</v>
      </c>
      <c r="E94" s="109">
        <f t="shared" ref="E94" si="24">E86</f>
        <v>2017</v>
      </c>
      <c r="F94" s="109" t="str">
        <f>"%Gross "&amp;D94</f>
        <v>%Gross 2018</v>
      </c>
      <c r="G94" s="109" t="str">
        <f>"%Gross "&amp;E94</f>
        <v>%Gross 2017</v>
      </c>
    </row>
    <row r="95" spans="2:7" x14ac:dyDescent="0.25">
      <c r="C95" t="s">
        <v>18</v>
      </c>
      <c r="D95" s="15">
        <f ca="1">D79+D87</f>
        <v>1216228.1783404537</v>
      </c>
      <c r="E95" s="15">
        <f t="shared" ref="E95" ca="1" si="25">E79+E87</f>
        <v>1462622.6912656371</v>
      </c>
      <c r="F95" s="25">
        <f ca="1">D95/D79</f>
        <v>0.1792034651861994</v>
      </c>
      <c r="G95" s="25">
        <f ca="1">E95/E79</f>
        <v>0.17303086300960172</v>
      </c>
    </row>
    <row r="96" spans="2:7" x14ac:dyDescent="0.25">
      <c r="C96" t="s">
        <v>64</v>
      </c>
      <c r="D96" s="15">
        <f t="shared" ref="D96:E100" ca="1" si="26">D80+D88</f>
        <v>199952.72566562798</v>
      </c>
      <c r="E96" s="15">
        <f t="shared" ca="1" si="26"/>
        <v>205978.59826245438</v>
      </c>
      <c r="F96" s="25">
        <f t="shared" ref="F96:G101" ca="1" si="27">D96/D80</f>
        <v>0.13729741968287623</v>
      </c>
      <c r="G96" s="25">
        <f t="shared" ca="1" si="27"/>
        <v>0.15581705740844712</v>
      </c>
    </row>
    <row r="97" spans="3:15" x14ac:dyDescent="0.25">
      <c r="C97" t="s">
        <v>20</v>
      </c>
      <c r="D97" s="15">
        <f t="shared" ca="1" si="26"/>
        <v>138069.6195724993</v>
      </c>
      <c r="E97" s="15">
        <f t="shared" ca="1" si="26"/>
        <v>128052.30326345144</v>
      </c>
      <c r="F97" s="25">
        <f t="shared" ca="1" si="27"/>
        <v>0.10487393709417195</v>
      </c>
      <c r="G97" s="25">
        <f t="shared" ca="1" si="27"/>
        <v>0.11850364650773314</v>
      </c>
    </row>
    <row r="98" spans="3:15" x14ac:dyDescent="0.25">
      <c r="C98" t="s">
        <v>19</v>
      </c>
      <c r="D98" s="15">
        <f t="shared" ca="1" si="26"/>
        <v>50580.438534535235</v>
      </c>
      <c r="E98" s="15">
        <f t="shared" ca="1" si="26"/>
        <v>59143.030329403351</v>
      </c>
      <c r="F98" s="25">
        <f t="shared" ca="1" si="27"/>
        <v>4.4755087247003771E-2</v>
      </c>
      <c r="G98" s="25">
        <f t="shared" ca="1" si="27"/>
        <v>7.1262039388507226E-2</v>
      </c>
    </row>
    <row r="99" spans="3:15" x14ac:dyDescent="0.25">
      <c r="C99" t="s">
        <v>21</v>
      </c>
      <c r="D99" s="15">
        <f t="shared" ca="1" si="26"/>
        <v>49002.780246878974</v>
      </c>
      <c r="E99" s="15">
        <f t="shared" ca="1" si="26"/>
        <v>48987.833428419195</v>
      </c>
      <c r="F99" s="25">
        <f t="shared" ca="1" si="27"/>
        <v>8.2066093334247484E-2</v>
      </c>
      <c r="G99" s="25">
        <f t="shared" ca="1" si="27"/>
        <v>9.249117290181702E-2</v>
      </c>
    </row>
    <row r="100" spans="3:15" x14ac:dyDescent="0.25">
      <c r="C100" t="s">
        <v>22</v>
      </c>
      <c r="D100" s="15">
        <f t="shared" ca="1" si="26"/>
        <v>37473.586240925302</v>
      </c>
      <c r="E100" s="15">
        <f t="shared" ca="1" si="26"/>
        <v>27094.459924548253</v>
      </c>
      <c r="F100" s="25">
        <f t="shared" ca="1" si="27"/>
        <v>0.14405197191089231</v>
      </c>
      <c r="G100" s="25">
        <f t="shared" ca="1" si="27"/>
        <v>0.12270785947595059</v>
      </c>
    </row>
    <row r="101" spans="3:15" x14ac:dyDescent="0.25">
      <c r="C101" t="s">
        <v>4</v>
      </c>
      <c r="D101" s="20">
        <f ca="1">SUM(D95:D100)</f>
        <v>1691307.3286009205</v>
      </c>
      <c r="E101" s="20">
        <f t="shared" ref="E101" ca="1" si="28">SUM(E95:E100)</f>
        <v>1931878.9164739137</v>
      </c>
      <c r="F101" s="25">
        <f t="shared" ca="1" si="27"/>
        <v>0.1464697194424685</v>
      </c>
      <c r="G101" s="25">
        <f t="shared" ca="1" si="27"/>
        <v>0.1553475330478781</v>
      </c>
    </row>
    <row r="104" spans="3:15" x14ac:dyDescent="0.25"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</row>
    <row r="105" spans="3:15" x14ac:dyDescent="0.25"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</row>
    <row r="106" spans="3:15" x14ac:dyDescent="0.25"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</row>
    <row r="107" spans="3:15" x14ac:dyDescent="0.25"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</row>
    <row r="108" spans="3:15" x14ac:dyDescent="0.25"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</row>
    <row r="110" spans="3:15" x14ac:dyDescent="0.25"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spans="3:15" x14ac:dyDescent="0.25"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</row>
    <row r="112" spans="3:15" x14ac:dyDescent="0.25"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</row>
    <row r="113" spans="4:15" x14ac:dyDescent="0.25"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</row>
    <row r="114" spans="4:15" x14ac:dyDescent="0.25"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</row>
    <row r="116" spans="4:15" x14ac:dyDescent="0.25"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</row>
    <row r="117" spans="4:15" x14ac:dyDescent="0.25"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</row>
    <row r="118" spans="4:15" x14ac:dyDescent="0.25"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</row>
    <row r="119" spans="4:15" x14ac:dyDescent="0.25"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</row>
    <row r="120" spans="4:15" x14ac:dyDescent="0.25"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2808-029D-4F11-B1A0-8B122DB1FFA2}">
  <sheetPr codeName="Sheet13">
    <tabColor rgb="FF0000CC"/>
  </sheetPr>
  <dimension ref="A1:S57"/>
  <sheetViews>
    <sheetView showGridLines="0" topLeftCell="A22" zoomScaleNormal="100" workbookViewId="0">
      <selection activeCell="S9" sqref="S9"/>
    </sheetView>
  </sheetViews>
  <sheetFormatPr defaultRowHeight="14.25" x14ac:dyDescent="0.2"/>
  <cols>
    <col min="1" max="1" width="9.140625" style="1"/>
    <col min="2" max="2" width="9.28515625" style="1" bestFit="1" customWidth="1"/>
    <col min="3" max="3" width="12.5703125" style="1" customWidth="1"/>
    <col min="4" max="4" width="18.42578125" style="1" bestFit="1" customWidth="1"/>
    <col min="5" max="9" width="9.140625" style="1" customWidth="1"/>
    <col min="10" max="10" width="10.7109375" style="1" bestFit="1" customWidth="1"/>
    <col min="11" max="11" width="7" style="1" bestFit="1" customWidth="1"/>
    <col min="12" max="12" width="4.28515625" style="1" bestFit="1" customWidth="1"/>
    <col min="13" max="13" width="4.5703125" style="1" bestFit="1" customWidth="1"/>
    <col min="14" max="14" width="4.85546875" style="1" bestFit="1" customWidth="1"/>
    <col min="15" max="15" width="4.28515625" style="1" bestFit="1" customWidth="1"/>
    <col min="16" max="16" width="13.28515625" style="1" bestFit="1" customWidth="1"/>
    <col min="17" max="17" width="12.140625" style="1" customWidth="1"/>
    <col min="18" max="18" width="3.140625" style="1" bestFit="1" customWidth="1"/>
    <col min="19" max="19" width="4.7109375" style="1" customWidth="1"/>
    <col min="20" max="23" width="11.7109375" style="1" customWidth="1"/>
    <col min="24" max="16384" width="9.140625" style="1"/>
  </cols>
  <sheetData>
    <row r="1" spans="1:19" ht="15" x14ac:dyDescent="0.25">
      <c r="A1" s="1" t="s">
        <v>48</v>
      </c>
      <c r="B1" s="82">
        <f>'S1'!B1</f>
        <v>11</v>
      </c>
      <c r="C1" s="1">
        <v>2018</v>
      </c>
    </row>
    <row r="3" spans="1:19" ht="22.5" customHeight="1" x14ac:dyDescent="0.2">
      <c r="D3" s="146" t="s">
        <v>133</v>
      </c>
      <c r="E3" s="123" t="s">
        <v>134</v>
      </c>
      <c r="F3" s="123"/>
      <c r="G3" s="123" t="s">
        <v>135</v>
      </c>
      <c r="H3" s="123"/>
      <c r="I3" s="124"/>
    </row>
    <row r="4" spans="1:19" ht="15" x14ac:dyDescent="0.25">
      <c r="D4" s="47"/>
      <c r="E4" s="87" t="s">
        <v>56</v>
      </c>
      <c r="F4" s="126" t="s">
        <v>54</v>
      </c>
      <c r="G4" s="127" t="s">
        <v>154</v>
      </c>
      <c r="H4" s="128" t="s">
        <v>54</v>
      </c>
      <c r="I4" s="104" t="s">
        <v>136</v>
      </c>
      <c r="J4" s="105"/>
      <c r="K4" s="105"/>
      <c r="L4" s="105"/>
      <c r="M4" s="106"/>
      <c r="N4" s="106"/>
      <c r="O4" s="106"/>
      <c r="P4" s="137"/>
      <c r="Q4" s="138" t="s">
        <v>140</v>
      </c>
      <c r="R4" s="138"/>
      <c r="S4" s="139"/>
    </row>
    <row r="5" spans="1:19" ht="3.75" customHeight="1" x14ac:dyDescent="0.25">
      <c r="D5" s="49"/>
      <c r="E5" s="153"/>
      <c r="F5" s="131"/>
      <c r="G5" s="154"/>
      <c r="H5" s="155"/>
      <c r="I5" s="156"/>
      <c r="J5" s="157"/>
      <c r="K5" s="157"/>
      <c r="L5" s="157"/>
      <c r="M5" s="157"/>
      <c r="N5" s="157"/>
      <c r="O5" s="158"/>
      <c r="P5" s="140"/>
      <c r="Q5" s="159"/>
      <c r="R5" s="159"/>
      <c r="S5" s="160"/>
    </row>
    <row r="6" spans="1:19" ht="15" x14ac:dyDescent="0.25">
      <c r="D6" s="129" t="s">
        <v>105</v>
      </c>
      <c r="E6" s="132">
        <f ca="1">'3'!D15</f>
        <v>36946.632286999993</v>
      </c>
      <c r="F6" s="149">
        <f ca="1">'3'!G15</f>
        <v>6.229957119099982E-3</v>
      </c>
      <c r="G6" s="147">
        <f ca="1">'3'!H15</f>
        <v>114.54476894950498</v>
      </c>
      <c r="H6" s="151">
        <f ca="1">'3'!J15</f>
        <v>1.9659269507160388</v>
      </c>
      <c r="I6" s="49"/>
      <c r="J6" s="12"/>
      <c r="K6" s="131" t="s">
        <v>54</v>
      </c>
      <c r="L6" s="12"/>
      <c r="M6" s="12" t="s">
        <v>83</v>
      </c>
      <c r="N6" s="131" t="s">
        <v>54</v>
      </c>
      <c r="O6" s="27"/>
      <c r="P6" s="140"/>
      <c r="Q6" s="12"/>
      <c r="R6" s="12"/>
      <c r="S6" s="27"/>
    </row>
    <row r="7" spans="1:19" ht="15" customHeight="1" x14ac:dyDescent="0.25">
      <c r="D7" s="129" t="s">
        <v>109</v>
      </c>
      <c r="E7" s="132">
        <f ca="1">'3'!D16</f>
        <v>26786.006369999999</v>
      </c>
      <c r="F7" s="149">
        <f ca="1">'3'!G16</f>
        <v>-2.4960886139249985E-2</v>
      </c>
      <c r="G7" s="147">
        <f ca="1">'3'!H16</f>
        <v>83.044021086901367</v>
      </c>
      <c r="H7" s="151">
        <f ca="1">'3'!J16</f>
        <v>-1.1856474490794682</v>
      </c>
      <c r="I7" s="129" t="s">
        <v>4</v>
      </c>
      <c r="J7" s="132">
        <f ca="1">'3'!D4</f>
        <v>103163.200043</v>
      </c>
      <c r="K7" s="133">
        <f ca="1">'3'!I4</f>
        <v>-1.8679738362979086E-2</v>
      </c>
      <c r="L7" s="134" t="str">
        <f ca="1">'3'!J4</f>
        <v>▼</v>
      </c>
      <c r="M7" s="135">
        <f ca="1">'3'!F4</f>
        <v>319.83442553639316</v>
      </c>
      <c r="N7" s="135">
        <f ca="1">'3'!H4</f>
        <v>-6.088148407867493</v>
      </c>
      <c r="O7" s="136" t="str">
        <f ca="1">'3'!J4</f>
        <v>▼</v>
      </c>
      <c r="P7" s="141" t="s">
        <v>137</v>
      </c>
      <c r="Q7" s="142">
        <f ca="1">'3'!D12</f>
        <v>342000</v>
      </c>
      <c r="R7" s="12"/>
      <c r="S7" s="27"/>
    </row>
    <row r="8" spans="1:19" ht="15" customHeight="1" x14ac:dyDescent="0.25">
      <c r="D8" s="129" t="s">
        <v>106</v>
      </c>
      <c r="E8" s="132">
        <f ca="1">'3'!D17</f>
        <v>18460.065882000003</v>
      </c>
      <c r="F8" s="149">
        <f ca="1">'3'!G17</f>
        <v>6.2025724478582166E-3</v>
      </c>
      <c r="G8" s="147">
        <f ca="1">'3'!H17</f>
        <v>57.231305002874038</v>
      </c>
      <c r="H8" s="151">
        <f ca="1">'3'!J17</f>
        <v>0.98072756380751258</v>
      </c>
      <c r="I8" s="171" t="s">
        <v>131</v>
      </c>
      <c r="J8" s="132">
        <f ca="1">'3'!D5</f>
        <v>47001.594357000009</v>
      </c>
      <c r="K8" s="133">
        <f ca="1">'3'!I5</f>
        <v>-6.1175258855727874E-2</v>
      </c>
      <c r="L8" s="134" t="str">
        <f ca="1">'3'!J5</f>
        <v>▼</v>
      </c>
      <c r="M8" s="135">
        <f ca="1">'3'!F5</f>
        <v>145.71792969004261</v>
      </c>
      <c r="N8" s="135">
        <f ca="1">'3'!H5</f>
        <v>-9.4952036072718045</v>
      </c>
      <c r="O8" s="136" t="str">
        <f ca="1">'3'!J5</f>
        <v>▼</v>
      </c>
      <c r="P8" s="141" t="s">
        <v>139</v>
      </c>
      <c r="Q8" s="142">
        <f ca="1">'3'!D10</f>
        <v>322551.89500000002</v>
      </c>
      <c r="R8" s="12"/>
      <c r="S8" s="27"/>
    </row>
    <row r="9" spans="1:19" ht="15" customHeight="1" x14ac:dyDescent="0.25">
      <c r="D9" s="129" t="s">
        <v>107</v>
      </c>
      <c r="E9" s="132">
        <f ca="1">'3'!D18</f>
        <v>7899.1713839999993</v>
      </c>
      <c r="F9" s="149">
        <f ca="1">'3'!G18</f>
        <v>-0.17681604952005792</v>
      </c>
      <c r="G9" s="147">
        <f ca="1">'3'!H18</f>
        <v>24.489613939487157</v>
      </c>
      <c r="H9" s="151">
        <f ca="1">'3'!J18</f>
        <v>-4.9318178538119248</v>
      </c>
      <c r="I9" s="171" t="s">
        <v>130</v>
      </c>
      <c r="J9" s="132">
        <f ca="1">'3'!D6</f>
        <v>37265.599965000001</v>
      </c>
      <c r="K9" s="133">
        <f ca="1">'3'!I6</f>
        <v>2.1604982174063255E-2</v>
      </c>
      <c r="L9" s="134" t="str">
        <f ca="1">'3'!J6</f>
        <v>▲</v>
      </c>
      <c r="M9" s="135">
        <f ca="1">'3'!F6</f>
        <v>115.53365688643683</v>
      </c>
      <c r="N9" s="135">
        <f ca="1">'3'!H6</f>
        <v>2.4433148243109457</v>
      </c>
      <c r="O9" s="136" t="str">
        <f ca="1">'3'!J6</f>
        <v>▲</v>
      </c>
      <c r="P9" s="141" t="s">
        <v>138</v>
      </c>
      <c r="Q9" s="143">
        <f ca="1">'3'!D13</f>
        <v>0.94313419590643277</v>
      </c>
      <c r="R9" s="134" t="str">
        <f ca="1">'3'!G13</f>
        <v>▼</v>
      </c>
      <c r="S9" s="144">
        <f ca="1">'3'!F13</f>
        <v>-5.4274351494178807E-2</v>
      </c>
    </row>
    <row r="10" spans="1:19" ht="15" customHeight="1" x14ac:dyDescent="0.25">
      <c r="D10" s="130" t="s">
        <v>108</v>
      </c>
      <c r="E10" s="95">
        <f ca="1">'3'!D19</f>
        <v>6152.4538320000001</v>
      </c>
      <c r="F10" s="150">
        <f ca="1">'3'!G19</f>
        <v>-0.14782133493788335</v>
      </c>
      <c r="G10" s="148">
        <f ca="1">'3'!H19</f>
        <v>19.074306886338398</v>
      </c>
      <c r="H10" s="152">
        <f ca="1">'3'!J19</f>
        <v>-3.0615769995463715</v>
      </c>
      <c r="I10" s="172" t="s">
        <v>39</v>
      </c>
      <c r="J10" s="95">
        <f ca="1">'3'!D7</f>
        <v>18896.005720999998</v>
      </c>
      <c r="K10" s="173">
        <f ca="1">'3'!I7</f>
        <v>1.6726057830887535E-2</v>
      </c>
      <c r="L10" s="174" t="str">
        <f ca="1">'3'!J7</f>
        <v>▲</v>
      </c>
      <c r="M10" s="175">
        <f ca="1">'3'!F7</f>
        <v>58.582838959913708</v>
      </c>
      <c r="N10" s="175">
        <f ca="1">'3'!H7</f>
        <v>0.963740375093316</v>
      </c>
      <c r="O10" s="176" t="str">
        <f ca="1">'3'!J7</f>
        <v>▲</v>
      </c>
      <c r="P10" s="145"/>
      <c r="Q10" s="30"/>
      <c r="R10" s="30"/>
      <c r="S10" s="31"/>
    </row>
    <row r="50" spans="3:14" x14ac:dyDescent="0.2">
      <c r="D50" s="1" t="s">
        <v>110</v>
      </c>
      <c r="E50" s="1" t="s">
        <v>114</v>
      </c>
      <c r="F50" s="1" t="s">
        <v>111</v>
      </c>
      <c r="G50" s="1" t="s">
        <v>112</v>
      </c>
      <c r="H50" s="1" t="s">
        <v>113</v>
      </c>
      <c r="I50" s="1" t="s">
        <v>115</v>
      </c>
      <c r="J50" s="1" t="s">
        <v>116</v>
      </c>
    </row>
    <row r="51" spans="3:14" x14ac:dyDescent="0.2">
      <c r="C51" s="1" t="s">
        <v>30</v>
      </c>
      <c r="D51" s="125">
        <f ca="1">'3'!F40</f>
        <v>111.79795501022494</v>
      </c>
      <c r="E51" s="125">
        <f ca="1">'3'!F41</f>
        <v>79.084340993276498</v>
      </c>
      <c r="F51" s="125">
        <f ca="1">'3'!F42</f>
        <v>102.45961035410717</v>
      </c>
      <c r="G51" s="125">
        <f ca="1">'3'!F43</f>
        <v>122.8127626723342</v>
      </c>
      <c r="H51" s="125">
        <f ca="1">'3'!F44</f>
        <v>107.36377279632144</v>
      </c>
      <c r="I51" s="125">
        <f ca="1">'3'!F45</f>
        <v>135.5696683879606</v>
      </c>
      <c r="J51" s="125">
        <f ca="1">'3'!F46</f>
        <v>136.97748508280844</v>
      </c>
      <c r="K51" s="125"/>
      <c r="L51" s="125"/>
      <c r="M51" s="125"/>
      <c r="N51" s="125"/>
    </row>
    <row r="52" spans="3:14" x14ac:dyDescent="0.2">
      <c r="C52" s="1" t="s">
        <v>130</v>
      </c>
      <c r="D52" s="125">
        <f ca="1">'3'!F49</f>
        <v>91.707393260364299</v>
      </c>
      <c r="E52" s="125">
        <f ca="1">'3'!F50</f>
        <v>168.96649537681202</v>
      </c>
      <c r="F52" s="125">
        <f ca="1">'3'!F51</f>
        <v>111.88088066136217</v>
      </c>
      <c r="G52" s="125">
        <f ca="1">'3'!F52</f>
        <v>93.524053322695337</v>
      </c>
      <c r="H52" s="125">
        <f ca="1">'3'!F53</f>
        <v>124.01064016036958</v>
      </c>
      <c r="I52" s="125">
        <f ca="1">'3'!F54</f>
        <v>100.23926390491658</v>
      </c>
      <c r="J52" s="125">
        <f ca="1">'3'!F55</f>
        <v>144.72856288458269</v>
      </c>
      <c r="K52" s="125"/>
      <c r="L52" s="125"/>
      <c r="M52" s="125"/>
      <c r="N52" s="125"/>
    </row>
    <row r="53" spans="3:14" ht="15" customHeight="1" x14ac:dyDescent="0.2">
      <c r="C53" s="1" t="s">
        <v>131</v>
      </c>
      <c r="D53" s="125">
        <f ca="1">'3'!F58</f>
        <v>142.95225733634308</v>
      </c>
      <c r="E53" s="125">
        <f ca="1">'3'!F59</f>
        <v>179.1310219461817</v>
      </c>
      <c r="F53" s="125">
        <f ca="1">'3'!F60</f>
        <v>135.5135627440128</v>
      </c>
      <c r="G53" s="125">
        <f ca="1">'3'!F61</f>
        <v>178.45776695860042</v>
      </c>
      <c r="H53" s="125">
        <f ca="1">'3'!F62</f>
        <v>129.17070821276084</v>
      </c>
      <c r="I53" s="125">
        <f ca="1">'3'!F63</f>
        <v>154.13149708926994</v>
      </c>
      <c r="J53" s="125">
        <f ca="1">'3'!F64</f>
        <v>127.85646586107919</v>
      </c>
      <c r="K53" s="125"/>
      <c r="L53" s="125"/>
      <c r="M53" s="125"/>
      <c r="N53" s="125"/>
    </row>
    <row r="54" spans="3:14" x14ac:dyDescent="0.2">
      <c r="C54" s="1" t="s">
        <v>39</v>
      </c>
      <c r="D54" s="125">
        <f ca="1">'3'!F67</f>
        <v>38.230648487162384</v>
      </c>
      <c r="E54" s="125">
        <f ca="1">'3'!F68</f>
        <v>55.83673030634111</v>
      </c>
      <c r="F54" s="125">
        <f ca="1">'3'!F69</f>
        <v>64.104767441177955</v>
      </c>
      <c r="G54" s="125">
        <f ca="1">'3'!F70</f>
        <v>39.732798045529478</v>
      </c>
      <c r="H54" s="125">
        <f ca="1">'3'!F71</f>
        <v>69.139864538410933</v>
      </c>
      <c r="I54" s="125">
        <f ca="1">'3'!F72</f>
        <v>63.516774847716782</v>
      </c>
      <c r="J54" s="125">
        <f ca="1">'3'!F73</f>
        <v>70.131129197729294</v>
      </c>
      <c r="K54" s="125"/>
      <c r="L54" s="125"/>
      <c r="M54" s="125"/>
      <c r="N54" s="125"/>
    </row>
    <row r="55" spans="3:14" x14ac:dyDescent="0.2">
      <c r="C55" s="1" t="s">
        <v>138</v>
      </c>
      <c r="D55" s="10">
        <f ca="1">'3'!$D$93</f>
        <v>0.9472816666666668</v>
      </c>
      <c r="E55" s="10">
        <f ca="1">'3'!$D$94</f>
        <v>0.83938291666666676</v>
      </c>
      <c r="F55" s="10">
        <f ca="1">'3'!$D$95</f>
        <v>0.96980261538461532</v>
      </c>
      <c r="G55" s="10">
        <f ca="1">'3'!$D$96</f>
        <v>0.8612051111111112</v>
      </c>
      <c r="H55" s="10">
        <f ca="1">'3'!$D$97</f>
        <v>0.99114812500000005</v>
      </c>
      <c r="I55" s="10">
        <f ca="1">'3'!$D$98</f>
        <v>0.98072475000000003</v>
      </c>
      <c r="J55" s="10">
        <f ca="1">'3'!$D$99</f>
        <v>0.94427291666666668</v>
      </c>
    </row>
    <row r="56" spans="3:14" x14ac:dyDescent="0.2">
      <c r="C56" s="1" t="s">
        <v>4</v>
      </c>
      <c r="D56" s="125">
        <f ca="1">SUM(D52:D54)</f>
        <v>272.89029908386976</v>
      </c>
      <c r="E56" s="125">
        <f t="shared" ref="E56:J56" ca="1" si="0">SUM(E52:E54)</f>
        <v>403.93424762933483</v>
      </c>
      <c r="F56" s="125">
        <f t="shared" ca="1" si="0"/>
        <v>311.49921084655296</v>
      </c>
      <c r="G56" s="125">
        <f t="shared" ca="1" si="0"/>
        <v>311.71461832682525</v>
      </c>
      <c r="H56" s="125">
        <f t="shared" ca="1" si="0"/>
        <v>322.32121291154135</v>
      </c>
      <c r="I56" s="125">
        <f t="shared" ca="1" si="0"/>
        <v>317.88753584190329</v>
      </c>
      <c r="J56" s="125">
        <f t="shared" ca="1" si="0"/>
        <v>342.71615794339118</v>
      </c>
    </row>
    <row r="57" spans="3:14" x14ac:dyDescent="0.2">
      <c r="C57" s="1" t="s">
        <v>144</v>
      </c>
      <c r="D57" s="1">
        <v>5</v>
      </c>
      <c r="E57" s="1">
        <v>5</v>
      </c>
      <c r="F57" s="1">
        <v>5</v>
      </c>
      <c r="G57" s="1">
        <v>5</v>
      </c>
      <c r="H57" s="1">
        <v>5</v>
      </c>
      <c r="I57" s="1">
        <v>5</v>
      </c>
      <c r="J57" s="1">
        <v>5</v>
      </c>
    </row>
  </sheetData>
  <conditionalFormatting sqref="L7:L10">
    <cfRule type="expression" dxfId="11" priority="5">
      <formula>$K7&lt;0</formula>
    </cfRule>
    <cfRule type="expression" dxfId="10" priority="6">
      <formula>$K7&gt;0</formula>
    </cfRule>
  </conditionalFormatting>
  <conditionalFormatting sqref="O7:O10">
    <cfRule type="expression" dxfId="9" priority="3">
      <formula>$K7&lt;0</formula>
    </cfRule>
    <cfRule type="expression" dxfId="8" priority="4">
      <formula>$K7&gt;0</formula>
    </cfRule>
  </conditionalFormatting>
  <conditionalFormatting sqref="R9">
    <cfRule type="expression" dxfId="7" priority="1">
      <formula>$Q9&gt;0</formula>
    </cfRule>
    <cfRule type="expression" dxfId="6" priority="2">
      <formula>$Q9&lt;0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1820-E6D9-4F94-A471-C040BD15089D}">
  <sheetPr codeName="Sheet14">
    <tabColor rgb="FF0000CC"/>
  </sheetPr>
  <dimension ref="A1:L131"/>
  <sheetViews>
    <sheetView showGridLines="0" topLeftCell="A85" workbookViewId="0">
      <selection activeCell="D48" sqref="D48"/>
    </sheetView>
  </sheetViews>
  <sheetFormatPr defaultRowHeight="15" x14ac:dyDescent="0.25"/>
  <cols>
    <col min="2" max="2" width="9.140625" style="82"/>
    <col min="3" max="3" width="13.140625" bestFit="1" customWidth="1"/>
    <col min="4" max="5" width="18.140625" bestFit="1" customWidth="1"/>
    <col min="6" max="6" width="18" bestFit="1" customWidth="1"/>
    <col min="7" max="7" width="16.28515625" bestFit="1" customWidth="1"/>
    <col min="8" max="8" width="16.28515625" customWidth="1"/>
    <col min="9" max="9" width="18" bestFit="1" customWidth="1"/>
    <col min="10" max="10" width="16.28515625" bestFit="1" customWidth="1"/>
    <col min="11" max="11" width="18" bestFit="1" customWidth="1"/>
    <col min="12" max="12" width="16.28515625" bestFit="1" customWidth="1"/>
    <col min="13" max="13" width="18" bestFit="1" customWidth="1"/>
    <col min="14" max="14" width="16.28515625" bestFit="1" customWidth="1"/>
    <col min="15" max="15" width="18" bestFit="1" customWidth="1"/>
    <col min="16" max="16" width="11" bestFit="1" customWidth="1"/>
  </cols>
  <sheetData>
    <row r="1" spans="1:12" x14ac:dyDescent="0.25">
      <c r="A1" t="s">
        <v>48</v>
      </c>
      <c r="B1" s="82">
        <f>'S1'!B1</f>
        <v>11</v>
      </c>
      <c r="C1">
        <v>2018</v>
      </c>
      <c r="D1" s="15"/>
      <c r="E1" s="59"/>
      <c r="F1" s="15"/>
      <c r="G1" s="113"/>
      <c r="H1" s="113"/>
    </row>
    <row r="2" spans="1:12" x14ac:dyDescent="0.25">
      <c r="B2" s="82" t="s">
        <v>84</v>
      </c>
      <c r="C2" t="s">
        <v>132</v>
      </c>
    </row>
    <row r="3" spans="1:12" x14ac:dyDescent="0.25">
      <c r="B3" s="59"/>
      <c r="C3" s="109" t="s">
        <v>48</v>
      </c>
      <c r="D3" s="109">
        <f>B1</f>
        <v>11</v>
      </c>
      <c r="E3" s="109">
        <f>D3-1</f>
        <v>10</v>
      </c>
      <c r="F3" s="109" t="str">
        <f>"@"&amp;D3</f>
        <v>@11</v>
      </c>
      <c r="G3" s="109" t="str">
        <f>"@"&amp;E3</f>
        <v>@10</v>
      </c>
      <c r="H3" s="109" t="s">
        <v>54</v>
      </c>
      <c r="I3" s="109" t="s">
        <v>1</v>
      </c>
      <c r="J3" s="109" t="s">
        <v>94</v>
      </c>
    </row>
    <row r="4" spans="1:12" x14ac:dyDescent="0.25">
      <c r="B4" s="59"/>
      <c r="C4" t="s">
        <v>4</v>
      </c>
      <c r="D4" s="81">
        <f ca="1">SUM(D5:D7)</f>
        <v>103163.200043</v>
      </c>
      <c r="E4" s="20">
        <f ca="1">SUM(E5:E7)</f>
        <v>106300.493261</v>
      </c>
      <c r="F4" s="81">
        <f ca="1">D4/$D$10*1000</f>
        <v>319.83442553639316</v>
      </c>
      <c r="G4" s="15">
        <f ca="1">E4/$E$10*1000</f>
        <v>325.92257394426065</v>
      </c>
      <c r="H4" s="186">
        <f ca="1">F4-G4</f>
        <v>-6.088148407867493</v>
      </c>
      <c r="I4" s="79">
        <f ca="1">H4/G4</f>
        <v>-1.8679738362979086E-2</v>
      </c>
      <c r="J4" s="79" t="str">
        <f ca="1">IF(I4&gt;0,SET!$I$2,SET!$H$2)</f>
        <v>▼</v>
      </c>
      <c r="K4" s="121"/>
      <c r="L4" s="25"/>
    </row>
    <row r="5" spans="1:12" x14ac:dyDescent="0.25">
      <c r="B5" s="59">
        <v>307</v>
      </c>
      <c r="C5" t="s">
        <v>131</v>
      </c>
      <c r="D5" s="62">
        <f ca="1">OFFSET(DATA!$B$3,$B5,$B$1)</f>
        <v>47001.594357000009</v>
      </c>
      <c r="E5" s="15">
        <f ca="1">OFFSET(DATA!$B$3,$B5,$B$1-1)</f>
        <v>50623.166203000001</v>
      </c>
      <c r="F5" s="81">
        <f t="shared" ref="F5:F7" ca="1" si="0">D5/$D$10*1000</f>
        <v>145.71792969004261</v>
      </c>
      <c r="G5" s="15">
        <f t="shared" ref="G5" ca="1" si="1">E5/$E$10*1000</f>
        <v>155.21313329731441</v>
      </c>
      <c r="H5" s="186">
        <f t="shared" ref="H5" ca="1" si="2">F5-G5</f>
        <v>-9.4952036072718045</v>
      </c>
      <c r="I5" s="79">
        <f t="shared" ref="I5" ca="1" si="3">H5/G5</f>
        <v>-6.1175258855727874E-2</v>
      </c>
      <c r="J5" s="79" t="str">
        <f ca="1">IF(I5&gt;0,SET!$I$2,SET!$H$2)</f>
        <v>▼</v>
      </c>
      <c r="K5" s="121"/>
      <c r="L5" s="25"/>
    </row>
    <row r="6" spans="1:12" x14ac:dyDescent="0.25">
      <c r="B6" s="59">
        <v>301</v>
      </c>
      <c r="C6" s="170" t="s">
        <v>130</v>
      </c>
      <c r="D6" s="62">
        <f ca="1">OFFSET(DATA!$B$3,$B6,$B$1)</f>
        <v>37265.599965000001</v>
      </c>
      <c r="E6" s="15">
        <f ca="1">OFFSET(DATA!$B$3,$B6,$B$1-1)</f>
        <v>36884.708533000005</v>
      </c>
      <c r="F6" s="81">
        <f t="shared" ca="1" si="0"/>
        <v>115.53365688643683</v>
      </c>
      <c r="G6" s="15">
        <f t="shared" ref="G6:G7" ca="1" si="4">E6/$E$10*1000</f>
        <v>113.09034206212588</v>
      </c>
      <c r="H6" s="186">
        <f t="shared" ref="H6:H7" ca="1" si="5">F6-G6</f>
        <v>2.4433148243109457</v>
      </c>
      <c r="I6" s="79">
        <f t="shared" ref="I6:I7" ca="1" si="6">H6/G6</f>
        <v>2.1604982174063255E-2</v>
      </c>
      <c r="J6" s="79" t="str">
        <f ca="1">IF(I6&gt;0,SET!$I$2,SET!$H$2)</f>
        <v>▲</v>
      </c>
      <c r="K6" s="121"/>
      <c r="L6" s="25"/>
    </row>
    <row r="7" spans="1:12" x14ac:dyDescent="0.25">
      <c r="B7" s="59">
        <v>313</v>
      </c>
      <c r="C7" s="170" t="s">
        <v>42</v>
      </c>
      <c r="D7" s="62">
        <f ca="1">OFFSET(DATA!$B$3,$B7,$B$1)</f>
        <v>18896.005720999998</v>
      </c>
      <c r="E7" s="15">
        <f ca="1">OFFSET(DATA!$B$3,$B7,$B$1-1)</f>
        <v>18792.618524999998</v>
      </c>
      <c r="F7" s="81">
        <f t="shared" ca="1" si="0"/>
        <v>58.582838959913708</v>
      </c>
      <c r="G7" s="15">
        <f t="shared" ca="1" si="4"/>
        <v>57.619098584820392</v>
      </c>
      <c r="H7" s="186">
        <f t="shared" ca="1" si="5"/>
        <v>0.963740375093316</v>
      </c>
      <c r="I7" s="79">
        <f t="shared" ca="1" si="6"/>
        <v>1.6726057830887535E-2</v>
      </c>
      <c r="J7" s="79" t="str">
        <f ca="1">IF(I7&gt;0,SET!$I$2,SET!$H$2)</f>
        <v>▲</v>
      </c>
    </row>
    <row r="9" spans="1:12" x14ac:dyDescent="0.25">
      <c r="B9" s="59"/>
      <c r="C9" s="109" t="str">
        <f>C3</f>
        <v>Month</v>
      </c>
      <c r="D9" s="109">
        <f>D3</f>
        <v>11</v>
      </c>
      <c r="E9" s="109">
        <f>E3</f>
        <v>10</v>
      </c>
    </row>
    <row r="10" spans="1:12" x14ac:dyDescent="0.25">
      <c r="B10" s="59">
        <v>127</v>
      </c>
      <c r="C10" t="s">
        <v>85</v>
      </c>
      <c r="D10" s="15">
        <f ca="1">OFFSET(DATA!$B$3,$B10,$B$1)</f>
        <v>322551.89500000002</v>
      </c>
      <c r="E10" s="15">
        <f ca="1">OFFSET(DATA!$B$3,$B10,$B$1-1)</f>
        <v>326152.59499999997</v>
      </c>
    </row>
    <row r="11" spans="1:12" x14ac:dyDescent="0.25">
      <c r="B11" s="59"/>
      <c r="C11" s="109" t="str">
        <f>C9</f>
        <v>Month</v>
      </c>
      <c r="D11" s="109">
        <f t="shared" ref="D11:E11" si="7">D9</f>
        <v>11</v>
      </c>
      <c r="E11" s="109">
        <f t="shared" si="7"/>
        <v>10</v>
      </c>
      <c r="F11" s="109" t="s">
        <v>24</v>
      </c>
      <c r="G11" s="109" t="s">
        <v>94</v>
      </c>
    </row>
    <row r="12" spans="1:12" x14ac:dyDescent="0.25">
      <c r="B12" s="59">
        <v>435</v>
      </c>
      <c r="C12" t="s">
        <v>137</v>
      </c>
      <c r="D12" s="62">
        <f ca="1">SUM(OFFSET(DATA!$B$3,$B12,$B$1,8))</f>
        <v>342000</v>
      </c>
      <c r="E12" s="15">
        <f ca="1">SUM(OFFSET(DATA!$B$3,$B12-10,$B$1-1,8))</f>
        <v>327000</v>
      </c>
    </row>
    <row r="13" spans="1:12" x14ac:dyDescent="0.25">
      <c r="B13" s="59"/>
      <c r="C13" t="s">
        <v>138</v>
      </c>
      <c r="D13" s="79">
        <f ca="1">D10/D12</f>
        <v>0.94313419590643277</v>
      </c>
      <c r="E13" s="25">
        <f ca="1">E10/E12</f>
        <v>0.99740854740061158</v>
      </c>
      <c r="F13" s="80">
        <f ca="1">D13-E13</f>
        <v>-5.4274351494178807E-2</v>
      </c>
      <c r="G13" s="79" t="str">
        <f ca="1">IF(F13&gt;0,SET!$I$2,SET!$H$2)</f>
        <v>▼</v>
      </c>
    </row>
    <row r="14" spans="1:12" x14ac:dyDescent="0.25">
      <c r="B14" s="59"/>
      <c r="C14" s="109" t="str">
        <f>C11</f>
        <v>Month</v>
      </c>
      <c r="D14" s="109">
        <f t="shared" ref="D14:F14" si="8">D11</f>
        <v>11</v>
      </c>
      <c r="E14" s="109">
        <f t="shared" si="8"/>
        <v>10</v>
      </c>
      <c r="F14" s="109" t="str">
        <f t="shared" si="8"/>
        <v>Diff</v>
      </c>
      <c r="G14" s="109" t="s">
        <v>1</v>
      </c>
      <c r="H14" s="109" t="str">
        <f>"@ Ton"&amp;D14</f>
        <v>@ Ton11</v>
      </c>
      <c r="I14" s="109" t="str">
        <f>"@ Ton"&amp;E14</f>
        <v>@ Ton10</v>
      </c>
      <c r="J14" s="110" t="s">
        <v>141</v>
      </c>
    </row>
    <row r="15" spans="1:12" x14ac:dyDescent="0.25">
      <c r="B15" s="59">
        <v>319</v>
      </c>
      <c r="C15" t="s">
        <v>105</v>
      </c>
      <c r="D15" s="62">
        <f ca="1">OFFSET(DATA!$B$3,$B15,$B$1)</f>
        <v>36946.632286999993</v>
      </c>
      <c r="E15" s="15">
        <f ca="1">OFFSET(DATA!$B$3,$B15,$B$1-1)</f>
        <v>36717.881459999997</v>
      </c>
      <c r="F15" s="20">
        <f ca="1">D15-E15</f>
        <v>228.75082699999621</v>
      </c>
      <c r="G15" s="79">
        <f ca="1">F15/E15</f>
        <v>6.229957119099982E-3</v>
      </c>
      <c r="H15" s="185">
        <f ca="1">D15/$D$10*1000</f>
        <v>114.54476894950498</v>
      </c>
      <c r="I15" s="121">
        <f ca="1">E15/$E$10*1000</f>
        <v>112.57884199878895</v>
      </c>
      <c r="J15" s="185">
        <f ca="1">H15-I15</f>
        <v>1.9659269507160388</v>
      </c>
    </row>
    <row r="16" spans="1:12" x14ac:dyDescent="0.25">
      <c r="B16" s="59">
        <v>343</v>
      </c>
      <c r="C16" t="s">
        <v>108</v>
      </c>
      <c r="D16" s="62">
        <f ca="1">OFFSET(DATA!$B$3,$B16,$B$1)</f>
        <v>26786.006369999999</v>
      </c>
      <c r="E16" s="15">
        <f ca="1">OFFSET(DATA!$B$3,$B16,$B$1-1)</f>
        <v>27471.724968999999</v>
      </c>
      <c r="F16" s="20">
        <f t="shared" ref="F16:F19" ca="1" si="9">D16-E16</f>
        <v>-685.71859899999981</v>
      </c>
      <c r="G16" s="79">
        <f t="shared" ref="G16:G19" ca="1" si="10">F16/E16</f>
        <v>-2.4960886139249985E-2</v>
      </c>
      <c r="H16" s="185">
        <f t="shared" ref="H16:H19" ca="1" si="11">D16/$D$10*1000</f>
        <v>83.044021086901367</v>
      </c>
      <c r="I16" s="121">
        <f t="shared" ref="I16:I19" ca="1" si="12">E16/$E$10*1000</f>
        <v>84.229668535980835</v>
      </c>
      <c r="J16" s="185">
        <f t="shared" ref="J16:J19" ca="1" si="13">H16-I16</f>
        <v>-1.1856474490794682</v>
      </c>
    </row>
    <row r="17" spans="2:10" x14ac:dyDescent="0.25">
      <c r="B17" s="59">
        <v>325</v>
      </c>
      <c r="C17" t="s">
        <v>109</v>
      </c>
      <c r="D17" s="62">
        <f ca="1">OFFSET(DATA!$B$3,$B17,$B$1)</f>
        <v>18460.065882000003</v>
      </c>
      <c r="E17" s="15">
        <f ca="1">OFFSET(DATA!$B$3,$B17,$B$1-1)</f>
        <v>18346.271801999999</v>
      </c>
      <c r="F17" s="20">
        <f t="shared" ca="1" si="9"/>
        <v>113.79408000000331</v>
      </c>
      <c r="G17" s="79">
        <f t="shared" ca="1" si="10"/>
        <v>6.2025724478582166E-3</v>
      </c>
      <c r="H17" s="185">
        <f t="shared" ca="1" si="11"/>
        <v>57.231305002874038</v>
      </c>
      <c r="I17" s="121">
        <f t="shared" ca="1" si="12"/>
        <v>56.250577439066525</v>
      </c>
      <c r="J17" s="185">
        <f t="shared" ca="1" si="13"/>
        <v>0.98072756380751258</v>
      </c>
    </row>
    <row r="18" spans="2:10" x14ac:dyDescent="0.25">
      <c r="B18" s="59">
        <v>337</v>
      </c>
      <c r="C18" t="s">
        <v>107</v>
      </c>
      <c r="D18" s="62">
        <f ca="1">OFFSET(DATA!$B$3,$B18,$B$1)</f>
        <v>7899.1713839999993</v>
      </c>
      <c r="E18" s="15">
        <f ca="1">OFFSET(DATA!$B$3,$B18,$B$1-1)</f>
        <v>9595.8763279999985</v>
      </c>
      <c r="F18" s="20">
        <f t="shared" ca="1" si="9"/>
        <v>-1696.7049439999992</v>
      </c>
      <c r="G18" s="79">
        <f t="shared" ca="1" si="10"/>
        <v>-0.17681604952005792</v>
      </c>
      <c r="H18" s="185">
        <f t="shared" ca="1" si="11"/>
        <v>24.489613939487157</v>
      </c>
      <c r="I18" s="121">
        <f t="shared" ca="1" si="12"/>
        <v>29.421431793299082</v>
      </c>
      <c r="J18" s="185">
        <f t="shared" ca="1" si="13"/>
        <v>-4.9318178538119248</v>
      </c>
    </row>
    <row r="19" spans="2:10" x14ac:dyDescent="0.25">
      <c r="B19" s="59">
        <v>331</v>
      </c>
      <c r="C19" t="s">
        <v>149</v>
      </c>
      <c r="D19" s="62">
        <f ca="1">OFFSET(DATA!$B$3,$B19,$B$1)</f>
        <v>6152.4538320000001</v>
      </c>
      <c r="E19" s="15">
        <f ca="1">OFFSET(DATA!$B$3,$B19,$B$1-1)</f>
        <v>7219.6759720000009</v>
      </c>
      <c r="F19" s="20">
        <f t="shared" ca="1" si="9"/>
        <v>-1067.2221400000008</v>
      </c>
      <c r="G19" s="79">
        <f t="shared" ca="1" si="10"/>
        <v>-0.14782133493788335</v>
      </c>
      <c r="H19" s="185">
        <f t="shared" ca="1" si="11"/>
        <v>19.074306886338398</v>
      </c>
      <c r="I19" s="121">
        <f t="shared" ca="1" si="12"/>
        <v>22.13588388588477</v>
      </c>
      <c r="J19" s="185">
        <f t="shared" ca="1" si="13"/>
        <v>-3.0615769995463715</v>
      </c>
    </row>
    <row r="20" spans="2:10" x14ac:dyDescent="0.25">
      <c r="B20" s="59"/>
      <c r="C20" t="s">
        <v>85</v>
      </c>
      <c r="D20" s="15" t="s">
        <v>142</v>
      </c>
      <c r="E20" s="15"/>
      <c r="F20" s="20"/>
      <c r="G20" s="25"/>
      <c r="H20" s="121"/>
      <c r="I20" s="121"/>
      <c r="J20" s="121"/>
    </row>
    <row r="21" spans="2:10" x14ac:dyDescent="0.25">
      <c r="B21" s="59"/>
      <c r="C21" s="109" t="str">
        <f>C14</f>
        <v>Month</v>
      </c>
      <c r="D21" s="109">
        <f t="shared" ref="D21:E21" si="14">D14</f>
        <v>11</v>
      </c>
      <c r="E21" s="109">
        <f t="shared" si="14"/>
        <v>10</v>
      </c>
    </row>
    <row r="22" spans="2:10" x14ac:dyDescent="0.25">
      <c r="B22" s="59">
        <v>373</v>
      </c>
      <c r="C22" t="s">
        <v>110</v>
      </c>
      <c r="D22" s="15">
        <f ca="1">OFFSET(DATA!$B$3,$B22,$B$1)</f>
        <v>45469.520000000004</v>
      </c>
      <c r="E22" s="15">
        <f ca="1">OFFSET(DATA!$B$3,$B22,$B$1-1)</f>
        <v>47745.13</v>
      </c>
    </row>
    <row r="23" spans="2:10" x14ac:dyDescent="0.25">
      <c r="B23" s="59">
        <v>374</v>
      </c>
      <c r="C23" t="s">
        <v>114</v>
      </c>
      <c r="D23" s="15">
        <f ca="1">OFFSET(DATA!$B$3,$B23,$B$1)</f>
        <v>20145.190000000002</v>
      </c>
      <c r="E23" s="15">
        <f ca="1">OFFSET(DATA!$B$3,$B23,$B$1-1)</f>
        <v>22274.959999999999</v>
      </c>
    </row>
    <row r="24" spans="2:10" x14ac:dyDescent="0.25">
      <c r="B24" s="59">
        <v>375</v>
      </c>
      <c r="C24" t="s">
        <v>111</v>
      </c>
      <c r="D24" s="15">
        <f ca="1">OFFSET(DATA!$B$3,$B24,$B$1)</f>
        <v>63037.17</v>
      </c>
      <c r="E24" s="15">
        <f ca="1">OFFSET(DATA!$B$3,$B24,$B$1-1)</f>
        <v>62087.635000000002</v>
      </c>
    </row>
    <row r="25" spans="2:10" x14ac:dyDescent="0.25">
      <c r="B25" s="59">
        <v>376</v>
      </c>
      <c r="C25" t="s">
        <v>112</v>
      </c>
      <c r="D25" s="15">
        <f ca="1">OFFSET(DATA!$B$3,$B25,$B$1)</f>
        <v>38754.230000000003</v>
      </c>
      <c r="E25" s="15">
        <f ca="1">OFFSET(DATA!$B$3,$B25,$B$1-1)</f>
        <v>39893.279999999999</v>
      </c>
    </row>
    <row r="26" spans="2:10" x14ac:dyDescent="0.25">
      <c r="B26" s="59">
        <v>377</v>
      </c>
      <c r="C26" t="s">
        <v>113</v>
      </c>
      <c r="D26" s="15">
        <f ca="1">OFFSET(DATA!$B$3,$B26,$B$1)</f>
        <v>39645.925000000003</v>
      </c>
      <c r="E26" s="15">
        <f ca="1">OFFSET(DATA!$B$3,$B26,$B$1-1)</f>
        <v>39845.245000000003</v>
      </c>
    </row>
    <row r="27" spans="2:10" x14ac:dyDescent="0.25">
      <c r="B27" s="59">
        <v>378</v>
      </c>
      <c r="C27" t="s">
        <v>115</v>
      </c>
      <c r="D27" s="15">
        <f ca="1">OFFSET(DATA!$B$3,$B27,$B$1)</f>
        <v>58843.485000000001</v>
      </c>
      <c r="E27" s="15">
        <f ca="1">OFFSET(DATA!$B$3,$B27,$B$1-1)</f>
        <v>59359.91</v>
      </c>
    </row>
    <row r="28" spans="2:10" x14ac:dyDescent="0.25">
      <c r="B28" s="59">
        <v>379</v>
      </c>
      <c r="C28" t="s">
        <v>116</v>
      </c>
      <c r="D28" s="15">
        <f ca="1">OFFSET(DATA!$B$3,$B28,$B$1)</f>
        <v>56656.375</v>
      </c>
      <c r="E28" s="15">
        <f ca="1">OFFSET(DATA!$B$3,$B28,$B$1-1)</f>
        <v>54946.434999999998</v>
      </c>
    </row>
    <row r="29" spans="2:10" x14ac:dyDescent="0.25">
      <c r="B29" s="59"/>
      <c r="C29" t="s">
        <v>85</v>
      </c>
      <c r="D29" s="20" t="s">
        <v>119</v>
      </c>
    </row>
    <row r="30" spans="2:10" x14ac:dyDescent="0.25">
      <c r="B30" s="59"/>
      <c r="C30" s="109" t="str">
        <f>C21</f>
        <v>Month</v>
      </c>
      <c r="D30" s="109">
        <f t="shared" ref="D30:E30" si="15">D21</f>
        <v>11</v>
      </c>
      <c r="E30" s="109">
        <f t="shared" si="15"/>
        <v>10</v>
      </c>
    </row>
    <row r="31" spans="2:10" x14ac:dyDescent="0.25">
      <c r="B31" s="59">
        <v>404</v>
      </c>
      <c r="C31" t="s">
        <v>110</v>
      </c>
      <c r="D31" s="15">
        <f ca="1">OFFSET(DATA!$B$3,$B31,$B$1)</f>
        <v>10955.9</v>
      </c>
      <c r="E31" s="15">
        <f ca="1">OFFSET(DATA!$B$3,$B31,$B$1-1)</f>
        <v>10940.605</v>
      </c>
    </row>
    <row r="32" spans="2:10" x14ac:dyDescent="0.25">
      <c r="B32" s="59">
        <v>405</v>
      </c>
      <c r="C32" t="s">
        <v>114</v>
      </c>
      <c r="D32" s="15">
        <f ca="1">OFFSET(DATA!$B$3,$B32,$B$1)</f>
        <v>2432.6999999999998</v>
      </c>
      <c r="E32" s="15">
        <f ca="1">OFFSET(DATA!$B$3,$B32,$B$1-1)</f>
        <v>2198.56</v>
      </c>
    </row>
    <row r="33" spans="2:7" x14ac:dyDescent="0.25">
      <c r="B33" s="59">
        <v>406</v>
      </c>
      <c r="C33" t="s">
        <v>111</v>
      </c>
      <c r="D33" s="15">
        <f ca="1">OFFSET(DATA!$B$3,$B33,$B$1)</f>
        <v>15702.91</v>
      </c>
      <c r="E33" s="15">
        <f ca="1">OFFSET(DATA!$B$3,$B33,$B$1-1)</f>
        <v>16105.58</v>
      </c>
    </row>
    <row r="34" spans="2:7" x14ac:dyDescent="0.25">
      <c r="B34" s="59">
        <v>407</v>
      </c>
      <c r="C34" t="s">
        <v>112</v>
      </c>
      <c r="D34" s="15">
        <f ca="1">OFFSET(DATA!$B$3,$B34,$B$1)</f>
        <v>49.64</v>
      </c>
      <c r="E34" s="15">
        <f ca="1">OFFSET(DATA!$B$3,$B34,$B$1-1)</f>
        <v>214.04</v>
      </c>
    </row>
    <row r="35" spans="2:7" x14ac:dyDescent="0.25">
      <c r="B35" s="59">
        <v>408</v>
      </c>
      <c r="C35" t="s">
        <v>113</v>
      </c>
      <c r="D35" s="15">
        <f ca="1">OFFSET(DATA!$B$3,$B35,$B$1)</f>
        <v>0</v>
      </c>
      <c r="E35" s="15">
        <f ca="1">OFFSET(DATA!$B$3,$B35,$B$1-1)</f>
        <v>0</v>
      </c>
    </row>
    <row r="36" spans="2:7" x14ac:dyDescent="0.25">
      <c r="B36" s="59">
        <v>409</v>
      </c>
      <c r="C36" t="s">
        <v>115</v>
      </c>
      <c r="D36" s="15">
        <f ca="1">OFFSET(DATA!$B$3,$B36,$B$1)</f>
        <v>1910.54</v>
      </c>
      <c r="E36" s="15">
        <f ca="1">OFFSET(DATA!$B$3,$B36,$B$1-1)</f>
        <v>1846.37</v>
      </c>
    </row>
    <row r="37" spans="2:7" x14ac:dyDescent="0.25">
      <c r="B37" s="59">
        <v>410</v>
      </c>
      <c r="C37" t="s">
        <v>116</v>
      </c>
      <c r="D37" s="15">
        <f ca="1">OFFSET(DATA!$B$3,$B37,$B$1)</f>
        <v>455.28</v>
      </c>
      <c r="E37" s="15">
        <f ca="1">OFFSET(DATA!$B$3,$B37,$B$1-1)</f>
        <v>520.19000000000005</v>
      </c>
    </row>
    <row r="38" spans="2:7" x14ac:dyDescent="0.25">
      <c r="B38" s="59"/>
      <c r="C38" t="s">
        <v>30</v>
      </c>
      <c r="D38" s="20"/>
    </row>
    <row r="39" spans="2:7" x14ac:dyDescent="0.25">
      <c r="B39" s="59"/>
      <c r="C39" s="109" t="str">
        <f>C30</f>
        <v>Month</v>
      </c>
      <c r="D39" s="109">
        <f t="shared" ref="D39:E39" si="16">D30</f>
        <v>11</v>
      </c>
      <c r="E39" s="109">
        <f t="shared" si="16"/>
        <v>10</v>
      </c>
      <c r="F39" s="109" t="str">
        <f>"@"&amp;D39</f>
        <v>@11</v>
      </c>
      <c r="G39" s="109" t="str">
        <f>"@"&amp;E39</f>
        <v>@10</v>
      </c>
    </row>
    <row r="40" spans="2:7" x14ac:dyDescent="0.25">
      <c r="B40" s="59">
        <v>466</v>
      </c>
      <c r="C40" t="s">
        <v>110</v>
      </c>
      <c r="D40" s="15">
        <f ca="1">OFFSET(DATA!$B$3,$B40,$B$1)</f>
        <v>3858.5521359999998</v>
      </c>
      <c r="E40" s="15">
        <f ca="1">OFFSET(DATA!$B$3,$B40,$B$1-1)</f>
        <v>4119.4269240000003</v>
      </c>
      <c r="F40" s="60">
        <f ca="1">D40/(D22-D31)*1000</f>
        <v>111.79795501022494</v>
      </c>
      <c r="G40" s="16">
        <f ca="1">E40/(E22-E31)*1000</f>
        <v>111.92718623593161</v>
      </c>
    </row>
    <row r="41" spans="2:7" x14ac:dyDescent="0.25">
      <c r="B41" s="59">
        <v>467</v>
      </c>
      <c r="C41" t="s">
        <v>114</v>
      </c>
      <c r="D41" s="15">
        <f ca="1">OFFSET(DATA!$B$3,$B41,$B$1)</f>
        <v>1400.7805989999999</v>
      </c>
      <c r="E41" s="15">
        <f ca="1">OFFSET(DATA!$B$3,$B41,$B$1-1)</f>
        <v>1598.7224120000001</v>
      </c>
      <c r="F41" s="60">
        <f t="shared" ref="F41:F46" ca="1" si="17">D41/(D23-D32)*1000</f>
        <v>79.084340993276498</v>
      </c>
      <c r="G41" s="16">
        <f t="shared" ref="G41:G46" ca="1" si="18">E41/(E23-E32)*1000</f>
        <v>79.631926640234312</v>
      </c>
    </row>
    <row r="42" spans="2:7" x14ac:dyDescent="0.25">
      <c r="B42" s="59">
        <v>468</v>
      </c>
      <c r="C42" t="s">
        <v>111</v>
      </c>
      <c r="D42" s="15">
        <f ca="1">OFFSET(DATA!$B$3,$B42,$B$1)</f>
        <v>4849.8498360000003</v>
      </c>
      <c r="E42" s="15">
        <f ca="1">OFFSET(DATA!$B$3,$B42,$B$1-1)</f>
        <v>4663.41543</v>
      </c>
      <c r="F42" s="60">
        <f t="shared" ca="1" si="17"/>
        <v>102.45961035410717</v>
      </c>
      <c r="G42" s="16">
        <f t="shared" ca="1" si="18"/>
        <v>101.41816041062106</v>
      </c>
    </row>
    <row r="43" spans="2:7" x14ac:dyDescent="0.25">
      <c r="B43" s="59">
        <v>469</v>
      </c>
      <c r="C43" t="s">
        <v>112</v>
      </c>
      <c r="D43" s="15">
        <f ca="1">OFFSET(DATA!$B$3,$B43,$B$1)</f>
        <v>4753.4176260000004</v>
      </c>
      <c r="E43" s="15">
        <f ca="1">OFFSET(DATA!$B$3,$B43,$B$1-1)</f>
        <v>4878.1331360000004</v>
      </c>
      <c r="F43" s="60">
        <f t="shared" ca="1" si="17"/>
        <v>122.8127626723342</v>
      </c>
      <c r="G43" s="16">
        <f t="shared" ca="1" si="18"/>
        <v>122.93917766570127</v>
      </c>
    </row>
    <row r="44" spans="2:7" x14ac:dyDescent="0.25">
      <c r="B44" s="59">
        <v>470</v>
      </c>
      <c r="C44" t="s">
        <v>113</v>
      </c>
      <c r="D44" s="15">
        <f ca="1">OFFSET(DATA!$B$3,$B44,$B$1)</f>
        <v>4256.5360840000003</v>
      </c>
      <c r="E44" s="15">
        <f ca="1">OFFSET(DATA!$B$3,$B44,$B$1-1)</f>
        <v>4261.2503640000004</v>
      </c>
      <c r="F44" s="60">
        <f t="shared" ca="1" si="17"/>
        <v>107.36377279632144</v>
      </c>
      <c r="G44" s="16">
        <f t="shared" ca="1" si="18"/>
        <v>106.94501599877225</v>
      </c>
    </row>
    <row r="45" spans="2:7" x14ac:dyDescent="0.25">
      <c r="B45" s="59">
        <v>471</v>
      </c>
      <c r="C45" t="s">
        <v>115</v>
      </c>
      <c r="D45" s="15">
        <f ca="1">OFFSET(DATA!$B$3,$B45,$B$1)</f>
        <v>7718.3804739999996</v>
      </c>
      <c r="E45" s="15">
        <f ca="1">OFFSET(DATA!$B$3,$B45,$B$1-1)</f>
        <v>7593.67659</v>
      </c>
      <c r="F45" s="60">
        <f t="shared" ca="1" si="17"/>
        <v>135.5696683879606</v>
      </c>
      <c r="G45" s="16">
        <f t="shared" ca="1" si="18"/>
        <v>132.03284982979659</v>
      </c>
    </row>
    <row r="46" spans="2:7" x14ac:dyDescent="0.25">
      <c r="B46" s="59">
        <v>472</v>
      </c>
      <c r="C46" t="s">
        <v>116</v>
      </c>
      <c r="D46" s="15">
        <f ca="1">OFFSET(DATA!$B$3,$B46,$B$1)</f>
        <v>7698.2846520000003</v>
      </c>
      <c r="E46" s="15">
        <f ca="1">OFFSET(DATA!$B$3,$B46,$B$1-1)</f>
        <v>7306.0335420000001</v>
      </c>
      <c r="F46" s="60">
        <f t="shared" ca="1" si="17"/>
        <v>136.97748508280844</v>
      </c>
      <c r="G46" s="16">
        <f t="shared" ca="1" si="18"/>
        <v>134.23732506256863</v>
      </c>
    </row>
    <row r="47" spans="2:7" x14ac:dyDescent="0.25">
      <c r="B47" s="59"/>
      <c r="C47" t="s">
        <v>31</v>
      </c>
      <c r="D47" s="20"/>
      <c r="F47" s="16"/>
    </row>
    <row r="48" spans="2:7" x14ac:dyDescent="0.25">
      <c r="B48" s="59"/>
      <c r="C48" s="109" t="str">
        <f>C39</f>
        <v>Month</v>
      </c>
      <c r="D48" s="109">
        <f t="shared" ref="D48:E48" si="19">D39</f>
        <v>11</v>
      </c>
      <c r="E48" s="109">
        <f t="shared" si="19"/>
        <v>10</v>
      </c>
      <c r="F48" s="109" t="str">
        <f>"@"&amp;D48</f>
        <v>@11</v>
      </c>
      <c r="G48" s="109" t="str">
        <f>"@"&amp;E48</f>
        <v>@10</v>
      </c>
    </row>
    <row r="49" spans="2:7" x14ac:dyDescent="0.25">
      <c r="B49" s="59">
        <v>497</v>
      </c>
      <c r="C49" t="s">
        <v>110</v>
      </c>
      <c r="D49" s="15">
        <f ca="1">OFFSET(DATA!$B$3,$B49,$B$1)</f>
        <v>4169.8911520000001</v>
      </c>
      <c r="E49" s="15">
        <f ca="1">OFFSET(DATA!$B$3,$B49,$B$1-1)</f>
        <v>4342.2338380000001</v>
      </c>
      <c r="F49" s="60">
        <f ca="1">D49/D22*1000</f>
        <v>91.707393260364299</v>
      </c>
      <c r="G49" s="16">
        <f ca="1">E49/E22*1000</f>
        <v>90.94610985455482</v>
      </c>
    </row>
    <row r="50" spans="2:7" x14ac:dyDescent="0.25">
      <c r="B50" s="59">
        <v>498</v>
      </c>
      <c r="C50" t="s">
        <v>114</v>
      </c>
      <c r="D50" s="15">
        <f ca="1">OFFSET(DATA!$B$3,$B50,$B$1)</f>
        <v>3403.862153</v>
      </c>
      <c r="E50" s="15">
        <f ca="1">OFFSET(DATA!$B$3,$B50,$B$1-1)</f>
        <v>3340.0473689999999</v>
      </c>
      <c r="F50" s="60">
        <f t="shared" ref="F50:G55" ca="1" si="20">D50/D23*1000</f>
        <v>168.96649537681202</v>
      </c>
      <c r="G50" s="16">
        <f t="shared" ca="1" si="20"/>
        <v>149.94627909545068</v>
      </c>
    </row>
    <row r="51" spans="2:7" x14ac:dyDescent="0.25">
      <c r="B51" s="59">
        <v>499</v>
      </c>
      <c r="C51" t="s">
        <v>111</v>
      </c>
      <c r="D51" s="15">
        <f ca="1">OFFSET(DATA!$B$3,$B51,$B$1)</f>
        <v>7052.6540939999995</v>
      </c>
      <c r="E51" s="15">
        <f ca="1">OFFSET(DATA!$B$3,$B51,$B$1-1)</f>
        <v>7083.8684060000005</v>
      </c>
      <c r="F51" s="60">
        <f t="shared" ca="1" si="20"/>
        <v>111.88088066136217</v>
      </c>
      <c r="G51" s="16">
        <f t="shared" ca="1" si="20"/>
        <v>114.0946728925977</v>
      </c>
    </row>
    <row r="52" spans="2:7" x14ac:dyDescent="0.25">
      <c r="B52" s="59">
        <v>500</v>
      </c>
      <c r="C52" t="s">
        <v>112</v>
      </c>
      <c r="D52" s="15">
        <f ca="1">OFFSET(DATA!$B$3,$B52,$B$1)</f>
        <v>3624.4526729999998</v>
      </c>
      <c r="E52" s="15">
        <f ca="1">OFFSET(DATA!$B$3,$B52,$B$1-1)</f>
        <v>3462.3478190000001</v>
      </c>
      <c r="F52" s="60">
        <f t="shared" ca="1" si="20"/>
        <v>93.524053322695337</v>
      </c>
      <c r="G52" s="16">
        <f t="shared" ca="1" si="20"/>
        <v>86.790251866981109</v>
      </c>
    </row>
    <row r="53" spans="2:7" x14ac:dyDescent="0.25">
      <c r="B53" s="59">
        <v>501</v>
      </c>
      <c r="C53" t="s">
        <v>113</v>
      </c>
      <c r="D53" s="15">
        <f ca="1">OFFSET(DATA!$B$3,$B53,$B$1)</f>
        <v>4916.5165390000002</v>
      </c>
      <c r="E53" s="15">
        <f ca="1">OFFSET(DATA!$B$3,$B53,$B$1-1)</f>
        <v>5128.804196000001</v>
      </c>
      <c r="F53" s="60">
        <f t="shared" ca="1" si="20"/>
        <v>124.01064016036958</v>
      </c>
      <c r="G53" s="16">
        <f t="shared" ca="1" si="20"/>
        <v>128.71809913579401</v>
      </c>
    </row>
    <row r="54" spans="2:7" x14ac:dyDescent="0.25">
      <c r="B54" s="59">
        <v>502</v>
      </c>
      <c r="C54" t="s">
        <v>115</v>
      </c>
      <c r="D54" s="15">
        <f ca="1">OFFSET(DATA!$B$3,$B54,$B$1)</f>
        <v>5898.4276220000002</v>
      </c>
      <c r="E54" s="15">
        <f ca="1">OFFSET(DATA!$B$3,$B54,$B$1-1)</f>
        <v>5436.3767379999999</v>
      </c>
      <c r="F54" s="60">
        <f t="shared" ca="1" si="20"/>
        <v>100.23926390491658</v>
      </c>
      <c r="G54" s="16">
        <f t="shared" ca="1" si="20"/>
        <v>91.583304927517574</v>
      </c>
    </row>
    <row r="55" spans="2:7" x14ac:dyDescent="0.25">
      <c r="B55" s="59">
        <v>503</v>
      </c>
      <c r="C55" t="s">
        <v>116</v>
      </c>
      <c r="D55" s="15">
        <f ca="1">OFFSET(DATA!$B$3,$B55,$B$1)</f>
        <v>8199.7957319999987</v>
      </c>
      <c r="E55" s="15">
        <f ca="1">OFFSET(DATA!$B$3,$B55,$B$1-1)</f>
        <v>8091.0301669999999</v>
      </c>
      <c r="F55" s="60">
        <f t="shared" ca="1" si="20"/>
        <v>144.72856288458269</v>
      </c>
      <c r="G55" s="16">
        <f t="shared" ca="1" si="20"/>
        <v>147.253050484531</v>
      </c>
    </row>
    <row r="56" spans="2:7" x14ac:dyDescent="0.25">
      <c r="B56" s="59"/>
      <c r="C56" t="s">
        <v>32</v>
      </c>
    </row>
    <row r="57" spans="2:7" x14ac:dyDescent="0.25">
      <c r="B57" s="59"/>
      <c r="C57" s="109" t="str">
        <f>C48</f>
        <v>Month</v>
      </c>
      <c r="D57" s="109">
        <f t="shared" ref="D57:E57" si="21">D48</f>
        <v>11</v>
      </c>
      <c r="E57" s="109">
        <f t="shared" si="21"/>
        <v>10</v>
      </c>
      <c r="F57" s="109" t="str">
        <f>"@"&amp;D57</f>
        <v>@11</v>
      </c>
      <c r="G57" s="109" t="str">
        <f>"@"&amp;E57</f>
        <v>@10</v>
      </c>
    </row>
    <row r="58" spans="2:7" x14ac:dyDescent="0.25">
      <c r="B58" s="59">
        <v>528</v>
      </c>
      <c r="C58" t="s">
        <v>110</v>
      </c>
      <c r="D58" s="15">
        <f ca="1">OFFSET(DATA!$B$3,$B58,$B$1)</f>
        <v>6499.9705239999994</v>
      </c>
      <c r="E58" s="15">
        <f ca="1">OFFSET(DATA!$B$3,$B58,$B$1-1)</f>
        <v>7390.9347260000004</v>
      </c>
      <c r="F58" s="60">
        <f ca="1">D58/D22*1000</f>
        <v>142.95225733634308</v>
      </c>
      <c r="G58" s="16">
        <f ca="1">E58/E22*1000</f>
        <v>154.79976127408179</v>
      </c>
    </row>
    <row r="59" spans="2:7" x14ac:dyDescent="0.25">
      <c r="B59" s="59">
        <v>529</v>
      </c>
      <c r="C59" t="s">
        <v>114</v>
      </c>
      <c r="D59" s="15">
        <f ca="1">OFFSET(DATA!$B$3,$B59,$B$1)</f>
        <v>3608.6284720000003</v>
      </c>
      <c r="E59" s="15">
        <f ca="1">OFFSET(DATA!$B$3,$B59,$B$1-1)</f>
        <v>6259.8590610000001</v>
      </c>
      <c r="F59" s="60">
        <f t="shared" ref="F59:G59" ca="1" si="22">D59/D23*1000</f>
        <v>179.1310219461817</v>
      </c>
      <c r="G59" s="16">
        <f t="shared" ca="1" si="22"/>
        <v>281.02672512094301</v>
      </c>
    </row>
    <row r="60" spans="2:7" x14ac:dyDescent="0.25">
      <c r="B60" s="59">
        <v>530</v>
      </c>
      <c r="C60" t="s">
        <v>111</v>
      </c>
      <c r="D60" s="15">
        <f ca="1">OFFSET(DATA!$B$3,$B60,$B$1)</f>
        <v>8542.3914920000007</v>
      </c>
      <c r="E60" s="15">
        <f ca="1">OFFSET(DATA!$B$3,$B60,$B$1-1)</f>
        <v>9303.9441050000005</v>
      </c>
      <c r="F60" s="60">
        <f t="shared" ref="F60:G60" ca="1" si="23">D60/D24*1000</f>
        <v>135.5135627440128</v>
      </c>
      <c r="G60" s="16">
        <f t="shared" ca="1" si="23"/>
        <v>149.85180390588241</v>
      </c>
    </row>
    <row r="61" spans="2:7" x14ac:dyDescent="0.25">
      <c r="B61" s="59">
        <v>531</v>
      </c>
      <c r="C61" t="s">
        <v>112</v>
      </c>
      <c r="D61" s="15">
        <f ca="1">OFFSET(DATA!$B$3,$B61,$B$1)</f>
        <v>6915.9933460000011</v>
      </c>
      <c r="E61" s="15">
        <f ca="1">OFFSET(DATA!$B$3,$B61,$B$1-1)</f>
        <v>6443.9421159999984</v>
      </c>
      <c r="F61" s="60">
        <f t="shared" ref="F61:G61" ca="1" si="24">D61/D25*1000</f>
        <v>178.45776695860042</v>
      </c>
      <c r="G61" s="16">
        <f t="shared" ca="1" si="24"/>
        <v>161.52951364239786</v>
      </c>
    </row>
    <row r="62" spans="2:7" x14ac:dyDescent="0.25">
      <c r="B62" s="59">
        <v>532</v>
      </c>
      <c r="C62" t="s">
        <v>113</v>
      </c>
      <c r="D62" s="15">
        <f ca="1">OFFSET(DATA!$B$3,$B62,$B$1)</f>
        <v>5121.0922100000007</v>
      </c>
      <c r="E62" s="15">
        <f ca="1">OFFSET(DATA!$B$3,$B62,$B$1-1)</f>
        <v>5070.2673939999995</v>
      </c>
      <c r="F62" s="60">
        <f t="shared" ref="F62:G62" ca="1" si="25">D62/D26*1000</f>
        <v>129.17070821276084</v>
      </c>
      <c r="G62" s="16">
        <f t="shared" ca="1" si="25"/>
        <v>127.24899530671726</v>
      </c>
    </row>
    <row r="63" spans="2:7" x14ac:dyDescent="0.25">
      <c r="B63" s="59">
        <v>533</v>
      </c>
      <c r="C63" t="s">
        <v>115</v>
      </c>
      <c r="D63" s="15">
        <f ca="1">OFFSET(DATA!$B$3,$B63,$B$1)</f>
        <v>9069.6344369999988</v>
      </c>
      <c r="E63" s="15">
        <f ca="1">OFFSET(DATA!$B$3,$B63,$B$1-1)</f>
        <v>9289.5097409999998</v>
      </c>
      <c r="F63" s="60">
        <f t="shared" ref="F63:G63" ca="1" si="26">D63/D27*1000</f>
        <v>154.13149708926994</v>
      </c>
      <c r="G63" s="16">
        <f t="shared" ca="1" si="26"/>
        <v>156.49467361052263</v>
      </c>
    </row>
    <row r="64" spans="2:7" x14ac:dyDescent="0.25">
      <c r="B64" s="59">
        <v>534</v>
      </c>
      <c r="C64" t="s">
        <v>116</v>
      </c>
      <c r="D64" s="15">
        <f ca="1">OFFSET(DATA!$B$3,$B64,$B$1)</f>
        <v>7243.8838759999999</v>
      </c>
      <c r="E64" s="15">
        <f ca="1">OFFSET(DATA!$B$3,$B64,$B$1-1)</f>
        <v>6864.7090600000001</v>
      </c>
      <c r="F64" s="60">
        <f t="shared" ref="F64:G64" ca="1" si="27">D64/D28*1000</f>
        <v>127.85646586107919</v>
      </c>
      <c r="G64" s="16">
        <f t="shared" ca="1" si="27"/>
        <v>124.93456691048293</v>
      </c>
    </row>
    <row r="65" spans="2:7" x14ac:dyDescent="0.25">
      <c r="B65" s="59"/>
      <c r="C65" t="s">
        <v>33</v>
      </c>
    </row>
    <row r="66" spans="2:7" x14ac:dyDescent="0.25">
      <c r="B66" s="59"/>
      <c r="C66" s="109" t="str">
        <f>C57</f>
        <v>Month</v>
      </c>
      <c r="D66" s="109">
        <f t="shared" ref="D66:E66" si="28">D57</f>
        <v>11</v>
      </c>
      <c r="E66" s="109">
        <f t="shared" si="28"/>
        <v>10</v>
      </c>
      <c r="F66" s="109" t="str">
        <f>"@"&amp;D66</f>
        <v>@11</v>
      </c>
      <c r="G66" s="109" t="str">
        <f>"@"&amp;E66</f>
        <v>@10</v>
      </c>
    </row>
    <row r="67" spans="2:7" x14ac:dyDescent="0.25">
      <c r="B67" s="59">
        <v>559</v>
      </c>
      <c r="C67" t="s">
        <v>110</v>
      </c>
      <c r="D67" s="15">
        <f ca="1">OFFSET(DATA!$B$3,$B67,$B$1)</f>
        <v>1738.329236</v>
      </c>
      <c r="E67" s="15">
        <f ca="1">OFFSET(DATA!$B$3,$B67,$B$1-1)</f>
        <v>1635.7165709999999</v>
      </c>
      <c r="F67" s="60">
        <f ca="1">D67/D22*1000</f>
        <v>38.230648487162384</v>
      </c>
      <c r="G67" s="16">
        <f ca="1">E67/E22*1000</f>
        <v>34.259338512639928</v>
      </c>
    </row>
    <row r="68" spans="2:7" x14ac:dyDescent="0.25">
      <c r="B68" s="59">
        <v>560</v>
      </c>
      <c r="C68" t="s">
        <v>114</v>
      </c>
      <c r="D68" s="15">
        <f ca="1">OFFSET(DATA!$B$3,$B68,$B$1)</f>
        <v>1124.841541</v>
      </c>
      <c r="E68" s="15">
        <f ca="1">OFFSET(DATA!$B$3,$B68,$B$1-1)</f>
        <v>735.07382099999995</v>
      </c>
      <c r="F68" s="60">
        <f t="shared" ref="F68:G68" ca="1" si="29">D68/D23*1000</f>
        <v>55.83673030634111</v>
      </c>
      <c r="G68" s="16">
        <f t="shared" ca="1" si="29"/>
        <v>33.000006329977694</v>
      </c>
    </row>
    <row r="69" spans="2:7" x14ac:dyDescent="0.25">
      <c r="B69" s="59">
        <v>561</v>
      </c>
      <c r="C69" t="s">
        <v>111</v>
      </c>
      <c r="D69" s="15">
        <f ca="1">OFFSET(DATA!$B$3,$B69,$B$1)</f>
        <v>4040.983123</v>
      </c>
      <c r="E69" s="15">
        <f ca="1">OFFSET(DATA!$B$3,$B69,$B$1-1)</f>
        <v>4064.9885260000001</v>
      </c>
      <c r="F69" s="60">
        <f t="shared" ref="F69:G69" ca="1" si="30">D69/D24*1000</f>
        <v>64.104767441177955</v>
      </c>
      <c r="G69" s="16">
        <f t="shared" ca="1" si="30"/>
        <v>65.471788803036219</v>
      </c>
    </row>
    <row r="70" spans="2:7" x14ac:dyDescent="0.25">
      <c r="B70" s="59">
        <v>562</v>
      </c>
      <c r="C70" t="s">
        <v>112</v>
      </c>
      <c r="D70" s="15">
        <f ca="1">OFFSET(DATA!$B$3,$B70,$B$1)</f>
        <v>1539.8139939999999</v>
      </c>
      <c r="E70" s="15">
        <f ca="1">OFFSET(DATA!$B$3,$B70,$B$1-1)</f>
        <v>1419.425915</v>
      </c>
      <c r="F70" s="60">
        <f t="shared" ref="F70:G70" ca="1" si="31">D70/D25*1000</f>
        <v>39.732798045529478</v>
      </c>
      <c r="G70" s="16">
        <f t="shared" ca="1" si="31"/>
        <v>35.580576854046598</v>
      </c>
    </row>
    <row r="71" spans="2:7" x14ac:dyDescent="0.25">
      <c r="B71" s="59">
        <v>563</v>
      </c>
      <c r="C71" t="s">
        <v>113</v>
      </c>
      <c r="D71" s="15">
        <f ca="1">OFFSET(DATA!$B$3,$B71,$B$1)</f>
        <v>2741.1138839999999</v>
      </c>
      <c r="E71" s="15">
        <f ca="1">OFFSET(DATA!$B$3,$B71,$B$1-1)</f>
        <v>3001.305194</v>
      </c>
      <c r="F71" s="60">
        <f t="shared" ref="F71:G71" ca="1" si="32">D71/D26*1000</f>
        <v>69.139864538410933</v>
      </c>
      <c r="G71" s="16">
        <f t="shared" ca="1" si="32"/>
        <v>75.324049180774267</v>
      </c>
    </row>
    <row r="72" spans="2:7" x14ac:dyDescent="0.25">
      <c r="B72" s="59">
        <v>564</v>
      </c>
      <c r="C72" t="s">
        <v>115</v>
      </c>
      <c r="D72" s="15">
        <f ca="1">OFFSET(DATA!$B$3,$B72,$B$1)</f>
        <v>3737.5483880000002</v>
      </c>
      <c r="E72" s="15">
        <f ca="1">OFFSET(DATA!$B$3,$B72,$B$1-1)</f>
        <v>4010.2044889999997</v>
      </c>
      <c r="F72" s="60">
        <f t="shared" ref="F72:G72" ca="1" si="33">D72/D27*1000</f>
        <v>63.516774847716782</v>
      </c>
      <c r="G72" s="16">
        <f t="shared" ca="1" si="33"/>
        <v>67.557455680104624</v>
      </c>
    </row>
    <row r="73" spans="2:7" x14ac:dyDescent="0.25">
      <c r="B73" s="59">
        <v>565</v>
      </c>
      <c r="C73" t="s">
        <v>116</v>
      </c>
      <c r="D73" s="15">
        <f ca="1">OFFSET(DATA!$B$3,$B73,$B$1)</f>
        <v>3973.3755550000001</v>
      </c>
      <c r="E73" s="15">
        <f ca="1">OFFSET(DATA!$B$3,$B73,$B$1-1)</f>
        <v>3925.9040089999999</v>
      </c>
      <c r="F73" s="60">
        <f t="shared" ref="F73:G73" ca="1" si="34">D73/D28*1000</f>
        <v>70.131129197729294</v>
      </c>
      <c r="G73" s="16">
        <f t="shared" ca="1" si="34"/>
        <v>71.449658362730901</v>
      </c>
    </row>
    <row r="74" spans="2:7" x14ac:dyDescent="0.25">
      <c r="B74" s="59"/>
      <c r="C74" t="s">
        <v>85</v>
      </c>
      <c r="D74" t="s">
        <v>142</v>
      </c>
    </row>
    <row r="75" spans="2:7" x14ac:dyDescent="0.25">
      <c r="B75" s="59"/>
      <c r="C75" s="109" t="str">
        <f>C66</f>
        <v>Month</v>
      </c>
      <c r="D75" s="109">
        <f t="shared" ref="D75:E75" si="35">D66</f>
        <v>11</v>
      </c>
      <c r="E75" s="109">
        <f t="shared" si="35"/>
        <v>10</v>
      </c>
    </row>
    <row r="76" spans="2:7" x14ac:dyDescent="0.25">
      <c r="B76" s="59">
        <v>373</v>
      </c>
      <c r="C76" t="s">
        <v>110</v>
      </c>
      <c r="D76" s="15">
        <f ca="1">OFFSET(DATA!$B$3,$B76,$B$1)</f>
        <v>45469.520000000004</v>
      </c>
      <c r="E76" s="15">
        <f ca="1">OFFSET(DATA!$B$3,$B76,$B$1-1)</f>
        <v>47745.13</v>
      </c>
    </row>
    <row r="77" spans="2:7" x14ac:dyDescent="0.25">
      <c r="B77" s="59">
        <v>374</v>
      </c>
      <c r="C77" t="s">
        <v>114</v>
      </c>
      <c r="D77" s="15">
        <f ca="1">OFFSET(DATA!$B$3,$B77,$B$1)</f>
        <v>20145.190000000002</v>
      </c>
      <c r="E77" s="15">
        <f ca="1">OFFSET(DATA!$B$3,$B77,$B$1-1)</f>
        <v>22274.959999999999</v>
      </c>
    </row>
    <row r="78" spans="2:7" x14ac:dyDescent="0.25">
      <c r="B78" s="59">
        <v>375</v>
      </c>
      <c r="C78" t="s">
        <v>111</v>
      </c>
      <c r="D78" s="15">
        <f ca="1">OFFSET(DATA!$B$3,$B78,$B$1)</f>
        <v>63037.17</v>
      </c>
      <c r="E78" s="15">
        <f ca="1">OFFSET(DATA!$B$3,$B78,$B$1-1)</f>
        <v>62087.635000000002</v>
      </c>
    </row>
    <row r="79" spans="2:7" x14ac:dyDescent="0.25">
      <c r="B79" s="59">
        <v>376</v>
      </c>
      <c r="C79" t="s">
        <v>112</v>
      </c>
      <c r="D79" s="15">
        <f ca="1">OFFSET(DATA!$B$3,$B79,$B$1)</f>
        <v>38754.230000000003</v>
      </c>
      <c r="E79" s="15">
        <f ca="1">OFFSET(DATA!$B$3,$B79,$B$1-1)</f>
        <v>39893.279999999999</v>
      </c>
    </row>
    <row r="80" spans="2:7" x14ac:dyDescent="0.25">
      <c r="B80" s="59">
        <v>377</v>
      </c>
      <c r="C80" t="s">
        <v>113</v>
      </c>
      <c r="D80" s="15">
        <f ca="1">OFFSET(DATA!$B$3,$B80,$B$1)</f>
        <v>39645.925000000003</v>
      </c>
      <c r="E80" s="15">
        <f ca="1">OFFSET(DATA!$B$3,$B80,$B$1-1)</f>
        <v>39845.245000000003</v>
      </c>
    </row>
    <row r="81" spans="2:5" x14ac:dyDescent="0.25">
      <c r="B81" s="59">
        <v>378</v>
      </c>
      <c r="C81" t="s">
        <v>115</v>
      </c>
      <c r="D81" s="15">
        <f ca="1">OFFSET(DATA!$B$3,$B81,$B$1)</f>
        <v>58843.485000000001</v>
      </c>
      <c r="E81" s="15">
        <f ca="1">OFFSET(DATA!$B$3,$B81,$B$1-1)</f>
        <v>59359.91</v>
      </c>
    </row>
    <row r="82" spans="2:5" x14ac:dyDescent="0.25">
      <c r="B82" s="59">
        <v>379</v>
      </c>
      <c r="C82" t="s">
        <v>116</v>
      </c>
      <c r="D82" s="15">
        <f ca="1">OFFSET(DATA!$B$3,$B82,$B$1)</f>
        <v>56656.375</v>
      </c>
      <c r="E82" s="15">
        <f ca="1">OFFSET(DATA!$B$3,$B82,$B$1-1)</f>
        <v>54946.434999999998</v>
      </c>
    </row>
    <row r="83" spans="2:5" x14ac:dyDescent="0.25">
      <c r="B83" s="59"/>
      <c r="C83" t="s">
        <v>137</v>
      </c>
    </row>
    <row r="84" spans="2:5" x14ac:dyDescent="0.25">
      <c r="B84" s="59"/>
      <c r="C84" s="109" t="str">
        <f>C75</f>
        <v>Month</v>
      </c>
      <c r="D84" s="109">
        <f t="shared" ref="D84:E84" si="36">D75</f>
        <v>11</v>
      </c>
      <c r="E84" s="109">
        <f t="shared" si="36"/>
        <v>10</v>
      </c>
    </row>
    <row r="85" spans="2:5" x14ac:dyDescent="0.25">
      <c r="B85" s="59">
        <v>435</v>
      </c>
      <c r="C85" t="s">
        <v>110</v>
      </c>
      <c r="D85" s="15">
        <f ca="1">OFFSET(DATA!$B$3,$B85,$B$1)</f>
        <v>48000</v>
      </c>
      <c r="E85" s="15">
        <f ca="1">OFFSET(DATA!$B$3,$B85,$B$1-1)</f>
        <v>48000</v>
      </c>
    </row>
    <row r="86" spans="2:5" x14ac:dyDescent="0.25">
      <c r="B86" s="59">
        <v>436</v>
      </c>
      <c r="C86" t="s">
        <v>114</v>
      </c>
      <c r="D86" s="15">
        <f ca="1">OFFSET(DATA!$B$3,$B86,$B$1)</f>
        <v>24000</v>
      </c>
      <c r="E86" s="15">
        <f ca="1">OFFSET(DATA!$B$3,$B86,$B$1-1)</f>
        <v>24000</v>
      </c>
    </row>
    <row r="87" spans="2:5" x14ac:dyDescent="0.25">
      <c r="B87" s="59">
        <v>437</v>
      </c>
      <c r="C87" t="s">
        <v>111</v>
      </c>
      <c r="D87" s="15">
        <f ca="1">OFFSET(DATA!$B$3,$B87,$B$1)</f>
        <v>65000</v>
      </c>
      <c r="E87" s="15">
        <f ca="1">OFFSET(DATA!$B$3,$B87,$B$1-1)</f>
        <v>65000</v>
      </c>
    </row>
    <row r="88" spans="2:5" x14ac:dyDescent="0.25">
      <c r="B88" s="59">
        <v>438</v>
      </c>
      <c r="C88" t="s">
        <v>112</v>
      </c>
      <c r="D88" s="15">
        <f ca="1">OFFSET(DATA!$B$3,$B88,$B$1)</f>
        <v>45000</v>
      </c>
      <c r="E88" s="15">
        <f ca="1">OFFSET(DATA!$B$3,$B88,$B$1-1)</f>
        <v>45000</v>
      </c>
    </row>
    <row r="89" spans="2:5" x14ac:dyDescent="0.25">
      <c r="B89" s="59">
        <v>439</v>
      </c>
      <c r="C89" t="s">
        <v>113</v>
      </c>
      <c r="D89" s="15">
        <f ca="1">OFFSET(DATA!$B$3,$B89,$B$1)</f>
        <v>40000</v>
      </c>
      <c r="E89" s="15">
        <f ca="1">OFFSET(DATA!$B$3,$B89,$B$1-1)</f>
        <v>40000</v>
      </c>
    </row>
    <row r="90" spans="2:5" x14ac:dyDescent="0.25">
      <c r="B90" s="59">
        <v>440</v>
      </c>
      <c r="C90" t="s">
        <v>115</v>
      </c>
      <c r="D90" s="15">
        <f ca="1">OFFSET(DATA!$B$3,$B90,$B$1)</f>
        <v>60000</v>
      </c>
      <c r="E90" s="15">
        <f ca="1">OFFSET(DATA!$B$3,$B90,$B$1-1)</f>
        <v>60000</v>
      </c>
    </row>
    <row r="91" spans="2:5" x14ac:dyDescent="0.25">
      <c r="B91" s="59">
        <v>441</v>
      </c>
      <c r="C91" t="s">
        <v>116</v>
      </c>
      <c r="D91" s="15">
        <f ca="1">OFFSET(DATA!$B$3,$B91,$B$1)</f>
        <v>60000</v>
      </c>
      <c r="E91" s="15">
        <f ca="1">OFFSET(DATA!$B$3,$B91,$B$1-1)</f>
        <v>60000</v>
      </c>
    </row>
    <row r="92" spans="2:5" x14ac:dyDescent="0.25">
      <c r="B92" s="59"/>
      <c r="C92" t="s">
        <v>138</v>
      </c>
    </row>
    <row r="93" spans="2:5" x14ac:dyDescent="0.25">
      <c r="B93" s="59"/>
      <c r="C93" t="s">
        <v>110</v>
      </c>
      <c r="D93" s="79">
        <f ca="1">D76/D85</f>
        <v>0.9472816666666668</v>
      </c>
      <c r="E93" s="25">
        <f ca="1">E76/E85</f>
        <v>0.99469020833333333</v>
      </c>
    </row>
    <row r="94" spans="2:5" x14ac:dyDescent="0.25">
      <c r="B94" s="59"/>
      <c r="C94" t="s">
        <v>114</v>
      </c>
      <c r="D94" s="79">
        <f t="shared" ref="D94:E99" ca="1" si="37">D77/D86</f>
        <v>0.83938291666666676</v>
      </c>
      <c r="E94" s="25">
        <f t="shared" ca="1" si="37"/>
        <v>0.9281233333333333</v>
      </c>
    </row>
    <row r="95" spans="2:5" x14ac:dyDescent="0.25">
      <c r="B95" s="59"/>
      <c r="C95" t="s">
        <v>111</v>
      </c>
      <c r="D95" s="79">
        <f t="shared" ca="1" si="37"/>
        <v>0.96980261538461532</v>
      </c>
      <c r="E95" s="25">
        <f t="shared" ca="1" si="37"/>
        <v>0.95519438461538464</v>
      </c>
    </row>
    <row r="96" spans="2:5" x14ac:dyDescent="0.25">
      <c r="B96" s="59"/>
      <c r="C96" t="s">
        <v>112</v>
      </c>
      <c r="D96" s="79">
        <f t="shared" ca="1" si="37"/>
        <v>0.8612051111111112</v>
      </c>
      <c r="E96" s="25">
        <f t="shared" ca="1" si="37"/>
        <v>0.88651733333333327</v>
      </c>
    </row>
    <row r="97" spans="2:5" x14ac:dyDescent="0.25">
      <c r="B97" s="59"/>
      <c r="C97" t="s">
        <v>113</v>
      </c>
      <c r="D97" s="79">
        <f t="shared" ca="1" si="37"/>
        <v>0.99114812500000005</v>
      </c>
      <c r="E97" s="25">
        <f t="shared" ca="1" si="37"/>
        <v>0.99613112500000012</v>
      </c>
    </row>
    <row r="98" spans="2:5" x14ac:dyDescent="0.25">
      <c r="B98" s="59"/>
      <c r="C98" t="s">
        <v>115</v>
      </c>
      <c r="D98" s="79">
        <f t="shared" ca="1" si="37"/>
        <v>0.98072475000000003</v>
      </c>
      <c r="E98" s="25">
        <f t="shared" ca="1" si="37"/>
        <v>0.98933183333333341</v>
      </c>
    </row>
    <row r="99" spans="2:5" x14ac:dyDescent="0.25">
      <c r="B99" s="59"/>
      <c r="C99" t="s">
        <v>116</v>
      </c>
      <c r="D99" s="79">
        <f t="shared" ca="1" si="37"/>
        <v>0.94427291666666668</v>
      </c>
      <c r="E99" s="25">
        <f t="shared" ca="1" si="37"/>
        <v>0.91577391666666663</v>
      </c>
    </row>
    <row r="100" spans="2:5" x14ac:dyDescent="0.25">
      <c r="B100" s="59"/>
    </row>
    <row r="101" spans="2:5" x14ac:dyDescent="0.25">
      <c r="B101" s="59"/>
    </row>
    <row r="102" spans="2:5" x14ac:dyDescent="0.25">
      <c r="B102" s="59"/>
    </row>
    <row r="103" spans="2:5" x14ac:dyDescent="0.25">
      <c r="B103" s="59"/>
    </row>
    <row r="104" spans="2:5" x14ac:dyDescent="0.25">
      <c r="B104" s="59"/>
    </row>
    <row r="105" spans="2:5" x14ac:dyDescent="0.25">
      <c r="B105" s="59"/>
    </row>
    <row r="106" spans="2:5" x14ac:dyDescent="0.25">
      <c r="B106" s="59"/>
    </row>
    <row r="107" spans="2:5" x14ac:dyDescent="0.25">
      <c r="B107" s="59"/>
    </row>
    <row r="108" spans="2:5" x14ac:dyDescent="0.25">
      <c r="B108" s="59"/>
    </row>
    <row r="109" spans="2:5" x14ac:dyDescent="0.25">
      <c r="B109" s="59"/>
    </row>
    <row r="110" spans="2:5" x14ac:dyDescent="0.25">
      <c r="B110" s="59"/>
    </row>
    <row r="111" spans="2:5" x14ac:dyDescent="0.25">
      <c r="B111" s="59"/>
    </row>
    <row r="112" spans="2:5" x14ac:dyDescent="0.25">
      <c r="B112" s="59"/>
    </row>
    <row r="113" spans="2:2" x14ac:dyDescent="0.25">
      <c r="B113" s="59"/>
    </row>
    <row r="114" spans="2:2" x14ac:dyDescent="0.25">
      <c r="B114" s="59"/>
    </row>
    <row r="115" spans="2:2" x14ac:dyDescent="0.25">
      <c r="B115" s="59"/>
    </row>
    <row r="116" spans="2:2" x14ac:dyDescent="0.25">
      <c r="B116" s="59"/>
    </row>
    <row r="117" spans="2:2" x14ac:dyDescent="0.25">
      <c r="B117" s="59"/>
    </row>
    <row r="118" spans="2:2" x14ac:dyDescent="0.25">
      <c r="B118" s="59"/>
    </row>
    <row r="119" spans="2:2" x14ac:dyDescent="0.25">
      <c r="B119" s="59"/>
    </row>
    <row r="120" spans="2:2" x14ac:dyDescent="0.25">
      <c r="B120" s="59"/>
    </row>
    <row r="121" spans="2:2" x14ac:dyDescent="0.25">
      <c r="B121" s="59"/>
    </row>
    <row r="122" spans="2:2" x14ac:dyDescent="0.25">
      <c r="B122" s="59"/>
    </row>
    <row r="123" spans="2:2" x14ac:dyDescent="0.25">
      <c r="B123" s="59"/>
    </row>
    <row r="124" spans="2:2" x14ac:dyDescent="0.25">
      <c r="B124" s="59"/>
    </row>
    <row r="125" spans="2:2" x14ac:dyDescent="0.25">
      <c r="B125" s="59"/>
    </row>
    <row r="126" spans="2:2" x14ac:dyDescent="0.25">
      <c r="B126" s="59"/>
    </row>
    <row r="127" spans="2:2" x14ac:dyDescent="0.25">
      <c r="B127" s="59"/>
    </row>
    <row r="128" spans="2:2" x14ac:dyDescent="0.25">
      <c r="B128" s="59"/>
    </row>
    <row r="129" spans="2:2" x14ac:dyDescent="0.25">
      <c r="B129" s="59"/>
    </row>
    <row r="130" spans="2:2" x14ac:dyDescent="0.25">
      <c r="B130" s="59"/>
    </row>
    <row r="131" spans="2:2" x14ac:dyDescent="0.25">
      <c r="B131" s="5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A6A6-2845-4ECC-ABE7-4A81EB1BE5B5}">
  <sheetPr codeName="Sheet3">
    <tabColor rgb="FF0000CC"/>
  </sheetPr>
  <dimension ref="A1:S57"/>
  <sheetViews>
    <sheetView showGridLines="0" tabSelected="1" topLeftCell="A4" zoomScaleNormal="100" workbookViewId="0">
      <selection activeCell="T6" sqref="T6"/>
    </sheetView>
  </sheetViews>
  <sheetFormatPr defaultRowHeight="14.25" x14ac:dyDescent="0.2"/>
  <cols>
    <col min="1" max="1" width="9.140625" style="1"/>
    <col min="2" max="2" width="9.28515625" style="1" bestFit="1" customWidth="1"/>
    <col min="3" max="3" width="12.5703125" style="1" customWidth="1"/>
    <col min="4" max="4" width="18.42578125" style="1" bestFit="1" customWidth="1"/>
    <col min="5" max="5" width="16.28515625" style="1" bestFit="1" customWidth="1"/>
    <col min="6" max="6" width="8.42578125" style="1" customWidth="1"/>
    <col min="7" max="7" width="9.140625" style="1" customWidth="1"/>
    <col min="8" max="8" width="6.28515625" style="1" bestFit="1" customWidth="1"/>
    <col min="9" max="9" width="9.140625" style="1" customWidth="1"/>
    <col min="10" max="10" width="12" style="1" customWidth="1"/>
    <col min="11" max="11" width="7" style="1" bestFit="1" customWidth="1"/>
    <col min="12" max="12" width="4.28515625" style="1" bestFit="1" customWidth="1"/>
    <col min="13" max="13" width="4.5703125" style="1" bestFit="1" customWidth="1"/>
    <col min="14" max="14" width="4.85546875" style="1" bestFit="1" customWidth="1"/>
    <col min="15" max="15" width="4.28515625" style="1" bestFit="1" customWidth="1"/>
    <col min="16" max="16" width="13.28515625" style="1" bestFit="1" customWidth="1"/>
    <col min="17" max="17" width="13.7109375" style="1" customWidth="1"/>
    <col min="18" max="18" width="3.140625" style="1" bestFit="1" customWidth="1"/>
    <col min="19" max="19" width="4.85546875" style="1" customWidth="1"/>
    <col min="20" max="23" width="11.7109375" style="1" customWidth="1"/>
    <col min="24" max="16384" width="9.140625" style="1"/>
  </cols>
  <sheetData>
    <row r="1" spans="1:19" ht="15" x14ac:dyDescent="0.25">
      <c r="A1" s="1" t="s">
        <v>48</v>
      </c>
      <c r="B1" s="82">
        <f>'S1'!B1</f>
        <v>11</v>
      </c>
      <c r="C1" s="1">
        <v>2018</v>
      </c>
      <c r="D1" s="1" t="str">
        <f>VLOOKUP(B1,TMonth[#All],6,0)</f>
        <v>Jan-Nov 2018</v>
      </c>
    </row>
    <row r="3" spans="1:19" ht="22.5" customHeight="1" x14ac:dyDescent="0.2">
      <c r="D3" s="146" t="s">
        <v>133</v>
      </c>
      <c r="E3" s="123" t="s">
        <v>134</v>
      </c>
      <c r="F3" s="123"/>
      <c r="G3" s="123" t="s">
        <v>135</v>
      </c>
      <c r="H3" s="123"/>
      <c r="I3" s="124"/>
    </row>
    <row r="4" spans="1:19" ht="15" x14ac:dyDescent="0.25">
      <c r="D4" s="47"/>
      <c r="E4" s="87" t="s">
        <v>56</v>
      </c>
      <c r="F4" s="126" t="s">
        <v>54</v>
      </c>
      <c r="G4" s="127" t="s">
        <v>154</v>
      </c>
      <c r="H4" s="128" t="s">
        <v>54</v>
      </c>
      <c r="I4" s="104" t="s">
        <v>136</v>
      </c>
      <c r="J4" s="105"/>
      <c r="K4" s="105"/>
      <c r="L4" s="105"/>
      <c r="M4" s="106"/>
      <c r="N4" s="106"/>
      <c r="O4" s="106"/>
      <c r="P4" s="137"/>
      <c r="Q4" s="138" t="s">
        <v>140</v>
      </c>
      <c r="R4" s="138"/>
      <c r="S4" s="139"/>
    </row>
    <row r="5" spans="1:19" ht="3.75" customHeight="1" x14ac:dyDescent="0.25">
      <c r="D5" s="49"/>
      <c r="E5" s="153"/>
      <c r="F5" s="131"/>
      <c r="G5" s="154"/>
      <c r="H5" s="155"/>
      <c r="I5" s="156"/>
      <c r="J5" s="157"/>
      <c r="K5" s="157"/>
      <c r="L5" s="157"/>
      <c r="M5" s="157"/>
      <c r="N5" s="157"/>
      <c r="O5" s="158"/>
      <c r="P5" s="140"/>
      <c r="Q5" s="159"/>
      <c r="R5" s="159"/>
      <c r="S5" s="160"/>
    </row>
    <row r="6" spans="1:19" ht="15" x14ac:dyDescent="0.25">
      <c r="D6" s="129" t="s">
        <v>105</v>
      </c>
      <c r="E6" s="132">
        <f ca="1">'4'!D15</f>
        <v>410239.16380300006</v>
      </c>
      <c r="F6" s="149">
        <f ca="1">'4'!G15</f>
        <v>-5.6304882948884416E-2</v>
      </c>
      <c r="G6" s="147">
        <f ca="1">'4'!H15</f>
        <v>120.45942273409624</v>
      </c>
      <c r="H6" s="151">
        <f ca="1">'4'!J15</f>
        <v>-5.806151681678088</v>
      </c>
      <c r="I6" s="49"/>
      <c r="J6" s="12"/>
      <c r="K6" s="131" t="s">
        <v>54</v>
      </c>
      <c r="L6" s="12"/>
      <c r="M6" s="12" t="s">
        <v>83</v>
      </c>
      <c r="N6" s="131" t="s">
        <v>54</v>
      </c>
      <c r="O6" s="27"/>
      <c r="P6" s="140"/>
      <c r="Q6" s="12"/>
      <c r="R6" s="12"/>
      <c r="S6" s="27"/>
    </row>
    <row r="7" spans="1:19" ht="15" customHeight="1" x14ac:dyDescent="0.25">
      <c r="D7" s="129" t="s">
        <v>109</v>
      </c>
      <c r="E7" s="132">
        <f ca="1">'4'!D16</f>
        <v>291353.15491900005</v>
      </c>
      <c r="F7" s="149">
        <f ca="1">'4'!G16</f>
        <v>7.5238755832221754E-2</v>
      </c>
      <c r="G7" s="147">
        <f ca="1">'4'!H16</f>
        <v>85.550663978424865</v>
      </c>
      <c r="H7" s="151">
        <f ca="1">'4'!J16</f>
        <v>6.8471063895894133</v>
      </c>
      <c r="I7" s="129" t="s">
        <v>4</v>
      </c>
      <c r="J7" s="132">
        <f ca="1">'4'!D4</f>
        <v>1111081.3564220001</v>
      </c>
      <c r="K7" s="133">
        <f ca="1">'4'!I4</f>
        <v>5.2365851767159785E-2</v>
      </c>
      <c r="L7" s="134" t="str">
        <f ca="1">'4'!J4</f>
        <v>▲</v>
      </c>
      <c r="M7" s="135">
        <f ca="1">'4'!F4</f>
        <v>326.24924827869881</v>
      </c>
      <c r="N7" s="135">
        <f ca="1">'4'!H4</f>
        <v>16.234201961058716</v>
      </c>
      <c r="O7" s="136" t="str">
        <f ca="1">'4'!J4</f>
        <v>▲</v>
      </c>
      <c r="P7" s="141" t="s">
        <v>137</v>
      </c>
      <c r="Q7" s="142">
        <f ca="1">'4'!D12</f>
        <v>3708000</v>
      </c>
      <c r="R7" s="12"/>
      <c r="S7" s="27"/>
    </row>
    <row r="8" spans="1:19" ht="15" customHeight="1" x14ac:dyDescent="0.25">
      <c r="D8" s="129" t="s">
        <v>106</v>
      </c>
      <c r="E8" s="132">
        <f ca="1">'4'!D17</f>
        <v>190667.09491499999</v>
      </c>
      <c r="F8" s="149">
        <f ca="1">'4'!G17</f>
        <v>5.3840769855225255E-2</v>
      </c>
      <c r="G8" s="147">
        <f ca="1">'4'!H17</f>
        <v>55.985996010067126</v>
      </c>
      <c r="H8" s="151">
        <f ca="1">'4'!J17</f>
        <v>3.4350786350989111</v>
      </c>
      <c r="I8" s="171" t="s">
        <v>131</v>
      </c>
      <c r="J8" s="132">
        <f ca="1">'4'!D5</f>
        <v>508497.50624400005</v>
      </c>
      <c r="K8" s="133">
        <f ca="1">'4'!I5</f>
        <v>4.120836789695026E-2</v>
      </c>
      <c r="L8" s="134" t="str">
        <f ca="1">'4'!J5</f>
        <v>▲</v>
      </c>
      <c r="M8" s="135">
        <f ca="1">'4'!F5</f>
        <v>149.31123468576016</v>
      </c>
      <c r="N8" s="135">
        <f ca="1">'4'!H5</f>
        <v>5.9093573196173566</v>
      </c>
      <c r="O8" s="136" t="str">
        <f ca="1">'4'!J5</f>
        <v>▲</v>
      </c>
      <c r="P8" s="141" t="s">
        <v>139</v>
      </c>
      <c r="Q8" s="142">
        <f ca="1">'4'!D10</f>
        <v>3405621.1999999997</v>
      </c>
      <c r="R8" s="12"/>
      <c r="S8" s="27"/>
    </row>
    <row r="9" spans="1:19" ht="15" customHeight="1" x14ac:dyDescent="0.25">
      <c r="D9" s="129" t="s">
        <v>107</v>
      </c>
      <c r="E9" s="132">
        <f ca="1">'4'!D18</f>
        <v>85530.304605999991</v>
      </c>
      <c r="F9" s="149">
        <f ca="1">'4'!G18</f>
        <v>4.5447603798518477E-2</v>
      </c>
      <c r="G9" s="147">
        <f ca="1">'4'!H18</f>
        <v>25.114450369876721</v>
      </c>
      <c r="H9" s="151">
        <f ca="1">'4'!J18</f>
        <v>1.3516677248705982</v>
      </c>
      <c r="I9" s="171" t="s">
        <v>130</v>
      </c>
      <c r="J9" s="132">
        <f ca="1">'4'!D6</f>
        <v>400664.59426500008</v>
      </c>
      <c r="K9" s="133">
        <f ca="1">'4'!I6</f>
        <v>8.243405353797037E-2</v>
      </c>
      <c r="L9" s="134" t="str">
        <f ca="1">'4'!J6</f>
        <v>▲</v>
      </c>
      <c r="M9" s="135">
        <f ca="1">'4'!F6</f>
        <v>117.64802094402046</v>
      </c>
      <c r="N9" s="135">
        <f ca="1">'4'!H6</f>
        <v>8.9596250463820439</v>
      </c>
      <c r="O9" s="136" t="str">
        <f ca="1">'4'!J6</f>
        <v>▲</v>
      </c>
      <c r="P9" s="141" t="s">
        <v>138</v>
      </c>
      <c r="Q9" s="143">
        <f ca="1">'4'!D13</f>
        <v>0.91845231930960081</v>
      </c>
      <c r="R9" s="134" t="str">
        <f ca="1">'4'!G13</f>
        <v>▼</v>
      </c>
      <c r="S9" s="144">
        <f ca="1">'4'!F13</f>
        <v>-3.8697702931155376E-2</v>
      </c>
    </row>
    <row r="10" spans="1:19" ht="15" customHeight="1" x14ac:dyDescent="0.25">
      <c r="D10" s="130" t="s">
        <v>108</v>
      </c>
      <c r="E10" s="95">
        <f ca="1">'4'!D19</f>
        <v>65880.053578999999</v>
      </c>
      <c r="F10" s="150">
        <f ca="1">'4'!G19</f>
        <v>0.15040465186081123</v>
      </c>
      <c r="G10" s="148">
        <f ca="1">'4'!H19</f>
        <v>19.344504191775645</v>
      </c>
      <c r="H10" s="152">
        <f ca="1">'4'!J19</f>
        <v>2.7110340506276778</v>
      </c>
      <c r="I10" s="172" t="s">
        <v>39</v>
      </c>
      <c r="J10" s="95">
        <f ca="1">'4'!D7</f>
        <v>201919.25591299997</v>
      </c>
      <c r="K10" s="173">
        <f ca="1">'4'!I7</f>
        <v>2.3568838047754306E-2</v>
      </c>
      <c r="L10" s="174" t="str">
        <f ca="1">'4'!J7</f>
        <v>▲</v>
      </c>
      <c r="M10" s="175">
        <f ca="1">'4'!F7</f>
        <v>59.289992648918201</v>
      </c>
      <c r="N10" s="175">
        <f ca="1">'4'!H7</f>
        <v>1.3652195950593224</v>
      </c>
      <c r="O10" s="176" t="str">
        <f ca="1">'4'!J7</f>
        <v>▲</v>
      </c>
      <c r="P10" s="145"/>
      <c r="Q10" s="30"/>
      <c r="R10" s="30"/>
      <c r="S10" s="31"/>
    </row>
    <row r="50" spans="3:14" x14ac:dyDescent="0.2">
      <c r="D50" s="1" t="s">
        <v>110</v>
      </c>
      <c r="E50" s="1" t="s">
        <v>114</v>
      </c>
      <c r="F50" s="1" t="s">
        <v>111</v>
      </c>
      <c r="G50" s="1" t="s">
        <v>112</v>
      </c>
      <c r="H50" s="1" t="s">
        <v>113</v>
      </c>
      <c r="I50" s="1" t="s">
        <v>115</v>
      </c>
      <c r="J50" s="1" t="s">
        <v>116</v>
      </c>
    </row>
    <row r="51" spans="3:14" x14ac:dyDescent="0.2">
      <c r="C51" s="1" t="s">
        <v>30</v>
      </c>
      <c r="D51" s="125">
        <f ca="1">'4'!F40</f>
        <v>106.48294887677729</v>
      </c>
      <c r="E51" s="125">
        <f ca="1">'4'!F41</f>
        <v>74.853681957690711</v>
      </c>
      <c r="F51" s="125">
        <f ca="1">'4'!F42</f>
        <v>100.0949786147122</v>
      </c>
      <c r="G51" s="125">
        <f ca="1">'4'!F43</f>
        <v>119.33194380401578</v>
      </c>
      <c r="H51" s="125">
        <f ca="1">'4'!F44</f>
        <v>106.77800051457596</v>
      </c>
      <c r="I51" s="125">
        <f ca="1">'4'!F45</f>
        <v>131.76329176440319</v>
      </c>
      <c r="J51" s="125">
        <f ca="1">'4'!F46</f>
        <v>132.19741661376594</v>
      </c>
      <c r="K51" s="125"/>
      <c r="L51" s="125"/>
      <c r="M51" s="125"/>
      <c r="N51" s="125"/>
    </row>
    <row r="52" spans="3:14" x14ac:dyDescent="0.2">
      <c r="C52" s="1" t="s">
        <v>130</v>
      </c>
      <c r="D52" s="125">
        <f ca="1">'4'!F49</f>
        <v>91.894527740598733</v>
      </c>
      <c r="E52" s="125">
        <f ca="1">'4'!F50</f>
        <v>147.65855274475825</v>
      </c>
      <c r="F52" s="125">
        <f ca="1">'4'!F51</f>
        <v>115.67669097145397</v>
      </c>
      <c r="G52" s="125">
        <f ca="1">'4'!F52</f>
        <v>85.030714162495073</v>
      </c>
      <c r="H52" s="125">
        <f ca="1">'4'!F53</f>
        <v>134.36830758905981</v>
      </c>
      <c r="I52" s="125">
        <f ca="1">'4'!F54</f>
        <v>104.69503917591237</v>
      </c>
      <c r="J52" s="125">
        <f ca="1">'4'!F55</f>
        <v>158.68008537457277</v>
      </c>
      <c r="K52" s="125"/>
      <c r="L52" s="125"/>
      <c r="M52" s="125"/>
      <c r="N52" s="125"/>
    </row>
    <row r="53" spans="3:14" ht="15" customHeight="1" x14ac:dyDescent="0.2">
      <c r="C53" s="1" t="s">
        <v>131</v>
      </c>
      <c r="D53" s="125">
        <f ca="1">'4'!F58</f>
        <v>147.47609161266701</v>
      </c>
      <c r="E53" s="125">
        <f ca="1">'4'!F59</f>
        <v>186.01188909358058</v>
      </c>
      <c r="F53" s="125">
        <f ca="1">'4'!F60</f>
        <v>142.62950964027186</v>
      </c>
      <c r="G53" s="125">
        <f ca="1">'4'!F61</f>
        <v>178.03317702812078</v>
      </c>
      <c r="H53" s="125">
        <f ca="1">'4'!F62</f>
        <v>135.09752945534456</v>
      </c>
      <c r="I53" s="125">
        <f ca="1">'4'!F63</f>
        <v>148.95573810849984</v>
      </c>
      <c r="J53" s="125">
        <f ca="1">'4'!F64</f>
        <v>133.08077091253472</v>
      </c>
      <c r="K53" s="125"/>
      <c r="L53" s="125"/>
      <c r="M53" s="125"/>
      <c r="N53" s="125"/>
    </row>
    <row r="54" spans="3:14" x14ac:dyDescent="0.2">
      <c r="C54" s="1" t="s">
        <v>39</v>
      </c>
      <c r="D54" s="125">
        <f ca="1">'4'!F67</f>
        <v>38.933061468429067</v>
      </c>
      <c r="E54" s="125">
        <f ca="1">'4'!F68</f>
        <v>42.428612511505506</v>
      </c>
      <c r="F54" s="125">
        <f ca="1">'4'!F69</f>
        <v>67.760120105609687</v>
      </c>
      <c r="G54" s="125">
        <f ca="1">'4'!F70</f>
        <v>37.811026104065029</v>
      </c>
      <c r="H54" s="125">
        <f ca="1">'4'!F71</f>
        <v>69.809182163877622</v>
      </c>
      <c r="I54" s="125">
        <f ca="1">'4'!F72</f>
        <v>65.362848993500904</v>
      </c>
      <c r="J54" s="125">
        <f ca="1">'4'!F73</f>
        <v>78.357857152614201</v>
      </c>
      <c r="K54" s="125"/>
      <c r="L54" s="125"/>
      <c r="M54" s="125"/>
      <c r="N54" s="125"/>
    </row>
    <row r="55" spans="3:14" x14ac:dyDescent="0.2">
      <c r="C55" s="1" t="s">
        <v>138</v>
      </c>
      <c r="D55" s="10">
        <f ca="1">'4'!$D$93</f>
        <v>0.94701531250000015</v>
      </c>
      <c r="E55" s="10">
        <f ca="1">'4'!$D$94</f>
        <v>0.88855214015151507</v>
      </c>
      <c r="F55" s="10">
        <f ca="1">'4'!$D$95</f>
        <v>0.97308035036496354</v>
      </c>
      <c r="G55" s="10">
        <f ca="1">'4'!$D$96</f>
        <v>0.90964005050505037</v>
      </c>
      <c r="H55" s="10">
        <f ca="1">'4'!$D$97</f>
        <v>1.0070838701923077</v>
      </c>
      <c r="I55" s="10">
        <f ca="1">'4'!$D$98</f>
        <v>0.86314150757575758</v>
      </c>
      <c r="J55" s="10">
        <f ca="1">'4'!$D$99</f>
        <v>0.847427818181818</v>
      </c>
    </row>
    <row r="56" spans="3:14" x14ac:dyDescent="0.2">
      <c r="C56" s="1" t="s">
        <v>4</v>
      </c>
      <c r="D56" s="125">
        <f ca="1">SUM(D52:D54)</f>
        <v>278.3036808216948</v>
      </c>
      <c r="E56" s="125">
        <f t="shared" ref="E56:J56" ca="1" si="0">SUM(E52:E54)</f>
        <v>376.09905434984432</v>
      </c>
      <c r="F56" s="125">
        <f t="shared" ca="1" si="0"/>
        <v>326.06632071733554</v>
      </c>
      <c r="G56" s="125">
        <f t="shared" ca="1" si="0"/>
        <v>300.87491729468087</v>
      </c>
      <c r="H56" s="125">
        <f t="shared" ca="1" si="0"/>
        <v>339.27501920828195</v>
      </c>
      <c r="I56" s="125">
        <f t="shared" ca="1" si="0"/>
        <v>319.01362627791309</v>
      </c>
      <c r="J56" s="125">
        <f t="shared" ca="1" si="0"/>
        <v>370.11871343972166</v>
      </c>
    </row>
    <row r="57" spans="3:14" x14ac:dyDescent="0.2">
      <c r="C57" s="1" t="s">
        <v>144</v>
      </c>
      <c r="D57" s="1">
        <v>5</v>
      </c>
      <c r="E57" s="1">
        <v>5</v>
      </c>
      <c r="F57" s="1">
        <v>5</v>
      </c>
      <c r="G57" s="1">
        <v>5</v>
      </c>
      <c r="H57" s="1">
        <v>5</v>
      </c>
      <c r="I57" s="1">
        <v>5</v>
      </c>
      <c r="J57" s="1">
        <v>5</v>
      </c>
    </row>
  </sheetData>
  <conditionalFormatting sqref="L7:L10">
    <cfRule type="expression" dxfId="5" priority="5">
      <formula>$K7&lt;0</formula>
    </cfRule>
    <cfRule type="expression" dxfId="4" priority="6">
      <formula>$K7&gt;0</formula>
    </cfRule>
  </conditionalFormatting>
  <conditionalFormatting sqref="O7:O10">
    <cfRule type="expression" dxfId="3" priority="3">
      <formula>$K7&lt;0</formula>
    </cfRule>
    <cfRule type="expression" dxfId="2" priority="4">
      <formula>$K7&gt;0</formula>
    </cfRule>
  </conditionalFormatting>
  <conditionalFormatting sqref="R9">
    <cfRule type="expression" dxfId="1" priority="1">
      <formula>$Q9&gt;0</formula>
    </cfRule>
    <cfRule type="expression" dxfId="0" priority="2">
      <formula>$Q9&lt;0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B8EF-0849-4CAF-B2FD-C5235767AED6}">
  <sheetPr codeName="Sheet4">
    <tabColor rgb="FF0000CC"/>
  </sheetPr>
  <dimension ref="A1:L131"/>
  <sheetViews>
    <sheetView showGridLines="0" topLeftCell="A82" workbookViewId="0">
      <selection activeCell="B3" sqref="B3"/>
    </sheetView>
  </sheetViews>
  <sheetFormatPr defaultRowHeight="15" x14ac:dyDescent="0.25"/>
  <cols>
    <col min="2" max="2" width="9.140625" style="82"/>
    <col min="3" max="3" width="13.140625" bestFit="1" customWidth="1"/>
    <col min="4" max="5" width="18.140625" bestFit="1" customWidth="1"/>
    <col min="6" max="6" width="18" bestFit="1" customWidth="1"/>
    <col min="7" max="7" width="16.28515625" bestFit="1" customWidth="1"/>
    <col min="8" max="8" width="16.28515625" customWidth="1"/>
    <col min="9" max="9" width="18" bestFit="1" customWidth="1"/>
    <col min="10" max="10" width="16.28515625" bestFit="1" customWidth="1"/>
    <col min="11" max="11" width="18" bestFit="1" customWidth="1"/>
    <col min="12" max="12" width="16.28515625" bestFit="1" customWidth="1"/>
    <col min="13" max="13" width="18" bestFit="1" customWidth="1"/>
    <col min="14" max="14" width="16.28515625" bestFit="1" customWidth="1"/>
    <col min="15" max="15" width="18" bestFit="1" customWidth="1"/>
    <col min="16" max="16" width="11" bestFit="1" customWidth="1"/>
  </cols>
  <sheetData>
    <row r="1" spans="1:12" x14ac:dyDescent="0.25">
      <c r="A1" t="s">
        <v>48</v>
      </c>
      <c r="B1" s="82">
        <f>'S1'!B1</f>
        <v>11</v>
      </c>
      <c r="C1">
        <v>2018</v>
      </c>
      <c r="D1" s="15"/>
      <c r="E1" s="59"/>
      <c r="F1" s="15"/>
      <c r="G1" s="113"/>
      <c r="H1" s="113"/>
    </row>
    <row r="2" spans="1:12" x14ac:dyDescent="0.25">
      <c r="B2" s="82" t="s">
        <v>84</v>
      </c>
      <c r="C2" t="s">
        <v>132</v>
      </c>
    </row>
    <row r="3" spans="1:12" x14ac:dyDescent="0.25">
      <c r="B3" s="59"/>
      <c r="C3" s="109" t="s">
        <v>26</v>
      </c>
      <c r="D3" s="109">
        <f>C1</f>
        <v>2018</v>
      </c>
      <c r="E3" s="109">
        <f>D3-1</f>
        <v>2017</v>
      </c>
      <c r="F3" s="109" t="str">
        <f>"@"&amp;D3</f>
        <v>@2018</v>
      </c>
      <c r="G3" s="109" t="str">
        <f>"@"&amp;E3</f>
        <v>@2017</v>
      </c>
      <c r="H3" s="109" t="s">
        <v>54</v>
      </c>
      <c r="I3" s="109" t="s">
        <v>1</v>
      </c>
      <c r="J3" s="109" t="s">
        <v>94</v>
      </c>
    </row>
    <row r="4" spans="1:12" x14ac:dyDescent="0.25">
      <c r="B4" s="59"/>
      <c r="C4" t="s">
        <v>4</v>
      </c>
      <c r="D4" s="81">
        <f ca="1">SUM(D5:D7)</f>
        <v>1111081.3564220001</v>
      </c>
      <c r="E4" s="20">
        <f ca="1">SUM(E5:E7)</f>
        <v>1067341.077795</v>
      </c>
      <c r="F4" s="81">
        <f ca="1">D4/$D$10*1000</f>
        <v>326.24924827869881</v>
      </c>
      <c r="G4" s="15">
        <f ca="1">E4/$E$10*1000</f>
        <v>310.0150463176401</v>
      </c>
      <c r="H4" s="186">
        <f ca="1">F4-G4</f>
        <v>16.234201961058716</v>
      </c>
      <c r="I4" s="79">
        <f ca="1">H4/G4</f>
        <v>5.2365851767159785E-2</v>
      </c>
      <c r="J4" s="79" t="str">
        <f ca="1">IF(I4&gt;0,SET!$I$2,SET!$H$2)</f>
        <v>▲</v>
      </c>
      <c r="K4" s="121"/>
      <c r="L4" s="25"/>
    </row>
    <row r="5" spans="1:12" x14ac:dyDescent="0.25">
      <c r="B5" s="59">
        <v>307</v>
      </c>
      <c r="C5" t="s">
        <v>131</v>
      </c>
      <c r="D5" s="62">
        <f ca="1">SUM(OFFSET(DATA!$B$3,$B5,1,,$B$1))</f>
        <v>508497.50624400005</v>
      </c>
      <c r="E5" s="15">
        <f ca="1">SUM(OFFSET(DATA!$B$3,$B5-1,1,,$B$1))</f>
        <v>493713.82506700006</v>
      </c>
      <c r="F5" s="81">
        <f t="shared" ref="F5:F7" ca="1" si="0">D5/$D$10*1000</f>
        <v>149.31123468576016</v>
      </c>
      <c r="G5" s="15">
        <f t="shared" ref="G5:G7" ca="1" si="1">E5/$E$10*1000</f>
        <v>143.4018773661428</v>
      </c>
      <c r="H5" s="186">
        <f t="shared" ref="H5:H7" ca="1" si="2">F5-G5</f>
        <v>5.9093573196173566</v>
      </c>
      <c r="I5" s="79">
        <f t="shared" ref="I5:I7" ca="1" si="3">H5/G5</f>
        <v>4.120836789695026E-2</v>
      </c>
      <c r="J5" s="79" t="str">
        <f ca="1">IF(I5&gt;0,SET!$I$2,SET!$H$2)</f>
        <v>▲</v>
      </c>
      <c r="K5" s="121"/>
      <c r="L5" s="25"/>
    </row>
    <row r="6" spans="1:12" x14ac:dyDescent="0.25">
      <c r="B6" s="59">
        <v>301</v>
      </c>
      <c r="C6" s="170" t="s">
        <v>130</v>
      </c>
      <c r="D6" s="62">
        <f ca="1">SUM(OFFSET(DATA!$B$3,$B6,1,,$B$1))</f>
        <v>400664.59426500008</v>
      </c>
      <c r="E6" s="15">
        <f ca="1">SUM(OFFSET(DATA!$B$3,$B6-1,1,,$B$1))</f>
        <v>374199.86868099996</v>
      </c>
      <c r="F6" s="81">
        <f t="shared" ca="1" si="0"/>
        <v>117.64802094402046</v>
      </c>
      <c r="G6" s="15">
        <f t="shared" ca="1" si="1"/>
        <v>108.68839589763842</v>
      </c>
      <c r="H6" s="186">
        <f t="shared" ca="1" si="2"/>
        <v>8.9596250463820439</v>
      </c>
      <c r="I6" s="79">
        <f t="shared" ca="1" si="3"/>
        <v>8.243405353797037E-2</v>
      </c>
      <c r="J6" s="79" t="str">
        <f ca="1">IF(I6&gt;0,SET!$I$2,SET!$H$2)</f>
        <v>▲</v>
      </c>
      <c r="K6" s="121"/>
      <c r="L6" s="25"/>
    </row>
    <row r="7" spans="1:12" x14ac:dyDescent="0.25">
      <c r="B7" s="59">
        <v>313</v>
      </c>
      <c r="C7" s="170" t="s">
        <v>42</v>
      </c>
      <c r="D7" s="62">
        <f ca="1">SUM(OFFSET(DATA!$B$3,$B7,1,,$B$1))</f>
        <v>201919.25591299997</v>
      </c>
      <c r="E7" s="15">
        <f ca="1">SUM(OFFSET(DATA!$B$3,$B7-1,1,,$B$1))</f>
        <v>199427.38404700003</v>
      </c>
      <c r="F7" s="81">
        <f t="shared" ca="1" si="0"/>
        <v>59.289992648918201</v>
      </c>
      <c r="G7" s="15">
        <f t="shared" ca="1" si="1"/>
        <v>57.924773053858878</v>
      </c>
      <c r="H7" s="186">
        <f t="shared" ca="1" si="2"/>
        <v>1.3652195950593224</v>
      </c>
      <c r="I7" s="79">
        <f t="shared" ca="1" si="3"/>
        <v>2.3568838047754306E-2</v>
      </c>
      <c r="J7" s="79" t="str">
        <f ca="1">IF(I7&gt;0,SET!$I$2,SET!$H$2)</f>
        <v>▲</v>
      </c>
    </row>
    <row r="9" spans="1:12" x14ac:dyDescent="0.25">
      <c r="B9" s="59"/>
      <c r="C9" s="109" t="str">
        <f>C3</f>
        <v>Year</v>
      </c>
      <c r="D9" s="109">
        <f>D3</f>
        <v>2018</v>
      </c>
      <c r="E9" s="109">
        <f>E3</f>
        <v>2017</v>
      </c>
    </row>
    <row r="10" spans="1:12" x14ac:dyDescent="0.25">
      <c r="B10" s="59">
        <v>127</v>
      </c>
      <c r="C10" t="s">
        <v>85</v>
      </c>
      <c r="D10" s="62">
        <f ca="1">SUM(OFFSET(DATA!$B$3,$B10,1,,$B$1))</f>
        <v>3405621.1999999997</v>
      </c>
      <c r="E10" s="15">
        <f ca="1">SUM(OFFSET(DATA!$B$3,$B10-1,1,,$B$1))</f>
        <v>3442868.63</v>
      </c>
    </row>
    <row r="11" spans="1:12" x14ac:dyDescent="0.25">
      <c r="B11" s="59"/>
      <c r="C11" s="109" t="str">
        <f>C9</f>
        <v>Year</v>
      </c>
      <c r="D11" s="109">
        <f t="shared" ref="D11:E11" si="4">D9</f>
        <v>2018</v>
      </c>
      <c r="E11" s="109">
        <f t="shared" si="4"/>
        <v>2017</v>
      </c>
      <c r="F11" s="109" t="s">
        <v>24</v>
      </c>
      <c r="G11" s="109" t="s">
        <v>94</v>
      </c>
    </row>
    <row r="12" spans="1:12" x14ac:dyDescent="0.25">
      <c r="B12" s="59">
        <v>435</v>
      </c>
      <c r="C12" t="s">
        <v>137</v>
      </c>
      <c r="D12" s="62">
        <f ca="1">SUM(OFFSET(DATA!$B$3,$B12,1,8,$B$1))</f>
        <v>3708000</v>
      </c>
      <c r="E12" s="15">
        <f ca="1">SUM(OFFSET(DATA!$B$3,$B12-10,1,8,$B$1))</f>
        <v>3597000</v>
      </c>
    </row>
    <row r="13" spans="1:12" x14ac:dyDescent="0.25">
      <c r="B13" s="59"/>
      <c r="C13" t="s">
        <v>138</v>
      </c>
      <c r="D13" s="79">
        <f ca="1">D10/D12</f>
        <v>0.91845231930960081</v>
      </c>
      <c r="E13" s="25">
        <f ca="1">E10/E12</f>
        <v>0.95715002224075618</v>
      </c>
      <c r="F13" s="80">
        <f ca="1">D13-E13</f>
        <v>-3.8697702931155376E-2</v>
      </c>
      <c r="G13" s="79" t="str">
        <f ca="1">IF(F13&gt;0,SET!$I$2,SET!$H$2)</f>
        <v>▼</v>
      </c>
    </row>
    <row r="14" spans="1:12" x14ac:dyDescent="0.25">
      <c r="B14" s="59"/>
      <c r="C14" s="109" t="str">
        <f>C11</f>
        <v>Year</v>
      </c>
      <c r="D14" s="109">
        <f t="shared" ref="D14:F14" si="5">D11</f>
        <v>2018</v>
      </c>
      <c r="E14" s="109">
        <f t="shared" si="5"/>
        <v>2017</v>
      </c>
      <c r="F14" s="109" t="str">
        <f t="shared" si="5"/>
        <v>Diff</v>
      </c>
      <c r="G14" s="109" t="s">
        <v>1</v>
      </c>
      <c r="H14" s="109" t="str">
        <f>"@ Ton"&amp;D14</f>
        <v>@ Ton2018</v>
      </c>
      <c r="I14" s="109" t="str">
        <f>"@ Ton"&amp;E14</f>
        <v>@ Ton2017</v>
      </c>
      <c r="J14" s="110" t="s">
        <v>141</v>
      </c>
    </row>
    <row r="15" spans="1:12" x14ac:dyDescent="0.25">
      <c r="B15" s="59">
        <v>319</v>
      </c>
      <c r="C15" t="s">
        <v>105</v>
      </c>
      <c r="D15" s="62">
        <f ca="1">SUM(OFFSET(DATA!$B$3,$B15,1,,$B$1))</f>
        <v>410239.16380300006</v>
      </c>
      <c r="E15" s="15">
        <f ca="1">SUM(OFFSET(DATA!$B$3,$B15-1,1,,$B$1))</f>
        <v>434715.78520499996</v>
      </c>
      <c r="F15" s="20">
        <f ca="1">D15-E15</f>
        <v>-24476.621401999902</v>
      </c>
      <c r="G15" s="79">
        <f ca="1">F15/E15</f>
        <v>-5.6304882948884416E-2</v>
      </c>
      <c r="H15" s="185">
        <f ca="1">D15/$D$10*1000</f>
        <v>120.45942273409624</v>
      </c>
      <c r="I15" s="121">
        <f ca="1">E15/$E$10*1000</f>
        <v>126.26557441577432</v>
      </c>
      <c r="J15" s="185">
        <f ca="1">H15-I15</f>
        <v>-5.806151681678088</v>
      </c>
    </row>
    <row r="16" spans="1:12" x14ac:dyDescent="0.25">
      <c r="B16" s="59">
        <v>343</v>
      </c>
      <c r="C16" t="s">
        <v>108</v>
      </c>
      <c r="D16" s="62">
        <f ca="1">SUM(OFFSET(DATA!$B$3,$B16,1,,$B$1))</f>
        <v>291353.15491900005</v>
      </c>
      <c r="E16" s="15">
        <f ca="1">SUM(OFFSET(DATA!$B$3,$B16-1,1,,$B$1))</f>
        <v>270966.00949199998</v>
      </c>
      <c r="F16" s="20">
        <f t="shared" ref="F16:F19" ca="1" si="6">D16-E16</f>
        <v>20387.145427000069</v>
      </c>
      <c r="G16" s="79">
        <f t="shared" ref="G16:G19" ca="1" si="7">F16/E16</f>
        <v>7.5238755832221754E-2</v>
      </c>
      <c r="H16" s="185">
        <f t="shared" ref="H16:H19" ca="1" si="8">D16/$D$10*1000</f>
        <v>85.550663978424865</v>
      </c>
      <c r="I16" s="121">
        <f t="shared" ref="I16:I19" ca="1" si="9">E16/$E$10*1000</f>
        <v>78.703557588835451</v>
      </c>
      <c r="J16" s="185">
        <f t="shared" ref="J16:J19" ca="1" si="10">H16-I16</f>
        <v>6.8471063895894133</v>
      </c>
    </row>
    <row r="17" spans="2:10" x14ac:dyDescent="0.25">
      <c r="B17" s="59">
        <v>325</v>
      </c>
      <c r="C17" t="s">
        <v>109</v>
      </c>
      <c r="D17" s="62">
        <f ca="1">SUM(OFFSET(DATA!$B$3,$B17,1,,$B$1))</f>
        <v>190667.09491499999</v>
      </c>
      <c r="E17" s="15">
        <f ca="1">SUM(OFFSET(DATA!$B$3,$B17-1,1,,$B$1))</f>
        <v>180925.904908</v>
      </c>
      <c r="F17" s="20">
        <f t="shared" ca="1" si="6"/>
        <v>9741.1900069999974</v>
      </c>
      <c r="G17" s="79">
        <f t="shared" ca="1" si="7"/>
        <v>5.3840769855225255E-2</v>
      </c>
      <c r="H17" s="185">
        <f t="shared" ca="1" si="8"/>
        <v>55.985996010067126</v>
      </c>
      <c r="I17" s="121">
        <f t="shared" ca="1" si="9"/>
        <v>52.550917374968215</v>
      </c>
      <c r="J17" s="185">
        <f t="shared" ca="1" si="10"/>
        <v>3.4350786350989111</v>
      </c>
    </row>
    <row r="18" spans="2:10" x14ac:dyDescent="0.25">
      <c r="B18" s="59">
        <v>337</v>
      </c>
      <c r="C18" t="s">
        <v>107</v>
      </c>
      <c r="D18" s="62">
        <f ca="1">SUM(OFFSET(DATA!$B$3,$B18,1,,$B$1))</f>
        <v>85530.304605999991</v>
      </c>
      <c r="E18" s="15">
        <f ca="1">SUM(OFFSET(DATA!$B$3,$B18-1,1,,$B$1))</f>
        <v>81812.138930000001</v>
      </c>
      <c r="F18" s="20">
        <f t="shared" ca="1" si="6"/>
        <v>3718.1656759999896</v>
      </c>
      <c r="G18" s="79">
        <f t="shared" ca="1" si="7"/>
        <v>4.5447603798518477E-2</v>
      </c>
      <c r="H18" s="185">
        <f t="shared" ca="1" si="8"/>
        <v>25.114450369876721</v>
      </c>
      <c r="I18" s="121">
        <f t="shared" ca="1" si="9"/>
        <v>23.762782645006123</v>
      </c>
      <c r="J18" s="185">
        <f t="shared" ca="1" si="10"/>
        <v>1.3516677248705982</v>
      </c>
    </row>
    <row r="19" spans="2:10" x14ac:dyDescent="0.25">
      <c r="B19" s="59">
        <v>331</v>
      </c>
      <c r="C19" t="s">
        <v>149</v>
      </c>
      <c r="D19" s="62">
        <f ca="1">SUM(OFFSET(DATA!$B$3,$B19,1,,$B$1))</f>
        <v>65880.053578999999</v>
      </c>
      <c r="E19" s="15">
        <f ca="1">SUM(OFFSET(DATA!$B$3,$B19-1,1,,$B$1))</f>
        <v>57266.852557000006</v>
      </c>
      <c r="F19" s="20">
        <f t="shared" ca="1" si="6"/>
        <v>8613.2010219999938</v>
      </c>
      <c r="G19" s="79">
        <f t="shared" ca="1" si="7"/>
        <v>0.15040465186081123</v>
      </c>
      <c r="H19" s="185">
        <f t="shared" ca="1" si="8"/>
        <v>19.344504191775645</v>
      </c>
      <c r="I19" s="121">
        <f t="shared" ca="1" si="9"/>
        <v>16.633470141147967</v>
      </c>
      <c r="J19" s="185">
        <f t="shared" ca="1" si="10"/>
        <v>2.7110340506276778</v>
      </c>
    </row>
    <row r="20" spans="2:10" x14ac:dyDescent="0.25">
      <c r="B20" s="59"/>
      <c r="C20" t="s">
        <v>85</v>
      </c>
      <c r="D20" s="15" t="s">
        <v>142</v>
      </c>
      <c r="E20" s="15"/>
      <c r="F20" s="20"/>
      <c r="G20" s="25"/>
      <c r="H20" s="121"/>
      <c r="I20" s="121"/>
      <c r="J20" s="121"/>
    </row>
    <row r="21" spans="2:10" x14ac:dyDescent="0.25">
      <c r="B21" s="59"/>
      <c r="C21" s="109" t="str">
        <f>C14</f>
        <v>Year</v>
      </c>
      <c r="D21" s="109">
        <f t="shared" ref="D21:E21" si="11">D14</f>
        <v>2018</v>
      </c>
      <c r="E21" s="109">
        <f t="shared" si="11"/>
        <v>2017</v>
      </c>
    </row>
    <row r="22" spans="2:10" x14ac:dyDescent="0.25">
      <c r="B22" s="59">
        <v>373</v>
      </c>
      <c r="C22" t="s">
        <v>110</v>
      </c>
      <c r="D22" s="15">
        <f ca="1">SUM(OFFSET(DATA!$B$3,$B22,1,,$B$1))</f>
        <v>500024.08500000008</v>
      </c>
      <c r="E22" s="15">
        <f ca="1">SUM(OFFSET(DATA!$B$3,$B22-10,1,,$B$1))</f>
        <v>522014.31999999995</v>
      </c>
    </row>
    <row r="23" spans="2:10" x14ac:dyDescent="0.25">
      <c r="B23" s="59">
        <v>374</v>
      </c>
      <c r="C23" t="s">
        <v>114</v>
      </c>
      <c r="D23" s="15">
        <f ca="1">SUM(OFFSET(DATA!$B$3,$B23,1,,$B$1))</f>
        <v>234577.76499999998</v>
      </c>
      <c r="E23" s="15">
        <f ca="1">SUM(OFFSET(DATA!$B$3,$B23-10,1,,$B$1))</f>
        <v>217788.82499999998</v>
      </c>
    </row>
    <row r="24" spans="2:10" x14ac:dyDescent="0.25">
      <c r="B24" s="59">
        <v>375</v>
      </c>
      <c r="C24" t="s">
        <v>111</v>
      </c>
      <c r="D24" s="15">
        <f ca="1">SUM(OFFSET(DATA!$B$3,$B24,1,,$B$1))</f>
        <v>666560.04</v>
      </c>
      <c r="E24" s="15">
        <f ca="1">SUM(OFFSET(DATA!$B$3,$B24-10,1,,$B$1))</f>
        <v>623216.63500000001</v>
      </c>
    </row>
    <row r="25" spans="2:10" x14ac:dyDescent="0.25">
      <c r="B25" s="59">
        <v>376</v>
      </c>
      <c r="C25" t="s">
        <v>112</v>
      </c>
      <c r="D25" s="15">
        <f ca="1">SUM(OFFSET(DATA!$B$3,$B25,1,,$B$1))</f>
        <v>450271.82499999995</v>
      </c>
      <c r="E25" s="15">
        <f ca="1">SUM(OFFSET(DATA!$B$3,$B25-10,1,,$B$1))</f>
        <v>428133.5199999999</v>
      </c>
    </row>
    <row r="26" spans="2:10" x14ac:dyDescent="0.25">
      <c r="B26" s="59">
        <v>377</v>
      </c>
      <c r="C26" t="s">
        <v>113</v>
      </c>
      <c r="D26" s="15">
        <f ca="1">SUM(OFFSET(DATA!$B$3,$B26,1,,$B$1))</f>
        <v>418946.89</v>
      </c>
      <c r="E26" s="15">
        <f ca="1">SUM(OFFSET(DATA!$B$3,$B26-10,1,,$B$1))</f>
        <v>351302.95999999996</v>
      </c>
    </row>
    <row r="27" spans="2:10" x14ac:dyDescent="0.25">
      <c r="B27" s="59">
        <v>378</v>
      </c>
      <c r="C27" t="s">
        <v>115</v>
      </c>
      <c r="D27" s="15">
        <f ca="1">SUM(OFFSET(DATA!$B$3,$B27,1,,$B$1))</f>
        <v>569673.39500000002</v>
      </c>
      <c r="E27" s="15">
        <f ca="1">SUM(OFFSET(DATA!$B$3,$B27-10,1,,$B$1))</f>
        <v>605405.14999999991</v>
      </c>
    </row>
    <row r="28" spans="2:10" x14ac:dyDescent="0.25">
      <c r="B28" s="59">
        <v>379</v>
      </c>
      <c r="C28" t="s">
        <v>116</v>
      </c>
      <c r="D28" s="15">
        <f ca="1">SUM(OFFSET(DATA!$B$3,$B28,1,,$B$1))</f>
        <v>559302.35999999987</v>
      </c>
      <c r="E28" s="15">
        <f ca="1">SUM(OFFSET(DATA!$B$3,$B28-10,1,,$B$1))</f>
        <v>586943.62</v>
      </c>
    </row>
    <row r="29" spans="2:10" x14ac:dyDescent="0.25">
      <c r="B29" s="59"/>
      <c r="C29" t="s">
        <v>85</v>
      </c>
      <c r="D29" s="20" t="s">
        <v>119</v>
      </c>
    </row>
    <row r="30" spans="2:10" x14ac:dyDescent="0.25">
      <c r="B30" s="59"/>
      <c r="C30" s="109" t="str">
        <f>C21</f>
        <v>Year</v>
      </c>
      <c r="D30" s="109">
        <f t="shared" ref="D30:E30" si="12">D21</f>
        <v>2018</v>
      </c>
      <c r="E30" s="109">
        <f t="shared" si="12"/>
        <v>2017</v>
      </c>
    </row>
    <row r="31" spans="2:10" x14ac:dyDescent="0.25">
      <c r="B31" s="59">
        <v>404</v>
      </c>
      <c r="C31" t="s">
        <v>110</v>
      </c>
      <c r="D31" s="15">
        <f ca="1">SUM(OFFSET(DATA!$B$3,$B31,1,,$B$1))</f>
        <v>127565.65999999999</v>
      </c>
      <c r="E31" s="15">
        <f ca="1">SUM(OFFSET(DATA!$B$3,$B31-10,1,,$B$1))</f>
        <v>125273.58</v>
      </c>
    </row>
    <row r="32" spans="2:10" x14ac:dyDescent="0.25">
      <c r="B32" s="59">
        <v>405</v>
      </c>
      <c r="C32" t="s">
        <v>114</v>
      </c>
      <c r="D32" s="15">
        <f ca="1">SUM(OFFSET(DATA!$B$3,$B32,1,,$B$1))</f>
        <v>11413.400000000001</v>
      </c>
      <c r="E32" s="15">
        <f ca="1">SUM(OFFSET(DATA!$B$3,$B32-10,1,,$B$1))</f>
        <v>0</v>
      </c>
    </row>
    <row r="33" spans="2:7" x14ac:dyDescent="0.25">
      <c r="B33" s="59">
        <v>406</v>
      </c>
      <c r="C33" t="s">
        <v>111</v>
      </c>
      <c r="D33" s="15">
        <f ca="1">SUM(OFFSET(DATA!$B$3,$B33,1,,$B$1))</f>
        <v>152650.66</v>
      </c>
      <c r="E33" s="15">
        <f ca="1">SUM(OFFSET(DATA!$B$3,$B33-10,1,,$B$1))</f>
        <v>96785.13</v>
      </c>
    </row>
    <row r="34" spans="2:7" x14ac:dyDescent="0.25">
      <c r="B34" s="59">
        <v>407</v>
      </c>
      <c r="C34" t="s">
        <v>112</v>
      </c>
      <c r="D34" s="15">
        <f ca="1">SUM(OFFSET(DATA!$B$3,$B34,1,,$B$1))</f>
        <v>1646.53</v>
      </c>
      <c r="E34" s="15">
        <f ca="1">SUM(OFFSET(DATA!$B$3,$B34-10,1,,$B$1))</f>
        <v>14.42</v>
      </c>
    </row>
    <row r="35" spans="2:7" x14ac:dyDescent="0.25">
      <c r="B35" s="59">
        <v>408</v>
      </c>
      <c r="C35" t="s">
        <v>113</v>
      </c>
      <c r="D35" s="15">
        <f ca="1">SUM(OFFSET(DATA!$B$3,$B35,1,,$B$1))</f>
        <v>0</v>
      </c>
      <c r="E35" s="15">
        <f ca="1">SUM(OFFSET(DATA!$B$3,$B35-10,1,,$B$1))</f>
        <v>0</v>
      </c>
    </row>
    <row r="36" spans="2:7" x14ac:dyDescent="0.25">
      <c r="B36" s="59">
        <v>409</v>
      </c>
      <c r="C36" t="s">
        <v>115</v>
      </c>
      <c r="D36" s="15">
        <f ca="1">SUM(OFFSET(DATA!$B$3,$B36,1,,$B$1))</f>
        <v>16956.5</v>
      </c>
      <c r="E36" s="15">
        <f ca="1">SUM(OFFSET(DATA!$B$3,$B36-10,1,,$B$1))</f>
        <v>13479.04</v>
      </c>
    </row>
    <row r="37" spans="2:7" x14ac:dyDescent="0.25">
      <c r="B37" s="59">
        <v>410</v>
      </c>
      <c r="C37" t="s">
        <v>116</v>
      </c>
      <c r="D37" s="15">
        <f ca="1">SUM(OFFSET(DATA!$B$3,$B37,1,,$B$1))</f>
        <v>3765.2199999999993</v>
      </c>
      <c r="E37" s="15">
        <f ca="1">SUM(OFFSET(DATA!$B$3,$B37-10,1,,$B$1))</f>
        <v>332.98</v>
      </c>
    </row>
    <row r="38" spans="2:7" x14ac:dyDescent="0.25">
      <c r="B38" s="59"/>
      <c r="C38" t="s">
        <v>30</v>
      </c>
      <c r="D38" s="20"/>
    </row>
    <row r="39" spans="2:7" x14ac:dyDescent="0.25">
      <c r="B39" s="59"/>
      <c r="C39" s="109" t="str">
        <f>C30</f>
        <v>Year</v>
      </c>
      <c r="D39" s="109">
        <f t="shared" ref="D39:E39" si="13">D30</f>
        <v>2018</v>
      </c>
      <c r="E39" s="109">
        <f t="shared" si="13"/>
        <v>2017</v>
      </c>
      <c r="F39" s="109" t="str">
        <f>"@"&amp;D39</f>
        <v>@2018</v>
      </c>
      <c r="G39" s="109" t="str">
        <f>"@"&amp;E39</f>
        <v>@2017</v>
      </c>
    </row>
    <row r="40" spans="2:7" x14ac:dyDescent="0.25">
      <c r="B40" s="59">
        <v>466</v>
      </c>
      <c r="C40" t="s">
        <v>110</v>
      </c>
      <c r="D40" s="15">
        <f ca="1">SUM(OFFSET(DATA!$B$3,$B40,1,,$B$1))</f>
        <v>39660.471427999997</v>
      </c>
      <c r="E40" s="15">
        <f ca="1">SUM(OFFSET(DATA!$B$3,$B40-10,1,,$B$1))</f>
        <v>42236.376354999993</v>
      </c>
      <c r="F40" s="60">
        <f ca="1">D40/(D22-D31)*1000</f>
        <v>106.48294887677729</v>
      </c>
      <c r="G40" s="16">
        <f ca="1">E40/(E22-E31)*1000</f>
        <v>106.4583797343323</v>
      </c>
    </row>
    <row r="41" spans="2:7" x14ac:dyDescent="0.25">
      <c r="B41" s="59">
        <v>467</v>
      </c>
      <c r="C41" t="s">
        <v>114</v>
      </c>
      <c r="D41" s="15">
        <f ca="1">SUM(OFFSET(DATA!$B$3,$B41,1,,$B$1))</f>
        <v>16704.674402000004</v>
      </c>
      <c r="E41" s="15">
        <f ca="1">SUM(OFFSET(DATA!$B$3,$B41-10,1,,$B$1))</f>
        <v>15585.310882999998</v>
      </c>
      <c r="F41" s="60">
        <f t="shared" ref="F41:G46" ca="1" si="14">D41/(D23-D32)*1000</f>
        <v>74.853681957690711</v>
      </c>
      <c r="G41" s="16">
        <f t="shared" ca="1" si="14"/>
        <v>71.561572927352913</v>
      </c>
    </row>
    <row r="42" spans="2:7" x14ac:dyDescent="0.25">
      <c r="B42" s="59">
        <v>468</v>
      </c>
      <c r="C42" t="s">
        <v>111</v>
      </c>
      <c r="D42" s="15">
        <f ca="1">SUM(OFFSET(DATA!$B$3,$B42,1,,$B$1))</f>
        <v>51439.748401000004</v>
      </c>
      <c r="E42" s="15">
        <f ca="1">SUM(OFFSET(DATA!$B$3,$B42-10,1,,$B$1))</f>
        <v>53816.116681999993</v>
      </c>
      <c r="F42" s="60">
        <f t="shared" ca="1" si="14"/>
        <v>100.0949786147122</v>
      </c>
      <c r="G42" s="16">
        <f t="shared" ca="1" si="14"/>
        <v>102.2281458667638</v>
      </c>
    </row>
    <row r="43" spans="2:7" x14ac:dyDescent="0.25">
      <c r="B43" s="59">
        <v>469</v>
      </c>
      <c r="C43" t="s">
        <v>112</v>
      </c>
      <c r="D43" s="15">
        <f ca="1">SUM(OFFSET(DATA!$B$3,$B43,1,,$B$1))</f>
        <v>53535.328491999993</v>
      </c>
      <c r="E43" s="15">
        <f ca="1">SUM(OFFSET(DATA!$B$3,$B43-10,1,,$B$1))</f>
        <v>52588.196655</v>
      </c>
      <c r="F43" s="60">
        <f t="shared" ca="1" si="14"/>
        <v>119.33194380401578</v>
      </c>
      <c r="G43" s="16">
        <f t="shared" ca="1" si="14"/>
        <v>122.83543680952336</v>
      </c>
    </row>
    <row r="44" spans="2:7" x14ac:dyDescent="0.25">
      <c r="B44" s="59">
        <v>470</v>
      </c>
      <c r="C44" t="s">
        <v>113</v>
      </c>
      <c r="D44" s="15">
        <f ca="1">SUM(OFFSET(DATA!$B$3,$B44,1,,$B$1))</f>
        <v>44734.311236000001</v>
      </c>
      <c r="E44" s="15">
        <f ca="1">SUM(OFFSET(DATA!$B$3,$B44-10,1,,$B$1))</f>
        <v>41392.881282000002</v>
      </c>
      <c r="F44" s="60">
        <f t="shared" ca="1" si="14"/>
        <v>106.77800051457596</v>
      </c>
      <c r="G44" s="16">
        <f t="shared" ca="1" si="14"/>
        <v>117.82673644992917</v>
      </c>
    </row>
    <row r="45" spans="2:7" x14ac:dyDescent="0.25">
      <c r="B45" s="59">
        <v>471</v>
      </c>
      <c r="C45" t="s">
        <v>115</v>
      </c>
      <c r="D45" s="15">
        <f ca="1">SUM(OFFSET(DATA!$B$3,$B45,1,,$B$1))</f>
        <v>72827.797499000008</v>
      </c>
      <c r="E45" s="15">
        <f ca="1">SUM(OFFSET(DATA!$B$3,$B45-10,1,,$B$1))</f>
        <v>81755.01211299999</v>
      </c>
      <c r="F45" s="60">
        <f t="shared" ca="1" si="14"/>
        <v>131.76329176440319</v>
      </c>
      <c r="G45" s="16">
        <f t="shared" ca="1" si="14"/>
        <v>138.11692157489051</v>
      </c>
    </row>
    <row r="46" spans="2:7" x14ac:dyDescent="0.25">
      <c r="B46" s="59">
        <v>472</v>
      </c>
      <c r="C46" t="s">
        <v>116</v>
      </c>
      <c r="D46" s="15">
        <f ca="1">SUM(OFFSET(DATA!$B$3,$B46,1,,$B$1))</f>
        <v>73440.574741000004</v>
      </c>
      <c r="E46" s="15">
        <f ca="1">SUM(OFFSET(DATA!$B$3,$B46-10,1,,$B$1))</f>
        <v>84313.661305999995</v>
      </c>
      <c r="F46" s="60">
        <f t="shared" ca="1" si="14"/>
        <v>132.19741661376594</v>
      </c>
      <c r="G46" s="16">
        <f t="shared" ca="1" si="14"/>
        <v>143.73019436878948</v>
      </c>
    </row>
    <row r="47" spans="2:7" x14ac:dyDescent="0.25">
      <c r="B47" s="59"/>
      <c r="C47" t="s">
        <v>31</v>
      </c>
      <c r="D47" s="20"/>
      <c r="F47" s="16"/>
    </row>
    <row r="48" spans="2:7" x14ac:dyDescent="0.25">
      <c r="B48" s="59"/>
      <c r="C48" s="109" t="str">
        <f>C39</f>
        <v>Year</v>
      </c>
      <c r="D48" s="109">
        <f t="shared" ref="D48:E48" si="15">D39</f>
        <v>2018</v>
      </c>
      <c r="E48" s="109">
        <f t="shared" si="15"/>
        <v>2017</v>
      </c>
      <c r="F48" s="109" t="str">
        <f>"@"&amp;D48</f>
        <v>@2018</v>
      </c>
      <c r="G48" s="109" t="str">
        <f>"@"&amp;E48</f>
        <v>@2017</v>
      </c>
    </row>
    <row r="49" spans="2:7" x14ac:dyDescent="0.25">
      <c r="B49" s="59">
        <v>497</v>
      </c>
      <c r="C49" t="s">
        <v>110</v>
      </c>
      <c r="D49" s="15">
        <f ca="1">SUM(OFFSET(DATA!$B$3,$B49,1,,$B$1))</f>
        <v>45949.477150000006</v>
      </c>
      <c r="E49" s="15">
        <f ca="1">SUM(OFFSET(DATA!$B$3,$B49-10,1,,$B$1))</f>
        <v>43266.573773000004</v>
      </c>
      <c r="F49" s="60">
        <f ca="1">D49/D22*1000</f>
        <v>91.894527740598733</v>
      </c>
      <c r="G49" s="16">
        <f ca="1">E49/E22*1000</f>
        <v>82.883882903825338</v>
      </c>
    </row>
    <row r="50" spans="2:7" x14ac:dyDescent="0.25">
      <c r="B50" s="59">
        <v>498</v>
      </c>
      <c r="C50" t="s">
        <v>114</v>
      </c>
      <c r="D50" s="15">
        <f ca="1">SUM(OFFSET(DATA!$B$3,$B50,1,,$B$1))</f>
        <v>34637.413286000003</v>
      </c>
      <c r="E50" s="15">
        <f ca="1">SUM(OFFSET(DATA!$B$3,$B50-10,1,,$B$1))</f>
        <v>30579.472441000002</v>
      </c>
      <c r="F50" s="60">
        <f t="shared" ref="F50:G55" ca="1" si="16">D50/D23*1000</f>
        <v>147.65855274475825</v>
      </c>
      <c r="G50" s="16">
        <f t="shared" ca="1" si="16"/>
        <v>140.40882235808013</v>
      </c>
    </row>
    <row r="51" spans="2:7" x14ac:dyDescent="0.25">
      <c r="B51" s="59">
        <v>499</v>
      </c>
      <c r="C51" t="s">
        <v>111</v>
      </c>
      <c r="D51" s="15">
        <f ca="1">SUM(OFFSET(DATA!$B$3,$B51,1,,$B$1))</f>
        <v>77105.459761000006</v>
      </c>
      <c r="E51" s="15">
        <f ca="1">SUM(OFFSET(DATA!$B$3,$B51-10,1,,$B$1))</f>
        <v>71734.646708</v>
      </c>
      <c r="F51" s="60">
        <f t="shared" ca="1" si="16"/>
        <v>115.67669097145397</v>
      </c>
      <c r="G51" s="16">
        <f t="shared" ca="1" si="16"/>
        <v>115.10387027457956</v>
      </c>
    </row>
    <row r="52" spans="2:7" x14ac:dyDescent="0.25">
      <c r="B52" s="59">
        <v>500</v>
      </c>
      <c r="C52" t="s">
        <v>112</v>
      </c>
      <c r="D52" s="15">
        <f ca="1">SUM(OFFSET(DATA!$B$3,$B52,1,,$B$1))</f>
        <v>38286.934846999997</v>
      </c>
      <c r="E52" s="15">
        <f ca="1">SUM(OFFSET(DATA!$B$3,$B52-10,1,,$B$1))</f>
        <v>36857.333503999995</v>
      </c>
      <c r="F52" s="60">
        <f t="shared" ca="1" si="16"/>
        <v>85.030714162495073</v>
      </c>
      <c r="G52" s="16">
        <f t="shared" ca="1" si="16"/>
        <v>86.08840883096471</v>
      </c>
    </row>
    <row r="53" spans="2:7" x14ac:dyDescent="0.25">
      <c r="B53" s="59">
        <v>501</v>
      </c>
      <c r="C53" t="s">
        <v>113</v>
      </c>
      <c r="D53" s="15">
        <f ca="1">SUM(OFFSET(DATA!$B$3,$B53,1,,$B$1))</f>
        <v>56293.184579000008</v>
      </c>
      <c r="E53" s="15">
        <f ca="1">SUM(OFFSET(DATA!$B$3,$B53-10,1,,$B$1))</f>
        <v>52783.224511000008</v>
      </c>
      <c r="F53" s="60">
        <f t="shared" ca="1" si="16"/>
        <v>134.36830758905981</v>
      </c>
      <c r="G53" s="16">
        <f t="shared" ca="1" si="16"/>
        <v>150.24987125357558</v>
      </c>
    </row>
    <row r="54" spans="2:7" x14ac:dyDescent="0.25">
      <c r="B54" s="59">
        <v>502</v>
      </c>
      <c r="C54" t="s">
        <v>115</v>
      </c>
      <c r="D54" s="15">
        <f ca="1">SUM(OFFSET(DATA!$B$3,$B54,1,,$B$1))</f>
        <v>59641.978407000002</v>
      </c>
      <c r="E54" s="15">
        <f ca="1">SUM(OFFSET(DATA!$B$3,$B54-10,1,,$B$1))</f>
        <v>54611.29107900001</v>
      </c>
      <c r="F54" s="60">
        <f t="shared" ca="1" si="16"/>
        <v>104.69503917591237</v>
      </c>
      <c r="G54" s="16">
        <f t="shared" ca="1" si="16"/>
        <v>90.206188498726874</v>
      </c>
    </row>
    <row r="55" spans="2:7" x14ac:dyDescent="0.25">
      <c r="B55" s="59">
        <v>503</v>
      </c>
      <c r="C55" t="s">
        <v>116</v>
      </c>
      <c r="D55" s="15">
        <f ca="1">SUM(OFFSET(DATA!$B$3,$B55,1,,$B$1))</f>
        <v>88750.146235000007</v>
      </c>
      <c r="E55" s="15">
        <f ca="1">SUM(OFFSET(DATA!$B$3,$B55-10,1,,$B$1))</f>
        <v>84367.326665000001</v>
      </c>
      <c r="F55" s="60">
        <f t="shared" ca="1" si="16"/>
        <v>158.68008537457277</v>
      </c>
      <c r="G55" s="16">
        <f t="shared" ca="1" si="16"/>
        <v>143.74008642431448</v>
      </c>
    </row>
    <row r="56" spans="2:7" x14ac:dyDescent="0.25">
      <c r="B56" s="59"/>
      <c r="C56" t="s">
        <v>32</v>
      </c>
    </row>
    <row r="57" spans="2:7" x14ac:dyDescent="0.25">
      <c r="B57" s="59"/>
      <c r="C57" s="109" t="str">
        <f>C48</f>
        <v>Year</v>
      </c>
      <c r="D57" s="109">
        <f t="shared" ref="D57:E57" si="17">D48</f>
        <v>2018</v>
      </c>
      <c r="E57" s="109">
        <f t="shared" si="17"/>
        <v>2017</v>
      </c>
      <c r="F57" s="109" t="str">
        <f>"@"&amp;D57</f>
        <v>@2018</v>
      </c>
      <c r="G57" s="109" t="str">
        <f>"@"&amp;E57</f>
        <v>@2017</v>
      </c>
    </row>
    <row r="58" spans="2:7" x14ac:dyDescent="0.25">
      <c r="B58" s="59">
        <v>528</v>
      </c>
      <c r="C58" t="s">
        <v>110</v>
      </c>
      <c r="D58" s="15">
        <f ca="1">SUM(OFFSET(DATA!$B$3,$B58,1,,$B$1))</f>
        <v>73741.597768000007</v>
      </c>
      <c r="E58" s="15">
        <f ca="1">SUM(OFFSET(DATA!$B$3,$B58-10,1,,$B$1))</f>
        <v>72609.034166999991</v>
      </c>
      <c r="F58" s="60">
        <f ca="1">D58/D22*1000</f>
        <v>147.47609161266701</v>
      </c>
      <c r="G58" s="16">
        <f ca="1">E58/E22*1000</f>
        <v>139.09395084602278</v>
      </c>
    </row>
    <row r="59" spans="2:7" x14ac:dyDescent="0.25">
      <c r="B59" s="59">
        <v>529</v>
      </c>
      <c r="C59" t="s">
        <v>114</v>
      </c>
      <c r="D59" s="15">
        <f ca="1">SUM(OFFSET(DATA!$B$3,$B59,1,,$B$1))</f>
        <v>43634.253207000002</v>
      </c>
      <c r="E59" s="15">
        <f ca="1">SUM(OFFSET(DATA!$B$3,$B59-10,1,,$B$1))</f>
        <v>38017.197675999996</v>
      </c>
      <c r="F59" s="60">
        <f t="shared" ref="F59:G64" ca="1" si="18">D59/D23*1000</f>
        <v>186.01188909358058</v>
      </c>
      <c r="G59" s="16">
        <f t="shared" ca="1" si="18"/>
        <v>174.55990993109955</v>
      </c>
    </row>
    <row r="60" spans="2:7" x14ac:dyDescent="0.25">
      <c r="B60" s="59">
        <v>530</v>
      </c>
      <c r="C60" t="s">
        <v>111</v>
      </c>
      <c r="D60" s="15">
        <f ca="1">SUM(OFFSET(DATA!$B$3,$B60,1,,$B$1))</f>
        <v>95071.131651000003</v>
      </c>
      <c r="E60" s="15">
        <f ca="1">SUM(OFFSET(DATA!$B$3,$B60-10,1,,$B$1))</f>
        <v>90575.574011000019</v>
      </c>
      <c r="F60" s="60">
        <f t="shared" ca="1" si="18"/>
        <v>142.62950964027186</v>
      </c>
      <c r="G60" s="16">
        <f t="shared" ca="1" si="18"/>
        <v>145.33561674103905</v>
      </c>
    </row>
    <row r="61" spans="2:7" x14ac:dyDescent="0.25">
      <c r="B61" s="59">
        <v>531</v>
      </c>
      <c r="C61" t="s">
        <v>112</v>
      </c>
      <c r="D61" s="15">
        <f ca="1">SUM(OFFSET(DATA!$B$3,$B61,1,,$B$1))</f>
        <v>80163.323531000002</v>
      </c>
      <c r="E61" s="15">
        <f ca="1">SUM(OFFSET(DATA!$B$3,$B61-10,1,,$B$1))</f>
        <v>72521.555713999987</v>
      </c>
      <c r="F61" s="60">
        <f t="shared" ca="1" si="18"/>
        <v>178.03317702812078</v>
      </c>
      <c r="G61" s="16">
        <f t="shared" ca="1" si="18"/>
        <v>169.39004382090897</v>
      </c>
    </row>
    <row r="62" spans="2:7" x14ac:dyDescent="0.25">
      <c r="B62" s="59">
        <v>532</v>
      </c>
      <c r="C62" t="s">
        <v>113</v>
      </c>
      <c r="D62" s="15">
        <f ca="1">SUM(OFFSET(DATA!$B$3,$B62,1,,$B$1))</f>
        <v>56598.689812000004</v>
      </c>
      <c r="E62" s="15">
        <f ca="1">SUM(OFFSET(DATA!$B$3,$B62-10,1,,$B$1))</f>
        <v>49272.823690000005</v>
      </c>
      <c r="F62" s="60">
        <f t="shared" ca="1" si="18"/>
        <v>135.09752945534456</v>
      </c>
      <c r="G62" s="16">
        <f t="shared" ca="1" si="18"/>
        <v>140.25735419365671</v>
      </c>
    </row>
    <row r="63" spans="2:7" x14ac:dyDescent="0.25">
      <c r="B63" s="59">
        <v>533</v>
      </c>
      <c r="C63" t="s">
        <v>115</v>
      </c>
      <c r="D63" s="15">
        <f ca="1">SUM(OFFSET(DATA!$B$3,$B63,1,,$B$1))</f>
        <v>84856.121032999989</v>
      </c>
      <c r="E63" s="15">
        <f ca="1">SUM(OFFSET(DATA!$B$3,$B63-10,1,,$B$1))</f>
        <v>90083.56900399999</v>
      </c>
      <c r="F63" s="60">
        <f t="shared" ca="1" si="18"/>
        <v>148.95573810849984</v>
      </c>
      <c r="G63" s="16">
        <f t="shared" ca="1" si="18"/>
        <v>148.79881514717871</v>
      </c>
    </row>
    <row r="64" spans="2:7" x14ac:dyDescent="0.25">
      <c r="B64" s="59">
        <v>534</v>
      </c>
      <c r="C64" t="s">
        <v>116</v>
      </c>
      <c r="D64" s="15">
        <f ca="1">SUM(OFFSET(DATA!$B$3,$B64,1,,$B$1))</f>
        <v>74432.389242000005</v>
      </c>
      <c r="E64" s="15">
        <f ca="1">SUM(OFFSET(DATA!$B$3,$B64-10,1,,$B$1))</f>
        <v>80634.07080500001</v>
      </c>
      <c r="F64" s="60">
        <f t="shared" ca="1" si="18"/>
        <v>133.08077091253472</v>
      </c>
      <c r="G64" s="16">
        <f t="shared" ca="1" si="18"/>
        <v>137.37958478022134</v>
      </c>
    </row>
    <row r="65" spans="2:7" x14ac:dyDescent="0.25">
      <c r="B65" s="59"/>
      <c r="C65" t="s">
        <v>33</v>
      </c>
    </row>
    <row r="66" spans="2:7" x14ac:dyDescent="0.25">
      <c r="B66" s="59"/>
      <c r="C66" s="109" t="str">
        <f>C57</f>
        <v>Year</v>
      </c>
      <c r="D66" s="109">
        <f t="shared" ref="D66:E66" si="19">D57</f>
        <v>2018</v>
      </c>
      <c r="E66" s="109">
        <f t="shared" si="19"/>
        <v>2017</v>
      </c>
      <c r="F66" s="109" t="str">
        <f>"@"&amp;D66</f>
        <v>@2018</v>
      </c>
      <c r="G66" s="109" t="str">
        <f>"@"&amp;E66</f>
        <v>@2017</v>
      </c>
    </row>
    <row r="67" spans="2:7" x14ac:dyDescent="0.25">
      <c r="B67" s="59">
        <v>559</v>
      </c>
      <c r="C67" t="s">
        <v>110</v>
      </c>
      <c r="D67" s="15">
        <f ca="1">SUM(OFFSET(DATA!$B$3,$B67,1,,$B$1))</f>
        <v>19467.468437000003</v>
      </c>
      <c r="E67" s="15">
        <f ca="1">SUM(OFFSET(DATA!$B$3,$B67-10,1,,$B$1))</f>
        <v>20548.190761999998</v>
      </c>
      <c r="F67" s="60">
        <f ca="1">D67/D22*1000</f>
        <v>38.933061468429067</v>
      </c>
      <c r="G67" s="16">
        <f ca="1">E67/E22*1000</f>
        <v>39.363270268141306</v>
      </c>
    </row>
    <row r="68" spans="2:7" x14ac:dyDescent="0.25">
      <c r="B68" s="59">
        <v>560</v>
      </c>
      <c r="C68" t="s">
        <v>114</v>
      </c>
      <c r="D68" s="15">
        <f ca="1">SUM(OFFSET(DATA!$B$3,$B68,1,,$B$1))</f>
        <v>9952.8090949999987</v>
      </c>
      <c r="E68" s="15">
        <f ca="1">SUM(OFFSET(DATA!$B$3,$B68-10,1,,$B$1))</f>
        <v>9032.0394659999984</v>
      </c>
      <c r="F68" s="60">
        <f t="shared" ref="F68:G73" ca="1" si="20">D68/D23*1000</f>
        <v>42.428612511505506</v>
      </c>
      <c r="G68" s="16">
        <f t="shared" ca="1" si="20"/>
        <v>41.471546880332355</v>
      </c>
    </row>
    <row r="69" spans="2:7" x14ac:dyDescent="0.25">
      <c r="B69" s="59">
        <v>561</v>
      </c>
      <c r="C69" t="s">
        <v>111</v>
      </c>
      <c r="D69" s="15">
        <f ca="1">SUM(OFFSET(DATA!$B$3,$B69,1,,$B$1))</f>
        <v>45166.188367999996</v>
      </c>
      <c r="E69" s="15">
        <f ca="1">SUM(OFFSET(DATA!$B$3,$B69-10,1,,$B$1))</f>
        <v>44763.897852999995</v>
      </c>
      <c r="F69" s="60">
        <f t="shared" ca="1" si="20"/>
        <v>67.760120105609687</v>
      </c>
      <c r="G69" s="16">
        <f t="shared" ca="1" si="20"/>
        <v>71.827187111268287</v>
      </c>
    </row>
    <row r="70" spans="2:7" x14ac:dyDescent="0.25">
      <c r="B70" s="59">
        <v>562</v>
      </c>
      <c r="C70" t="s">
        <v>112</v>
      </c>
      <c r="D70" s="15">
        <f ca="1">SUM(OFFSET(DATA!$B$3,$B70,1,,$B$1))</f>
        <v>17025.239729000001</v>
      </c>
      <c r="E70" s="15">
        <f ca="1">SUM(OFFSET(DATA!$B$3,$B70-10,1,,$B$1))</f>
        <v>16624.403827000002</v>
      </c>
      <c r="F70" s="60">
        <f t="shared" ca="1" si="20"/>
        <v>37.811026104065029</v>
      </c>
      <c r="G70" s="16">
        <f t="shared" ca="1" si="20"/>
        <v>38.829951523066931</v>
      </c>
    </row>
    <row r="71" spans="2:7" x14ac:dyDescent="0.25">
      <c r="B71" s="59">
        <v>563</v>
      </c>
      <c r="C71" t="s">
        <v>113</v>
      </c>
      <c r="D71" s="15">
        <f ca="1">SUM(OFFSET(DATA!$B$3,$B71,1,,$B$1))</f>
        <v>29246.339760999999</v>
      </c>
      <c r="E71" s="15">
        <f ca="1">SUM(OFFSET(DATA!$B$3,$B71-10,1,,$B$1))</f>
        <v>23346.116305999996</v>
      </c>
      <c r="F71" s="60">
        <f t="shared" ca="1" si="20"/>
        <v>69.809182163877622</v>
      </c>
      <c r="G71" s="16">
        <f t="shared" ca="1" si="20"/>
        <v>66.455791622137198</v>
      </c>
    </row>
    <row r="72" spans="2:7" x14ac:dyDescent="0.25">
      <c r="B72" s="59">
        <v>564</v>
      </c>
      <c r="C72" t="s">
        <v>115</v>
      </c>
      <c r="D72" s="15">
        <f ca="1">SUM(OFFSET(DATA!$B$3,$B72,1,,$B$1))</f>
        <v>37235.476092999997</v>
      </c>
      <c r="E72" s="15">
        <f ca="1">SUM(OFFSET(DATA!$B$3,$B72-10,1,,$B$1))</f>
        <v>44020.384210000004</v>
      </c>
      <c r="F72" s="60">
        <f t="shared" ca="1" si="20"/>
        <v>65.362848993500904</v>
      </c>
      <c r="G72" s="16">
        <f t="shared" ca="1" si="20"/>
        <v>72.712272450936382</v>
      </c>
    </row>
    <row r="73" spans="2:7" x14ac:dyDescent="0.25">
      <c r="B73" s="59">
        <v>565</v>
      </c>
      <c r="C73" t="s">
        <v>116</v>
      </c>
      <c r="D73" s="15">
        <f ca="1">SUM(OFFSET(DATA!$B$3,$B73,1,,$B$1))</f>
        <v>43825.734429999997</v>
      </c>
      <c r="E73" s="15">
        <f ca="1">SUM(OFFSET(DATA!$B$3,$B73-10,1,,$B$1))</f>
        <v>41092.351622999995</v>
      </c>
      <c r="F73" s="60">
        <f t="shared" ca="1" si="20"/>
        <v>78.357857152614201</v>
      </c>
      <c r="G73" s="16">
        <f t="shared" ca="1" si="20"/>
        <v>70.010730541717095</v>
      </c>
    </row>
    <row r="74" spans="2:7" x14ac:dyDescent="0.25">
      <c r="B74" s="59"/>
      <c r="C74" t="s">
        <v>85</v>
      </c>
      <c r="D74" t="s">
        <v>142</v>
      </c>
    </row>
    <row r="75" spans="2:7" x14ac:dyDescent="0.25">
      <c r="B75" s="59"/>
      <c r="C75" s="109" t="str">
        <f>C66</f>
        <v>Year</v>
      </c>
      <c r="D75" s="109">
        <f t="shared" ref="D75:E75" si="21">D66</f>
        <v>2018</v>
      </c>
      <c r="E75" s="109">
        <f t="shared" si="21"/>
        <v>2017</v>
      </c>
    </row>
    <row r="76" spans="2:7" x14ac:dyDescent="0.25">
      <c r="B76" s="59">
        <v>373</v>
      </c>
      <c r="C76" t="s">
        <v>110</v>
      </c>
      <c r="D76" s="15">
        <f ca="1">SUM(OFFSET(DATA!$B$3,$B76,1,,$B$1))</f>
        <v>500024.08500000008</v>
      </c>
      <c r="E76" s="15">
        <f ca="1">SUM(OFFSET(DATA!$B$3,$B76-10,1,,$B$1))</f>
        <v>522014.31999999995</v>
      </c>
    </row>
    <row r="77" spans="2:7" x14ac:dyDescent="0.25">
      <c r="B77" s="59">
        <v>374</v>
      </c>
      <c r="C77" t="s">
        <v>114</v>
      </c>
      <c r="D77" s="15">
        <f ca="1">SUM(OFFSET(DATA!$B$3,$B77,1,,$B$1))</f>
        <v>234577.76499999998</v>
      </c>
      <c r="E77" s="15">
        <f ca="1">SUM(OFFSET(DATA!$B$3,$B77-10,1,,$B$1))</f>
        <v>217788.82499999998</v>
      </c>
    </row>
    <row r="78" spans="2:7" x14ac:dyDescent="0.25">
      <c r="B78" s="59">
        <v>375</v>
      </c>
      <c r="C78" t="s">
        <v>111</v>
      </c>
      <c r="D78" s="15">
        <f ca="1">SUM(OFFSET(DATA!$B$3,$B78,1,,$B$1))</f>
        <v>666560.04</v>
      </c>
      <c r="E78" s="15">
        <f ca="1">SUM(OFFSET(DATA!$B$3,$B78-10,1,,$B$1))</f>
        <v>623216.63500000001</v>
      </c>
    </row>
    <row r="79" spans="2:7" x14ac:dyDescent="0.25">
      <c r="B79" s="59">
        <v>376</v>
      </c>
      <c r="C79" t="s">
        <v>112</v>
      </c>
      <c r="D79" s="15">
        <f ca="1">SUM(OFFSET(DATA!$B$3,$B79,1,,$B$1))</f>
        <v>450271.82499999995</v>
      </c>
      <c r="E79" s="15">
        <f ca="1">SUM(OFFSET(DATA!$B$3,$B79-10,1,,$B$1))</f>
        <v>428133.5199999999</v>
      </c>
    </row>
    <row r="80" spans="2:7" x14ac:dyDescent="0.25">
      <c r="B80" s="59">
        <v>377</v>
      </c>
      <c r="C80" t="s">
        <v>113</v>
      </c>
      <c r="D80" s="15">
        <f ca="1">SUM(OFFSET(DATA!$B$3,$B80,1,,$B$1))</f>
        <v>418946.89</v>
      </c>
      <c r="E80" s="15">
        <f ca="1">SUM(OFFSET(DATA!$B$3,$B80-10,1,,$B$1))</f>
        <v>351302.95999999996</v>
      </c>
    </row>
    <row r="81" spans="2:5" x14ac:dyDescent="0.25">
      <c r="B81" s="59">
        <v>378</v>
      </c>
      <c r="C81" t="s">
        <v>115</v>
      </c>
      <c r="D81" s="15">
        <f ca="1">SUM(OFFSET(DATA!$B$3,$B81,1,,$B$1))</f>
        <v>569673.39500000002</v>
      </c>
      <c r="E81" s="15">
        <f ca="1">SUM(OFFSET(DATA!$B$3,$B81-10,1,,$B$1))</f>
        <v>605405.14999999991</v>
      </c>
    </row>
    <row r="82" spans="2:5" x14ac:dyDescent="0.25">
      <c r="B82" s="59">
        <v>379</v>
      </c>
      <c r="C82" t="s">
        <v>116</v>
      </c>
      <c r="D82" s="15">
        <f ca="1">SUM(OFFSET(DATA!$B$3,$B82,1,,$B$1))</f>
        <v>559302.35999999987</v>
      </c>
      <c r="E82" s="15">
        <f ca="1">SUM(OFFSET(DATA!$B$3,$B82-10,1,,$B$1))</f>
        <v>586943.62</v>
      </c>
    </row>
    <row r="83" spans="2:5" x14ac:dyDescent="0.25">
      <c r="B83" s="59"/>
      <c r="C83" t="s">
        <v>137</v>
      </c>
    </row>
    <row r="84" spans="2:5" x14ac:dyDescent="0.25">
      <c r="B84" s="59"/>
      <c r="C84" s="109" t="str">
        <f>C75</f>
        <v>Year</v>
      </c>
      <c r="D84" s="109">
        <f t="shared" ref="D84:E84" si="22">D75</f>
        <v>2018</v>
      </c>
      <c r="E84" s="109">
        <f t="shared" si="22"/>
        <v>2017</v>
      </c>
    </row>
    <row r="85" spans="2:5" x14ac:dyDescent="0.25">
      <c r="B85" s="59">
        <v>435</v>
      </c>
      <c r="C85" t="s">
        <v>110</v>
      </c>
      <c r="D85" s="15">
        <f ca="1">SUM(OFFSET(DATA!$B$3,$B85,1,,$B$1))</f>
        <v>528000</v>
      </c>
      <c r="E85" s="15">
        <f ca="1">SUM(OFFSET(DATA!$B$3,$B85-10,1,,$B$1))</f>
        <v>528000</v>
      </c>
    </row>
    <row r="86" spans="2:5" x14ac:dyDescent="0.25">
      <c r="B86" s="59">
        <v>436</v>
      </c>
      <c r="C86" t="s">
        <v>114</v>
      </c>
      <c r="D86" s="15">
        <f ca="1">SUM(OFFSET(DATA!$B$3,$B86,1,,$B$1))</f>
        <v>264000</v>
      </c>
      <c r="E86" s="15">
        <f ca="1">SUM(OFFSET(DATA!$B$3,$B86-10,1,,$B$1))</f>
        <v>198000</v>
      </c>
    </row>
    <row r="87" spans="2:5" x14ac:dyDescent="0.25">
      <c r="B87" s="59">
        <v>437</v>
      </c>
      <c r="C87" t="s">
        <v>111</v>
      </c>
      <c r="D87" s="15">
        <f ca="1">SUM(OFFSET(DATA!$B$3,$B87,1,,$B$1))</f>
        <v>685000</v>
      </c>
      <c r="E87" s="15">
        <f ca="1">SUM(OFFSET(DATA!$B$3,$B87-10,1,,$B$1))</f>
        <v>660000</v>
      </c>
    </row>
    <row r="88" spans="2:5" x14ac:dyDescent="0.25">
      <c r="B88" s="59">
        <v>438</v>
      </c>
      <c r="C88" t="s">
        <v>112</v>
      </c>
      <c r="D88" s="15">
        <f ca="1">SUM(OFFSET(DATA!$B$3,$B88,1,,$B$1))</f>
        <v>495000</v>
      </c>
      <c r="E88" s="15">
        <f ca="1">SUM(OFFSET(DATA!$B$3,$B88-10,1,,$B$1))</f>
        <v>495000</v>
      </c>
    </row>
    <row r="89" spans="2:5" x14ac:dyDescent="0.25">
      <c r="B89" s="59">
        <v>439</v>
      </c>
      <c r="C89" t="s">
        <v>113</v>
      </c>
      <c r="D89" s="15">
        <f ca="1">SUM(OFFSET(DATA!$B$3,$B89,1,,$B$1))</f>
        <v>416000</v>
      </c>
      <c r="E89" s="15">
        <f ca="1">SUM(OFFSET(DATA!$B$3,$B89-10,1,,$B$1))</f>
        <v>396000</v>
      </c>
    </row>
    <row r="90" spans="2:5" x14ac:dyDescent="0.25">
      <c r="B90" s="59">
        <v>440</v>
      </c>
      <c r="C90" t="s">
        <v>115</v>
      </c>
      <c r="D90" s="15">
        <f ca="1">SUM(OFFSET(DATA!$B$3,$B90,1,,$B$1))</f>
        <v>660000</v>
      </c>
      <c r="E90" s="15">
        <f ca="1">SUM(OFFSET(DATA!$B$3,$B90-10,1,,$B$1))</f>
        <v>660000</v>
      </c>
    </row>
    <row r="91" spans="2:5" x14ac:dyDescent="0.25">
      <c r="B91" s="59">
        <v>441</v>
      </c>
      <c r="C91" t="s">
        <v>116</v>
      </c>
      <c r="D91" s="15">
        <f ca="1">SUM(OFFSET(DATA!$B$3,$B91,1,,$B$1))</f>
        <v>660000</v>
      </c>
      <c r="E91" s="15">
        <f ca="1">SUM(OFFSET(DATA!$B$3,$B91-10,1,,$B$1))</f>
        <v>660000</v>
      </c>
    </row>
    <row r="92" spans="2:5" x14ac:dyDescent="0.25">
      <c r="B92" s="59"/>
      <c r="C92" t="s">
        <v>138</v>
      </c>
    </row>
    <row r="93" spans="2:5" x14ac:dyDescent="0.25">
      <c r="B93" s="59"/>
      <c r="C93" t="s">
        <v>110</v>
      </c>
      <c r="D93" s="79">
        <f ca="1">D76/D85</f>
        <v>0.94701531250000015</v>
      </c>
      <c r="E93" s="25">
        <f ca="1">E76/E85</f>
        <v>0.98866348484848476</v>
      </c>
    </row>
    <row r="94" spans="2:5" x14ac:dyDescent="0.25">
      <c r="B94" s="59"/>
      <c r="C94" t="s">
        <v>114</v>
      </c>
      <c r="D94" s="79">
        <f t="shared" ref="D94:E99" ca="1" si="23">D77/D86</f>
        <v>0.88855214015151507</v>
      </c>
      <c r="E94" s="25">
        <f t="shared" ca="1" si="23"/>
        <v>1.0999435606060606</v>
      </c>
    </row>
    <row r="95" spans="2:5" x14ac:dyDescent="0.25">
      <c r="B95" s="59"/>
      <c r="C95" t="s">
        <v>111</v>
      </c>
      <c r="D95" s="79">
        <f t="shared" ca="1" si="23"/>
        <v>0.97308035036496354</v>
      </c>
      <c r="E95" s="25">
        <f t="shared" ca="1" si="23"/>
        <v>0.94426762878787884</v>
      </c>
    </row>
    <row r="96" spans="2:5" x14ac:dyDescent="0.25">
      <c r="B96" s="59"/>
      <c r="C96" t="s">
        <v>112</v>
      </c>
      <c r="D96" s="79">
        <f t="shared" ca="1" si="23"/>
        <v>0.90964005050505037</v>
      </c>
      <c r="E96" s="25">
        <f t="shared" ca="1" si="23"/>
        <v>0.86491620202020181</v>
      </c>
    </row>
    <row r="97" spans="2:5" x14ac:dyDescent="0.25">
      <c r="B97" s="59"/>
      <c r="C97" t="s">
        <v>113</v>
      </c>
      <c r="D97" s="79">
        <f t="shared" ca="1" si="23"/>
        <v>1.0070838701923077</v>
      </c>
      <c r="E97" s="25">
        <f t="shared" ca="1" si="23"/>
        <v>0.88712868686868673</v>
      </c>
    </row>
    <row r="98" spans="2:5" x14ac:dyDescent="0.25">
      <c r="B98" s="59"/>
      <c r="C98" t="s">
        <v>115</v>
      </c>
      <c r="D98" s="79">
        <f t="shared" ca="1" si="23"/>
        <v>0.86314150757575758</v>
      </c>
      <c r="E98" s="25">
        <f t="shared" ca="1" si="23"/>
        <v>0.91728053030303014</v>
      </c>
    </row>
    <row r="99" spans="2:5" x14ac:dyDescent="0.25">
      <c r="B99" s="59"/>
      <c r="C99" t="s">
        <v>116</v>
      </c>
      <c r="D99" s="79">
        <f t="shared" ca="1" si="23"/>
        <v>0.847427818181818</v>
      </c>
      <c r="E99" s="25">
        <f t="shared" ca="1" si="23"/>
        <v>0.8893085151515151</v>
      </c>
    </row>
    <row r="100" spans="2:5" x14ac:dyDescent="0.25">
      <c r="B100" s="59"/>
    </row>
    <row r="101" spans="2:5" x14ac:dyDescent="0.25">
      <c r="B101" s="59"/>
    </row>
    <row r="102" spans="2:5" x14ac:dyDescent="0.25">
      <c r="B102" s="59"/>
    </row>
    <row r="103" spans="2:5" x14ac:dyDescent="0.25">
      <c r="B103" s="59"/>
    </row>
    <row r="104" spans="2:5" x14ac:dyDescent="0.25">
      <c r="B104" s="59"/>
    </row>
    <row r="105" spans="2:5" x14ac:dyDescent="0.25">
      <c r="B105" s="59"/>
    </row>
    <row r="106" spans="2:5" x14ac:dyDescent="0.25">
      <c r="B106" s="59"/>
    </row>
    <row r="107" spans="2:5" x14ac:dyDescent="0.25">
      <c r="B107" s="59"/>
    </row>
    <row r="108" spans="2:5" x14ac:dyDescent="0.25">
      <c r="B108" s="59"/>
    </row>
    <row r="109" spans="2:5" x14ac:dyDescent="0.25">
      <c r="B109" s="59"/>
    </row>
    <row r="110" spans="2:5" x14ac:dyDescent="0.25">
      <c r="B110" s="59"/>
    </row>
    <row r="111" spans="2:5" x14ac:dyDescent="0.25">
      <c r="B111" s="59"/>
    </row>
    <row r="112" spans="2:5" x14ac:dyDescent="0.25">
      <c r="B112" s="59"/>
    </row>
    <row r="113" spans="2:2" x14ac:dyDescent="0.25">
      <c r="B113" s="59"/>
    </row>
    <row r="114" spans="2:2" x14ac:dyDescent="0.25">
      <c r="B114" s="59"/>
    </row>
    <row r="115" spans="2:2" x14ac:dyDescent="0.25">
      <c r="B115" s="59"/>
    </row>
    <row r="116" spans="2:2" x14ac:dyDescent="0.25">
      <c r="B116" s="59"/>
    </row>
    <row r="117" spans="2:2" x14ac:dyDescent="0.25">
      <c r="B117" s="59"/>
    </row>
    <row r="118" spans="2:2" x14ac:dyDescent="0.25">
      <c r="B118" s="59"/>
    </row>
    <row r="119" spans="2:2" x14ac:dyDescent="0.25">
      <c r="B119" s="59"/>
    </row>
    <row r="120" spans="2:2" x14ac:dyDescent="0.25">
      <c r="B120" s="59"/>
    </row>
    <row r="121" spans="2:2" x14ac:dyDescent="0.25">
      <c r="B121" s="59"/>
    </row>
    <row r="122" spans="2:2" x14ac:dyDescent="0.25">
      <c r="B122" s="59"/>
    </row>
    <row r="123" spans="2:2" x14ac:dyDescent="0.25">
      <c r="B123" s="59"/>
    </row>
    <row r="124" spans="2:2" x14ac:dyDescent="0.25">
      <c r="B124" s="59"/>
    </row>
    <row r="125" spans="2:2" x14ac:dyDescent="0.25">
      <c r="B125" s="59"/>
    </row>
    <row r="126" spans="2:2" x14ac:dyDescent="0.25">
      <c r="B126" s="59"/>
    </row>
    <row r="127" spans="2:2" x14ac:dyDescent="0.25">
      <c r="B127" s="59"/>
    </row>
    <row r="128" spans="2:2" x14ac:dyDescent="0.25">
      <c r="B128" s="59"/>
    </row>
    <row r="129" spans="2:2" x14ac:dyDescent="0.25">
      <c r="B129" s="59"/>
    </row>
    <row r="130" spans="2:2" x14ac:dyDescent="0.25">
      <c r="B130" s="59"/>
    </row>
    <row r="131" spans="2:2" x14ac:dyDescent="0.25">
      <c r="B131" s="5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8DCF-919C-4C78-8C0D-AE0B7A2B98B9}">
  <sheetPr codeName="Sheet1">
    <tabColor rgb="FFFF0000"/>
  </sheetPr>
  <dimension ref="A2:N645"/>
  <sheetViews>
    <sheetView showGridLines="0" workbookViewId="0">
      <pane xSplit="2" ySplit="3" topLeftCell="H139" activePane="bottomRight" state="frozen"/>
      <selection pane="topRight" activeCell="C1" sqref="C1"/>
      <selection pane="bottomLeft" activeCell="A4" sqref="A4"/>
      <selection pane="bottomRight" activeCell="M186" sqref="M186"/>
    </sheetView>
  </sheetViews>
  <sheetFormatPr defaultRowHeight="15" x14ac:dyDescent="0.25"/>
  <cols>
    <col min="2" max="2" width="18.42578125" customWidth="1"/>
    <col min="3" max="12" width="21" bestFit="1" customWidth="1"/>
    <col min="13" max="14" width="20.5703125" bestFit="1" customWidth="1"/>
  </cols>
  <sheetData>
    <row r="2" spans="1:14" x14ac:dyDescent="0.25">
      <c r="B2" t="s">
        <v>25</v>
      </c>
      <c r="C2" t="s">
        <v>58</v>
      </c>
    </row>
    <row r="3" spans="1:14" x14ac:dyDescent="0.25">
      <c r="B3" s="7" t="s">
        <v>26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</row>
    <row r="4" spans="1:14" x14ac:dyDescent="0.25">
      <c r="A4">
        <v>1</v>
      </c>
      <c r="B4" s="4">
        <v>2016</v>
      </c>
      <c r="C4" s="3">
        <v>134272.595</v>
      </c>
      <c r="D4" s="3">
        <v>113284.89</v>
      </c>
      <c r="E4" s="3">
        <v>135653.02499999999</v>
      </c>
      <c r="F4" s="3">
        <v>137016.63999999998</v>
      </c>
      <c r="G4" s="3">
        <v>142866.39000000001</v>
      </c>
      <c r="H4" s="3">
        <v>146623.73499999999</v>
      </c>
      <c r="I4" s="3">
        <v>139902.965</v>
      </c>
      <c r="J4" s="3">
        <v>155592.24</v>
      </c>
      <c r="K4" s="3">
        <v>153975.23000000001</v>
      </c>
      <c r="L4" s="3">
        <v>159263.70499999999</v>
      </c>
      <c r="M4" s="3">
        <v>160678.29500000004</v>
      </c>
      <c r="N4" s="3">
        <v>171212.58499999999</v>
      </c>
    </row>
    <row r="5" spans="1:14" x14ac:dyDescent="0.25">
      <c r="A5">
        <v>2</v>
      </c>
      <c r="B5" s="4">
        <v>2017</v>
      </c>
      <c r="C5" s="8">
        <v>151235.78499999997</v>
      </c>
      <c r="D5" s="8">
        <v>141382.76999999999</v>
      </c>
      <c r="E5" s="8">
        <v>158187.21000000002</v>
      </c>
      <c r="F5" s="8">
        <v>140073.69500000001</v>
      </c>
      <c r="G5" s="8">
        <v>124672.8</v>
      </c>
      <c r="H5" s="8">
        <v>110196.19</v>
      </c>
      <c r="I5" s="8">
        <v>119218.19</v>
      </c>
      <c r="J5" s="8">
        <v>127072.79000000001</v>
      </c>
      <c r="K5" s="8">
        <v>121060.22500000001</v>
      </c>
      <c r="L5" s="8">
        <v>119149.01999999999</v>
      </c>
      <c r="M5" s="8">
        <v>118174.78499999999</v>
      </c>
      <c r="N5" s="8">
        <v>124660.845</v>
      </c>
    </row>
    <row r="6" spans="1:14" x14ac:dyDescent="0.25">
      <c r="A6">
        <v>3</v>
      </c>
      <c r="B6" s="4">
        <v>2018</v>
      </c>
      <c r="C6" s="5">
        <v>127163.56499999999</v>
      </c>
      <c r="D6" s="5">
        <v>101548.73999999999</v>
      </c>
      <c r="E6" s="5">
        <v>116581.955</v>
      </c>
      <c r="F6" s="5">
        <v>109890.06499999999</v>
      </c>
      <c r="G6" s="5">
        <v>121937.61500000001</v>
      </c>
      <c r="H6" s="5">
        <v>109808.045</v>
      </c>
      <c r="I6" s="5">
        <v>114049.64</v>
      </c>
      <c r="J6" s="5">
        <v>123473.745</v>
      </c>
      <c r="K6" s="5">
        <v>119758.35999999999</v>
      </c>
      <c r="L6" s="5">
        <v>131023.30500000001</v>
      </c>
      <c r="M6" s="5">
        <v>133546.44</v>
      </c>
      <c r="N6" s="5"/>
    </row>
    <row r="7" spans="1:14" x14ac:dyDescent="0.25">
      <c r="A7">
        <v>4</v>
      </c>
      <c r="B7" s="6" t="s">
        <v>23</v>
      </c>
      <c r="C7" s="9">
        <v>140025.03899999999</v>
      </c>
      <c r="D7" s="9">
        <v>128230</v>
      </c>
      <c r="E7" s="9">
        <v>139067.416</v>
      </c>
      <c r="F7" s="9">
        <v>139834.715</v>
      </c>
      <c r="G7" s="9">
        <v>143349.715</v>
      </c>
      <c r="H7" s="9">
        <v>144294.715</v>
      </c>
      <c r="I7" s="9">
        <v>147734.715</v>
      </c>
      <c r="J7" s="9">
        <v>149699.715</v>
      </c>
      <c r="K7" s="9">
        <v>152604.715</v>
      </c>
      <c r="L7" s="9">
        <v>154759.715</v>
      </c>
      <c r="M7" s="9">
        <v>157504.715</v>
      </c>
      <c r="N7" s="9">
        <v>159894.715</v>
      </c>
    </row>
    <row r="8" spans="1:14" x14ac:dyDescent="0.25">
      <c r="A8">
        <v>5</v>
      </c>
    </row>
    <row r="9" spans="1:14" x14ac:dyDescent="0.25">
      <c r="A9">
        <v>6</v>
      </c>
      <c r="B9" t="s">
        <v>2</v>
      </c>
      <c r="C9" t="s">
        <v>57</v>
      </c>
    </row>
    <row r="10" spans="1:14" x14ac:dyDescent="0.25">
      <c r="A10">
        <v>7</v>
      </c>
      <c r="B10" s="7" t="s">
        <v>26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</row>
    <row r="11" spans="1:14" x14ac:dyDescent="0.25">
      <c r="A11">
        <v>8</v>
      </c>
      <c r="B11" s="4">
        <v>2016</v>
      </c>
      <c r="C11" s="3">
        <v>1252004.0228310002</v>
      </c>
      <c r="D11" s="3">
        <v>1051352.7950650002</v>
      </c>
      <c r="E11" s="3">
        <v>1246248.0891400001</v>
      </c>
      <c r="F11" s="3">
        <v>1238193.8276730001</v>
      </c>
      <c r="G11" s="3">
        <v>1284968.977755998</v>
      </c>
      <c r="H11" s="3">
        <v>1327474.6110489992</v>
      </c>
      <c r="I11" s="3">
        <v>1293294.3688379999</v>
      </c>
      <c r="J11" s="3">
        <v>1461952.6829629997</v>
      </c>
      <c r="K11" s="3">
        <v>1454036.430231001</v>
      </c>
      <c r="L11" s="3">
        <v>1469304.0029779971</v>
      </c>
      <c r="M11" s="3">
        <v>1472126.333081004</v>
      </c>
      <c r="N11" s="3">
        <v>1551781.115147999</v>
      </c>
    </row>
    <row r="12" spans="1:14" x14ac:dyDescent="0.25">
      <c r="A12">
        <v>9</v>
      </c>
      <c r="B12" s="4">
        <v>2017</v>
      </c>
      <c r="C12" s="8">
        <v>1368470.2338709999</v>
      </c>
      <c r="D12" s="8">
        <v>1279979.809468</v>
      </c>
      <c r="E12" s="8">
        <v>1433468.735994</v>
      </c>
      <c r="F12" s="8">
        <v>1238356.2810069998</v>
      </c>
      <c r="G12" s="8">
        <v>1069097.446061</v>
      </c>
      <c r="H12" s="8">
        <v>933096.64712999994</v>
      </c>
      <c r="I12" s="8">
        <v>1018728.024364</v>
      </c>
      <c r="J12" s="8">
        <v>1093067.4954085001</v>
      </c>
      <c r="K12" s="8">
        <v>1026350.7734579999</v>
      </c>
      <c r="L12" s="8">
        <v>1000429.355825</v>
      </c>
      <c r="M12" s="8">
        <v>974805.61325199995</v>
      </c>
      <c r="N12" s="8">
        <v>1029437.3609170001</v>
      </c>
    </row>
    <row r="13" spans="1:14" x14ac:dyDescent="0.25">
      <c r="A13">
        <v>10</v>
      </c>
      <c r="B13" s="4">
        <v>2018</v>
      </c>
      <c r="C13" s="5">
        <v>1059177.501251</v>
      </c>
      <c r="D13" s="5">
        <v>842274.67956775008</v>
      </c>
      <c r="E13" s="5">
        <v>973582.00407599995</v>
      </c>
      <c r="F13" s="5">
        <v>939958.69942199998</v>
      </c>
      <c r="G13" s="5">
        <v>1069419.409311</v>
      </c>
      <c r="H13" s="5">
        <v>984575.47311699996</v>
      </c>
      <c r="I13" s="5">
        <v>1040350.077783</v>
      </c>
      <c r="J13" s="5">
        <v>1130874.28767</v>
      </c>
      <c r="K13" s="5">
        <v>1101826.9243194999</v>
      </c>
      <c r="L13" s="5">
        <v>1198247.3376917499</v>
      </c>
      <c r="M13" s="5">
        <v>1206880.6033865002</v>
      </c>
      <c r="N13" s="5"/>
    </row>
    <row r="14" spans="1:14" x14ac:dyDescent="0.25">
      <c r="A14">
        <v>11</v>
      </c>
      <c r="B14" s="6" t="s">
        <v>0</v>
      </c>
      <c r="C14" s="9">
        <v>1250703.6103464463</v>
      </c>
      <c r="D14" s="9">
        <v>1143870.0999149051</v>
      </c>
      <c r="E14" s="9">
        <v>1242572.9117300964</v>
      </c>
      <c r="F14" s="9">
        <v>1249321.3614769743</v>
      </c>
      <c r="G14" s="9">
        <v>1279806.4413580634</v>
      </c>
      <c r="H14" s="9">
        <v>1285972.4019655026</v>
      </c>
      <c r="I14" s="9">
        <v>1317645.4596210951</v>
      </c>
      <c r="J14" s="9">
        <v>1336037.0740342317</v>
      </c>
      <c r="K14" s="9">
        <v>1361953.5201844147</v>
      </c>
      <c r="L14" s="9">
        <v>1383455.9732773062</v>
      </c>
      <c r="M14" s="9">
        <v>1406715.1492862366</v>
      </c>
      <c r="N14" s="9">
        <v>1427945.6219960179</v>
      </c>
    </row>
    <row r="15" spans="1:14" x14ac:dyDescent="0.25">
      <c r="A15">
        <v>12</v>
      </c>
    </row>
    <row r="16" spans="1:14" x14ac:dyDescent="0.25">
      <c r="A16">
        <v>13</v>
      </c>
      <c r="B16" t="s">
        <v>59</v>
      </c>
    </row>
    <row r="17" spans="1:14" x14ac:dyDescent="0.25">
      <c r="A17">
        <v>14</v>
      </c>
      <c r="B17" s="7" t="s">
        <v>26</v>
      </c>
      <c r="C17" s="2" t="s">
        <v>6</v>
      </c>
      <c r="D17" s="2" t="s">
        <v>7</v>
      </c>
      <c r="E17" s="2" t="s">
        <v>8</v>
      </c>
      <c r="F17" s="2" t="s">
        <v>9</v>
      </c>
      <c r="G17" s="2" t="s">
        <v>10</v>
      </c>
      <c r="H17" s="2" t="s">
        <v>11</v>
      </c>
      <c r="I17" s="2" t="s">
        <v>12</v>
      </c>
      <c r="J17" s="2" t="s">
        <v>13</v>
      </c>
      <c r="K17" s="2" t="s">
        <v>14</v>
      </c>
      <c r="L17" s="2" t="s">
        <v>15</v>
      </c>
      <c r="M17" s="2" t="s">
        <v>16</v>
      </c>
      <c r="N17" s="2" t="s">
        <v>17</v>
      </c>
    </row>
    <row r="18" spans="1:14" x14ac:dyDescent="0.25">
      <c r="A18">
        <v>15</v>
      </c>
      <c r="B18" s="17">
        <v>2016</v>
      </c>
      <c r="C18" s="18">
        <f>SUM(C19:C20)</f>
        <v>2460834.4372219997</v>
      </c>
      <c r="D18" s="18">
        <f t="shared" ref="D18:N18" si="0">SUM(D19:D20)</f>
        <v>1648892.9529599999</v>
      </c>
      <c r="E18" s="18">
        <f t="shared" si="0"/>
        <v>2177221.8014799999</v>
      </c>
      <c r="F18" s="18">
        <f t="shared" si="0"/>
        <v>2092461.5404089999</v>
      </c>
      <c r="G18" s="18">
        <f t="shared" si="0"/>
        <v>2218829.8646490001</v>
      </c>
      <c r="H18" s="18">
        <f t="shared" si="0"/>
        <v>2336997.8431849997</v>
      </c>
      <c r="I18" s="18">
        <f t="shared" si="0"/>
        <v>2367139.5067380001</v>
      </c>
      <c r="J18" s="18">
        <f t="shared" si="0"/>
        <v>2479238.8721409999</v>
      </c>
      <c r="K18" s="18">
        <f t="shared" si="0"/>
        <v>2479322.9668020001</v>
      </c>
      <c r="L18" s="18">
        <f t="shared" si="0"/>
        <v>2631364.1258549998</v>
      </c>
      <c r="M18" s="18">
        <f t="shared" si="0"/>
        <v>2548019.2271060003</v>
      </c>
      <c r="N18" s="18">
        <f t="shared" si="0"/>
        <v>2728642.4515869999</v>
      </c>
    </row>
    <row r="19" spans="1:14" x14ac:dyDescent="0.25">
      <c r="A19">
        <v>16</v>
      </c>
      <c r="B19" t="s">
        <v>28</v>
      </c>
      <c r="C19" s="15">
        <v>1984047.5375829998</v>
      </c>
      <c r="D19" s="15">
        <v>1339308.060085</v>
      </c>
      <c r="E19" s="15">
        <v>1769214.108892</v>
      </c>
      <c r="F19" s="15">
        <v>1698111.4282759998</v>
      </c>
      <c r="G19" s="15">
        <v>1781900.8197610001</v>
      </c>
      <c r="H19" s="15">
        <v>1884635.7479669999</v>
      </c>
      <c r="I19" s="15">
        <v>1917184.282904</v>
      </c>
      <c r="J19" s="15">
        <v>2020287.217773</v>
      </c>
      <c r="K19" s="15">
        <v>2029441.6549529999</v>
      </c>
      <c r="L19" s="15">
        <v>2150972.6699659997</v>
      </c>
      <c r="M19" s="15">
        <v>2086920.5632080003</v>
      </c>
      <c r="N19" s="15">
        <v>2284468.6564420001</v>
      </c>
    </row>
    <row r="20" spans="1:14" x14ac:dyDescent="0.25">
      <c r="A20">
        <v>17</v>
      </c>
      <c r="B20" t="s">
        <v>60</v>
      </c>
      <c r="C20" s="15">
        <v>476786.89963899995</v>
      </c>
      <c r="D20" s="15">
        <v>309584.89287499996</v>
      </c>
      <c r="E20" s="15">
        <v>408007.69258799998</v>
      </c>
      <c r="F20" s="15">
        <v>394350.11213300005</v>
      </c>
      <c r="G20" s="15">
        <v>436929.044888</v>
      </c>
      <c r="H20" s="15">
        <v>452362.09521799994</v>
      </c>
      <c r="I20" s="15">
        <v>449955.223834</v>
      </c>
      <c r="J20" s="15">
        <v>458951.65436800005</v>
      </c>
      <c r="K20" s="15">
        <v>449881.31184899999</v>
      </c>
      <c r="L20" s="15">
        <v>480391.45588900003</v>
      </c>
      <c r="M20" s="15">
        <v>461098.66389799997</v>
      </c>
      <c r="N20" s="15">
        <v>444173.79514499998</v>
      </c>
    </row>
    <row r="21" spans="1:14" x14ac:dyDescent="0.25">
      <c r="A21">
        <v>18</v>
      </c>
      <c r="B21" s="17">
        <v>2017</v>
      </c>
      <c r="C21" s="18">
        <f>SUM(C22:C23)</f>
        <v>2382293.3713640003</v>
      </c>
      <c r="D21" s="18">
        <f t="shared" ref="D21" si="1">SUM(D22:D23)</f>
        <v>2211125.815986</v>
      </c>
      <c r="E21" s="18">
        <f t="shared" ref="E21" si="2">SUM(E22:E23)</f>
        <v>2596387.9007510003</v>
      </c>
      <c r="F21" s="18">
        <f t="shared" ref="F21" si="3">SUM(F22:F23)</f>
        <v>2455287.4763459996</v>
      </c>
      <c r="G21" s="18">
        <f t="shared" ref="G21" si="4">SUM(G22:G23)</f>
        <v>2223533.8389670001</v>
      </c>
      <c r="H21" s="18">
        <f t="shared" ref="H21" si="5">SUM(H22:H23)</f>
        <v>2030113.780266</v>
      </c>
      <c r="I21" s="18">
        <f t="shared" ref="I21" si="6">SUM(I22:I23)</f>
        <v>2004807.4611810001</v>
      </c>
      <c r="J21" s="18">
        <f t="shared" ref="J21" si="7">SUM(J22:J23)</f>
        <v>2227897.755932</v>
      </c>
      <c r="K21" s="18">
        <f t="shared" ref="K21" si="8">SUM(K22:K23)</f>
        <v>2152147.9748430001</v>
      </c>
      <c r="L21" s="18">
        <f t="shared" ref="L21" si="9">SUM(L22:L23)</f>
        <v>2306605.9589650002</v>
      </c>
      <c r="M21" s="18">
        <f t="shared" ref="M21" si="10">SUM(M22:M23)</f>
        <v>2237912.4733889997</v>
      </c>
      <c r="N21" s="18">
        <f t="shared" ref="N21" si="11">SUM(N22:N23)</f>
        <v>2278995.7659459999</v>
      </c>
    </row>
    <row r="22" spans="1:14" x14ac:dyDescent="0.25">
      <c r="A22">
        <v>19</v>
      </c>
      <c r="B22" t="s">
        <v>28</v>
      </c>
      <c r="C22" s="15">
        <v>2033591.671973</v>
      </c>
      <c r="D22" s="15">
        <v>1830822.06963</v>
      </c>
      <c r="E22" s="15">
        <v>2154848.4203010001</v>
      </c>
      <c r="F22" s="15">
        <v>2040728.1573909998</v>
      </c>
      <c r="G22" s="15">
        <v>1922465.1860730003</v>
      </c>
      <c r="H22" s="15">
        <v>1758509.739116</v>
      </c>
      <c r="I22" s="15">
        <v>1722223.1553210001</v>
      </c>
      <c r="J22" s="15">
        <v>1905747.1068440001</v>
      </c>
      <c r="K22" s="15">
        <v>1840775.7154359999</v>
      </c>
      <c r="L22" s="15">
        <v>1984033.947286</v>
      </c>
      <c r="M22" s="15">
        <v>1924596.6463879999</v>
      </c>
      <c r="N22" s="15">
        <v>1955562.8402839999</v>
      </c>
    </row>
    <row r="23" spans="1:14" x14ac:dyDescent="0.25">
      <c r="A23">
        <v>20</v>
      </c>
      <c r="B23" t="s">
        <v>60</v>
      </c>
      <c r="C23" s="15">
        <v>348701.69939100003</v>
      </c>
      <c r="D23" s="15">
        <v>380303.74635600008</v>
      </c>
      <c r="E23" s="15">
        <v>441539.48045000003</v>
      </c>
      <c r="F23" s="15">
        <v>414559.31895499997</v>
      </c>
      <c r="G23" s="15">
        <v>301068.65289399994</v>
      </c>
      <c r="H23" s="15">
        <v>271604.04115</v>
      </c>
      <c r="I23" s="15">
        <v>282584.30585999996</v>
      </c>
      <c r="J23" s="15">
        <v>322150.64908800001</v>
      </c>
      <c r="K23" s="15">
        <v>311372.25940700003</v>
      </c>
      <c r="L23" s="15">
        <v>322572.01167900005</v>
      </c>
      <c r="M23" s="15">
        <v>313315.827001</v>
      </c>
      <c r="N23" s="15">
        <v>323432.92566200002</v>
      </c>
    </row>
    <row r="24" spans="1:14" x14ac:dyDescent="0.25">
      <c r="A24">
        <v>21</v>
      </c>
      <c r="B24" s="17">
        <v>2018</v>
      </c>
      <c r="C24" s="18">
        <f>SUM(C25:C26)</f>
        <v>2480205.620292</v>
      </c>
      <c r="D24" s="18">
        <f t="shared" ref="D24" si="12">SUM(D25:D26)</f>
        <v>1858108.4752639998</v>
      </c>
      <c r="E24" s="18">
        <f t="shared" ref="E24" si="13">SUM(E25:E26)</f>
        <v>2317907.134538</v>
      </c>
      <c r="F24" s="18">
        <f t="shared" ref="F24" si="14">SUM(F25:F26)</f>
        <v>2259603.7762849997</v>
      </c>
      <c r="G24" s="18">
        <f t="shared" ref="G24" si="15">SUM(G25:G26)</f>
        <v>2422085.3877009996</v>
      </c>
      <c r="H24" s="18">
        <f t="shared" ref="H24" si="16">SUM(H25:H26)</f>
        <v>2309302.5239400002</v>
      </c>
      <c r="I24" s="18">
        <f t="shared" ref="I24" si="17">SUM(I25:I26)</f>
        <v>2395382.8653810001</v>
      </c>
      <c r="J24" s="18">
        <f t="shared" ref="J24" si="18">SUM(J25:J26)</f>
        <v>2556807.890596</v>
      </c>
      <c r="K24" s="18">
        <f t="shared" ref="K24" si="19">SUM(K25:K26)</f>
        <v>2416978.3699850002</v>
      </c>
      <c r="L24" s="18">
        <f t="shared" ref="L24" si="20">SUM(L25:L26)</f>
        <v>2617893.1138539999</v>
      </c>
      <c r="M24" s="18">
        <f t="shared" ref="M24" si="21">SUM(M25:M26)</f>
        <v>2546116.3945436287</v>
      </c>
      <c r="N24" s="18">
        <f t="shared" ref="N24" si="22">SUM(N25:N26)</f>
        <v>0</v>
      </c>
    </row>
    <row r="25" spans="1:14" x14ac:dyDescent="0.25">
      <c r="A25">
        <v>22</v>
      </c>
      <c r="B25" t="s">
        <v>28</v>
      </c>
      <c r="C25" s="15">
        <v>2105642.8189320001</v>
      </c>
      <c r="D25" s="15">
        <v>1590959.8446979998</v>
      </c>
      <c r="E25" s="15">
        <v>1988297.238539</v>
      </c>
      <c r="F25" s="15">
        <v>1929689.9800439999</v>
      </c>
      <c r="G25" s="15">
        <v>2065115.8422979997</v>
      </c>
      <c r="H25" s="15">
        <v>1972876.368951</v>
      </c>
      <c r="I25" s="15">
        <v>2047943.1233040001</v>
      </c>
      <c r="J25" s="15">
        <v>2196983.8294910002</v>
      </c>
      <c r="K25" s="15">
        <v>2087795.5078910002</v>
      </c>
      <c r="L25" s="15">
        <v>2264797.19673</v>
      </c>
      <c r="M25" s="15">
        <v>2204737.3612226285</v>
      </c>
      <c r="N25" s="15">
        <v>0</v>
      </c>
    </row>
    <row r="26" spans="1:14" x14ac:dyDescent="0.25">
      <c r="A26">
        <v>23</v>
      </c>
      <c r="B26" t="s">
        <v>60</v>
      </c>
      <c r="C26" s="15">
        <v>374562.80135999998</v>
      </c>
      <c r="D26" s="15">
        <v>267148.63056600001</v>
      </c>
      <c r="E26" s="15">
        <v>329609.895999</v>
      </c>
      <c r="F26" s="15">
        <v>329913.79624099995</v>
      </c>
      <c r="G26" s="15">
        <v>356969.54540299997</v>
      </c>
      <c r="H26" s="15">
        <v>336426.15498900006</v>
      </c>
      <c r="I26" s="15">
        <v>347439.74207699997</v>
      </c>
      <c r="J26" s="15">
        <v>359824.06110499997</v>
      </c>
      <c r="K26" s="15">
        <v>329182.86209399998</v>
      </c>
      <c r="L26" s="15">
        <v>353095.91712400003</v>
      </c>
      <c r="M26" s="15">
        <v>341379.033321</v>
      </c>
      <c r="N26" s="15">
        <v>0</v>
      </c>
    </row>
    <row r="27" spans="1:14" x14ac:dyDescent="0.25">
      <c r="A27">
        <v>24</v>
      </c>
      <c r="B27" s="17" t="s">
        <v>0</v>
      </c>
      <c r="C27" s="18">
        <f>SUM(C28:C29)</f>
        <v>0</v>
      </c>
      <c r="D27" s="18">
        <f t="shared" ref="D27" si="23">SUM(D28:D29)</f>
        <v>0</v>
      </c>
      <c r="E27" s="18">
        <f t="shared" ref="E27" si="24">SUM(E28:E29)</f>
        <v>0</v>
      </c>
      <c r="F27" s="18">
        <f t="shared" ref="F27" si="25">SUM(F28:F29)</f>
        <v>0</v>
      </c>
      <c r="G27" s="18">
        <f t="shared" ref="G27" si="26">SUM(G28:G29)</f>
        <v>0</v>
      </c>
      <c r="H27" s="18">
        <f t="shared" ref="H27" si="27">SUM(H28:H29)</f>
        <v>0</v>
      </c>
      <c r="I27" s="18">
        <f t="shared" ref="I27" si="28">SUM(I28:I29)</f>
        <v>0</v>
      </c>
      <c r="J27" s="18">
        <f t="shared" ref="J27" si="29">SUM(J28:J29)</f>
        <v>0</v>
      </c>
      <c r="K27" s="18">
        <f t="shared" ref="K27" si="30">SUM(K28:K29)</f>
        <v>0</v>
      </c>
      <c r="L27" s="18">
        <f t="shared" ref="L27" si="31">SUM(L28:L29)</f>
        <v>0</v>
      </c>
      <c r="M27" s="18">
        <f t="shared" ref="M27" si="32">SUM(M28:M29)</f>
        <v>0</v>
      </c>
      <c r="N27" s="18">
        <f t="shared" ref="N27" si="33">SUM(N28:N29)</f>
        <v>0</v>
      </c>
    </row>
    <row r="28" spans="1:14" x14ac:dyDescent="0.25">
      <c r="A28">
        <v>25</v>
      </c>
      <c r="B28" t="s">
        <v>28</v>
      </c>
    </row>
    <row r="29" spans="1:14" x14ac:dyDescent="0.25">
      <c r="A29">
        <v>26</v>
      </c>
      <c r="B29" t="s">
        <v>60</v>
      </c>
    </row>
    <row r="30" spans="1:14" x14ac:dyDescent="0.25">
      <c r="A30">
        <v>27</v>
      </c>
    </row>
    <row r="31" spans="1:14" x14ac:dyDescent="0.25">
      <c r="A31">
        <v>28</v>
      </c>
      <c r="B31" t="s">
        <v>40</v>
      </c>
    </row>
    <row r="32" spans="1:14" x14ac:dyDescent="0.25">
      <c r="A32">
        <v>29</v>
      </c>
      <c r="B32" s="7" t="s">
        <v>26</v>
      </c>
      <c r="C32" s="2" t="s">
        <v>6</v>
      </c>
      <c r="D32" s="2" t="s">
        <v>7</v>
      </c>
      <c r="E32" s="2" t="s">
        <v>8</v>
      </c>
      <c r="F32" s="2" t="s">
        <v>9</v>
      </c>
      <c r="G32" s="2" t="s">
        <v>10</v>
      </c>
      <c r="H32" s="2" t="s">
        <v>11</v>
      </c>
      <c r="I32" s="2" t="s">
        <v>12</v>
      </c>
      <c r="J32" s="2" t="s">
        <v>13</v>
      </c>
      <c r="K32" s="2" t="s">
        <v>14</v>
      </c>
      <c r="L32" s="2" t="s">
        <v>15</v>
      </c>
      <c r="M32" s="2" t="s">
        <v>16</v>
      </c>
      <c r="N32" s="2" t="s">
        <v>17</v>
      </c>
    </row>
    <row r="33" spans="1:14" x14ac:dyDescent="0.25">
      <c r="A33">
        <v>30</v>
      </c>
      <c r="B33" t="s">
        <v>61</v>
      </c>
    </row>
    <row r="34" spans="1:14" x14ac:dyDescent="0.25">
      <c r="A34">
        <v>31</v>
      </c>
      <c r="B34" t="s">
        <v>35</v>
      </c>
      <c r="C34" s="15">
        <v>134828.02863000002</v>
      </c>
      <c r="D34" s="15">
        <v>104165.87218999999</v>
      </c>
      <c r="E34" s="15">
        <v>123344.4614</v>
      </c>
      <c r="F34" s="15">
        <v>107573.88680000001</v>
      </c>
      <c r="G34" s="15">
        <v>105241.96280000001</v>
      </c>
      <c r="H34" s="15">
        <v>101248.33663999999</v>
      </c>
      <c r="I34" s="15">
        <v>100249.3946</v>
      </c>
      <c r="J34" s="15">
        <v>107837.45385000002</v>
      </c>
      <c r="K34" s="15">
        <v>115734.58681000001</v>
      </c>
      <c r="L34" s="15">
        <v>135423.64654000002</v>
      </c>
      <c r="M34" s="15">
        <v>143038.55660000001</v>
      </c>
      <c r="N34" s="15"/>
    </row>
    <row r="35" spans="1:14" x14ac:dyDescent="0.25">
      <c r="A35">
        <v>32</v>
      </c>
      <c r="B35" t="s">
        <v>43</v>
      </c>
      <c r="C35" s="15">
        <v>61982.911200000002</v>
      </c>
      <c r="D35" s="15">
        <v>47286.469499999999</v>
      </c>
      <c r="E35" s="15">
        <v>53580.5533</v>
      </c>
      <c r="F35" s="15">
        <v>46942.815000000002</v>
      </c>
      <c r="G35" s="15">
        <v>48351.813699999999</v>
      </c>
      <c r="H35" s="15">
        <v>43767.111300000004</v>
      </c>
      <c r="I35" s="15">
        <v>44257.299099999989</v>
      </c>
      <c r="J35" s="15">
        <v>45599.538</v>
      </c>
      <c r="K35" s="15">
        <v>46028.982499999998</v>
      </c>
      <c r="L35" s="15">
        <v>51378.242609999994</v>
      </c>
      <c r="M35" s="15">
        <v>51967.46379999999</v>
      </c>
      <c r="N35" s="15">
        <v>0</v>
      </c>
    </row>
    <row r="36" spans="1:14" x14ac:dyDescent="0.25">
      <c r="A36">
        <v>33</v>
      </c>
      <c r="B36" t="s">
        <v>44</v>
      </c>
      <c r="C36" s="15">
        <v>33025.223700000002</v>
      </c>
      <c r="D36" s="15">
        <v>28301.462420000003</v>
      </c>
      <c r="E36" s="15">
        <v>39142.116200000004</v>
      </c>
      <c r="F36" s="15">
        <v>44339.036500000002</v>
      </c>
      <c r="G36" s="15">
        <v>53204.035499999998</v>
      </c>
      <c r="H36" s="15">
        <v>46891.541499999999</v>
      </c>
      <c r="I36" s="15">
        <v>51534.340799999991</v>
      </c>
      <c r="J36" s="15">
        <v>52135.631200000003</v>
      </c>
      <c r="K36" s="15">
        <v>30666.527400000003</v>
      </c>
      <c r="L36" s="15">
        <v>25974.7601</v>
      </c>
      <c r="M36" s="15">
        <v>19259.319309999999</v>
      </c>
      <c r="N36" s="15">
        <v>0</v>
      </c>
    </row>
    <row r="37" spans="1:14" x14ac:dyDescent="0.25">
      <c r="A37">
        <v>34</v>
      </c>
      <c r="B37" t="s">
        <v>37</v>
      </c>
      <c r="C37" s="15">
        <v>21944.614260000002</v>
      </c>
      <c r="D37" s="15">
        <v>13617.275399999999</v>
      </c>
      <c r="E37" s="15">
        <v>20174.481779999998</v>
      </c>
      <c r="F37" s="15">
        <v>23914.805220000002</v>
      </c>
      <c r="G37" s="15">
        <v>28307.362119999998</v>
      </c>
      <c r="H37" s="15">
        <v>26424.190170000002</v>
      </c>
      <c r="I37" s="15">
        <v>26481.73991</v>
      </c>
      <c r="J37" s="15">
        <v>27787.943710000003</v>
      </c>
      <c r="K37" s="15">
        <v>25040.008860000002</v>
      </c>
      <c r="L37" s="15">
        <v>22523.24742</v>
      </c>
      <c r="M37" s="15">
        <v>15865.47061</v>
      </c>
      <c r="N37" s="15"/>
    </row>
    <row r="38" spans="1:14" x14ac:dyDescent="0.25">
      <c r="A38">
        <v>35</v>
      </c>
      <c r="B38" t="s">
        <v>39</v>
      </c>
      <c r="C38" s="15">
        <v>84957.680930000002</v>
      </c>
      <c r="D38" s="15">
        <v>63227.973079999996</v>
      </c>
      <c r="E38" s="15">
        <v>81946.142160000018</v>
      </c>
      <c r="F38" s="15">
        <v>79506.384850000002</v>
      </c>
      <c r="G38" s="15">
        <v>80481.426729999992</v>
      </c>
      <c r="H38" s="15">
        <v>72371.660509999987</v>
      </c>
      <c r="I38" s="15">
        <v>73665.29856000001</v>
      </c>
      <c r="J38" s="15">
        <v>80154.703680000021</v>
      </c>
      <c r="K38" s="15">
        <v>78087.187479999979</v>
      </c>
      <c r="L38" s="15">
        <v>87292.069199999998</v>
      </c>
      <c r="M38" s="15">
        <f>M39-SUM(M34:M37)</f>
        <v>89816.331799999985</v>
      </c>
      <c r="N38" s="15">
        <f>N39-SUM(N34:N37)</f>
        <v>0</v>
      </c>
    </row>
    <row r="39" spans="1:14" x14ac:dyDescent="0.25">
      <c r="A39">
        <v>36</v>
      </c>
      <c r="B39" t="s">
        <v>45</v>
      </c>
      <c r="C39" s="15">
        <v>336738.45872</v>
      </c>
      <c r="D39" s="15">
        <v>256599.05259000001</v>
      </c>
      <c r="E39" s="15">
        <v>318187.75484000001</v>
      </c>
      <c r="F39" s="15">
        <v>302276.92837000004</v>
      </c>
      <c r="G39" s="15">
        <v>315586.60084999999</v>
      </c>
      <c r="H39" s="15">
        <v>290702.84011999995</v>
      </c>
      <c r="I39" s="15">
        <v>296188.07297000004</v>
      </c>
      <c r="J39" s="15">
        <v>313515.27044000005</v>
      </c>
      <c r="K39" s="15">
        <v>295557.29304999998</v>
      </c>
      <c r="L39" s="15">
        <v>322591.96587000001</v>
      </c>
      <c r="M39" s="15">
        <v>319947.14211999997</v>
      </c>
      <c r="N39" s="15"/>
    </row>
    <row r="40" spans="1:14" x14ac:dyDescent="0.25">
      <c r="A40">
        <v>37</v>
      </c>
    </row>
    <row r="41" spans="1:14" x14ac:dyDescent="0.25">
      <c r="A41">
        <v>38</v>
      </c>
      <c r="B41" s="7" t="s">
        <v>26</v>
      </c>
      <c r="C41" s="2" t="s">
        <v>6</v>
      </c>
      <c r="D41" s="2" t="s">
        <v>7</v>
      </c>
      <c r="E41" s="2" t="s">
        <v>8</v>
      </c>
      <c r="F41" s="2" t="s">
        <v>9</v>
      </c>
      <c r="G41" s="2" t="s">
        <v>10</v>
      </c>
      <c r="H41" s="2" t="s">
        <v>11</v>
      </c>
      <c r="I41" s="2" t="s">
        <v>12</v>
      </c>
      <c r="J41" s="2" t="s">
        <v>13</v>
      </c>
      <c r="K41" s="2" t="s">
        <v>14</v>
      </c>
      <c r="L41" s="2" t="s">
        <v>15</v>
      </c>
      <c r="M41" s="2" t="s">
        <v>16</v>
      </c>
      <c r="N41" s="2" t="s">
        <v>17</v>
      </c>
    </row>
    <row r="42" spans="1:14" x14ac:dyDescent="0.25">
      <c r="A42">
        <v>39</v>
      </c>
      <c r="B42" t="s">
        <v>62</v>
      </c>
    </row>
    <row r="43" spans="1:14" x14ac:dyDescent="0.25">
      <c r="A43">
        <v>40</v>
      </c>
      <c r="B43" t="s">
        <v>35</v>
      </c>
      <c r="C43" s="15">
        <v>668981.58117100003</v>
      </c>
      <c r="D43" s="15">
        <v>517160.60159299994</v>
      </c>
      <c r="E43" s="15">
        <v>628562.35572500003</v>
      </c>
      <c r="F43" s="15">
        <v>560435.72828200005</v>
      </c>
      <c r="G43" s="15">
        <v>562288.37736499996</v>
      </c>
      <c r="H43" s="15">
        <v>559871.64731499995</v>
      </c>
      <c r="I43" s="15">
        <v>564887.10981699999</v>
      </c>
      <c r="J43" s="15">
        <v>615228.019401</v>
      </c>
      <c r="K43" s="15">
        <v>661314.35669000004</v>
      </c>
      <c r="L43" s="15">
        <v>772061.55369799992</v>
      </c>
      <c r="M43" s="15">
        <v>804009.62089399993</v>
      </c>
      <c r="N43" s="15">
        <v>0</v>
      </c>
    </row>
    <row r="44" spans="1:14" x14ac:dyDescent="0.25">
      <c r="A44">
        <v>41</v>
      </c>
      <c r="B44" t="s">
        <v>43</v>
      </c>
      <c r="C44" s="15">
        <v>571760.56829700002</v>
      </c>
      <c r="D44" s="15">
        <v>432159.29734400002</v>
      </c>
      <c r="E44" s="15">
        <v>505265.93554700003</v>
      </c>
      <c r="F44" s="15">
        <v>456592.96327799995</v>
      </c>
      <c r="G44" s="15">
        <v>486370.35711699998</v>
      </c>
      <c r="H44" s="15">
        <v>479725.492654</v>
      </c>
      <c r="I44" s="15">
        <v>505210.84863399999</v>
      </c>
      <c r="J44" s="15">
        <v>523282.10918500001</v>
      </c>
      <c r="K44" s="15">
        <v>530138.17345900007</v>
      </c>
      <c r="L44" s="15">
        <v>568525.42513700004</v>
      </c>
      <c r="M44" s="15">
        <v>559763.3098093929</v>
      </c>
      <c r="N44" s="15">
        <v>0</v>
      </c>
    </row>
    <row r="45" spans="1:14" x14ac:dyDescent="0.25">
      <c r="A45">
        <v>42</v>
      </c>
      <c r="B45" t="s">
        <v>44</v>
      </c>
      <c r="C45" s="15">
        <v>171477.648124</v>
      </c>
      <c r="D45" s="15">
        <v>148987.147088</v>
      </c>
      <c r="E45" s="15">
        <v>208988.86198300001</v>
      </c>
      <c r="F45" s="15">
        <v>242700.18474899998</v>
      </c>
      <c r="G45" s="15">
        <v>296547.05561899999</v>
      </c>
      <c r="H45" s="15">
        <v>267319.36912799999</v>
      </c>
      <c r="I45" s="15">
        <v>299576.10348599998</v>
      </c>
      <c r="J45" s="15">
        <v>305061.96083999996</v>
      </c>
      <c r="K45" s="15">
        <v>179236.32583300001</v>
      </c>
      <c r="L45" s="15">
        <v>151758.87762399999</v>
      </c>
      <c r="M45" s="15">
        <v>112625.42137</v>
      </c>
      <c r="N45" s="15">
        <v>0</v>
      </c>
    </row>
    <row r="46" spans="1:14" x14ac:dyDescent="0.25">
      <c r="A46">
        <v>43</v>
      </c>
      <c r="B46" t="s">
        <v>37</v>
      </c>
      <c r="C46" s="15">
        <v>122385.487494</v>
      </c>
      <c r="D46" s="15">
        <v>77828.895757000006</v>
      </c>
      <c r="E46" s="15">
        <v>107550.92821700001</v>
      </c>
      <c r="F46" s="15">
        <v>124811.65635</v>
      </c>
      <c r="G46" s="15">
        <v>154009.098337</v>
      </c>
      <c r="H46" s="15">
        <v>145630.92272800001</v>
      </c>
      <c r="I46" s="15">
        <v>143119.54829699997</v>
      </c>
      <c r="J46" s="15">
        <v>153600.188181</v>
      </c>
      <c r="K46" s="15">
        <v>143742.77853499999</v>
      </c>
      <c r="L46" s="15">
        <v>131842.85051399999</v>
      </c>
      <c r="M46" s="15">
        <v>97234.576939000006</v>
      </c>
      <c r="N46" s="15"/>
    </row>
    <row r="47" spans="1:14" x14ac:dyDescent="0.25">
      <c r="A47">
        <v>44</v>
      </c>
      <c r="B47" t="s">
        <v>39</v>
      </c>
      <c r="C47" s="15">
        <f>C48-SUM(C43:C46)</f>
        <v>571037.53384599998</v>
      </c>
      <c r="D47" s="15">
        <f t="shared" ref="D47:M47" si="34">D48-SUM(D43:D46)</f>
        <v>414823.90291599976</v>
      </c>
      <c r="E47" s="15">
        <f t="shared" si="34"/>
        <v>537929.15706699993</v>
      </c>
      <c r="F47" s="15">
        <f t="shared" si="34"/>
        <v>545149.44738499983</v>
      </c>
      <c r="G47" s="15">
        <f t="shared" si="34"/>
        <v>565900.95385999978</v>
      </c>
      <c r="H47" s="15">
        <f t="shared" si="34"/>
        <v>520328.93712600018</v>
      </c>
      <c r="I47" s="15">
        <f t="shared" si="34"/>
        <v>535149.5130700001</v>
      </c>
      <c r="J47" s="15">
        <f t="shared" si="34"/>
        <v>599811.55188399996</v>
      </c>
      <c r="K47" s="15">
        <f t="shared" si="34"/>
        <v>573363.87337399996</v>
      </c>
      <c r="L47" s="15">
        <f t="shared" si="34"/>
        <v>640608.489757</v>
      </c>
      <c r="M47" s="15">
        <f t="shared" si="34"/>
        <v>631104.43221023562</v>
      </c>
      <c r="N47" s="15"/>
    </row>
    <row r="48" spans="1:14" x14ac:dyDescent="0.25">
      <c r="A48">
        <v>45</v>
      </c>
      <c r="B48" t="s">
        <v>45</v>
      </c>
      <c r="C48" s="15">
        <v>2105642.8189320001</v>
      </c>
      <c r="D48" s="15">
        <v>1590959.8446979998</v>
      </c>
      <c r="E48" s="15">
        <v>1988297.238539</v>
      </c>
      <c r="F48" s="15">
        <v>1929689.9800439999</v>
      </c>
      <c r="G48" s="15">
        <v>2065115.8422979997</v>
      </c>
      <c r="H48" s="15">
        <v>1972876.368951</v>
      </c>
      <c r="I48" s="15">
        <v>2047943.1233040001</v>
      </c>
      <c r="J48" s="15">
        <v>2196983.8294910002</v>
      </c>
      <c r="K48" s="15">
        <v>2087795.5078910002</v>
      </c>
      <c r="L48" s="15">
        <v>2264797.19673</v>
      </c>
      <c r="M48" s="15">
        <v>2204737.3612226285</v>
      </c>
      <c r="N48" s="15">
        <f t="shared" ref="N48" si="35">SUM(N43:N47)</f>
        <v>0</v>
      </c>
    </row>
    <row r="49" spans="1:14" x14ac:dyDescent="0.25">
      <c r="A49">
        <v>46</v>
      </c>
    </row>
    <row r="50" spans="1:14" x14ac:dyDescent="0.25">
      <c r="A50">
        <v>47</v>
      </c>
      <c r="B50" t="s">
        <v>3</v>
      </c>
    </row>
    <row r="51" spans="1:14" x14ac:dyDescent="0.25">
      <c r="A51">
        <v>48</v>
      </c>
      <c r="B51" s="7" t="s">
        <v>26</v>
      </c>
      <c r="C51" s="2" t="s">
        <v>6</v>
      </c>
      <c r="D51" s="2" t="s">
        <v>7</v>
      </c>
      <c r="E51" s="2" t="s">
        <v>8</v>
      </c>
      <c r="F51" s="2" t="s">
        <v>9</v>
      </c>
      <c r="G51" s="2" t="s">
        <v>10</v>
      </c>
      <c r="H51" s="2" t="s">
        <v>11</v>
      </c>
      <c r="I51" s="2" t="s">
        <v>12</v>
      </c>
      <c r="J51" s="2" t="s">
        <v>13</v>
      </c>
      <c r="K51" s="2" t="s">
        <v>14</v>
      </c>
      <c r="L51" s="2" t="s">
        <v>15</v>
      </c>
      <c r="M51" s="2" t="s">
        <v>16</v>
      </c>
      <c r="N51" s="2" t="s">
        <v>17</v>
      </c>
    </row>
    <row r="52" spans="1:14" x14ac:dyDescent="0.25">
      <c r="A52">
        <v>49</v>
      </c>
      <c r="B52" s="4">
        <v>2016</v>
      </c>
      <c r="C52">
        <v>209193.04240500089</v>
      </c>
      <c r="D52">
        <v>146615.97193600121</v>
      </c>
      <c r="E52">
        <v>178878.26226000022</v>
      </c>
      <c r="F52">
        <v>162814.54900299921</v>
      </c>
      <c r="G52">
        <v>188245.52130199783</v>
      </c>
      <c r="H52">
        <v>200999.96036299877</v>
      </c>
      <c r="I52">
        <v>191272.08688700013</v>
      </c>
      <c r="J52">
        <v>200406.7635200012</v>
      </c>
      <c r="K52">
        <v>199460.97429300053</v>
      </c>
      <c r="L52">
        <v>178075.69482999714</v>
      </c>
      <c r="M52">
        <v>185476.84781700349</v>
      </c>
      <c r="N52">
        <v>263626.59372299956</v>
      </c>
    </row>
    <row r="53" spans="1:14" x14ac:dyDescent="0.25">
      <c r="A53">
        <v>50</v>
      </c>
      <c r="B53" s="4">
        <v>2017</v>
      </c>
      <c r="C53">
        <v>211459.66529399995</v>
      </c>
      <c r="D53">
        <v>167948.89865999995</v>
      </c>
      <c r="E53">
        <v>216860.7908950001</v>
      </c>
      <c r="F53">
        <v>180519.86094399984</v>
      </c>
      <c r="G53">
        <v>170429.75644399994</v>
      </c>
      <c r="H53">
        <v>137231.35582199995</v>
      </c>
      <c r="I53">
        <v>175063.25574399997</v>
      </c>
      <c r="J53">
        <v>205328.39884350006</v>
      </c>
      <c r="K53">
        <v>189346.45381999982</v>
      </c>
      <c r="L53">
        <v>173290.37422500015</v>
      </c>
      <c r="M53">
        <v>145401.97035600012</v>
      </c>
      <c r="N53">
        <v>154101.55470700003</v>
      </c>
    </row>
    <row r="54" spans="1:14" x14ac:dyDescent="0.25">
      <c r="A54">
        <v>51</v>
      </c>
      <c r="B54" s="4">
        <v>2018</v>
      </c>
      <c r="C54">
        <v>172737.07712400006</v>
      </c>
      <c r="D54">
        <v>120568.48497475008</v>
      </c>
      <c r="E54">
        <v>127462.47238299984</v>
      </c>
      <c r="F54">
        <v>130199.70701499993</v>
      </c>
      <c r="G54">
        <v>154216.67893699999</v>
      </c>
      <c r="H54">
        <v>109811.68628899986</v>
      </c>
      <c r="I54">
        <v>160716.41242900002</v>
      </c>
      <c r="J54">
        <v>176290.32715999987</v>
      </c>
      <c r="K54">
        <v>150263.10354449996</v>
      </c>
      <c r="L54">
        <v>184239.64984474983</v>
      </c>
      <c r="M54">
        <v>204822.08804550022</v>
      </c>
    </row>
    <row r="55" spans="1:14" x14ac:dyDescent="0.25">
      <c r="A55">
        <v>52</v>
      </c>
      <c r="B55" s="6" t="s">
        <v>0</v>
      </c>
      <c r="C55">
        <v>185013.37178495573</v>
      </c>
      <c r="D55">
        <v>168301.29391794163</v>
      </c>
      <c r="E55">
        <v>181676.34819719521</v>
      </c>
      <c r="F55">
        <v>182874.36560473777</v>
      </c>
      <c r="G55">
        <v>187129.39630271588</v>
      </c>
      <c r="H55">
        <v>188959.23668955779</v>
      </c>
      <c r="I55">
        <v>193782.65224411245</v>
      </c>
      <c r="J55">
        <v>196262.7462061441</v>
      </c>
      <c r="K55">
        <v>199449.83761230879</v>
      </c>
      <c r="L55">
        <v>201796.71691854321</v>
      </c>
      <c r="M55">
        <v>205741.88740851008</v>
      </c>
      <c r="N55">
        <v>209303.45467342157</v>
      </c>
    </row>
    <row r="56" spans="1:14" x14ac:dyDescent="0.25">
      <c r="A56">
        <v>53</v>
      </c>
    </row>
    <row r="57" spans="1:14" x14ac:dyDescent="0.25">
      <c r="A57">
        <v>54</v>
      </c>
      <c r="B57" t="s">
        <v>63</v>
      </c>
    </row>
    <row r="58" spans="1:14" x14ac:dyDescent="0.25">
      <c r="A58">
        <v>55</v>
      </c>
      <c r="B58" s="7" t="s">
        <v>26</v>
      </c>
      <c r="C58" s="2" t="s">
        <v>6</v>
      </c>
      <c r="D58" s="2" t="s">
        <v>7</v>
      </c>
      <c r="E58" s="2" t="s">
        <v>8</v>
      </c>
      <c r="F58" s="2" t="s">
        <v>9</v>
      </c>
      <c r="G58" s="2" t="s">
        <v>10</v>
      </c>
      <c r="H58" s="2" t="s">
        <v>11</v>
      </c>
      <c r="I58" s="2" t="s">
        <v>12</v>
      </c>
      <c r="J58" s="2" t="s">
        <v>13</v>
      </c>
      <c r="K58" s="2" t="s">
        <v>14</v>
      </c>
      <c r="L58" s="2" t="s">
        <v>15</v>
      </c>
      <c r="M58" s="2" t="s">
        <v>16</v>
      </c>
      <c r="N58" s="2" t="s">
        <v>17</v>
      </c>
    </row>
    <row r="59" spans="1:14" x14ac:dyDescent="0.25">
      <c r="A59">
        <v>56</v>
      </c>
      <c r="B59" s="4">
        <v>2016</v>
      </c>
      <c r="C59" s="15">
        <v>176582.04750013154</v>
      </c>
      <c r="D59" s="15">
        <v>108149.16357378507</v>
      </c>
      <c r="E59" s="15">
        <v>146344.37370134593</v>
      </c>
      <c r="F59" s="15">
        <v>110881.20690993522</v>
      </c>
      <c r="G59" s="15">
        <v>148789.48490639456</v>
      </c>
      <c r="H59" s="15">
        <v>166785.11755268593</v>
      </c>
      <c r="I59" s="15">
        <v>157868.70346889892</v>
      </c>
      <c r="J59" s="15">
        <v>198284.93215667823</v>
      </c>
      <c r="K59" s="15">
        <v>183907.59638074849</v>
      </c>
      <c r="L59" s="15">
        <v>122668.45963455478</v>
      </c>
      <c r="M59" s="15">
        <v>150288.68269319925</v>
      </c>
      <c r="N59" s="15">
        <v>255557.94202827269</v>
      </c>
    </row>
    <row r="60" spans="1:14" x14ac:dyDescent="0.25">
      <c r="A60">
        <v>57</v>
      </c>
      <c r="B60" s="4">
        <v>2017</v>
      </c>
      <c r="C60" s="15">
        <v>159613.58359344266</v>
      </c>
      <c r="D60" s="15">
        <v>144044.83999438857</v>
      </c>
      <c r="E60" s="15">
        <v>174241.40305013084</v>
      </c>
      <c r="F60" s="15">
        <v>138791.23613843627</v>
      </c>
      <c r="G60" s="15">
        <v>131599.51276570669</v>
      </c>
      <c r="H60" s="15">
        <v>91098.867161728107</v>
      </c>
      <c r="I60" s="15">
        <v>127634.50636880088</v>
      </c>
      <c r="J60" s="15">
        <v>170750.69619700036</v>
      </c>
      <c r="K60" s="15">
        <v>163031.03159849474</v>
      </c>
      <c r="L60" s="15">
        <v>146738.58903553223</v>
      </c>
      <c r="M60" s="15">
        <v>120597.38682567977</v>
      </c>
      <c r="N60" s="15">
        <v>110908.92378986938</v>
      </c>
    </row>
    <row r="61" spans="1:14" x14ac:dyDescent="0.25">
      <c r="A61">
        <v>58</v>
      </c>
      <c r="B61" s="4">
        <v>2018</v>
      </c>
      <c r="C61" s="15">
        <v>122117.85756446273</v>
      </c>
      <c r="D61" s="15">
        <v>82414.775953005781</v>
      </c>
      <c r="E61" s="15">
        <v>106129.66194509217</v>
      </c>
      <c r="F61" s="15">
        <v>69123.504807591482</v>
      </c>
      <c r="G61" s="15">
        <v>99000.74644129198</v>
      </c>
      <c r="H61" s="15">
        <v>79892.151396004876</v>
      </c>
      <c r="I61" s="15">
        <v>116899.60203517685</v>
      </c>
      <c r="J61" s="15">
        <v>132583.39481398984</v>
      </c>
      <c r="K61" s="15">
        <v>102630.12746766032</v>
      </c>
      <c r="L61" s="15">
        <v>144243.88559805194</v>
      </c>
      <c r="M61" s="15">
        <v>158274.92669662391</v>
      </c>
      <c r="N61" s="15"/>
    </row>
    <row r="62" spans="1:14" x14ac:dyDescent="0.25">
      <c r="A62">
        <v>59</v>
      </c>
      <c r="B62" s="6" t="s">
        <v>0</v>
      </c>
      <c r="C62" s="15">
        <v>144622.54959854935</v>
      </c>
      <c r="D62" s="15">
        <v>130020.79551096799</v>
      </c>
      <c r="E62" s="15">
        <v>142019.45406420864</v>
      </c>
      <c r="F62" s="15">
        <v>142961.76474903617</v>
      </c>
      <c r="G62" s="15">
        <v>147033.24516209151</v>
      </c>
      <c r="H62" s="15">
        <v>149308.80076950075</v>
      </c>
      <c r="I62" s="15">
        <v>153642.66227620473</v>
      </c>
      <c r="J62" s="15">
        <v>156591.66426386646</v>
      </c>
      <c r="K62" s="15">
        <v>158311.33501612701</v>
      </c>
      <c r="L62" s="15">
        <v>161279.74004309371</v>
      </c>
      <c r="M62" s="15">
        <v>164395.49315182801</v>
      </c>
      <c r="N62" s="15">
        <v>166812.8434410074</v>
      </c>
    </row>
    <row r="63" spans="1:14" x14ac:dyDescent="0.25">
      <c r="A63">
        <v>60</v>
      </c>
    </row>
    <row r="64" spans="1:14" x14ac:dyDescent="0.25">
      <c r="A64">
        <v>61</v>
      </c>
      <c r="B64" t="s">
        <v>65</v>
      </c>
    </row>
    <row r="65" spans="1:14" x14ac:dyDescent="0.25">
      <c r="A65">
        <v>62</v>
      </c>
      <c r="B65" s="7" t="s">
        <v>68</v>
      </c>
      <c r="C65" s="2" t="s">
        <v>6</v>
      </c>
      <c r="D65" s="2" t="s">
        <v>7</v>
      </c>
      <c r="E65" s="2" t="s">
        <v>8</v>
      </c>
      <c r="F65" s="2" t="s">
        <v>9</v>
      </c>
      <c r="G65" s="2" t="s">
        <v>10</v>
      </c>
      <c r="H65" s="2" t="s">
        <v>11</v>
      </c>
      <c r="I65" s="2" t="s">
        <v>12</v>
      </c>
      <c r="J65" s="2" t="s">
        <v>13</v>
      </c>
      <c r="K65" s="2" t="s">
        <v>14</v>
      </c>
      <c r="L65" s="2" t="s">
        <v>15</v>
      </c>
      <c r="M65" s="2" t="s">
        <v>16</v>
      </c>
      <c r="N65" s="2" t="s">
        <v>17</v>
      </c>
    </row>
    <row r="66" spans="1:14" x14ac:dyDescent="0.25">
      <c r="A66">
        <v>63</v>
      </c>
      <c r="B66" t="s">
        <v>18</v>
      </c>
      <c r="C66" s="15">
        <v>87325.235000000001</v>
      </c>
      <c r="D66" s="15">
        <v>73532.194999999992</v>
      </c>
      <c r="E66" s="15">
        <v>88910.335000000006</v>
      </c>
      <c r="F66" s="15">
        <v>89225.595000000001</v>
      </c>
      <c r="G66" s="15">
        <v>94788.235000000001</v>
      </c>
      <c r="H66" s="15">
        <v>98814.339999999982</v>
      </c>
      <c r="I66" s="15">
        <v>96077.235000000001</v>
      </c>
      <c r="J66" s="15">
        <v>108852.30499999999</v>
      </c>
      <c r="K66" s="15">
        <v>108200.15000000001</v>
      </c>
      <c r="L66" s="15">
        <v>110479.38500000001</v>
      </c>
      <c r="M66" s="15">
        <v>111198.71499999998</v>
      </c>
      <c r="N66" s="15">
        <v>118902.03000000001</v>
      </c>
    </row>
    <row r="67" spans="1:14" x14ac:dyDescent="0.25">
      <c r="A67">
        <v>64</v>
      </c>
      <c r="B67" t="s">
        <v>64</v>
      </c>
      <c r="C67" s="15">
        <v>13170.775</v>
      </c>
      <c r="D67" s="15">
        <v>10179.150000000001</v>
      </c>
      <c r="E67" s="15">
        <v>11920.45</v>
      </c>
      <c r="F67" s="15">
        <v>12792.174999999999</v>
      </c>
      <c r="G67" s="15">
        <v>12949.949999999999</v>
      </c>
      <c r="H67" s="15">
        <v>12108.225</v>
      </c>
      <c r="I67" s="15">
        <v>11675.924999999999</v>
      </c>
      <c r="J67" s="15">
        <v>12823.275000000001</v>
      </c>
      <c r="K67" s="15">
        <v>13846.325000000001</v>
      </c>
      <c r="L67" s="15">
        <v>15174.15</v>
      </c>
      <c r="M67" s="15">
        <v>15662.550000000001</v>
      </c>
      <c r="N67" s="15">
        <v>16351.399999999998</v>
      </c>
    </row>
    <row r="68" spans="1:14" x14ac:dyDescent="0.25">
      <c r="A68">
        <v>65</v>
      </c>
      <c r="B68" t="s">
        <v>20</v>
      </c>
      <c r="C68" s="15">
        <v>12479.345000000001</v>
      </c>
      <c r="D68" s="15">
        <v>10484.934999999999</v>
      </c>
      <c r="E68" s="15">
        <v>12426.725</v>
      </c>
      <c r="F68" s="15">
        <v>12581.269999999999</v>
      </c>
      <c r="G68" s="15">
        <v>12545.219999999998</v>
      </c>
      <c r="H68" s="15">
        <v>13845.834999999999</v>
      </c>
      <c r="I68" s="15">
        <v>11864.36</v>
      </c>
      <c r="J68" s="15">
        <v>12694.55</v>
      </c>
      <c r="K68" s="15">
        <v>12544.499999999998</v>
      </c>
      <c r="L68" s="15">
        <v>13021.4</v>
      </c>
      <c r="M68" s="15">
        <v>13126.849999999999</v>
      </c>
      <c r="N68" s="15">
        <v>14126.58</v>
      </c>
    </row>
    <row r="69" spans="1:14" x14ac:dyDescent="0.25">
      <c r="A69">
        <v>66</v>
      </c>
      <c r="B69" t="s">
        <v>19</v>
      </c>
      <c r="C69" s="15">
        <v>11282.934999999998</v>
      </c>
      <c r="D69" s="15">
        <v>10235.445000000002</v>
      </c>
      <c r="E69" s="15">
        <v>12211.4</v>
      </c>
      <c r="F69" s="15">
        <v>12729.570000000002</v>
      </c>
      <c r="G69" s="15">
        <v>13115.424999999999</v>
      </c>
      <c r="H69" s="15">
        <v>12421.380000000001</v>
      </c>
      <c r="I69" s="15">
        <v>11613.560000000001</v>
      </c>
      <c r="J69" s="15">
        <v>11565.74</v>
      </c>
      <c r="K69" s="15">
        <v>9933.84</v>
      </c>
      <c r="L69" s="15">
        <v>10435.785</v>
      </c>
      <c r="M69" s="15">
        <v>10793.87</v>
      </c>
      <c r="N69" s="15">
        <v>11167.684999999999</v>
      </c>
    </row>
    <row r="70" spans="1:14" x14ac:dyDescent="0.25">
      <c r="A70">
        <v>67</v>
      </c>
      <c r="B70" t="s">
        <v>21</v>
      </c>
      <c r="C70" s="15">
        <v>6699.5499999999993</v>
      </c>
      <c r="D70" s="15">
        <v>5733.6249999999991</v>
      </c>
      <c r="E70" s="15">
        <v>6684.9500000000007</v>
      </c>
      <c r="F70" s="15">
        <v>6480.4749999999995</v>
      </c>
      <c r="G70" s="15">
        <v>6265.4</v>
      </c>
      <c r="H70" s="15">
        <v>6071.35</v>
      </c>
      <c r="I70" s="15">
        <v>5700.0499999999993</v>
      </c>
      <c r="J70" s="15">
        <v>6612.5250000000005</v>
      </c>
      <c r="K70" s="15">
        <v>6660.7749999999996</v>
      </c>
      <c r="L70" s="15">
        <v>7140.875</v>
      </c>
      <c r="M70" s="15">
        <v>6888.6750000000002</v>
      </c>
      <c r="N70" s="15">
        <v>7285.0999999999995</v>
      </c>
    </row>
    <row r="71" spans="1:14" x14ac:dyDescent="0.25">
      <c r="A71">
        <v>68</v>
      </c>
      <c r="B71" t="s">
        <v>22</v>
      </c>
      <c r="C71" s="15">
        <v>3314.7550000000001</v>
      </c>
      <c r="D71" s="15">
        <v>3119.54</v>
      </c>
      <c r="E71" s="15">
        <v>3499.165</v>
      </c>
      <c r="F71" s="15">
        <v>3207.5549999999998</v>
      </c>
      <c r="G71" s="15">
        <v>3202.1600000000003</v>
      </c>
      <c r="H71" s="15">
        <v>3362.6049999999996</v>
      </c>
      <c r="I71" s="15">
        <v>2971.835</v>
      </c>
      <c r="J71" s="15">
        <v>3043.8450000000003</v>
      </c>
      <c r="K71" s="15">
        <v>2789.6400000000003</v>
      </c>
      <c r="L71" s="15">
        <v>3012.1099999999997</v>
      </c>
      <c r="M71" s="15">
        <v>3007.6350000000002</v>
      </c>
      <c r="N71" s="15">
        <v>3379.79</v>
      </c>
    </row>
    <row r="72" spans="1:14" x14ac:dyDescent="0.25">
      <c r="A72">
        <v>69</v>
      </c>
      <c r="B72" s="19" t="s">
        <v>4</v>
      </c>
      <c r="C72" s="18">
        <f t="shared" ref="C72:L72" si="36">SUM(C66:C71)</f>
        <v>134272.595</v>
      </c>
      <c r="D72" s="18">
        <f t="shared" si="36"/>
        <v>113284.89</v>
      </c>
      <c r="E72" s="18">
        <f t="shared" si="36"/>
        <v>135653.02500000002</v>
      </c>
      <c r="F72" s="18">
        <f t="shared" si="36"/>
        <v>137016.64000000001</v>
      </c>
      <c r="G72" s="18">
        <f t="shared" si="36"/>
        <v>142866.38999999998</v>
      </c>
      <c r="H72" s="18">
        <f t="shared" si="36"/>
        <v>146623.73500000002</v>
      </c>
      <c r="I72" s="18">
        <f t="shared" si="36"/>
        <v>139902.965</v>
      </c>
      <c r="J72" s="18">
        <f t="shared" si="36"/>
        <v>155592.23999999996</v>
      </c>
      <c r="K72" s="18">
        <f t="shared" si="36"/>
        <v>153975.23000000001</v>
      </c>
      <c r="L72" s="18">
        <f t="shared" si="36"/>
        <v>159263.70499999999</v>
      </c>
      <c r="M72" s="18">
        <f t="shared" ref="M72:N72" si="37">SUM(M66:M71)</f>
        <v>160678.29499999998</v>
      </c>
      <c r="N72" s="18">
        <f t="shared" si="37"/>
        <v>171212.58500000002</v>
      </c>
    </row>
    <row r="73" spans="1:14" x14ac:dyDescent="0.25">
      <c r="A73">
        <v>70</v>
      </c>
    </row>
    <row r="74" spans="1:14" x14ac:dyDescent="0.25">
      <c r="A74">
        <v>71</v>
      </c>
      <c r="B74" s="7" t="s">
        <v>67</v>
      </c>
      <c r="C74" s="2" t="s">
        <v>6</v>
      </c>
      <c r="D74" s="2" t="s">
        <v>7</v>
      </c>
      <c r="E74" s="2" t="s">
        <v>8</v>
      </c>
      <c r="F74" s="2" t="s">
        <v>9</v>
      </c>
      <c r="G74" s="2" t="s">
        <v>10</v>
      </c>
      <c r="H74" s="2" t="s">
        <v>11</v>
      </c>
      <c r="I74" s="2" t="s">
        <v>12</v>
      </c>
      <c r="J74" s="2" t="s">
        <v>13</v>
      </c>
      <c r="K74" s="2" t="s">
        <v>14</v>
      </c>
      <c r="L74" s="2" t="s">
        <v>15</v>
      </c>
      <c r="M74" s="2" t="s">
        <v>16</v>
      </c>
      <c r="N74" s="2" t="s">
        <v>17</v>
      </c>
    </row>
    <row r="75" spans="1:14" x14ac:dyDescent="0.25">
      <c r="A75">
        <v>72</v>
      </c>
      <c r="B75" t="s">
        <v>18</v>
      </c>
      <c r="C75" s="15">
        <v>104604.325</v>
      </c>
      <c r="D75" s="15">
        <v>98300.24</v>
      </c>
      <c r="E75" s="15">
        <v>109578.845</v>
      </c>
      <c r="F75" s="15">
        <v>90731.564999999988</v>
      </c>
      <c r="G75" s="15">
        <v>77388.184999999998</v>
      </c>
      <c r="H75" s="15">
        <v>65926.985000000001</v>
      </c>
      <c r="I75" s="15">
        <v>74983.499999999985</v>
      </c>
      <c r="J75" s="15">
        <v>81221.119999999995</v>
      </c>
      <c r="K75" s="15">
        <v>76533.250000000015</v>
      </c>
      <c r="L75" s="15">
        <v>72976.499999999985</v>
      </c>
      <c r="M75" s="15">
        <v>70643.31</v>
      </c>
      <c r="N75" s="15">
        <v>72365.439999999988</v>
      </c>
    </row>
    <row r="76" spans="1:14" x14ac:dyDescent="0.25">
      <c r="A76">
        <v>73</v>
      </c>
      <c r="B76" t="s">
        <v>64</v>
      </c>
      <c r="C76" s="15">
        <v>13098.85</v>
      </c>
      <c r="D76" s="15">
        <v>12065.275</v>
      </c>
      <c r="E76" s="15">
        <v>13559.1</v>
      </c>
      <c r="F76" s="15">
        <v>14890.375</v>
      </c>
      <c r="G76" s="15">
        <v>14652.325000000001</v>
      </c>
      <c r="H76" s="15">
        <v>13490.2</v>
      </c>
      <c r="I76" s="15">
        <v>13387.725</v>
      </c>
      <c r="J76" s="15">
        <v>13468.775</v>
      </c>
      <c r="K76" s="15">
        <v>13008.225</v>
      </c>
      <c r="L76" s="15">
        <v>13690.675000000001</v>
      </c>
      <c r="M76" s="15">
        <v>14154.065000000001</v>
      </c>
      <c r="N76" s="15">
        <v>15455.674999999999</v>
      </c>
    </row>
    <row r="77" spans="1:14" x14ac:dyDescent="0.25">
      <c r="A77">
        <v>74</v>
      </c>
      <c r="B77" t="s">
        <v>20</v>
      </c>
      <c r="C77" s="15">
        <v>13812.915000000001</v>
      </c>
      <c r="D77" s="15">
        <v>12404.035</v>
      </c>
      <c r="E77" s="15">
        <v>14320.25</v>
      </c>
      <c r="F77" s="15">
        <v>13809.754999999999</v>
      </c>
      <c r="G77" s="15">
        <v>12795.25</v>
      </c>
      <c r="H77" s="15">
        <v>11865.12</v>
      </c>
      <c r="I77" s="15">
        <v>12819.630000000003</v>
      </c>
      <c r="J77" s="15">
        <v>13063.51</v>
      </c>
      <c r="K77" s="15">
        <v>12790.125</v>
      </c>
      <c r="L77" s="15">
        <v>13019.119999999999</v>
      </c>
      <c r="M77" s="15">
        <v>13069.525</v>
      </c>
      <c r="N77" s="15">
        <v>14235.135</v>
      </c>
    </row>
    <row r="78" spans="1:14" x14ac:dyDescent="0.25">
      <c r="A78">
        <v>75</v>
      </c>
      <c r="B78" t="s">
        <v>19</v>
      </c>
      <c r="C78" s="15">
        <v>10330.195000000002</v>
      </c>
      <c r="D78" s="15">
        <v>9474.4</v>
      </c>
      <c r="E78" s="15">
        <v>10619.295</v>
      </c>
      <c r="F78" s="15">
        <v>10872.68</v>
      </c>
      <c r="G78" s="15">
        <v>10383.07</v>
      </c>
      <c r="H78" s="15">
        <v>10075.785</v>
      </c>
      <c r="I78" s="15">
        <v>9308.2999999999993</v>
      </c>
      <c r="J78" s="15">
        <v>9572.66</v>
      </c>
      <c r="K78" s="15">
        <v>9081.84</v>
      </c>
      <c r="L78" s="15">
        <v>9459.4449999999997</v>
      </c>
      <c r="M78" s="15">
        <v>10285.525000000001</v>
      </c>
      <c r="N78" s="15">
        <v>11890.31</v>
      </c>
    </row>
    <row r="79" spans="1:14" x14ac:dyDescent="0.25">
      <c r="A79">
        <v>76</v>
      </c>
      <c r="B79" t="s">
        <v>21</v>
      </c>
      <c r="C79" s="15">
        <v>6104.8</v>
      </c>
      <c r="D79" s="15">
        <v>5854.75</v>
      </c>
      <c r="E79" s="15">
        <v>6559.7999999999993</v>
      </c>
      <c r="F79" s="15">
        <v>6564.875</v>
      </c>
      <c r="G79" s="15">
        <v>6385.4750000000004</v>
      </c>
      <c r="H79" s="15">
        <v>5778.1249999999991</v>
      </c>
      <c r="I79" s="15">
        <v>5484.4250000000002</v>
      </c>
      <c r="J79" s="15">
        <v>5674.45</v>
      </c>
      <c r="K79" s="15">
        <v>5564.55</v>
      </c>
      <c r="L79" s="15">
        <v>5925.7750000000005</v>
      </c>
      <c r="M79" s="15">
        <v>5909.2000000000007</v>
      </c>
      <c r="N79" s="15">
        <v>6357.1500000000005</v>
      </c>
    </row>
    <row r="80" spans="1:14" x14ac:dyDescent="0.25">
      <c r="A80">
        <v>77</v>
      </c>
      <c r="B80" t="s">
        <v>22</v>
      </c>
      <c r="C80" s="15">
        <v>3284.7</v>
      </c>
      <c r="D80" s="15">
        <v>3284.0699999999997</v>
      </c>
      <c r="E80" s="15">
        <v>3549.9199999999996</v>
      </c>
      <c r="F80" s="15">
        <v>3204.4449999999997</v>
      </c>
      <c r="G80" s="15">
        <v>3068.4949999999999</v>
      </c>
      <c r="H80" s="15">
        <v>3059.9749999999999</v>
      </c>
      <c r="I80" s="15">
        <v>3234.61</v>
      </c>
      <c r="J80" s="15">
        <v>4072.3349999999996</v>
      </c>
      <c r="K80" s="15">
        <v>4082.1750000000002</v>
      </c>
      <c r="L80" s="15">
        <v>4077.5050000000001</v>
      </c>
      <c r="M80" s="15">
        <v>4113.1500000000005</v>
      </c>
      <c r="N80" s="15">
        <v>4357.1350000000002</v>
      </c>
    </row>
    <row r="81" spans="1:14" x14ac:dyDescent="0.25">
      <c r="A81">
        <v>78</v>
      </c>
      <c r="B81" s="19" t="s">
        <v>4</v>
      </c>
      <c r="C81" s="18">
        <f>SUM(C75:C80)</f>
        <v>151235.785</v>
      </c>
      <c r="D81" s="18">
        <f t="shared" ref="D81" si="38">SUM(D75:D80)</f>
        <v>141382.77000000002</v>
      </c>
      <c r="E81" s="18">
        <f t="shared" ref="E81" si="39">SUM(E75:E80)</f>
        <v>158187.21000000002</v>
      </c>
      <c r="F81" s="18">
        <f t="shared" ref="F81" si="40">SUM(F75:F80)</f>
        <v>140073.69500000001</v>
      </c>
      <c r="G81" s="18">
        <f t="shared" ref="G81" si="41">SUM(G75:G80)</f>
        <v>124672.79999999999</v>
      </c>
      <c r="H81" s="18">
        <f t="shared" ref="H81" si="42">SUM(H75:H80)</f>
        <v>110196.19</v>
      </c>
      <c r="I81" s="18">
        <f t="shared" ref="I81" si="43">SUM(I75:I80)</f>
        <v>119218.19</v>
      </c>
      <c r="J81" s="18">
        <f t="shared" ref="J81" si="44">SUM(J75:J80)</f>
        <v>127072.84999999999</v>
      </c>
      <c r="K81" s="18">
        <f t="shared" ref="K81" si="45">SUM(K75:K80)</f>
        <v>121060.16500000002</v>
      </c>
      <c r="L81" s="18">
        <f t="shared" ref="L81" si="46">SUM(L75:L80)</f>
        <v>119149.01999999999</v>
      </c>
      <c r="M81" s="18">
        <f t="shared" ref="M81" si="47">SUM(M75:M80)</f>
        <v>118174.77499999998</v>
      </c>
      <c r="N81" s="18">
        <f t="shared" ref="N81" si="48">SUM(N75:N80)</f>
        <v>124660.84499999997</v>
      </c>
    </row>
    <row r="82" spans="1:14" x14ac:dyDescent="0.25">
      <c r="A82">
        <v>79</v>
      </c>
    </row>
    <row r="83" spans="1:14" x14ac:dyDescent="0.25">
      <c r="A83">
        <v>80</v>
      </c>
      <c r="B83" s="7" t="s">
        <v>66</v>
      </c>
      <c r="C83" s="2" t="s">
        <v>6</v>
      </c>
      <c r="D83" s="2" t="s">
        <v>7</v>
      </c>
      <c r="E83" s="2" t="s">
        <v>8</v>
      </c>
      <c r="F83" s="2" t="s">
        <v>9</v>
      </c>
      <c r="G83" s="2" t="s">
        <v>10</v>
      </c>
      <c r="H83" s="2" t="s">
        <v>11</v>
      </c>
      <c r="I83" s="2" t="s">
        <v>12</v>
      </c>
      <c r="J83" s="2" t="s">
        <v>13</v>
      </c>
      <c r="K83" s="2" t="s">
        <v>14</v>
      </c>
      <c r="L83" s="2" t="s">
        <v>15</v>
      </c>
      <c r="M83" s="2" t="s">
        <v>16</v>
      </c>
      <c r="N83" s="2" t="s">
        <v>17</v>
      </c>
    </row>
    <row r="84" spans="1:14" x14ac:dyDescent="0.25">
      <c r="A84">
        <v>81</v>
      </c>
      <c r="B84" t="s">
        <v>18</v>
      </c>
      <c r="C84" s="15">
        <v>73723.615000000005</v>
      </c>
      <c r="D84" s="15">
        <v>57151.634999999995</v>
      </c>
      <c r="E84" s="15">
        <v>62992.305000000008</v>
      </c>
      <c r="F84" s="15">
        <v>58966.099999999991</v>
      </c>
      <c r="G84" s="15">
        <v>66072.13</v>
      </c>
      <c r="H84" s="15">
        <v>60103.37</v>
      </c>
      <c r="I84" s="15">
        <v>62794.47</v>
      </c>
      <c r="J84" s="15">
        <v>67046.14</v>
      </c>
      <c r="K84" s="15">
        <v>65660.320000000007</v>
      </c>
      <c r="L84" s="15">
        <v>71599.360000000001</v>
      </c>
      <c r="M84" s="15">
        <v>71478.845000000001</v>
      </c>
      <c r="N84" s="15"/>
    </row>
    <row r="85" spans="1:14" x14ac:dyDescent="0.25">
      <c r="A85">
        <v>82</v>
      </c>
      <c r="B85" t="s">
        <v>64</v>
      </c>
      <c r="C85" s="15">
        <v>15514.970000000001</v>
      </c>
      <c r="D85" s="15">
        <v>11563.424999999999</v>
      </c>
      <c r="E85" s="15">
        <v>13697.160000000002</v>
      </c>
      <c r="F85" s="15">
        <v>13631.41</v>
      </c>
      <c r="G85" s="15">
        <v>15509.82</v>
      </c>
      <c r="H85" s="15">
        <v>13194.37</v>
      </c>
      <c r="I85" s="15">
        <v>14125.125</v>
      </c>
      <c r="J85" s="15">
        <v>14531.594999999999</v>
      </c>
      <c r="K85" s="15">
        <v>14672.605000000001</v>
      </c>
      <c r="L85" s="15">
        <v>16345.349999999999</v>
      </c>
      <c r="M85" s="15">
        <v>17059.775000000001</v>
      </c>
      <c r="N85" s="15"/>
    </row>
    <row r="86" spans="1:14" x14ac:dyDescent="0.25">
      <c r="A86">
        <v>83</v>
      </c>
      <c r="B86" t="s">
        <v>20</v>
      </c>
      <c r="C86" s="15">
        <v>14785.34</v>
      </c>
      <c r="D86" s="15">
        <v>12123.179999999998</v>
      </c>
      <c r="E86" s="15">
        <v>15798.425000000001</v>
      </c>
      <c r="F86" s="15">
        <v>13906.32</v>
      </c>
      <c r="G86" s="15">
        <v>14612.275000000001</v>
      </c>
      <c r="H86" s="15">
        <v>14175.865000000002</v>
      </c>
      <c r="I86" s="15">
        <v>14423.86</v>
      </c>
      <c r="J86" s="15">
        <v>16426.14</v>
      </c>
      <c r="K86" s="15">
        <v>16314.035</v>
      </c>
      <c r="L86" s="15">
        <v>18274.725000000002</v>
      </c>
      <c r="M86" s="15">
        <v>19072.12</v>
      </c>
      <c r="N86" s="15"/>
    </row>
    <row r="87" spans="1:14" x14ac:dyDescent="0.25">
      <c r="A87">
        <v>84</v>
      </c>
      <c r="B87" t="s">
        <v>19</v>
      </c>
      <c r="C87" s="15">
        <v>12398.11</v>
      </c>
      <c r="D87" s="15">
        <v>11298.43</v>
      </c>
      <c r="E87" s="15">
        <v>12958.130000000001</v>
      </c>
      <c r="F87" s="15">
        <v>12631.674999999999</v>
      </c>
      <c r="G87" s="15">
        <v>14756.84</v>
      </c>
      <c r="H87" s="15">
        <v>12440.915000000001</v>
      </c>
      <c r="I87" s="15">
        <v>12875.24</v>
      </c>
      <c r="J87" s="15">
        <v>14671.355000000001</v>
      </c>
      <c r="K87" s="15">
        <v>12999.599999999999</v>
      </c>
      <c r="L87" s="15">
        <v>13637.014999999999</v>
      </c>
      <c r="M87" s="15">
        <v>15045.174999999999</v>
      </c>
      <c r="N87" s="15"/>
    </row>
    <row r="88" spans="1:14" x14ac:dyDescent="0.25">
      <c r="A88">
        <v>85</v>
      </c>
      <c r="B88" t="s">
        <v>21</v>
      </c>
      <c r="C88" s="15">
        <v>6464.7749999999996</v>
      </c>
      <c r="D88" s="15">
        <v>5644.2</v>
      </c>
      <c r="E88" s="15">
        <v>6863.75</v>
      </c>
      <c r="F88" s="15">
        <v>6540.45</v>
      </c>
      <c r="G88" s="15">
        <v>6744.9500000000007</v>
      </c>
      <c r="H88" s="15">
        <v>6301.1749999999993</v>
      </c>
      <c r="I88" s="15">
        <v>6189.7</v>
      </c>
      <c r="J88" s="15">
        <v>6791.6750000000002</v>
      </c>
      <c r="K88" s="15">
        <v>6428.3249999999998</v>
      </c>
      <c r="L88" s="15">
        <v>7094.0250000000005</v>
      </c>
      <c r="M88" s="15">
        <v>6810.7500000000009</v>
      </c>
      <c r="N88" s="15"/>
    </row>
    <row r="89" spans="1:14" x14ac:dyDescent="0.25">
      <c r="A89">
        <v>86</v>
      </c>
      <c r="B89" t="s">
        <v>22</v>
      </c>
      <c r="C89" s="15">
        <v>4276.7550000000001</v>
      </c>
      <c r="D89" s="15">
        <v>3767.8700000000003</v>
      </c>
      <c r="E89" s="15">
        <v>4272.1850000000004</v>
      </c>
      <c r="F89" s="15">
        <v>4214.1099999999997</v>
      </c>
      <c r="G89" s="15">
        <v>4241.6000000000004</v>
      </c>
      <c r="H89" s="15">
        <v>3592.35</v>
      </c>
      <c r="I89" s="15">
        <v>3641.2450000000003</v>
      </c>
      <c r="J89" s="15">
        <v>4006.84</v>
      </c>
      <c r="K89" s="15">
        <v>3683.4749999999999</v>
      </c>
      <c r="L89" s="15">
        <v>4072.83</v>
      </c>
      <c r="M89" s="15">
        <v>4079.7749999999996</v>
      </c>
      <c r="N89" s="15"/>
    </row>
    <row r="90" spans="1:14" x14ac:dyDescent="0.25">
      <c r="A90">
        <v>87</v>
      </c>
      <c r="B90" s="19" t="s">
        <v>4</v>
      </c>
      <c r="C90" s="18">
        <f>SUM(C84:C89)</f>
        <v>127163.565</v>
      </c>
      <c r="D90" s="18">
        <f t="shared" ref="D90" si="49">SUM(D84:D89)</f>
        <v>101548.73999999998</v>
      </c>
      <c r="E90" s="18">
        <f t="shared" ref="E90" si="50">SUM(E84:E89)</f>
        <v>116581.95500000002</v>
      </c>
      <c r="F90" s="18">
        <f t="shared" ref="F90" si="51">SUM(F84:F89)</f>
        <v>109890.06499999999</v>
      </c>
      <c r="G90" s="18">
        <f t="shared" ref="G90" si="52">SUM(G84:G89)</f>
        <v>121937.61500000001</v>
      </c>
      <c r="H90" s="18">
        <f t="shared" ref="H90" si="53">SUM(H84:H89)</f>
        <v>109808.04500000003</v>
      </c>
      <c r="I90" s="18">
        <f t="shared" ref="I90" si="54">SUM(I84:I89)</f>
        <v>114049.64</v>
      </c>
      <c r="J90" s="18">
        <f t="shared" ref="J90" si="55">SUM(J84:J89)</f>
        <v>123473.745</v>
      </c>
      <c r="K90" s="18">
        <f t="shared" ref="K90" si="56">SUM(K84:K89)</f>
        <v>119758.36</v>
      </c>
      <c r="L90" s="18">
        <f t="shared" ref="L90" si="57">SUM(L84:L89)</f>
        <v>131023.30499999999</v>
      </c>
      <c r="M90" s="18">
        <f t="shared" ref="M90" si="58">SUM(M84:M89)</f>
        <v>133546.44</v>
      </c>
      <c r="N90" s="18">
        <f t="shared" ref="N90" si="59">SUM(N84:N89)</f>
        <v>0</v>
      </c>
    </row>
    <row r="91" spans="1:14" x14ac:dyDescent="0.25">
      <c r="A91">
        <v>88</v>
      </c>
    </row>
    <row r="92" spans="1:14" x14ac:dyDescent="0.25">
      <c r="A92">
        <v>89</v>
      </c>
      <c r="B92" t="s">
        <v>69</v>
      </c>
    </row>
    <row r="93" spans="1:14" x14ac:dyDescent="0.25">
      <c r="A93">
        <v>90</v>
      </c>
      <c r="B93" s="7" t="s">
        <v>68</v>
      </c>
      <c r="C93" s="2" t="s">
        <v>6</v>
      </c>
      <c r="D93" s="2" t="s">
        <v>7</v>
      </c>
      <c r="E93" s="2" t="s">
        <v>8</v>
      </c>
      <c r="F93" s="2" t="s">
        <v>9</v>
      </c>
      <c r="G93" s="2" t="s">
        <v>10</v>
      </c>
      <c r="H93" s="2" t="s">
        <v>11</v>
      </c>
      <c r="I93" s="2" t="s">
        <v>12</v>
      </c>
      <c r="J93" s="2" t="s">
        <v>13</v>
      </c>
      <c r="K93" s="2" t="s">
        <v>14</v>
      </c>
      <c r="L93" s="2" t="s">
        <v>15</v>
      </c>
      <c r="M93" s="2" t="s">
        <v>16</v>
      </c>
      <c r="N93" s="2" t="s">
        <v>17</v>
      </c>
    </row>
    <row r="94" spans="1:14" x14ac:dyDescent="0.25">
      <c r="A94">
        <v>91</v>
      </c>
      <c r="B94" t="s">
        <v>5</v>
      </c>
      <c r="C94" s="15">
        <v>19742.057337999999</v>
      </c>
      <c r="D94" s="15">
        <v>19484.829893000002</v>
      </c>
      <c r="E94" s="15">
        <v>21247.216655</v>
      </c>
      <c r="F94" s="15">
        <v>21300.749260000001</v>
      </c>
      <c r="G94" s="15">
        <v>19647.607969000001</v>
      </c>
      <c r="H94" s="15">
        <v>20818.336618000001</v>
      </c>
      <c r="I94" s="15">
        <v>18812.842565000003</v>
      </c>
      <c r="J94" s="15">
        <v>20417.881189</v>
      </c>
      <c r="K94" s="15">
        <v>21386.992455</v>
      </c>
      <c r="L94" s="15">
        <v>19851.870639000001</v>
      </c>
      <c r="M94" s="15">
        <v>21169.332983</v>
      </c>
      <c r="N94" s="15">
        <v>29309.039264999999</v>
      </c>
    </row>
    <row r="95" spans="1:14" x14ac:dyDescent="0.25">
      <c r="A95">
        <v>92</v>
      </c>
      <c r="B95" t="s">
        <v>126</v>
      </c>
      <c r="C95" s="15">
        <v>17253.081933000001</v>
      </c>
      <c r="D95" s="15">
        <v>9195.3417840000002</v>
      </c>
      <c r="E95" s="15">
        <v>16155.102666000001</v>
      </c>
      <c r="F95" s="15">
        <v>12628.472314999999</v>
      </c>
      <c r="G95" s="15">
        <v>9853.6507589999983</v>
      </c>
      <c r="H95" s="15">
        <v>10839.746520000001</v>
      </c>
      <c r="I95" s="15">
        <v>9899.9586950000012</v>
      </c>
      <c r="J95" s="15">
        <v>9684.1920800000007</v>
      </c>
      <c r="K95" s="15">
        <v>9736.7581159999991</v>
      </c>
      <c r="L95" s="15">
        <v>10095.552276</v>
      </c>
      <c r="M95" s="15">
        <v>10272.913295000002</v>
      </c>
      <c r="N95" s="15">
        <v>10432.7871743</v>
      </c>
    </row>
    <row r="96" spans="1:14" x14ac:dyDescent="0.25">
      <c r="A96">
        <v>93</v>
      </c>
      <c r="B96" t="s">
        <v>125</v>
      </c>
      <c r="C96" s="15">
        <v>13461.728773376148</v>
      </c>
      <c r="D96" s="15">
        <v>14576.919019431636</v>
      </c>
      <c r="E96" s="15">
        <v>11347.244601859473</v>
      </c>
      <c r="F96" s="15">
        <v>12311.637698666364</v>
      </c>
      <c r="G96" s="15">
        <v>16291.676767734574</v>
      </c>
      <c r="H96" s="15">
        <v>12595.46583364009</v>
      </c>
      <c r="I96" s="15">
        <v>14462.854455512617</v>
      </c>
      <c r="J96" s="15">
        <v>14449.376205864108</v>
      </c>
      <c r="K96" s="15">
        <v>17608.213976329258</v>
      </c>
      <c r="L96" s="15">
        <v>15906.836526174691</v>
      </c>
      <c r="M96" s="15">
        <v>13251.631563709929</v>
      </c>
      <c r="N96" s="15">
        <v>16299.298926097505</v>
      </c>
    </row>
    <row r="97" spans="1:14" x14ac:dyDescent="0.25">
      <c r="A97">
        <v>94</v>
      </c>
      <c r="B97" s="19" t="s">
        <v>4</v>
      </c>
      <c r="C97" s="18">
        <f>SUM(C94:C96)</f>
        <v>50456.868044376148</v>
      </c>
      <c r="D97" s="18">
        <f t="shared" ref="D97" si="60">SUM(D94:D96)</f>
        <v>43257.090696431638</v>
      </c>
      <c r="E97" s="18">
        <f t="shared" ref="E97" si="61">SUM(E94:E96)</f>
        <v>48749.563922859474</v>
      </c>
      <c r="F97" s="18">
        <f t="shared" ref="F97" si="62">SUM(F94:F96)</f>
        <v>46240.85927366637</v>
      </c>
      <c r="G97" s="18">
        <f t="shared" ref="G97" si="63">SUM(G94:G96)</f>
        <v>45792.935495734579</v>
      </c>
      <c r="H97" s="18">
        <f t="shared" ref="H97" si="64">SUM(H94:H96)</f>
        <v>44253.548971640092</v>
      </c>
      <c r="I97" s="18">
        <f t="shared" ref="I97" si="65">SUM(I94:I96)</f>
        <v>43175.655715512621</v>
      </c>
      <c r="J97" s="18">
        <f t="shared" ref="J97" si="66">SUM(J94:J96)</f>
        <v>44551.449474864108</v>
      </c>
      <c r="K97" s="18">
        <f t="shared" ref="K97" si="67">SUM(K94:K96)</f>
        <v>48731.964547329255</v>
      </c>
      <c r="L97" s="18">
        <f t="shared" ref="L97" si="68">SUM(L94:L96)</f>
        <v>45854.259441174698</v>
      </c>
      <c r="M97" s="18">
        <f t="shared" ref="M97" si="69">SUM(M94:M96)</f>
        <v>44693.877841709931</v>
      </c>
      <c r="N97" s="18">
        <f t="shared" ref="N97" si="70">SUM(N94:N96)</f>
        <v>56041.1253653975</v>
      </c>
    </row>
    <row r="98" spans="1:14" x14ac:dyDescent="0.25">
      <c r="A98">
        <v>95</v>
      </c>
    </row>
    <row r="99" spans="1:14" x14ac:dyDescent="0.25">
      <c r="A99">
        <v>96</v>
      </c>
      <c r="B99" s="7" t="s">
        <v>67</v>
      </c>
      <c r="C99" s="2" t="s">
        <v>6</v>
      </c>
      <c r="D99" s="2" t="s">
        <v>7</v>
      </c>
      <c r="E99" s="2" t="s">
        <v>8</v>
      </c>
      <c r="F99" s="2" t="s">
        <v>9</v>
      </c>
      <c r="G99" s="2" t="s">
        <v>10</v>
      </c>
      <c r="H99" s="2" t="s">
        <v>11</v>
      </c>
      <c r="I99" s="2" t="s">
        <v>12</v>
      </c>
      <c r="J99" s="2" t="s">
        <v>13</v>
      </c>
      <c r="K99" s="2" t="s">
        <v>14</v>
      </c>
      <c r="L99" s="2" t="s">
        <v>15</v>
      </c>
      <c r="M99" s="2" t="s">
        <v>16</v>
      </c>
      <c r="N99" s="2" t="s">
        <v>17</v>
      </c>
    </row>
    <row r="100" spans="1:14" x14ac:dyDescent="0.25">
      <c r="A100">
        <v>97</v>
      </c>
      <c r="B100" t="s">
        <v>5</v>
      </c>
      <c r="C100" s="15">
        <v>23718.238837000001</v>
      </c>
      <c r="D100" s="15">
        <v>21405.585676000002</v>
      </c>
      <c r="E100" s="15">
        <v>23362.593217000001</v>
      </c>
      <c r="F100" s="15">
        <v>20441.012811000001</v>
      </c>
      <c r="G100" s="15">
        <v>20118.126596999999</v>
      </c>
      <c r="H100" s="15">
        <v>17324.338636</v>
      </c>
      <c r="I100" s="15">
        <v>18144.587916</v>
      </c>
      <c r="J100" s="15">
        <v>18386.394337999998</v>
      </c>
      <c r="K100" s="15">
        <v>20000.235295000002</v>
      </c>
      <c r="L100" s="15">
        <v>17236.485062</v>
      </c>
      <c r="M100" s="15">
        <v>14799.973458</v>
      </c>
      <c r="N100" s="15">
        <v>20238.068598999998</v>
      </c>
    </row>
    <row r="101" spans="1:14" x14ac:dyDescent="0.25">
      <c r="A101">
        <v>98</v>
      </c>
      <c r="B101" t="s">
        <v>126</v>
      </c>
      <c r="C101" s="15">
        <v>10952.346743</v>
      </c>
      <c r="D101" s="15">
        <v>11186.216591</v>
      </c>
      <c r="E101" s="15">
        <v>11247.817245999999</v>
      </c>
      <c r="F101" s="15">
        <v>11149.34921</v>
      </c>
      <c r="G101" s="15">
        <v>11558.294126000001</v>
      </c>
      <c r="H101" s="15">
        <v>11151.590607999999</v>
      </c>
      <c r="I101" s="15">
        <v>11928.614012999999</v>
      </c>
      <c r="J101" s="15">
        <v>11976.483242</v>
      </c>
      <c r="K101" s="15">
        <v>11279.971630999999</v>
      </c>
      <c r="L101" s="15">
        <v>12028.021408999999</v>
      </c>
      <c r="M101" s="15">
        <v>11622.952468000001</v>
      </c>
      <c r="N101" s="15">
        <v>12049.345454999999</v>
      </c>
    </row>
    <row r="102" spans="1:14" x14ac:dyDescent="0.25">
      <c r="A102">
        <v>99</v>
      </c>
      <c r="B102" t="s">
        <v>125</v>
      </c>
      <c r="C102" s="15">
        <v>17621.223859552883</v>
      </c>
      <c r="D102" s="15">
        <v>12769.215795587606</v>
      </c>
      <c r="E102" s="15">
        <v>16244.613583296932</v>
      </c>
      <c r="F102" s="15">
        <v>14906.238651195177</v>
      </c>
      <c r="G102" s="15">
        <v>12758.504861845751</v>
      </c>
      <c r="H102" s="15">
        <v>11977.784111198187</v>
      </c>
      <c r="I102" s="15">
        <v>12512.731315862826</v>
      </c>
      <c r="J102" s="15">
        <v>13537.062246941576</v>
      </c>
      <c r="K102" s="15">
        <v>12679.64154177771</v>
      </c>
      <c r="L102" s="15">
        <v>11811.001755620689</v>
      </c>
      <c r="M102" s="15">
        <v>12384.132541281058</v>
      </c>
      <c r="N102" s="15">
        <v>14264.497563640616</v>
      </c>
    </row>
    <row r="103" spans="1:14" x14ac:dyDescent="0.25">
      <c r="A103">
        <v>100</v>
      </c>
      <c r="B103" s="19" t="s">
        <v>4</v>
      </c>
      <c r="C103" s="18">
        <f>SUM(C100:C102)</f>
        <v>52291.809439552882</v>
      </c>
      <c r="D103" s="18">
        <f t="shared" ref="D103" si="71">SUM(D100:D102)</f>
        <v>45361.018062587609</v>
      </c>
      <c r="E103" s="18">
        <f t="shared" ref="E103" si="72">SUM(E100:E102)</f>
        <v>50855.02404629693</v>
      </c>
      <c r="F103" s="18">
        <f t="shared" ref="F103" si="73">SUM(F100:F102)</f>
        <v>46496.600672195178</v>
      </c>
      <c r="G103" s="18">
        <f t="shared" ref="G103" si="74">SUM(G100:G102)</f>
        <v>44434.925584845754</v>
      </c>
      <c r="H103" s="18">
        <f t="shared" ref="H103" si="75">SUM(H100:H102)</f>
        <v>40453.713355198182</v>
      </c>
      <c r="I103" s="18">
        <f t="shared" ref="I103" si="76">SUM(I100:I102)</f>
        <v>42585.933244862827</v>
      </c>
      <c r="J103" s="18">
        <f t="shared" ref="J103" si="77">SUM(J100:J102)</f>
        <v>43899.939826941576</v>
      </c>
      <c r="K103" s="18">
        <f t="shared" ref="K103" si="78">SUM(K100:K102)</f>
        <v>43959.848467777709</v>
      </c>
      <c r="L103" s="18">
        <f t="shared" ref="L103" si="79">SUM(L100:L102)</f>
        <v>41075.508226620688</v>
      </c>
      <c r="M103" s="18">
        <f t="shared" ref="M103" si="80">SUM(M100:M102)</f>
        <v>38807.058467281066</v>
      </c>
      <c r="N103" s="18">
        <f t="shared" ref="N103" si="81">SUM(N100:N102)</f>
        <v>46551.91161764061</v>
      </c>
    </row>
    <row r="104" spans="1:14" x14ac:dyDescent="0.25">
      <c r="A104">
        <v>101</v>
      </c>
    </row>
    <row r="105" spans="1:14" x14ac:dyDescent="0.25">
      <c r="A105">
        <v>102</v>
      </c>
      <c r="B105" s="7" t="s">
        <v>66</v>
      </c>
      <c r="C105" s="2" t="s">
        <v>6</v>
      </c>
      <c r="D105" s="2" t="s">
        <v>7</v>
      </c>
      <c r="E105" s="2" t="s">
        <v>8</v>
      </c>
      <c r="F105" s="2" t="s">
        <v>9</v>
      </c>
      <c r="G105" s="2" t="s">
        <v>10</v>
      </c>
      <c r="H105" s="2" t="s">
        <v>11</v>
      </c>
      <c r="I105" s="2" t="s">
        <v>12</v>
      </c>
      <c r="J105" s="2" t="s">
        <v>13</v>
      </c>
      <c r="K105" s="2" t="s">
        <v>14</v>
      </c>
      <c r="L105" s="2" t="s">
        <v>15</v>
      </c>
      <c r="M105" s="2" t="s">
        <v>16</v>
      </c>
      <c r="N105" s="2" t="s">
        <v>17</v>
      </c>
    </row>
    <row r="106" spans="1:14" x14ac:dyDescent="0.25">
      <c r="A106">
        <v>103</v>
      </c>
      <c r="B106" t="s">
        <v>5</v>
      </c>
      <c r="C106" s="15">
        <v>17748.817703000001</v>
      </c>
      <c r="D106" s="15">
        <v>15673.564663000001</v>
      </c>
      <c r="E106" s="15">
        <v>19575.329551999999</v>
      </c>
      <c r="F106" s="15">
        <v>26523.180230000002</v>
      </c>
      <c r="G106" s="15">
        <v>24105.327917000002</v>
      </c>
      <c r="H106" s="15">
        <v>19554.977629000001</v>
      </c>
      <c r="I106" s="15">
        <v>18214.663280000001</v>
      </c>
      <c r="J106" s="15">
        <v>18815.05617</v>
      </c>
      <c r="K106" s="15">
        <v>19181.687577999997</v>
      </c>
      <c r="L106" s="15">
        <v>18606.825786000001</v>
      </c>
      <c r="M106" s="15">
        <v>22238.707327</v>
      </c>
      <c r="N106" s="15">
        <v>0</v>
      </c>
    </row>
    <row r="107" spans="1:14" x14ac:dyDescent="0.25">
      <c r="A107">
        <v>104</v>
      </c>
      <c r="B107" t="s">
        <v>126</v>
      </c>
      <c r="C107" s="15">
        <v>12033.221703999998</v>
      </c>
      <c r="D107" s="15">
        <v>10403.899082999998</v>
      </c>
      <c r="E107" s="15">
        <v>11211.493145</v>
      </c>
      <c r="F107" s="15">
        <v>11011.541162</v>
      </c>
      <c r="G107" s="15">
        <v>11654.545284</v>
      </c>
      <c r="H107" s="15">
        <v>13937.377924000002</v>
      </c>
      <c r="I107" s="15">
        <v>11544.7134432</v>
      </c>
      <c r="J107" s="15">
        <v>12146.17727075</v>
      </c>
      <c r="K107" s="15">
        <v>12649.230841439999</v>
      </c>
      <c r="L107" s="15">
        <v>12451.308022999998</v>
      </c>
      <c r="M107" s="15">
        <v>12978.177889999999</v>
      </c>
      <c r="N107" s="15">
        <v>0</v>
      </c>
    </row>
    <row r="108" spans="1:14" x14ac:dyDescent="0.25">
      <c r="A108">
        <v>105</v>
      </c>
      <c r="B108" t="s">
        <v>125</v>
      </c>
      <c r="C108" s="15">
        <v>13201.352319150081</v>
      </c>
      <c r="D108" s="15">
        <v>13548.031147381007</v>
      </c>
      <c r="E108" s="15">
        <v>12706.269861516259</v>
      </c>
      <c r="F108" s="15">
        <v>10382.134060792381</v>
      </c>
      <c r="G108" s="15">
        <v>10217.067394994823</v>
      </c>
      <c r="H108" s="15">
        <v>11968.717753230805</v>
      </c>
      <c r="I108" s="15">
        <v>12215.041074063181</v>
      </c>
      <c r="J108" s="15">
        <v>14391.198902723205</v>
      </c>
      <c r="K108" s="15">
        <v>12813.622963061101</v>
      </c>
      <c r="L108" s="15">
        <v>12322.600321251386</v>
      </c>
      <c r="M108" s="15">
        <v>14117.315989125171</v>
      </c>
      <c r="N108" s="15">
        <v>0</v>
      </c>
    </row>
    <row r="109" spans="1:14" x14ac:dyDescent="0.25">
      <c r="A109">
        <v>106</v>
      </c>
      <c r="B109" s="19" t="s">
        <v>4</v>
      </c>
      <c r="C109" s="18">
        <f>SUM(C106:C108)</f>
        <v>42983.391726150076</v>
      </c>
      <c r="D109" s="18">
        <f t="shared" ref="D109" si="82">SUM(D106:D108)</f>
        <v>39625.494893381008</v>
      </c>
      <c r="E109" s="18">
        <f t="shared" ref="E109" si="83">SUM(E106:E108)</f>
        <v>43493.092558516262</v>
      </c>
      <c r="F109" s="18">
        <f t="shared" ref="F109" si="84">SUM(F106:F108)</f>
        <v>47916.855452792384</v>
      </c>
      <c r="G109" s="18">
        <f t="shared" ref="G109" si="85">SUM(G106:G108)</f>
        <v>45976.940595994827</v>
      </c>
      <c r="H109" s="18">
        <f t="shared" ref="H109" si="86">SUM(H106:H108)</f>
        <v>45461.073306230806</v>
      </c>
      <c r="I109" s="18">
        <f t="shared" ref="I109" si="87">SUM(I106:I108)</f>
        <v>41974.417797263188</v>
      </c>
      <c r="J109" s="18">
        <f t="shared" ref="J109" si="88">SUM(J106:J108)</f>
        <v>45352.432343473207</v>
      </c>
      <c r="K109" s="18">
        <f t="shared" ref="K109" si="89">SUM(K106:K108)</f>
        <v>44644.541382501098</v>
      </c>
      <c r="L109" s="18">
        <f t="shared" ref="L109" si="90">SUM(L106:L108)</f>
        <v>43380.734130251381</v>
      </c>
      <c r="M109" s="18">
        <f t="shared" ref="M109" si="91">SUM(M106:M108)</f>
        <v>49334.201206125173</v>
      </c>
      <c r="N109" s="18">
        <f t="shared" ref="N109" si="92">SUM(N106:N108)</f>
        <v>0</v>
      </c>
    </row>
    <row r="110" spans="1:14" x14ac:dyDescent="0.25">
      <c r="A110">
        <v>107</v>
      </c>
    </row>
    <row r="111" spans="1:14" x14ac:dyDescent="0.25">
      <c r="A111">
        <v>108</v>
      </c>
    </row>
    <row r="112" spans="1:14" x14ac:dyDescent="0.25">
      <c r="A112">
        <v>109</v>
      </c>
      <c r="B112" t="s">
        <v>70</v>
      </c>
    </row>
    <row r="113" spans="1:14" x14ac:dyDescent="0.25">
      <c r="A113">
        <v>110</v>
      </c>
      <c r="B113" s="7" t="s">
        <v>26</v>
      </c>
      <c r="C113" s="2" t="s">
        <v>6</v>
      </c>
      <c r="D113" s="2" t="s">
        <v>7</v>
      </c>
      <c r="E113" s="2" t="s">
        <v>8</v>
      </c>
      <c r="F113" s="2" t="s">
        <v>9</v>
      </c>
      <c r="G113" s="2" t="s">
        <v>10</v>
      </c>
      <c r="H113" s="2" t="s">
        <v>11</v>
      </c>
      <c r="I113" s="2" t="s">
        <v>12</v>
      </c>
      <c r="J113" s="2" t="s">
        <v>13</v>
      </c>
      <c r="K113" s="2" t="s">
        <v>14</v>
      </c>
      <c r="L113" s="2" t="s">
        <v>15</v>
      </c>
      <c r="M113" s="2" t="s">
        <v>16</v>
      </c>
      <c r="N113" s="2" t="s">
        <v>17</v>
      </c>
    </row>
    <row r="114" spans="1:14" x14ac:dyDescent="0.25">
      <c r="A114">
        <v>111</v>
      </c>
      <c r="B114" s="4">
        <v>2016</v>
      </c>
      <c r="C114" s="15">
        <v>187102.21116873599</v>
      </c>
      <c r="D114" s="15">
        <v>117940.13295164301</v>
      </c>
      <c r="E114" s="15">
        <v>155824.51909925501</v>
      </c>
      <c r="F114" s="15">
        <v>120613.822541537</v>
      </c>
      <c r="G114" s="15">
        <v>157669.089963926</v>
      </c>
      <c r="H114" s="15">
        <v>174095.80402768901</v>
      </c>
      <c r="I114" s="15">
        <v>163731.27087673498</v>
      </c>
      <c r="J114" s="15">
        <v>204073.80709836099</v>
      </c>
      <c r="K114" s="15">
        <v>188486.88853397401</v>
      </c>
      <c r="L114" s="15">
        <v>129068.97610980499</v>
      </c>
      <c r="M114" s="15">
        <v>153561.340084561</v>
      </c>
      <c r="N114" s="15">
        <v>260757.634194604</v>
      </c>
    </row>
    <row r="115" spans="1:14" x14ac:dyDescent="0.25">
      <c r="A115">
        <v>112</v>
      </c>
      <c r="B115" s="4">
        <v>2017</v>
      </c>
      <c r="C115" s="15">
        <v>167189.32735270701</v>
      </c>
      <c r="D115" s="15">
        <v>149075.09970625001</v>
      </c>
      <c r="E115" s="15">
        <v>180616.29179763698</v>
      </c>
      <c r="F115" s="15">
        <v>148609.05369765899</v>
      </c>
      <c r="G115" s="15">
        <v>138301.27004642898</v>
      </c>
      <c r="H115" s="15">
        <v>104080.79005852299</v>
      </c>
      <c r="I115" s="15">
        <v>141421.44878283702</v>
      </c>
      <c r="J115" s="15">
        <v>179842.691574884</v>
      </c>
      <c r="K115" s="15">
        <v>172642.39496114801</v>
      </c>
      <c r="L115" s="15">
        <v>156857.38195544199</v>
      </c>
      <c r="M115" s="15">
        <v>129525.061379759</v>
      </c>
      <c r="N115" s="15">
        <v>118422.81732328999</v>
      </c>
    </row>
    <row r="116" spans="1:14" x14ac:dyDescent="0.25">
      <c r="A116">
        <v>113</v>
      </c>
      <c r="B116" s="4">
        <v>2018</v>
      </c>
      <c r="C116" s="15">
        <v>131328.12784663201</v>
      </c>
      <c r="D116" s="15">
        <v>91694.798629072204</v>
      </c>
      <c r="E116" s="15">
        <v>115809.898565743</v>
      </c>
      <c r="F116" s="15">
        <v>81750.337102437392</v>
      </c>
      <c r="G116" s="15">
        <v>109757.850663622</v>
      </c>
      <c r="H116" s="15">
        <v>89887.531379346095</v>
      </c>
      <c r="I116" s="15">
        <v>130029.42430220399</v>
      </c>
      <c r="J116" s="15">
        <v>143861.11974165202</v>
      </c>
      <c r="K116" s="15">
        <v>114659.563928526</v>
      </c>
      <c r="L116" s="15">
        <v>153675.733405259</v>
      </c>
      <c r="M116" s="15">
        <v>168438.98056391341</v>
      </c>
      <c r="N116" s="15"/>
    </row>
    <row r="117" spans="1:14" x14ac:dyDescent="0.25">
      <c r="A117">
        <v>114</v>
      </c>
      <c r="B117" s="21" t="s">
        <v>0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</row>
    <row r="118" spans="1:14" x14ac:dyDescent="0.25">
      <c r="A118">
        <v>115</v>
      </c>
    </row>
    <row r="119" spans="1:14" x14ac:dyDescent="0.25">
      <c r="A119">
        <v>116</v>
      </c>
      <c r="B119" t="s">
        <v>71</v>
      </c>
    </row>
    <row r="120" spans="1:14" x14ac:dyDescent="0.25">
      <c r="A120">
        <v>117</v>
      </c>
      <c r="B120" s="7" t="s">
        <v>26</v>
      </c>
      <c r="C120" s="2" t="s">
        <v>6</v>
      </c>
      <c r="D120" s="2" t="s">
        <v>7</v>
      </c>
      <c r="E120" s="2" t="s">
        <v>8</v>
      </c>
      <c r="F120" s="2" t="s">
        <v>9</v>
      </c>
      <c r="G120" s="2" t="s">
        <v>10</v>
      </c>
      <c r="H120" s="2" t="s">
        <v>11</v>
      </c>
      <c r="I120" s="2" t="s">
        <v>12</v>
      </c>
      <c r="J120" s="2" t="s">
        <v>13</v>
      </c>
      <c r="K120" s="2" t="s">
        <v>14</v>
      </c>
      <c r="L120" s="2" t="s">
        <v>15</v>
      </c>
      <c r="M120" s="2" t="s">
        <v>16</v>
      </c>
      <c r="N120" s="2" t="s">
        <v>17</v>
      </c>
    </row>
    <row r="121" spans="1:14" x14ac:dyDescent="0.25">
      <c r="A121">
        <v>118</v>
      </c>
      <c r="B121" s="97">
        <v>2016</v>
      </c>
      <c r="C121" s="98">
        <f t="shared" ref="C121:N121" si="93">SUM(C114,C265)</f>
        <v>212071.41181173598</v>
      </c>
      <c r="D121" s="98">
        <f t="shared" si="93"/>
        <v>141362.58373264302</v>
      </c>
      <c r="E121" s="98">
        <f t="shared" si="93"/>
        <v>180900.68380225499</v>
      </c>
      <c r="F121" s="98">
        <f t="shared" si="93"/>
        <v>145326.86092253699</v>
      </c>
      <c r="G121" s="98">
        <f t="shared" si="93"/>
        <v>182683.74827892601</v>
      </c>
      <c r="H121" s="98">
        <f t="shared" si="93"/>
        <v>198461.96569468902</v>
      </c>
      <c r="I121" s="98">
        <f t="shared" si="93"/>
        <v>189023.93120373497</v>
      </c>
      <c r="J121" s="98">
        <f t="shared" si="93"/>
        <v>229185.16552036098</v>
      </c>
      <c r="K121" s="98">
        <f t="shared" si="93"/>
        <v>212943.06073197399</v>
      </c>
      <c r="L121" s="98">
        <f t="shared" si="93"/>
        <v>154660.05439480499</v>
      </c>
      <c r="M121" s="98">
        <f t="shared" si="93"/>
        <v>177979.55704456099</v>
      </c>
      <c r="N121" s="98">
        <f t="shared" si="93"/>
        <v>285934.09133060399</v>
      </c>
    </row>
    <row r="122" spans="1:14" x14ac:dyDescent="0.25">
      <c r="A122">
        <v>119</v>
      </c>
      <c r="B122" s="97">
        <v>2017</v>
      </c>
      <c r="C122" s="98">
        <f t="shared" ref="C122:N122" si="94">SUM(C115,C266)</f>
        <v>192753.66713370703</v>
      </c>
      <c r="D122" s="98">
        <f t="shared" si="94"/>
        <v>172273.10659125002</v>
      </c>
      <c r="E122" s="98">
        <f t="shared" si="94"/>
        <v>206510.88335563696</v>
      </c>
      <c r="F122" s="98">
        <f t="shared" si="94"/>
        <v>173801.91862965899</v>
      </c>
      <c r="G122" s="98">
        <f t="shared" si="94"/>
        <v>164549.12311642899</v>
      </c>
      <c r="H122" s="98">
        <f t="shared" si="94"/>
        <v>129693.98270452299</v>
      </c>
      <c r="I122" s="98">
        <f t="shared" si="94"/>
        <v>168480.60373783702</v>
      </c>
      <c r="J122" s="98">
        <f t="shared" si="94"/>
        <v>206920.809691884</v>
      </c>
      <c r="K122" s="98">
        <f t="shared" si="94"/>
        <v>198956.94822414801</v>
      </c>
      <c r="L122" s="98">
        <f t="shared" si="94"/>
        <v>184152.662266442</v>
      </c>
      <c r="M122" s="98">
        <f t="shared" si="94"/>
        <v>156009.44239875901</v>
      </c>
      <c r="N122" s="98">
        <f t="shared" si="94"/>
        <v>146155.70977928999</v>
      </c>
    </row>
    <row r="123" spans="1:14" x14ac:dyDescent="0.25">
      <c r="A123">
        <v>120</v>
      </c>
      <c r="B123" s="97">
        <v>2018</v>
      </c>
      <c r="C123" s="98">
        <f t="shared" ref="C123:N123" si="95">SUM(C116,C267)</f>
        <v>159381.973502632</v>
      </c>
      <c r="D123" s="98">
        <f t="shared" si="95"/>
        <v>117081.75411107221</v>
      </c>
      <c r="E123" s="98">
        <f t="shared" si="95"/>
        <v>143920.867961743</v>
      </c>
      <c r="F123" s="98">
        <f t="shared" si="95"/>
        <v>108963.7456484374</v>
      </c>
      <c r="G123" s="98">
        <f t="shared" si="95"/>
        <v>138174.698400622</v>
      </c>
      <c r="H123" s="98">
        <f t="shared" si="95"/>
        <v>117741.9804743461</v>
      </c>
      <c r="I123" s="98">
        <f t="shared" si="95"/>
        <v>158972.16502120398</v>
      </c>
      <c r="J123" s="98">
        <f t="shared" si="95"/>
        <v>172754.86166165202</v>
      </c>
      <c r="K123" s="98">
        <f t="shared" si="95"/>
        <v>142791.290214526</v>
      </c>
      <c r="L123" s="98">
        <f t="shared" si="95"/>
        <v>182760.157814259</v>
      </c>
      <c r="M123" s="98">
        <f t="shared" si="95"/>
        <v>196795.03775491341</v>
      </c>
      <c r="N123" s="98">
        <f t="shared" si="95"/>
        <v>0</v>
      </c>
    </row>
    <row r="124" spans="1:14" x14ac:dyDescent="0.25">
      <c r="A124">
        <v>121</v>
      </c>
      <c r="B124" s="21" t="s">
        <v>0</v>
      </c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</row>
    <row r="125" spans="1:14" x14ac:dyDescent="0.25">
      <c r="A125">
        <v>122</v>
      </c>
    </row>
    <row r="126" spans="1:14" x14ac:dyDescent="0.25">
      <c r="A126">
        <v>123</v>
      </c>
      <c r="B126" t="s">
        <v>85</v>
      </c>
    </row>
    <row r="127" spans="1:14" x14ac:dyDescent="0.25">
      <c r="A127">
        <v>124</v>
      </c>
      <c r="B127" s="7" t="s">
        <v>26</v>
      </c>
      <c r="C127" s="2" t="s">
        <v>6</v>
      </c>
      <c r="D127" s="2" t="s">
        <v>7</v>
      </c>
      <c r="E127" s="2" t="s">
        <v>8</v>
      </c>
      <c r="F127" s="2" t="s">
        <v>9</v>
      </c>
      <c r="G127" s="2" t="s">
        <v>10</v>
      </c>
      <c r="H127" s="2" t="s">
        <v>11</v>
      </c>
      <c r="I127" s="2" t="s">
        <v>12</v>
      </c>
      <c r="J127" s="2" t="s">
        <v>13</v>
      </c>
      <c r="K127" s="2" t="s">
        <v>14</v>
      </c>
      <c r="L127" s="2" t="s">
        <v>15</v>
      </c>
      <c r="M127" s="2" t="s">
        <v>16</v>
      </c>
      <c r="N127" s="2" t="s">
        <v>17</v>
      </c>
    </row>
    <row r="128" spans="1:14" x14ac:dyDescent="0.25">
      <c r="A128">
        <v>125</v>
      </c>
      <c r="B128" s="4">
        <v>2016</v>
      </c>
      <c r="C128" s="15">
        <v>315733.98499999999</v>
      </c>
      <c r="D128" s="15">
        <v>214817.95</v>
      </c>
      <c r="E128" s="15">
        <v>285635.05499999999</v>
      </c>
      <c r="F128" s="15">
        <v>274233.81</v>
      </c>
      <c r="G128" s="15">
        <v>295149.32500000001</v>
      </c>
      <c r="H128" s="15">
        <v>313108.13500000001</v>
      </c>
      <c r="I128" s="15">
        <v>307267.745</v>
      </c>
      <c r="J128" s="15">
        <v>314745.10999999993</v>
      </c>
      <c r="K128" s="15">
        <v>310804.85499999998</v>
      </c>
      <c r="L128" s="15">
        <v>331182.97000000003</v>
      </c>
      <c r="M128" s="15">
        <v>323847.59500000003</v>
      </c>
      <c r="N128" s="15">
        <v>360826.73499999999</v>
      </c>
    </row>
    <row r="129" spans="1:14" x14ac:dyDescent="0.25">
      <c r="A129">
        <v>126</v>
      </c>
      <c r="B129" s="4">
        <v>2017</v>
      </c>
      <c r="C129" s="15">
        <v>326003.69500000001</v>
      </c>
      <c r="D129" s="15">
        <v>288530.76499999996</v>
      </c>
      <c r="E129" s="15">
        <v>342681.39499999996</v>
      </c>
      <c r="F129" s="15">
        <v>329089.26</v>
      </c>
      <c r="G129" s="15">
        <v>312975.05</v>
      </c>
      <c r="H129" s="15">
        <v>286335.98499999999</v>
      </c>
      <c r="I129" s="15">
        <v>282306.29000000004</v>
      </c>
      <c r="J129" s="15">
        <v>318178.45</v>
      </c>
      <c r="K129" s="15">
        <v>309765.48</v>
      </c>
      <c r="L129" s="15">
        <v>329952.185</v>
      </c>
      <c r="M129" s="15">
        <v>317050.07499999995</v>
      </c>
      <c r="N129" s="15">
        <v>322166.09499999997</v>
      </c>
    </row>
    <row r="130" spans="1:14" x14ac:dyDescent="0.25">
      <c r="A130">
        <v>127</v>
      </c>
      <c r="B130" s="4">
        <v>2018</v>
      </c>
      <c r="C130" s="15">
        <v>340770.46499999997</v>
      </c>
      <c r="D130" s="15">
        <v>260493.90500000003</v>
      </c>
      <c r="E130" s="15">
        <v>322065.39</v>
      </c>
      <c r="F130" s="15">
        <v>305729.05</v>
      </c>
      <c r="G130" s="15">
        <v>318589.28000000003</v>
      </c>
      <c r="H130" s="15">
        <v>294799.43</v>
      </c>
      <c r="I130" s="15">
        <v>299382.8</v>
      </c>
      <c r="J130" s="15">
        <v>316286.09500000003</v>
      </c>
      <c r="K130" s="15">
        <v>298800.29500000004</v>
      </c>
      <c r="L130" s="15">
        <v>326152.59499999997</v>
      </c>
      <c r="M130" s="15">
        <v>322551.89500000002</v>
      </c>
      <c r="N130" s="15">
        <v>0</v>
      </c>
    </row>
    <row r="131" spans="1:14" x14ac:dyDescent="0.25">
      <c r="A131">
        <v>128</v>
      </c>
      <c r="B131" s="21" t="s">
        <v>0</v>
      </c>
      <c r="C131" s="18">
        <v>327341.31308945687</v>
      </c>
      <c r="D131" s="18">
        <v>308489.04531119793</v>
      </c>
      <c r="E131" s="18">
        <v>316572.72096842679</v>
      </c>
      <c r="F131" s="18">
        <v>319954.26440832054</v>
      </c>
      <c r="G131" s="18">
        <v>324091.00779391557</v>
      </c>
      <c r="H131" s="18">
        <v>332918.86889465729</v>
      </c>
      <c r="I131" s="18">
        <v>340065.64620555477</v>
      </c>
      <c r="J131" s="18">
        <v>342194.84069701604</v>
      </c>
      <c r="K131" s="18">
        <v>342297.56697920745</v>
      </c>
      <c r="L131" s="18">
        <v>341102.49672271806</v>
      </c>
      <c r="M131" s="18">
        <v>348299.23611711507</v>
      </c>
      <c r="N131" s="18">
        <v>352569.75483717211</v>
      </c>
    </row>
    <row r="132" spans="1:14" x14ac:dyDescent="0.25">
      <c r="A132">
        <v>129</v>
      </c>
      <c r="B132" t="s">
        <v>95</v>
      </c>
    </row>
    <row r="133" spans="1:14" x14ac:dyDescent="0.25">
      <c r="A133">
        <v>130</v>
      </c>
      <c r="B133" s="7" t="s">
        <v>68</v>
      </c>
      <c r="C133" s="2" t="s">
        <v>6</v>
      </c>
      <c r="D133" s="2" t="s">
        <v>7</v>
      </c>
      <c r="E133" s="2" t="s">
        <v>8</v>
      </c>
      <c r="F133" s="2" t="s">
        <v>9</v>
      </c>
      <c r="G133" s="2" t="s">
        <v>10</v>
      </c>
      <c r="H133" s="2" t="s">
        <v>11</v>
      </c>
      <c r="I133" s="2" t="s">
        <v>12</v>
      </c>
      <c r="J133" s="2" t="s">
        <v>13</v>
      </c>
      <c r="K133" s="2" t="s">
        <v>14</v>
      </c>
      <c r="L133" s="2" t="s">
        <v>15</v>
      </c>
      <c r="M133" s="2" t="s">
        <v>16</v>
      </c>
      <c r="N133" s="2" t="s">
        <v>17</v>
      </c>
    </row>
    <row r="134" spans="1:14" x14ac:dyDescent="0.25">
      <c r="A134">
        <v>131</v>
      </c>
      <c r="B134" t="s">
        <v>18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</row>
    <row r="135" spans="1:14" x14ac:dyDescent="0.25">
      <c r="A135">
        <v>132</v>
      </c>
      <c r="B135" t="s">
        <v>64</v>
      </c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</row>
    <row r="136" spans="1:14" x14ac:dyDescent="0.25">
      <c r="A136">
        <v>133</v>
      </c>
      <c r="B136" t="s">
        <v>20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</row>
    <row r="137" spans="1:14" x14ac:dyDescent="0.25">
      <c r="A137">
        <v>134</v>
      </c>
      <c r="B137" t="s">
        <v>19</v>
      </c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</row>
    <row r="138" spans="1:14" x14ac:dyDescent="0.25">
      <c r="A138">
        <v>135</v>
      </c>
      <c r="B138" t="s">
        <v>21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</row>
    <row r="139" spans="1:14" x14ac:dyDescent="0.25">
      <c r="A139">
        <v>136</v>
      </c>
      <c r="B139" t="s">
        <v>22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</row>
    <row r="140" spans="1:14" x14ac:dyDescent="0.25">
      <c r="A140">
        <v>137</v>
      </c>
      <c r="B140" s="19" t="s">
        <v>4</v>
      </c>
      <c r="C140" s="18">
        <f t="shared" ref="C140:N140" si="96">SUM(C134:C139)</f>
        <v>0</v>
      </c>
      <c r="D140" s="18">
        <f t="shared" si="96"/>
        <v>0</v>
      </c>
      <c r="E140" s="18">
        <f t="shared" si="96"/>
        <v>0</v>
      </c>
      <c r="F140" s="18">
        <f t="shared" si="96"/>
        <v>0</v>
      </c>
      <c r="G140" s="18">
        <f t="shared" si="96"/>
        <v>0</v>
      </c>
      <c r="H140" s="18">
        <f t="shared" si="96"/>
        <v>0</v>
      </c>
      <c r="I140" s="18">
        <f t="shared" si="96"/>
        <v>0</v>
      </c>
      <c r="J140" s="18">
        <f t="shared" si="96"/>
        <v>0</v>
      </c>
      <c r="K140" s="18">
        <f t="shared" si="96"/>
        <v>0</v>
      </c>
      <c r="L140" s="18">
        <f t="shared" si="96"/>
        <v>0</v>
      </c>
      <c r="M140" s="18">
        <f t="shared" si="96"/>
        <v>0</v>
      </c>
      <c r="N140" s="18">
        <f t="shared" si="96"/>
        <v>0</v>
      </c>
    </row>
    <row r="141" spans="1:14" x14ac:dyDescent="0.25">
      <c r="A141">
        <v>138</v>
      </c>
    </row>
    <row r="142" spans="1:14" x14ac:dyDescent="0.25">
      <c r="A142">
        <v>139</v>
      </c>
      <c r="B142" s="7" t="s">
        <v>67</v>
      </c>
      <c r="C142" s="2" t="s">
        <v>6</v>
      </c>
      <c r="D142" s="2" t="s">
        <v>7</v>
      </c>
      <c r="E142" s="2" t="s">
        <v>8</v>
      </c>
      <c r="F142" s="2" t="s">
        <v>9</v>
      </c>
      <c r="G142" s="2" t="s">
        <v>10</v>
      </c>
      <c r="H142" s="2" t="s">
        <v>11</v>
      </c>
      <c r="I142" s="2" t="s">
        <v>12</v>
      </c>
      <c r="J142" s="2" t="s">
        <v>13</v>
      </c>
      <c r="K142" s="2" t="s">
        <v>14</v>
      </c>
      <c r="L142" s="2" t="s">
        <v>15</v>
      </c>
      <c r="M142" s="2" t="s">
        <v>16</v>
      </c>
      <c r="N142" s="2" t="s">
        <v>17</v>
      </c>
    </row>
    <row r="143" spans="1:14" x14ac:dyDescent="0.25">
      <c r="A143">
        <v>140</v>
      </c>
      <c r="B143" t="s">
        <v>18</v>
      </c>
      <c r="C143" s="15">
        <v>993171.70131610369</v>
      </c>
      <c r="D143" s="15">
        <v>934874.91519101115</v>
      </c>
      <c r="E143" s="15">
        <v>1042913.2897543169</v>
      </c>
      <c r="F143" s="15">
        <v>843963.16218938259</v>
      </c>
      <c r="G143" s="15">
        <v>696616.07457943098</v>
      </c>
      <c r="H143" s="15">
        <v>587068.65867682558</v>
      </c>
      <c r="I143" s="15">
        <v>675902.34025427955</v>
      </c>
      <c r="J143" s="15">
        <v>738624.08145461441</v>
      </c>
      <c r="K143" s="15">
        <v>683608.8064595937</v>
      </c>
      <c r="L143" s="15">
        <v>643992.33398148452</v>
      </c>
      <c r="M143" s="15">
        <v>612223.06116378144</v>
      </c>
      <c r="N143" s="15">
        <v>628858.35488841857</v>
      </c>
    </row>
    <row r="144" spans="1:14" x14ac:dyDescent="0.25">
      <c r="A144">
        <v>141</v>
      </c>
      <c r="B144" t="s">
        <v>64</v>
      </c>
      <c r="C144" s="15">
        <v>118163.48772299419</v>
      </c>
      <c r="D144" s="15">
        <v>108701.03721777063</v>
      </c>
      <c r="E144" s="15">
        <v>122800.15578071182</v>
      </c>
      <c r="F144" s="15">
        <v>133835.62595081545</v>
      </c>
      <c r="G144" s="15">
        <v>129758.76021463436</v>
      </c>
      <c r="H144" s="15">
        <v>118426.11959075408</v>
      </c>
      <c r="I144" s="15">
        <v>116883.72908428198</v>
      </c>
      <c r="J144" s="15">
        <v>118108.70662800049</v>
      </c>
      <c r="K144" s="15">
        <v>113988.87498555536</v>
      </c>
      <c r="L144" s="15">
        <v>119443.37949629867</v>
      </c>
      <c r="M144" s="15">
        <v>121815.98746844562</v>
      </c>
      <c r="N144" s="15">
        <v>133159.34103076282</v>
      </c>
    </row>
    <row r="145" spans="1:14" x14ac:dyDescent="0.25">
      <c r="A145">
        <v>142</v>
      </c>
      <c r="B145" t="s">
        <v>20</v>
      </c>
      <c r="C145" s="15">
        <v>107469.80621411031</v>
      </c>
      <c r="D145" s="15">
        <v>96085.884043108657</v>
      </c>
      <c r="E145" s="15">
        <v>110899.02516443047</v>
      </c>
      <c r="F145" s="15">
        <v>105358.32501426741</v>
      </c>
      <c r="G145" s="15">
        <v>95891.052213268602</v>
      </c>
      <c r="H145" s="15">
        <v>88758.726233885405</v>
      </c>
      <c r="I145" s="15">
        <v>95100.387090566655</v>
      </c>
      <c r="J145" s="15">
        <v>96908.038092802235</v>
      </c>
      <c r="K145" s="15">
        <v>93926.678105142841</v>
      </c>
      <c r="L145" s="15">
        <v>95337.298001128933</v>
      </c>
      <c r="M145" s="15">
        <v>94841.682202146345</v>
      </c>
      <c r="N145" s="15">
        <v>103863.73170175294</v>
      </c>
    </row>
    <row r="146" spans="1:14" x14ac:dyDescent="0.25">
      <c r="A146">
        <v>143</v>
      </c>
      <c r="B146" t="s">
        <v>19</v>
      </c>
      <c r="C146" s="15">
        <v>80415.292562715549</v>
      </c>
      <c r="D146" s="15">
        <v>73267.254769367064</v>
      </c>
      <c r="E146" s="15">
        <v>82316.51404900082</v>
      </c>
      <c r="F146" s="15">
        <v>83545.085522247842</v>
      </c>
      <c r="G146" s="15">
        <v>78396.584017125744</v>
      </c>
      <c r="H146" s="15">
        <v>75512.751257487573</v>
      </c>
      <c r="I146" s="15">
        <v>69232.705807612234</v>
      </c>
      <c r="J146" s="15">
        <v>71587.534545894523</v>
      </c>
      <c r="K146" s="15">
        <v>67893.381843057825</v>
      </c>
      <c r="L146" s="15">
        <v>71292.301448859798</v>
      </c>
      <c r="M146" s="15">
        <v>76477.975100669253</v>
      </c>
      <c r="N146" s="15">
        <v>88742.63023368454</v>
      </c>
    </row>
    <row r="147" spans="1:14" x14ac:dyDescent="0.25">
      <c r="A147">
        <v>144</v>
      </c>
      <c r="B147" t="s">
        <v>21</v>
      </c>
      <c r="C147" s="15">
        <v>50281.460123878984</v>
      </c>
      <c r="D147" s="15">
        <v>48096.473328058928</v>
      </c>
      <c r="E147" s="15">
        <v>53970.459315564985</v>
      </c>
      <c r="F147" s="15">
        <v>53294.197775828994</v>
      </c>
      <c r="G147" s="15">
        <v>50947.222479778611</v>
      </c>
      <c r="H147" s="15">
        <v>46010.134493286241</v>
      </c>
      <c r="I147" s="15">
        <v>43512.346438508837</v>
      </c>
      <c r="J147" s="15">
        <v>45107.415671459414</v>
      </c>
      <c r="K147" s="15">
        <v>44198.85798004239</v>
      </c>
      <c r="L147" s="15">
        <v>47543.947796132547</v>
      </c>
      <c r="M147" s="15">
        <v>46686.22719067688</v>
      </c>
      <c r="N147" s="15">
        <v>50558.545101058589</v>
      </c>
    </row>
    <row r="148" spans="1:14" x14ac:dyDescent="0.25">
      <c r="A148">
        <v>145</v>
      </c>
      <c r="B148" t="s">
        <v>22</v>
      </c>
      <c r="C148" s="15">
        <v>18968.48593119736</v>
      </c>
      <c r="D148" s="15">
        <v>18954.244918683569</v>
      </c>
      <c r="E148" s="15">
        <v>20569.291929975072</v>
      </c>
      <c r="F148" s="15">
        <v>18359.884554457774</v>
      </c>
      <c r="G148" s="15">
        <v>17487.752555761814</v>
      </c>
      <c r="H148" s="15">
        <v>17320.256879261142</v>
      </c>
      <c r="I148" s="15">
        <v>18096.515686250776</v>
      </c>
      <c r="J148" s="15">
        <v>22733.219015228751</v>
      </c>
      <c r="K148" s="15">
        <v>22734.174084607774</v>
      </c>
      <c r="L148" s="15">
        <v>22820.09510149547</v>
      </c>
      <c r="M148" s="15">
        <v>22760.680126280316</v>
      </c>
      <c r="N148" s="15">
        <v>24254.734730322474</v>
      </c>
    </row>
    <row r="149" spans="1:14" x14ac:dyDescent="0.25">
      <c r="A149">
        <v>146</v>
      </c>
      <c r="B149" s="19" t="s">
        <v>4</v>
      </c>
      <c r="C149" s="18">
        <f t="shared" ref="C149:N149" si="97">SUM(C143:C148)</f>
        <v>1368470.2338709999</v>
      </c>
      <c r="D149" s="18">
        <f t="shared" si="97"/>
        <v>1279979.809468</v>
      </c>
      <c r="E149" s="18">
        <f t="shared" si="97"/>
        <v>1433468.7359940002</v>
      </c>
      <c r="F149" s="18">
        <f t="shared" si="97"/>
        <v>1238356.281007</v>
      </c>
      <c r="G149" s="18">
        <f t="shared" si="97"/>
        <v>1069097.44606</v>
      </c>
      <c r="H149" s="18">
        <f t="shared" si="97"/>
        <v>933096.64713149995</v>
      </c>
      <c r="I149" s="18">
        <f t="shared" si="97"/>
        <v>1018728.0243615001</v>
      </c>
      <c r="J149" s="18">
        <f t="shared" si="97"/>
        <v>1093068.995408</v>
      </c>
      <c r="K149" s="18">
        <f t="shared" si="97"/>
        <v>1026350.7734579998</v>
      </c>
      <c r="L149" s="18">
        <f t="shared" si="97"/>
        <v>1000429.3558253999</v>
      </c>
      <c r="M149" s="18">
        <f t="shared" si="97"/>
        <v>974805.61325199995</v>
      </c>
      <c r="N149" s="18">
        <f t="shared" si="97"/>
        <v>1029437.337686</v>
      </c>
    </row>
    <row r="150" spans="1:14" x14ac:dyDescent="0.25">
      <c r="A150">
        <v>147</v>
      </c>
    </row>
    <row r="151" spans="1:14" x14ac:dyDescent="0.25">
      <c r="A151">
        <v>148</v>
      </c>
      <c r="B151" s="7" t="s">
        <v>66</v>
      </c>
      <c r="C151" s="2" t="s">
        <v>6</v>
      </c>
      <c r="D151" s="2" t="s">
        <v>7</v>
      </c>
      <c r="E151" s="2" t="s">
        <v>8</v>
      </c>
      <c r="F151" s="2" t="s">
        <v>9</v>
      </c>
      <c r="G151" s="2" t="s">
        <v>10</v>
      </c>
      <c r="H151" s="2" t="s">
        <v>11</v>
      </c>
      <c r="I151" s="2" t="s">
        <v>12</v>
      </c>
      <c r="J151" s="2" t="s">
        <v>13</v>
      </c>
      <c r="K151" s="2" t="s">
        <v>14</v>
      </c>
      <c r="L151" s="2" t="s">
        <v>15</v>
      </c>
      <c r="M151" s="2" t="s">
        <v>16</v>
      </c>
      <c r="N151" s="2" t="s">
        <v>17</v>
      </c>
    </row>
    <row r="152" spans="1:14" x14ac:dyDescent="0.25">
      <c r="A152">
        <v>149</v>
      </c>
      <c r="B152" t="s">
        <v>18</v>
      </c>
      <c r="C152" s="15">
        <v>649807.26318173483</v>
      </c>
      <c r="D152" s="15">
        <v>503963.65354630811</v>
      </c>
      <c r="E152" s="15">
        <v>562036.42898566124</v>
      </c>
      <c r="F152" s="15">
        <v>538493.47287630325</v>
      </c>
      <c r="G152" s="15">
        <v>619535.67482791189</v>
      </c>
      <c r="H152" s="15">
        <v>577904.04675851704</v>
      </c>
      <c r="I152" s="15">
        <v>615983.96164240548</v>
      </c>
      <c r="J152" s="15">
        <v>662295.64691180561</v>
      </c>
      <c r="K152" s="15">
        <v>651644.5278087249</v>
      </c>
      <c r="L152" s="15">
        <v>706178.69441617944</v>
      </c>
      <c r="M152" s="15">
        <v>699012.99410828843</v>
      </c>
      <c r="N152" s="15"/>
    </row>
    <row r="153" spans="1:14" x14ac:dyDescent="0.25">
      <c r="A153">
        <v>150</v>
      </c>
      <c r="B153" t="s">
        <v>64</v>
      </c>
      <c r="C153" s="15">
        <v>134143.71552589306</v>
      </c>
      <c r="D153" s="15">
        <v>99883.213245468083</v>
      </c>
      <c r="E153" s="15">
        <v>119629.36774844163</v>
      </c>
      <c r="F153" s="15">
        <v>122097.71842902273</v>
      </c>
      <c r="G153" s="15">
        <v>141080.74613549985</v>
      </c>
      <c r="H153" s="15">
        <v>121817.32610264333</v>
      </c>
      <c r="I153" s="15">
        <v>131921.4730982148</v>
      </c>
      <c r="J153" s="15">
        <v>136624.77782392051</v>
      </c>
      <c r="K153" s="15">
        <v>138088.83604321454</v>
      </c>
      <c r="L153" s="15">
        <v>152644.47926202035</v>
      </c>
      <c r="M153" s="15">
        <v>158415.64085725264</v>
      </c>
      <c r="N153" s="15"/>
    </row>
    <row r="154" spans="1:14" x14ac:dyDescent="0.25">
      <c r="A154">
        <v>151</v>
      </c>
      <c r="B154" t="s">
        <v>20</v>
      </c>
      <c r="C154" s="15">
        <v>108544.63967985931</v>
      </c>
      <c r="D154" s="15">
        <v>88914.639502863589</v>
      </c>
      <c r="E154" s="15">
        <v>116314.3313165165</v>
      </c>
      <c r="F154" s="15">
        <v>105283.78394051761</v>
      </c>
      <c r="G154" s="15">
        <v>113163.18136692708</v>
      </c>
      <c r="H154" s="15">
        <v>112045.30112842219</v>
      </c>
      <c r="I154" s="15">
        <v>114891.26251383315</v>
      </c>
      <c r="J154" s="15">
        <v>131378.77003697329</v>
      </c>
      <c r="K154" s="15">
        <v>130392.16034128248</v>
      </c>
      <c r="L154" s="15">
        <v>145056.0686635852</v>
      </c>
      <c r="M154" s="15">
        <v>150545.24333760631</v>
      </c>
      <c r="N154" s="15"/>
    </row>
    <row r="155" spans="1:14" x14ac:dyDescent="0.25">
      <c r="A155">
        <v>152</v>
      </c>
      <c r="B155" t="s">
        <v>19</v>
      </c>
      <c r="C155" s="15">
        <v>91583.143018909992</v>
      </c>
      <c r="D155" s="15">
        <v>83520.905550165786</v>
      </c>
      <c r="E155" s="15">
        <v>96463.250408824373</v>
      </c>
      <c r="F155" s="15">
        <v>96242.914709395831</v>
      </c>
      <c r="G155" s="15">
        <v>114298.9316956268</v>
      </c>
      <c r="H155" s="15">
        <v>98258.930690430236</v>
      </c>
      <c r="I155" s="15">
        <v>102596.75659451907</v>
      </c>
      <c r="J155" s="15">
        <v>117654.90491663681</v>
      </c>
      <c r="K155" s="15">
        <v>104077.07800930641</v>
      </c>
      <c r="L155" s="15">
        <v>108934.42713218761</v>
      </c>
      <c r="M155" s="15">
        <v>116529.40818237975</v>
      </c>
      <c r="N155" s="15"/>
    </row>
    <row r="156" spans="1:14" x14ac:dyDescent="0.25">
      <c r="A156">
        <v>153</v>
      </c>
      <c r="B156" t="s">
        <v>21</v>
      </c>
      <c r="C156" s="15">
        <v>51295.722498552685</v>
      </c>
      <c r="D156" s="15">
        <v>44842.539039358395</v>
      </c>
      <c r="E156" s="15">
        <v>55032.403029635359</v>
      </c>
      <c r="F156" s="15">
        <v>53490.921958904495</v>
      </c>
      <c r="G156" s="15">
        <v>56430.797031292517</v>
      </c>
      <c r="H156" s="15">
        <v>52898.180696787611</v>
      </c>
      <c r="I156" s="15">
        <v>52585.568467168996</v>
      </c>
      <c r="J156" s="15">
        <v>57895.600064632788</v>
      </c>
      <c r="K156" s="15">
        <v>54897.019036550613</v>
      </c>
      <c r="L156" s="15">
        <v>60185.397118876783</v>
      </c>
      <c r="M156" s="15">
        <v>57559.448842104786</v>
      </c>
      <c r="N156" s="15"/>
    </row>
    <row r="157" spans="1:14" x14ac:dyDescent="0.25">
      <c r="A157">
        <v>154</v>
      </c>
      <c r="B157" t="s">
        <v>22</v>
      </c>
      <c r="C157" s="15">
        <v>23803.017346050172</v>
      </c>
      <c r="D157" s="15">
        <v>21149.728683585996</v>
      </c>
      <c r="E157" s="15">
        <v>24106.222586920878</v>
      </c>
      <c r="F157" s="15">
        <v>24349.887507856027</v>
      </c>
      <c r="G157" s="15">
        <v>24910.078253741976</v>
      </c>
      <c r="H157" s="15">
        <v>21651.687740199577</v>
      </c>
      <c r="I157" s="15">
        <v>22371.055466858394</v>
      </c>
      <c r="J157" s="15">
        <v>25024.587914030832</v>
      </c>
      <c r="K157" s="15">
        <v>22727.303079921279</v>
      </c>
      <c r="L157" s="15">
        <v>25227.912681820613</v>
      </c>
      <c r="M157" s="15">
        <v>24817.868057367992</v>
      </c>
      <c r="N157" s="15"/>
    </row>
    <row r="158" spans="1:14" x14ac:dyDescent="0.25">
      <c r="A158">
        <v>155</v>
      </c>
      <c r="B158" s="19" t="s">
        <v>4</v>
      </c>
      <c r="C158" s="18">
        <f t="shared" ref="C158:N158" si="98">SUM(C152:C157)</f>
        <v>1059177.501251</v>
      </c>
      <c r="D158" s="18">
        <f t="shared" si="98"/>
        <v>842274.67956774996</v>
      </c>
      <c r="E158" s="18">
        <f t="shared" si="98"/>
        <v>973582.00407599995</v>
      </c>
      <c r="F158" s="18">
        <f t="shared" si="98"/>
        <v>939958.69942199986</v>
      </c>
      <c r="G158" s="18">
        <f t="shared" si="98"/>
        <v>1069419.4093110003</v>
      </c>
      <c r="H158" s="18">
        <f t="shared" si="98"/>
        <v>984575.47311700007</v>
      </c>
      <c r="I158" s="18">
        <f t="shared" si="98"/>
        <v>1040350.0777829998</v>
      </c>
      <c r="J158" s="18">
        <f t="shared" si="98"/>
        <v>1130874.2876679997</v>
      </c>
      <c r="K158" s="18">
        <f t="shared" si="98"/>
        <v>1101826.9243190002</v>
      </c>
      <c r="L158" s="18">
        <f t="shared" si="98"/>
        <v>1198226.9792746699</v>
      </c>
      <c r="M158" s="18">
        <f t="shared" si="98"/>
        <v>1206880.603385</v>
      </c>
      <c r="N158" s="18">
        <f t="shared" si="98"/>
        <v>0</v>
      </c>
    </row>
    <row r="159" spans="1:14" x14ac:dyDescent="0.25">
      <c r="A159">
        <v>156</v>
      </c>
      <c r="B159" t="s">
        <v>96</v>
      </c>
    </row>
    <row r="160" spans="1:14" x14ac:dyDescent="0.25">
      <c r="A160">
        <v>157</v>
      </c>
      <c r="B160" s="7" t="s">
        <v>68</v>
      </c>
      <c r="C160" s="2" t="s">
        <v>6</v>
      </c>
      <c r="D160" s="2" t="s">
        <v>7</v>
      </c>
      <c r="E160" s="2" t="s">
        <v>8</v>
      </c>
      <c r="F160" s="2" t="s">
        <v>9</v>
      </c>
      <c r="G160" s="2" t="s">
        <v>10</v>
      </c>
      <c r="H160" s="2" t="s">
        <v>11</v>
      </c>
      <c r="I160" s="2" t="s">
        <v>12</v>
      </c>
      <c r="J160" s="2" t="s">
        <v>13</v>
      </c>
      <c r="K160" s="2" t="s">
        <v>14</v>
      </c>
      <c r="L160" s="2" t="s">
        <v>15</v>
      </c>
      <c r="M160" s="2" t="s">
        <v>16</v>
      </c>
      <c r="N160" s="2" t="s">
        <v>17</v>
      </c>
    </row>
    <row r="161" spans="1:14" x14ac:dyDescent="0.25">
      <c r="A161">
        <v>158</v>
      </c>
      <c r="B161" t="s">
        <v>18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</row>
    <row r="162" spans="1:14" x14ac:dyDescent="0.25">
      <c r="A162">
        <v>159</v>
      </c>
      <c r="B162" t="s">
        <v>64</v>
      </c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</row>
    <row r="163" spans="1:14" x14ac:dyDescent="0.25">
      <c r="A163">
        <v>160</v>
      </c>
      <c r="B163" t="s">
        <v>20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</row>
    <row r="164" spans="1:14" x14ac:dyDescent="0.25">
      <c r="A164">
        <v>161</v>
      </c>
      <c r="B164" t="s">
        <v>19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</row>
    <row r="165" spans="1:14" x14ac:dyDescent="0.25">
      <c r="A165">
        <v>162</v>
      </c>
      <c r="B165" t="s">
        <v>21</v>
      </c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</row>
    <row r="166" spans="1:14" x14ac:dyDescent="0.25">
      <c r="A166">
        <v>163</v>
      </c>
      <c r="B166" t="s">
        <v>22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</row>
    <row r="167" spans="1:14" x14ac:dyDescent="0.25">
      <c r="A167">
        <v>164</v>
      </c>
      <c r="B167" s="19" t="s">
        <v>4</v>
      </c>
      <c r="C167" s="18">
        <f t="shared" ref="C167:N167" si="99">SUM(C161:C166)</f>
        <v>0</v>
      </c>
      <c r="D167" s="18">
        <f t="shared" si="99"/>
        <v>0</v>
      </c>
      <c r="E167" s="18">
        <f t="shared" si="99"/>
        <v>0</v>
      </c>
      <c r="F167" s="18">
        <f t="shared" si="99"/>
        <v>0</v>
      </c>
      <c r="G167" s="18">
        <f t="shared" si="99"/>
        <v>0</v>
      </c>
      <c r="H167" s="18">
        <f t="shared" si="99"/>
        <v>0</v>
      </c>
      <c r="I167" s="18">
        <f t="shared" si="99"/>
        <v>0</v>
      </c>
      <c r="J167" s="18">
        <f t="shared" si="99"/>
        <v>0</v>
      </c>
      <c r="K167" s="18">
        <f t="shared" si="99"/>
        <v>0</v>
      </c>
      <c r="L167" s="18">
        <f t="shared" si="99"/>
        <v>0</v>
      </c>
      <c r="M167" s="18">
        <f t="shared" si="99"/>
        <v>0</v>
      </c>
      <c r="N167" s="18">
        <f t="shared" si="99"/>
        <v>0</v>
      </c>
    </row>
    <row r="168" spans="1:14" x14ac:dyDescent="0.25">
      <c r="A168">
        <v>165</v>
      </c>
    </row>
    <row r="169" spans="1:14" x14ac:dyDescent="0.25">
      <c r="A169">
        <v>166</v>
      </c>
      <c r="B169" s="7" t="s">
        <v>67</v>
      </c>
      <c r="C169" s="2" t="s">
        <v>6</v>
      </c>
      <c r="D169" s="2" t="s">
        <v>7</v>
      </c>
      <c r="E169" s="2" t="s">
        <v>8</v>
      </c>
      <c r="F169" s="2" t="s">
        <v>9</v>
      </c>
      <c r="G169" s="2" t="s">
        <v>10</v>
      </c>
      <c r="H169" s="2" t="s">
        <v>11</v>
      </c>
      <c r="I169" s="2" t="s">
        <v>12</v>
      </c>
      <c r="J169" s="2" t="s">
        <v>13</v>
      </c>
      <c r="K169" s="2" t="s">
        <v>14</v>
      </c>
      <c r="L169" s="2" t="s">
        <v>15</v>
      </c>
      <c r="M169" s="2" t="s">
        <v>16</v>
      </c>
      <c r="N169" s="2" t="s">
        <v>17</v>
      </c>
    </row>
    <row r="170" spans="1:14" x14ac:dyDescent="0.25">
      <c r="A170">
        <v>167</v>
      </c>
      <c r="B170" t="s">
        <v>18</v>
      </c>
      <c r="C170" s="15">
        <v>-825512.42417331296</v>
      </c>
      <c r="D170" s="15">
        <v>-804559.25767656812</v>
      </c>
      <c r="E170" s="15">
        <v>-879613.22265017359</v>
      </c>
      <c r="F170" s="15">
        <v>-718529.65365116927</v>
      </c>
      <c r="G170" s="15">
        <v>-572622.70091298595</v>
      </c>
      <c r="H170" s="15">
        <v>-486877.78466833051</v>
      </c>
      <c r="I170" s="15">
        <v>-546134.15928928333</v>
      </c>
      <c r="J170" s="15">
        <v>-584878.67346116598</v>
      </c>
      <c r="K170" s="15">
        <v>-543376.54291207634</v>
      </c>
      <c r="L170" s="15">
        <v>-520152.62710829504</v>
      </c>
      <c r="M170" s="15">
        <v>-508078.68725182663</v>
      </c>
      <c r="N170" s="15">
        <v>-520713.04699911998</v>
      </c>
    </row>
    <row r="171" spans="1:14" x14ac:dyDescent="0.25">
      <c r="A171">
        <v>168</v>
      </c>
      <c r="B171" t="s">
        <v>64</v>
      </c>
      <c r="C171" s="15">
        <v>-100164.65270017312</v>
      </c>
      <c r="D171" s="15">
        <v>-93375.904413619442</v>
      </c>
      <c r="E171" s="15">
        <v>-104638.99434427035</v>
      </c>
      <c r="F171" s="15">
        <v>-113947.43886648257</v>
      </c>
      <c r="G171" s="15">
        <v>-110562.017702885</v>
      </c>
      <c r="H171" s="15">
        <v>-101491.04509741149</v>
      </c>
      <c r="I171" s="15">
        <v>-97850.529464000312</v>
      </c>
      <c r="J171" s="15">
        <v>-97777.908299505405</v>
      </c>
      <c r="K171" s="15">
        <v>-93610.897016107047</v>
      </c>
      <c r="L171" s="15">
        <v>-99111.111097850124</v>
      </c>
      <c r="M171" s="15">
        <v>-103416.76687550347</v>
      </c>
      <c r="N171" s="15">
        <v>-113193.32487939691</v>
      </c>
    </row>
    <row r="172" spans="1:14" x14ac:dyDescent="0.25">
      <c r="A172">
        <v>169</v>
      </c>
      <c r="B172" t="s">
        <v>20</v>
      </c>
      <c r="C172" s="15">
        <v>-94602.671070227167</v>
      </c>
      <c r="D172" s="15">
        <v>-85775.294515492176</v>
      </c>
      <c r="E172" s="15">
        <v>-97015.352414132809</v>
      </c>
      <c r="F172" s="15">
        <v>-92973.607172035743</v>
      </c>
      <c r="G172" s="15">
        <v>-85974.639165256856</v>
      </c>
      <c r="H172" s="15">
        <v>-79432.361061798758</v>
      </c>
      <c r="I172" s="15">
        <v>-83852.784648305693</v>
      </c>
      <c r="J172" s="15">
        <v>-83710.831303861516</v>
      </c>
      <c r="K172" s="15">
        <v>-81207.604695972055</v>
      </c>
      <c r="L172" s="15">
        <v>-83267.304586138867</v>
      </c>
      <c r="M172" s="15">
        <v>-84712.148478185074</v>
      </c>
      <c r="N172" s="15">
        <v>-92348.088164244487</v>
      </c>
    </row>
    <row r="173" spans="1:14" x14ac:dyDescent="0.25">
      <c r="A173">
        <v>170</v>
      </c>
      <c r="B173" t="s">
        <v>19</v>
      </c>
      <c r="C173" s="15">
        <v>-75390.9346794187</v>
      </c>
      <c r="D173" s="15">
        <v>-68914.854930573696</v>
      </c>
      <c r="E173" s="15">
        <v>-76044.747240623867</v>
      </c>
      <c r="F173" s="15">
        <v>-77516.804249702982</v>
      </c>
      <c r="G173" s="15">
        <v>-72795.45510535629</v>
      </c>
      <c r="H173" s="15">
        <v>-71448.109770839335</v>
      </c>
      <c r="I173" s="15">
        <v>-64106.689942435245</v>
      </c>
      <c r="J173" s="15">
        <v>-64970.924536694736</v>
      </c>
      <c r="K173" s="15">
        <v>-61612.103106226277</v>
      </c>
      <c r="L173" s="15">
        <v>-65453.540463394558</v>
      </c>
      <c r="M173" s="15">
        <v>-72540.186569369136</v>
      </c>
      <c r="N173" s="15">
        <v>-84121.261111373969</v>
      </c>
    </row>
    <row r="174" spans="1:14" x14ac:dyDescent="0.25">
      <c r="A174">
        <v>171</v>
      </c>
      <c r="B174" t="s">
        <v>21</v>
      </c>
      <c r="C174" s="15">
        <v>-46324.598872548908</v>
      </c>
      <c r="D174" s="15">
        <v>-44694.27975873612</v>
      </c>
      <c r="E174" s="15">
        <v>-49685.414908913917</v>
      </c>
      <c r="F174" s="15">
        <v>-49245.589432133354</v>
      </c>
      <c r="G174" s="15">
        <v>-47444.310801971056</v>
      </c>
      <c r="H174" s="15">
        <v>-43151.734697139116</v>
      </c>
      <c r="I174" s="15">
        <v>-39100.375227025936</v>
      </c>
      <c r="J174" s="15">
        <v>-38923.058150714372</v>
      </c>
      <c r="K174" s="15">
        <v>-38428.60288152565</v>
      </c>
      <c r="L174" s="15">
        <v>-41434.643503856321</v>
      </c>
      <c r="M174" s="15">
        <v>-42228.300930232872</v>
      </c>
      <c r="N174" s="15">
        <v>-45458.357080672482</v>
      </c>
    </row>
    <row r="175" spans="1:14" x14ac:dyDescent="0.25">
      <c r="A175">
        <v>172</v>
      </c>
      <c r="B175" t="s">
        <v>22</v>
      </c>
      <c r="C175" s="15">
        <v>-17526.632425082851</v>
      </c>
      <c r="D175" s="15">
        <v>-16896.532213122697</v>
      </c>
      <c r="E175" s="15">
        <v>-17936.905742138559</v>
      </c>
      <c r="F175" s="15">
        <v>-16204.606050549814</v>
      </c>
      <c r="G175" s="15">
        <v>-14976.342298231893</v>
      </c>
      <c r="H175" s="15">
        <v>-15472.381570734631</v>
      </c>
      <c r="I175" s="15">
        <v>-15207.835566893473</v>
      </c>
      <c r="J175" s="15">
        <v>-19253.555641124633</v>
      </c>
      <c r="K175" s="15">
        <v>-19413.182172329216</v>
      </c>
      <c r="L175" s="15">
        <v>-20275.015749082337</v>
      </c>
      <c r="M175" s="15">
        <v>-20547.151429361453</v>
      </c>
      <c r="N175" s="15">
        <v>-21984.698199952287</v>
      </c>
    </row>
    <row r="176" spans="1:14" x14ac:dyDescent="0.25">
      <c r="A176">
        <v>173</v>
      </c>
      <c r="B176" s="19" t="s">
        <v>4</v>
      </c>
      <c r="C176" s="18">
        <f t="shared" ref="C176:N176" si="100">SUM(C170:C175)</f>
        <v>-1159521.9139207636</v>
      </c>
      <c r="D176" s="18">
        <f t="shared" si="100"/>
        <v>-1114216.123508112</v>
      </c>
      <c r="E176" s="18">
        <f t="shared" si="100"/>
        <v>-1224934.6373002531</v>
      </c>
      <c r="F176" s="18">
        <f t="shared" si="100"/>
        <v>-1068417.6994220736</v>
      </c>
      <c r="G176" s="18">
        <f t="shared" si="100"/>
        <v>-904375.46598668699</v>
      </c>
      <c r="H176" s="18">
        <f t="shared" si="100"/>
        <v>-797873.41686625383</v>
      </c>
      <c r="I176" s="18">
        <f t="shared" si="100"/>
        <v>-846252.37413794396</v>
      </c>
      <c r="J176" s="18">
        <f t="shared" si="100"/>
        <v>-889514.95139306667</v>
      </c>
      <c r="K176" s="18">
        <f t="shared" si="100"/>
        <v>-837648.9327842365</v>
      </c>
      <c r="L176" s="18">
        <f t="shared" si="100"/>
        <v>-829694.24250861711</v>
      </c>
      <c r="M176" s="18">
        <f t="shared" si="100"/>
        <v>-831523.24153447861</v>
      </c>
      <c r="N176" s="18">
        <f t="shared" si="100"/>
        <v>-877818.77643476019</v>
      </c>
    </row>
    <row r="177" spans="1:14" x14ac:dyDescent="0.25">
      <c r="A177">
        <v>174</v>
      </c>
    </row>
    <row r="178" spans="1:14" x14ac:dyDescent="0.25">
      <c r="A178">
        <v>175</v>
      </c>
      <c r="B178" s="7" t="s">
        <v>66</v>
      </c>
      <c r="C178" s="2" t="s">
        <v>6</v>
      </c>
      <c r="D178" s="2" t="s">
        <v>7</v>
      </c>
      <c r="E178" s="2" t="s">
        <v>8</v>
      </c>
      <c r="F178" s="2" t="s">
        <v>9</v>
      </c>
      <c r="G178" s="2" t="s">
        <v>10</v>
      </c>
      <c r="H178" s="2" t="s">
        <v>11</v>
      </c>
      <c r="I178" s="2" t="s">
        <v>12</v>
      </c>
      <c r="J178" s="2" t="s">
        <v>13</v>
      </c>
      <c r="K178" s="2" t="s">
        <v>14</v>
      </c>
      <c r="L178" s="2" t="s">
        <v>15</v>
      </c>
      <c r="M178" s="2" t="s">
        <v>16</v>
      </c>
      <c r="N178" s="2" t="s">
        <v>17</v>
      </c>
    </row>
    <row r="179" spans="1:14" x14ac:dyDescent="0.25">
      <c r="A179">
        <v>176</v>
      </c>
      <c r="B179" t="s">
        <v>18</v>
      </c>
      <c r="C179" s="15">
        <v>-528641.43733261246</v>
      </c>
      <c r="D179" s="15">
        <v>-418508.9594147043</v>
      </c>
      <c r="E179" s="15">
        <v>-472146.61476725386</v>
      </c>
      <c r="F179" s="15">
        <v>-448101.30146005534</v>
      </c>
      <c r="G179" s="15">
        <v>-508520.66788890009</v>
      </c>
      <c r="H179" s="15">
        <v>-493502.0771844429</v>
      </c>
      <c r="I179" s="15">
        <v>-501315.67138020083</v>
      </c>
      <c r="J179" s="15">
        <v>-535958.68474902178</v>
      </c>
      <c r="K179" s="15">
        <v>-537876.07928130729</v>
      </c>
      <c r="L179" s="15">
        <v>-573889.6831738652</v>
      </c>
      <c r="M179" s="15">
        <v>-552167.0100910234</v>
      </c>
      <c r="N179" s="15"/>
    </row>
    <row r="180" spans="1:14" x14ac:dyDescent="0.25">
      <c r="A180">
        <v>177</v>
      </c>
      <c r="B180" t="s">
        <v>64</v>
      </c>
      <c r="C180" s="15">
        <v>-111971.2206609339</v>
      </c>
      <c r="D180" s="15">
        <v>-84893.506345679561</v>
      </c>
      <c r="E180" s="15">
        <v>-103060.43499911157</v>
      </c>
      <c r="F180" s="15">
        <v>-104889.55184028881</v>
      </c>
      <c r="G180" s="15">
        <v>-121905.47264766267</v>
      </c>
      <c r="H180" s="15">
        <v>-108919.94088115243</v>
      </c>
      <c r="I180" s="15">
        <v>-113655.65719009726</v>
      </c>
      <c r="J180" s="15">
        <v>-118275.19702632239</v>
      </c>
      <c r="K180" s="15">
        <v>-123246.14501189535</v>
      </c>
      <c r="L180" s="15">
        <v>-131471.86382412128</v>
      </c>
      <c r="M180" s="15">
        <v>-134105.57817869834</v>
      </c>
      <c r="N180" s="15"/>
    </row>
    <row r="181" spans="1:14" x14ac:dyDescent="0.25">
      <c r="A181">
        <v>178</v>
      </c>
      <c r="B181" t="s">
        <v>20</v>
      </c>
      <c r="C181" s="15">
        <v>-95016.094898798299</v>
      </c>
      <c r="D181" s="15">
        <v>-79347.715598482508</v>
      </c>
      <c r="E181" s="15">
        <v>-104718.33402067077</v>
      </c>
      <c r="F181" s="15">
        <v>-93234.689859710546</v>
      </c>
      <c r="G181" s="15">
        <v>-100901.9807902453</v>
      </c>
      <c r="H181" s="15">
        <v>-102794.9823120626</v>
      </c>
      <c r="I181" s="15">
        <v>-102018.25710544373</v>
      </c>
      <c r="J181" s="15">
        <v>-116829.08588548278</v>
      </c>
      <c r="K181" s="15">
        <v>-120063.22497054173</v>
      </c>
      <c r="L181" s="15">
        <v>-131036.01192196833</v>
      </c>
      <c r="M181" s="15">
        <v>-132499.38489248071</v>
      </c>
      <c r="N181" s="15"/>
    </row>
    <row r="182" spans="1:14" x14ac:dyDescent="0.25">
      <c r="A182">
        <v>179</v>
      </c>
      <c r="B182" t="s">
        <v>19</v>
      </c>
      <c r="C182" s="15">
        <v>-85416.521795694265</v>
      </c>
      <c r="D182" s="15">
        <v>-79872.272484402129</v>
      </c>
      <c r="E182" s="15">
        <v>-93486.465509354646</v>
      </c>
      <c r="F182" s="15">
        <v>-92068.756541819894</v>
      </c>
      <c r="G182" s="15">
        <v>-109971.09907763249</v>
      </c>
      <c r="H182" s="15">
        <v>-98427.506172992114</v>
      </c>
      <c r="I182" s="15">
        <v>-96695.396993142305</v>
      </c>
      <c r="J182" s="15">
        <v>-110456.46368627755</v>
      </c>
      <c r="K182" s="15">
        <v>-99754.827948565478</v>
      </c>
      <c r="L182" s="15">
        <v>-102225.71671581037</v>
      </c>
      <c r="M182" s="15">
        <v>-111205.18544815613</v>
      </c>
      <c r="N182" s="15"/>
    </row>
    <row r="183" spans="1:14" x14ac:dyDescent="0.25">
      <c r="A183">
        <v>180</v>
      </c>
      <c r="B183" t="s">
        <v>21</v>
      </c>
      <c r="C183" s="15">
        <v>-44830.896847225777</v>
      </c>
      <c r="D183" s="15">
        <v>-40238.886528921794</v>
      </c>
      <c r="E183" s="15">
        <v>-51258.174447975085</v>
      </c>
      <c r="F183" s="15">
        <v>-49652.484847530031</v>
      </c>
      <c r="G183" s="15">
        <v>-51846.935185477872</v>
      </c>
      <c r="H183" s="15">
        <v>-52057.089792656006</v>
      </c>
      <c r="I183" s="15">
        <v>-47625.370959862063</v>
      </c>
      <c r="J183" s="15">
        <v>-52689.738530684765</v>
      </c>
      <c r="K183" s="15">
        <v>-51324.567881989606</v>
      </c>
      <c r="L183" s="15">
        <v>-55107.05472975412</v>
      </c>
      <c r="M183" s="15">
        <v>-51479.617784908893</v>
      </c>
      <c r="N183" s="15"/>
    </row>
    <row r="184" spans="1:14" x14ac:dyDescent="0.25">
      <c r="A184">
        <v>181</v>
      </c>
      <c r="B184" t="s">
        <v>22</v>
      </c>
      <c r="C184" s="15">
        <v>-20564.252599735359</v>
      </c>
      <c r="D184" s="15">
        <v>-18844.854217809727</v>
      </c>
      <c r="E184" s="15">
        <v>-21449.508672634114</v>
      </c>
      <c r="F184" s="15">
        <v>-21812.207848595346</v>
      </c>
      <c r="G184" s="15">
        <v>-22056.574790081617</v>
      </c>
      <c r="H184" s="15">
        <v>-19062.190475693998</v>
      </c>
      <c r="I184" s="15">
        <v>-18323.311727253767</v>
      </c>
      <c r="J184" s="15">
        <v>-20374.790630210719</v>
      </c>
      <c r="K184" s="15">
        <v>-19298.975681700664</v>
      </c>
      <c r="L184" s="15">
        <v>-20258.344984480653</v>
      </c>
      <c r="M184" s="15">
        <v>-20620.751449232514</v>
      </c>
      <c r="N184" s="15"/>
    </row>
    <row r="185" spans="1:14" x14ac:dyDescent="0.25">
      <c r="A185">
        <v>182</v>
      </c>
      <c r="B185" s="19" t="s">
        <v>4</v>
      </c>
      <c r="C185" s="18">
        <f t="shared" ref="C185:N185" si="101">SUM(C179:C184)</f>
        <v>-886440.42413499998</v>
      </c>
      <c r="D185" s="18">
        <f t="shared" si="101"/>
        <v>-721706.19459000009</v>
      </c>
      <c r="E185" s="18">
        <f t="shared" si="101"/>
        <v>-846119.53241700004</v>
      </c>
      <c r="F185" s="18">
        <f t="shared" si="101"/>
        <v>-809758.99239799997</v>
      </c>
      <c r="G185" s="18">
        <f t="shared" si="101"/>
        <v>-915202.73038000008</v>
      </c>
      <c r="H185" s="18">
        <f t="shared" si="101"/>
        <v>-874763.78681900015</v>
      </c>
      <c r="I185" s="18">
        <f t="shared" si="101"/>
        <v>-879633.66535599995</v>
      </c>
      <c r="J185" s="18">
        <f t="shared" si="101"/>
        <v>-954583.96050799987</v>
      </c>
      <c r="K185" s="18">
        <f t="shared" si="101"/>
        <v>-951563.82077600015</v>
      </c>
      <c r="L185" s="18">
        <f t="shared" si="101"/>
        <v>-1013988.6753499999</v>
      </c>
      <c r="M185" s="18">
        <f t="shared" si="101"/>
        <v>-1002077.5278444998</v>
      </c>
      <c r="N185" s="18">
        <f t="shared" si="101"/>
        <v>0</v>
      </c>
    </row>
    <row r="186" spans="1:14" x14ac:dyDescent="0.25">
      <c r="A186">
        <v>183</v>
      </c>
    </row>
    <row r="187" spans="1:14" x14ac:dyDescent="0.25">
      <c r="A187">
        <v>184</v>
      </c>
      <c r="B187" t="s">
        <v>121</v>
      </c>
      <c r="D187" s="83"/>
    </row>
    <row r="188" spans="1:14" x14ac:dyDescent="0.25">
      <c r="A188">
        <v>185</v>
      </c>
      <c r="B188" s="7" t="s">
        <v>68</v>
      </c>
      <c r="C188" s="2" t="s">
        <v>6</v>
      </c>
      <c r="D188" s="2" t="s">
        <v>7</v>
      </c>
      <c r="E188" s="2" t="s">
        <v>8</v>
      </c>
      <c r="F188" s="2" t="s">
        <v>9</v>
      </c>
      <c r="G188" s="2" t="s">
        <v>10</v>
      </c>
      <c r="H188" s="2" t="s">
        <v>11</v>
      </c>
      <c r="I188" s="2" t="s">
        <v>12</v>
      </c>
      <c r="J188" s="2" t="s">
        <v>13</v>
      </c>
      <c r="K188" s="2" t="s">
        <v>14</v>
      </c>
      <c r="L188" s="2" t="s">
        <v>15</v>
      </c>
      <c r="M188" s="2" t="s">
        <v>16</v>
      </c>
      <c r="N188" s="2" t="s">
        <v>17</v>
      </c>
    </row>
    <row r="189" spans="1:14" x14ac:dyDescent="0.25">
      <c r="A189">
        <v>186</v>
      </c>
      <c r="B189" t="s">
        <v>51</v>
      </c>
    </row>
    <row r="190" spans="1:14" x14ac:dyDescent="0.25">
      <c r="A190">
        <v>187</v>
      </c>
      <c r="B190" t="s">
        <v>35</v>
      </c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</row>
    <row r="191" spans="1:14" x14ac:dyDescent="0.25">
      <c r="A191">
        <v>188</v>
      </c>
      <c r="B191" t="s">
        <v>43</v>
      </c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</row>
    <row r="192" spans="1:14" x14ac:dyDescent="0.25">
      <c r="A192">
        <v>189</v>
      </c>
      <c r="B192" t="s">
        <v>44</v>
      </c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</row>
    <row r="193" spans="1:14" x14ac:dyDescent="0.25">
      <c r="A193">
        <v>190</v>
      </c>
      <c r="B193" t="s">
        <v>37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</row>
    <row r="194" spans="1:14" x14ac:dyDescent="0.25">
      <c r="A194">
        <v>191</v>
      </c>
      <c r="B194" t="s">
        <v>39</v>
      </c>
      <c r="C194" s="15">
        <f>C195-SUM(C190:C193)</f>
        <v>0</v>
      </c>
      <c r="D194" s="15">
        <f t="shared" ref="D194" si="102">D195-SUM(D190:D193)</f>
        <v>0</v>
      </c>
      <c r="E194" s="15">
        <f t="shared" ref="E194" si="103">E195-SUM(E190:E193)</f>
        <v>0</v>
      </c>
      <c r="F194" s="15">
        <f t="shared" ref="F194" si="104">F195-SUM(F190:F193)</f>
        <v>0</v>
      </c>
      <c r="G194" s="15">
        <f t="shared" ref="G194" si="105">G195-SUM(G190:G193)</f>
        <v>0</v>
      </c>
      <c r="H194" s="15">
        <f t="shared" ref="H194" si="106">H195-SUM(H190:H193)</f>
        <v>0</v>
      </c>
      <c r="I194" s="15">
        <f t="shared" ref="I194" si="107">I195-SUM(I190:I193)</f>
        <v>0</v>
      </c>
      <c r="J194" s="15">
        <f t="shared" ref="J194" si="108">J195-SUM(J190:J193)</f>
        <v>0</v>
      </c>
      <c r="K194" s="15">
        <f t="shared" ref="K194" si="109">K195-SUM(K190:K193)</f>
        <v>0</v>
      </c>
      <c r="L194" s="15">
        <f t="shared" ref="L194" si="110">L195-SUM(L190:L193)</f>
        <v>0</v>
      </c>
      <c r="M194" s="15">
        <f t="shared" ref="M194" si="111">M195-SUM(M190:M193)</f>
        <v>0</v>
      </c>
      <c r="N194" s="15">
        <f t="shared" ref="N194" si="112">N195-SUM(N190:N193)</f>
        <v>0</v>
      </c>
    </row>
    <row r="195" spans="1:14" x14ac:dyDescent="0.25">
      <c r="A195">
        <v>192</v>
      </c>
      <c r="B195" t="s">
        <v>4</v>
      </c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</row>
    <row r="196" spans="1:14" x14ac:dyDescent="0.25">
      <c r="A196">
        <v>193</v>
      </c>
    </row>
    <row r="197" spans="1:14" x14ac:dyDescent="0.25">
      <c r="A197">
        <v>194</v>
      </c>
      <c r="B197" s="7" t="s">
        <v>67</v>
      </c>
      <c r="C197" s="2" t="s">
        <v>6</v>
      </c>
      <c r="D197" s="2" t="s">
        <v>7</v>
      </c>
      <c r="E197" s="2" t="s">
        <v>8</v>
      </c>
      <c r="F197" s="2" t="s">
        <v>9</v>
      </c>
      <c r="G197" s="2" t="s">
        <v>10</v>
      </c>
      <c r="H197" s="2" t="s">
        <v>11</v>
      </c>
      <c r="I197" s="2" t="s">
        <v>12</v>
      </c>
      <c r="J197" s="2" t="s">
        <v>13</v>
      </c>
      <c r="K197" s="2" t="s">
        <v>14</v>
      </c>
      <c r="L197" s="2" t="s">
        <v>15</v>
      </c>
      <c r="M197" s="2" t="s">
        <v>16</v>
      </c>
      <c r="N197" s="2" t="s">
        <v>17</v>
      </c>
    </row>
    <row r="198" spans="1:14" x14ac:dyDescent="0.25">
      <c r="A198">
        <v>195</v>
      </c>
      <c r="B198" t="s">
        <v>51</v>
      </c>
    </row>
    <row r="199" spans="1:14" x14ac:dyDescent="0.25">
      <c r="A199">
        <v>196</v>
      </c>
      <c r="B199" t="s">
        <v>35</v>
      </c>
      <c r="C199" s="15">
        <v>52021261</v>
      </c>
      <c r="D199" s="15">
        <v>61949538</v>
      </c>
      <c r="E199" s="15">
        <v>42433737</v>
      </c>
      <c r="F199" s="15">
        <v>87187878</v>
      </c>
      <c r="G199" s="15">
        <v>121217979</v>
      </c>
      <c r="H199" s="15">
        <v>112610376</v>
      </c>
      <c r="I199" s="15">
        <v>102521730</v>
      </c>
      <c r="J199" s="15">
        <v>53771904</v>
      </c>
      <c r="K199" s="15">
        <v>110574646</v>
      </c>
      <c r="L199" s="15">
        <v>140253951</v>
      </c>
      <c r="M199" s="15">
        <v>145696196</v>
      </c>
      <c r="N199" s="15">
        <v>105447554</v>
      </c>
    </row>
    <row r="200" spans="1:14" x14ac:dyDescent="0.25">
      <c r="A200">
        <v>197</v>
      </c>
      <c r="B200" t="s">
        <v>43</v>
      </c>
      <c r="C200" s="15">
        <v>59579800</v>
      </c>
      <c r="D200" s="15">
        <v>44094120</v>
      </c>
      <c r="E200" s="15">
        <v>84635810</v>
      </c>
      <c r="F200" s="15">
        <v>56894990</v>
      </c>
      <c r="G200" s="15">
        <v>62824487</v>
      </c>
      <c r="H200" s="15">
        <v>42850790</v>
      </c>
      <c r="I200" s="15">
        <v>56352080</v>
      </c>
      <c r="J200" s="15">
        <v>19773600</v>
      </c>
      <c r="K200" s="15">
        <v>108897820</v>
      </c>
      <c r="L200" s="15">
        <v>55317510</v>
      </c>
      <c r="M200" s="15">
        <v>44102790</v>
      </c>
      <c r="N200" s="15">
        <v>84772870</v>
      </c>
    </row>
    <row r="201" spans="1:14" x14ac:dyDescent="0.25">
      <c r="A201">
        <v>198</v>
      </c>
      <c r="B201" t="s">
        <v>44</v>
      </c>
      <c r="C201" s="15">
        <v>41844630</v>
      </c>
      <c r="D201" s="15">
        <v>43215350</v>
      </c>
      <c r="E201" s="15">
        <v>180174970</v>
      </c>
      <c r="F201" s="15">
        <v>15771865</v>
      </c>
      <c r="G201" s="15">
        <v>10501250</v>
      </c>
      <c r="H201" s="15">
        <v>16295330</v>
      </c>
      <c r="I201" s="15">
        <v>55537540</v>
      </c>
      <c r="J201" s="15">
        <v>35837660</v>
      </c>
      <c r="K201" s="15">
        <v>17711960</v>
      </c>
      <c r="L201" s="15">
        <v>30380010</v>
      </c>
      <c r="M201" s="15">
        <v>32173600</v>
      </c>
      <c r="N201" s="15">
        <v>37515720</v>
      </c>
    </row>
    <row r="202" spans="1:14" x14ac:dyDescent="0.25">
      <c r="A202">
        <v>199</v>
      </c>
      <c r="B202" t="s">
        <v>37</v>
      </c>
      <c r="C202" s="15">
        <v>18261453</v>
      </c>
      <c r="D202" s="15">
        <v>12946301</v>
      </c>
      <c r="E202" s="15">
        <v>19728399</v>
      </c>
      <c r="F202" s="15">
        <v>22752224</v>
      </c>
      <c r="G202" s="15">
        <v>21446544</v>
      </c>
      <c r="H202" s="15">
        <v>24112232</v>
      </c>
      <c r="I202" s="15">
        <v>24009034</v>
      </c>
      <c r="J202" s="15">
        <v>28553771</v>
      </c>
      <c r="K202" s="15">
        <v>30200091</v>
      </c>
      <c r="L202" s="15">
        <v>21340130</v>
      </c>
      <c r="M202" s="15">
        <v>14364198</v>
      </c>
      <c r="N202" s="15">
        <v>28054649</v>
      </c>
    </row>
    <row r="203" spans="1:14" x14ac:dyDescent="0.25">
      <c r="A203">
        <v>200</v>
      </c>
      <c r="B203" t="s">
        <v>39</v>
      </c>
      <c r="C203" s="15">
        <f>C204-SUM(C199:C202)</f>
        <v>85377311</v>
      </c>
      <c r="D203" s="15">
        <f t="shared" ref="D203" si="113">D204-SUM(D199:D202)</f>
        <v>99964714</v>
      </c>
      <c r="E203" s="15">
        <f t="shared" ref="E203" si="114">E204-SUM(E199:E202)</f>
        <v>126593366</v>
      </c>
      <c r="F203" s="15">
        <f t="shared" ref="F203" si="115">F204-SUM(F199:F202)</f>
        <v>105581092</v>
      </c>
      <c r="G203" s="15">
        <f t="shared" ref="G203" si="116">G204-SUM(G199:G202)</f>
        <v>98445615</v>
      </c>
      <c r="H203" s="15">
        <f t="shared" ref="H203" si="117">H204-SUM(H199:H202)</f>
        <v>89161353</v>
      </c>
      <c r="I203" s="15">
        <f t="shared" ref="I203" si="118">I204-SUM(I199:I202)</f>
        <v>81167649</v>
      </c>
      <c r="J203" s="15">
        <f t="shared" ref="J203" si="119">J204-SUM(J199:J202)</f>
        <v>74266044</v>
      </c>
      <c r="K203" s="15">
        <f t="shared" ref="K203" si="120">K204-SUM(K199:K202)</f>
        <v>75971255</v>
      </c>
      <c r="L203" s="15">
        <f t="shared" ref="L203" si="121">L204-SUM(L199:L202)</f>
        <v>74099544</v>
      </c>
      <c r="M203" s="15">
        <f t="shared" ref="M203" si="122">M204-SUM(M199:M202)</f>
        <v>87096198</v>
      </c>
      <c r="N203" s="15">
        <f t="shared" ref="N203" si="123">N204-SUM(N199:N202)</f>
        <v>72606752</v>
      </c>
    </row>
    <row r="204" spans="1:14" x14ac:dyDescent="0.25">
      <c r="A204">
        <v>201</v>
      </c>
      <c r="B204" t="s">
        <v>4</v>
      </c>
      <c r="C204" s="15">
        <v>257084455</v>
      </c>
      <c r="D204" s="15">
        <v>262170023</v>
      </c>
      <c r="E204" s="15">
        <v>453566282</v>
      </c>
      <c r="F204" s="15">
        <v>288188049</v>
      </c>
      <c r="G204" s="15">
        <v>314435875</v>
      </c>
      <c r="H204" s="15">
        <v>285030081</v>
      </c>
      <c r="I204" s="15">
        <v>319588033</v>
      </c>
      <c r="J204" s="15">
        <v>212202979</v>
      </c>
      <c r="K204" s="15">
        <v>343355772</v>
      </c>
      <c r="L204" s="15">
        <v>321391145</v>
      </c>
      <c r="M204" s="15">
        <v>323432982</v>
      </c>
      <c r="N204" s="15">
        <v>328397545</v>
      </c>
    </row>
    <row r="205" spans="1:14" x14ac:dyDescent="0.25">
      <c r="A205">
        <v>202</v>
      </c>
    </row>
    <row r="206" spans="1:14" x14ac:dyDescent="0.25">
      <c r="A206">
        <v>203</v>
      </c>
      <c r="B206" s="7" t="s">
        <v>66</v>
      </c>
      <c r="C206" s="2" t="s">
        <v>6</v>
      </c>
      <c r="D206" s="2" t="s">
        <v>7</v>
      </c>
      <c r="E206" s="2" t="s">
        <v>8</v>
      </c>
      <c r="F206" s="2" t="s">
        <v>9</v>
      </c>
      <c r="G206" s="2" t="s">
        <v>10</v>
      </c>
      <c r="H206" s="2" t="s">
        <v>11</v>
      </c>
      <c r="I206" s="2" t="s">
        <v>12</v>
      </c>
      <c r="J206" s="2" t="s">
        <v>13</v>
      </c>
      <c r="K206" s="2" t="s">
        <v>14</v>
      </c>
      <c r="L206" s="2" t="s">
        <v>15</v>
      </c>
      <c r="M206" s="2" t="s">
        <v>16</v>
      </c>
      <c r="N206" s="2" t="s">
        <v>17</v>
      </c>
    </row>
    <row r="207" spans="1:14" x14ac:dyDescent="0.25">
      <c r="A207">
        <v>204</v>
      </c>
      <c r="B207" t="s">
        <v>51</v>
      </c>
    </row>
    <row r="208" spans="1:14" x14ac:dyDescent="0.25">
      <c r="A208">
        <v>205</v>
      </c>
      <c r="B208" t="s">
        <v>35</v>
      </c>
      <c r="C208" s="15">
        <v>175967532</v>
      </c>
      <c r="D208" s="15">
        <v>71791978</v>
      </c>
      <c r="E208" s="15">
        <v>114944911</v>
      </c>
      <c r="F208" s="15">
        <v>97441951</v>
      </c>
      <c r="G208" s="15">
        <v>156538041</v>
      </c>
      <c r="H208" s="15">
        <v>121979691</v>
      </c>
      <c r="I208" s="15">
        <v>55545072</v>
      </c>
      <c r="J208" s="15">
        <v>100513176</v>
      </c>
      <c r="K208" s="15">
        <v>210649067</v>
      </c>
      <c r="L208" s="15">
        <v>121163511</v>
      </c>
      <c r="M208" s="15">
        <v>192823543</v>
      </c>
      <c r="N208" s="15">
        <v>0</v>
      </c>
    </row>
    <row r="209" spans="1:14" x14ac:dyDescent="0.25">
      <c r="A209">
        <v>206</v>
      </c>
      <c r="B209" t="s">
        <v>43</v>
      </c>
      <c r="C209" s="15">
        <v>108165190</v>
      </c>
      <c r="D209" s="15">
        <v>18368840</v>
      </c>
      <c r="E209" s="15">
        <v>98130430</v>
      </c>
      <c r="F209" s="15">
        <v>16530040</v>
      </c>
      <c r="G209" s="15">
        <v>59463710</v>
      </c>
      <c r="H209" s="15">
        <v>71982730</v>
      </c>
      <c r="I209" s="15">
        <v>104373870</v>
      </c>
      <c r="J209" s="15">
        <v>24267620</v>
      </c>
      <c r="K209" s="15">
        <v>19866050</v>
      </c>
      <c r="L209" s="15">
        <v>87203736</v>
      </c>
      <c r="M209" s="15">
        <v>56630200</v>
      </c>
      <c r="N209" s="15">
        <v>0</v>
      </c>
    </row>
    <row r="210" spans="1:14" x14ac:dyDescent="0.25">
      <c r="A210">
        <v>207</v>
      </c>
      <c r="B210" t="s">
        <v>44</v>
      </c>
      <c r="C210" s="15">
        <v>36725510</v>
      </c>
      <c r="D210" s="15">
        <v>30311740</v>
      </c>
      <c r="E210" s="15">
        <v>37484100</v>
      </c>
      <c r="F210" s="15">
        <v>56634300</v>
      </c>
      <c r="G210" s="15">
        <v>59359020</v>
      </c>
      <c r="H210" s="15">
        <v>44008670</v>
      </c>
      <c r="I210" s="15">
        <v>60380170</v>
      </c>
      <c r="J210" s="15">
        <v>27669950</v>
      </c>
      <c r="K210" s="15">
        <v>29484070</v>
      </c>
      <c r="L210" s="15">
        <v>18463780</v>
      </c>
      <c r="M210" s="15">
        <v>6508070</v>
      </c>
      <c r="N210" s="15">
        <v>0</v>
      </c>
    </row>
    <row r="211" spans="1:14" x14ac:dyDescent="0.25">
      <c r="A211">
        <v>208</v>
      </c>
      <c r="B211" t="s">
        <v>37</v>
      </c>
      <c r="C211" s="15">
        <v>23076168</v>
      </c>
      <c r="D211" s="15">
        <v>12606648</v>
      </c>
      <c r="E211" s="15">
        <v>21532064</v>
      </c>
      <c r="F211" s="15">
        <v>21930946</v>
      </c>
      <c r="G211" s="15">
        <v>28929613</v>
      </c>
      <c r="H211" s="15">
        <v>26808281</v>
      </c>
      <c r="I211" s="15">
        <v>30259584</v>
      </c>
      <c r="J211" s="15">
        <v>33910578</v>
      </c>
      <c r="K211" s="15">
        <v>26198628</v>
      </c>
      <c r="L211" s="15">
        <v>22463430</v>
      </c>
      <c r="M211" s="15">
        <v>15261611</v>
      </c>
      <c r="N211" s="15">
        <v>0</v>
      </c>
    </row>
    <row r="212" spans="1:14" x14ac:dyDescent="0.25">
      <c r="A212">
        <v>209</v>
      </c>
      <c r="B212" t="s">
        <v>39</v>
      </c>
      <c r="C212" s="15">
        <f>C213-SUM(C208:C211)</f>
        <v>93591052</v>
      </c>
      <c r="D212" s="15">
        <f t="shared" ref="D212:N212" si="124">D213-SUM(D208:D211)</f>
        <v>70455137</v>
      </c>
      <c r="E212" s="15">
        <f t="shared" si="124"/>
        <v>86065615</v>
      </c>
      <c r="F212" s="15">
        <f t="shared" si="124"/>
        <v>79819126</v>
      </c>
      <c r="G212" s="15">
        <f t="shared" si="124"/>
        <v>83654269</v>
      </c>
      <c r="H212" s="15">
        <f t="shared" si="124"/>
        <v>82092793</v>
      </c>
      <c r="I212" s="15">
        <f t="shared" si="124"/>
        <v>74301814</v>
      </c>
      <c r="J212" s="15">
        <f t="shared" si="124"/>
        <v>65555637</v>
      </c>
      <c r="K212" s="15">
        <f t="shared" si="124"/>
        <v>74205091</v>
      </c>
      <c r="L212" s="15">
        <f t="shared" si="124"/>
        <v>71897630</v>
      </c>
      <c r="M212" s="15">
        <f t="shared" si="124"/>
        <v>77905927</v>
      </c>
      <c r="N212" s="15">
        <f t="shared" si="124"/>
        <v>0</v>
      </c>
    </row>
    <row r="213" spans="1:14" x14ac:dyDescent="0.25">
      <c r="A213">
        <v>210</v>
      </c>
      <c r="B213" t="s">
        <v>4</v>
      </c>
      <c r="C213" s="15">
        <v>437525452</v>
      </c>
      <c r="D213" s="15">
        <v>203534343</v>
      </c>
      <c r="E213" s="15">
        <v>358157120</v>
      </c>
      <c r="F213" s="15">
        <v>272356363</v>
      </c>
      <c r="G213" s="15">
        <v>387944653</v>
      </c>
      <c r="H213" s="15">
        <v>346872165</v>
      </c>
      <c r="I213" s="15">
        <v>324860510</v>
      </c>
      <c r="J213" s="15">
        <v>251916961</v>
      </c>
      <c r="K213" s="15">
        <v>360402906</v>
      </c>
      <c r="L213" s="15">
        <v>321192087</v>
      </c>
      <c r="M213" s="15">
        <v>349129351</v>
      </c>
      <c r="N213" s="15">
        <v>0</v>
      </c>
    </row>
    <row r="214" spans="1:14" x14ac:dyDescent="0.25">
      <c r="A214">
        <v>211</v>
      </c>
    </row>
    <row r="215" spans="1:14" x14ac:dyDescent="0.25">
      <c r="A215">
        <v>212</v>
      </c>
      <c r="B215" t="s">
        <v>122</v>
      </c>
    </row>
    <row r="216" spans="1:14" x14ac:dyDescent="0.25">
      <c r="A216">
        <v>213</v>
      </c>
      <c r="B216" s="7" t="s">
        <v>68</v>
      </c>
      <c r="C216" s="2" t="s">
        <v>6</v>
      </c>
      <c r="D216" s="2" t="s">
        <v>7</v>
      </c>
      <c r="E216" s="2" t="s">
        <v>8</v>
      </c>
      <c r="F216" s="2" t="s">
        <v>9</v>
      </c>
      <c r="G216" s="2" t="s">
        <v>10</v>
      </c>
      <c r="H216" s="2" t="s">
        <v>11</v>
      </c>
      <c r="I216" s="2" t="s">
        <v>12</v>
      </c>
      <c r="J216" s="2" t="s">
        <v>13</v>
      </c>
      <c r="K216" s="2" t="s">
        <v>14</v>
      </c>
      <c r="L216" s="2" t="s">
        <v>15</v>
      </c>
      <c r="M216" s="2" t="s">
        <v>16</v>
      </c>
      <c r="N216" s="2" t="s">
        <v>17</v>
      </c>
    </row>
    <row r="217" spans="1:14" x14ac:dyDescent="0.25">
      <c r="A217">
        <v>214</v>
      </c>
      <c r="B217" t="s">
        <v>51</v>
      </c>
    </row>
    <row r="218" spans="1:14" x14ac:dyDescent="0.25">
      <c r="A218">
        <v>215</v>
      </c>
      <c r="B218" t="s">
        <v>35</v>
      </c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</row>
    <row r="219" spans="1:14" x14ac:dyDescent="0.25">
      <c r="A219">
        <v>216</v>
      </c>
      <c r="B219" t="s">
        <v>43</v>
      </c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</row>
    <row r="220" spans="1:14" x14ac:dyDescent="0.25">
      <c r="A220">
        <v>217</v>
      </c>
      <c r="B220" t="s">
        <v>44</v>
      </c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</row>
    <row r="221" spans="1:14" x14ac:dyDescent="0.25">
      <c r="A221">
        <v>218</v>
      </c>
      <c r="B221" t="s">
        <v>37</v>
      </c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</row>
    <row r="222" spans="1:14" x14ac:dyDescent="0.25">
      <c r="A222">
        <v>219</v>
      </c>
      <c r="B222" t="s">
        <v>39</v>
      </c>
      <c r="C222" s="15">
        <f>C223-SUM(C218:C221)</f>
        <v>0</v>
      </c>
      <c r="D222" s="15">
        <f t="shared" ref="D222" si="125">D223-SUM(D218:D221)</f>
        <v>0</v>
      </c>
      <c r="E222" s="15">
        <f t="shared" ref="E222" si="126">E223-SUM(E218:E221)</f>
        <v>0</v>
      </c>
      <c r="F222" s="15">
        <f t="shared" ref="F222" si="127">F223-SUM(F218:F221)</f>
        <v>0</v>
      </c>
      <c r="G222" s="15">
        <f t="shared" ref="G222" si="128">G223-SUM(G218:G221)</f>
        <v>0</v>
      </c>
      <c r="H222" s="15">
        <f t="shared" ref="H222" si="129">H223-SUM(H218:H221)</f>
        <v>0</v>
      </c>
      <c r="I222" s="15">
        <f t="shared" ref="I222" si="130">I223-SUM(I218:I221)</f>
        <v>0</v>
      </c>
      <c r="J222" s="15">
        <f t="shared" ref="J222" si="131">J223-SUM(J218:J221)</f>
        <v>0</v>
      </c>
      <c r="K222" s="15">
        <f t="shared" ref="K222" si="132">K223-SUM(K218:K221)</f>
        <v>0</v>
      </c>
      <c r="L222" s="15">
        <f t="shared" ref="L222" si="133">L223-SUM(L218:L221)</f>
        <v>0</v>
      </c>
      <c r="M222" s="15">
        <f t="shared" ref="M222" si="134">M223-SUM(M218:M221)</f>
        <v>0</v>
      </c>
      <c r="N222" s="15">
        <f t="shared" ref="N222" si="135">N223-SUM(N218:N221)</f>
        <v>0</v>
      </c>
    </row>
    <row r="223" spans="1:14" x14ac:dyDescent="0.25">
      <c r="A223">
        <v>220</v>
      </c>
      <c r="B223" t="s">
        <v>4</v>
      </c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</row>
    <row r="224" spans="1:14" x14ac:dyDescent="0.25">
      <c r="A224">
        <v>221</v>
      </c>
    </row>
    <row r="225" spans="1:14" x14ac:dyDescent="0.25">
      <c r="A225">
        <v>222</v>
      </c>
      <c r="B225" s="7" t="s">
        <v>67</v>
      </c>
      <c r="C225" s="2" t="s">
        <v>6</v>
      </c>
      <c r="D225" s="2" t="s">
        <v>7</v>
      </c>
      <c r="E225" s="2" t="s">
        <v>8</v>
      </c>
      <c r="F225" s="2" t="s">
        <v>9</v>
      </c>
      <c r="G225" s="2" t="s">
        <v>10</v>
      </c>
      <c r="H225" s="2" t="s">
        <v>11</v>
      </c>
      <c r="I225" s="2" t="s">
        <v>12</v>
      </c>
      <c r="J225" s="2" t="s">
        <v>13</v>
      </c>
      <c r="K225" s="2" t="s">
        <v>14</v>
      </c>
      <c r="L225" s="2" t="s">
        <v>15</v>
      </c>
      <c r="M225" s="2" t="s">
        <v>16</v>
      </c>
      <c r="N225" s="2" t="s">
        <v>17</v>
      </c>
    </row>
    <row r="226" spans="1:14" x14ac:dyDescent="0.25">
      <c r="A226">
        <v>223</v>
      </c>
      <c r="B226" t="s">
        <v>51</v>
      </c>
    </row>
    <row r="227" spans="1:14" x14ac:dyDescent="0.25">
      <c r="A227">
        <v>224</v>
      </c>
      <c r="B227" t="s">
        <v>35</v>
      </c>
      <c r="C227" s="15">
        <v>267014697300</v>
      </c>
      <c r="D227" s="15">
        <v>315240252800</v>
      </c>
      <c r="E227" s="15">
        <v>216305670150</v>
      </c>
      <c r="F227" s="15">
        <v>440328264810</v>
      </c>
      <c r="G227" s="15">
        <v>588043719780</v>
      </c>
      <c r="H227" s="15">
        <v>534812846908</v>
      </c>
      <c r="I227" s="15">
        <v>486626765770</v>
      </c>
      <c r="J227" s="15">
        <v>256352459938</v>
      </c>
      <c r="K227" s="15">
        <v>523003110420</v>
      </c>
      <c r="L227" s="15">
        <v>669110817680</v>
      </c>
      <c r="M227" s="15">
        <v>707212757200</v>
      </c>
      <c r="N227" s="15">
        <v>517293414260</v>
      </c>
    </row>
    <row r="228" spans="1:14" x14ac:dyDescent="0.25">
      <c r="A228">
        <v>225</v>
      </c>
      <c r="B228" t="s">
        <v>43</v>
      </c>
      <c r="C228" s="15">
        <v>567660939200</v>
      </c>
      <c r="D228" s="15">
        <v>429466130170</v>
      </c>
      <c r="E228" s="15">
        <v>821374768019</v>
      </c>
      <c r="F228" s="15">
        <v>550687075145</v>
      </c>
      <c r="G228" s="15">
        <v>612397242012</v>
      </c>
      <c r="H228" s="15">
        <v>378604435250</v>
      </c>
      <c r="I228" s="15">
        <v>517309229360</v>
      </c>
      <c r="J228" s="15">
        <v>171668404940</v>
      </c>
      <c r="K228" s="15">
        <v>967017094670</v>
      </c>
      <c r="L228" s="15">
        <v>468506037960</v>
      </c>
      <c r="M228" s="15">
        <v>399434802910</v>
      </c>
      <c r="N228" s="15">
        <v>755357076780</v>
      </c>
    </row>
    <row r="229" spans="1:14" x14ac:dyDescent="0.25">
      <c r="A229">
        <v>226</v>
      </c>
      <c r="B229" t="s">
        <v>44</v>
      </c>
      <c r="C229" s="15">
        <v>204415703300</v>
      </c>
      <c r="D229" s="15">
        <v>215879450840</v>
      </c>
      <c r="E229" s="15">
        <v>858337776075</v>
      </c>
      <c r="F229" s="15">
        <v>80857409635</v>
      </c>
      <c r="G229" s="15">
        <v>54661186350</v>
      </c>
      <c r="H229" s="15">
        <v>82027444300</v>
      </c>
      <c r="I229" s="15">
        <v>274966552680</v>
      </c>
      <c r="J229" s="15">
        <v>179110508650</v>
      </c>
      <c r="K229" s="15">
        <v>89415923130</v>
      </c>
      <c r="L229" s="15">
        <v>153428960160</v>
      </c>
      <c r="M229" s="15">
        <v>162971293930</v>
      </c>
      <c r="N229" s="15">
        <v>191912139070</v>
      </c>
    </row>
    <row r="230" spans="1:14" x14ac:dyDescent="0.25">
      <c r="A230">
        <v>227</v>
      </c>
      <c r="B230" t="s">
        <v>37</v>
      </c>
      <c r="C230" s="15">
        <v>113200007220</v>
      </c>
      <c r="D230" s="15">
        <v>80103988330</v>
      </c>
      <c r="E230" s="15">
        <v>118052443810</v>
      </c>
      <c r="F230" s="15">
        <v>129145802100</v>
      </c>
      <c r="G230" s="15">
        <v>111441485770</v>
      </c>
      <c r="H230" s="15">
        <v>121376894110</v>
      </c>
      <c r="I230" s="15">
        <v>117055598920</v>
      </c>
      <c r="J230" s="15">
        <v>140307969920</v>
      </c>
      <c r="K230" s="15">
        <v>145914756080</v>
      </c>
      <c r="L230" s="15">
        <v>118733952890</v>
      </c>
      <c r="M230" s="15">
        <v>82391897430</v>
      </c>
      <c r="N230" s="15">
        <v>146243106640</v>
      </c>
    </row>
    <row r="231" spans="1:14" x14ac:dyDescent="0.25">
      <c r="A231">
        <v>228</v>
      </c>
      <c r="B231" t="s">
        <v>39</v>
      </c>
      <c r="C231" s="15">
        <f>C232-SUM(C227:C230)</f>
        <v>572266415052</v>
      </c>
      <c r="D231" s="15">
        <f t="shared" ref="D231" si="136">D232-SUM(D227:D230)</f>
        <v>616674074681</v>
      </c>
      <c r="E231" s="15">
        <f t="shared" ref="E231" si="137">E232-SUM(E227:E230)</f>
        <v>791789588127</v>
      </c>
      <c r="F231" s="15">
        <f t="shared" ref="F231" si="138">F232-SUM(F227:F230)</f>
        <v>669545407211</v>
      </c>
      <c r="G231" s="15">
        <f t="shared" ref="G231" si="139">G232-SUM(G227:G230)</f>
        <v>601700926304</v>
      </c>
      <c r="H231" s="15">
        <f t="shared" ref="H231" si="140">H232-SUM(H227:H230)</f>
        <v>564682180336</v>
      </c>
      <c r="I231" s="15">
        <f t="shared" ref="I231" si="141">I232-SUM(I227:I230)</f>
        <v>482450052212</v>
      </c>
      <c r="J231" s="15">
        <f t="shared" ref="J231" si="142">J232-SUM(J227:J230)</f>
        <v>442669819251</v>
      </c>
      <c r="K231" s="15">
        <f t="shared" ref="K231" si="143">K232-SUM(K227:K230)</f>
        <v>461063489509</v>
      </c>
      <c r="L231" s="15">
        <f t="shared" ref="L231" si="144">L232-SUM(L227:L230)</f>
        <v>463047555863</v>
      </c>
      <c r="M231" s="15">
        <f t="shared" ref="M231" si="145">M232-SUM(M227:M230)</f>
        <v>574521193661</v>
      </c>
      <c r="N231" s="15">
        <f t="shared" ref="N231" si="146">N232-SUM(N227:N230)</f>
        <v>499377624691</v>
      </c>
    </row>
    <row r="232" spans="1:14" x14ac:dyDescent="0.25">
      <c r="A232">
        <v>229</v>
      </c>
      <c r="B232" t="s">
        <v>4</v>
      </c>
      <c r="C232" s="15">
        <v>1724557762072</v>
      </c>
      <c r="D232" s="15">
        <v>1657363896821</v>
      </c>
      <c r="E232" s="15">
        <v>2805860246181</v>
      </c>
      <c r="F232" s="15">
        <v>1870563958901</v>
      </c>
      <c r="G232" s="15">
        <v>1968244560216</v>
      </c>
      <c r="H232" s="15">
        <v>1681503800904</v>
      </c>
      <c r="I232" s="15">
        <v>1878408198942</v>
      </c>
      <c r="J232" s="15">
        <v>1190109162699</v>
      </c>
      <c r="K232" s="15">
        <v>2186414373809</v>
      </c>
      <c r="L232" s="15">
        <v>1872827324553</v>
      </c>
      <c r="M232" s="15">
        <v>1926531945131</v>
      </c>
      <c r="N232" s="15">
        <v>2110183361441</v>
      </c>
    </row>
    <row r="233" spans="1:14" x14ac:dyDescent="0.25">
      <c r="A233">
        <v>230</v>
      </c>
    </row>
    <row r="234" spans="1:14" x14ac:dyDescent="0.25">
      <c r="A234">
        <v>231</v>
      </c>
      <c r="B234" s="7" t="s">
        <v>66</v>
      </c>
      <c r="C234" s="2" t="s">
        <v>6</v>
      </c>
      <c r="D234" s="2" t="s">
        <v>7</v>
      </c>
      <c r="E234" s="2" t="s">
        <v>8</v>
      </c>
      <c r="F234" s="2" t="s">
        <v>9</v>
      </c>
      <c r="G234" s="2" t="s">
        <v>10</v>
      </c>
      <c r="H234" s="2" t="s">
        <v>11</v>
      </c>
      <c r="I234" s="2" t="s">
        <v>12</v>
      </c>
      <c r="J234" s="2" t="s">
        <v>13</v>
      </c>
      <c r="K234" s="2" t="s">
        <v>14</v>
      </c>
      <c r="L234" s="2" t="s">
        <v>15</v>
      </c>
      <c r="M234" s="2" t="s">
        <v>16</v>
      </c>
      <c r="N234" s="2" t="s">
        <v>17</v>
      </c>
    </row>
    <row r="235" spans="1:14" x14ac:dyDescent="0.25">
      <c r="A235">
        <v>232</v>
      </c>
      <c r="B235" t="s">
        <v>51</v>
      </c>
    </row>
    <row r="236" spans="1:14" x14ac:dyDescent="0.25">
      <c r="A236">
        <v>233</v>
      </c>
      <c r="B236" t="s">
        <v>35</v>
      </c>
      <c r="C236" s="15">
        <v>853052712060</v>
      </c>
      <c r="D236" s="15">
        <v>366175597457</v>
      </c>
      <c r="E236" s="15">
        <v>593448139600</v>
      </c>
      <c r="F236" s="15">
        <v>511080386250</v>
      </c>
      <c r="G236" s="15">
        <v>855781749200</v>
      </c>
      <c r="H236" s="15">
        <v>696967928025</v>
      </c>
      <c r="I236" s="15">
        <v>323108354300</v>
      </c>
      <c r="J236" s="15">
        <v>573877743510</v>
      </c>
      <c r="K236" s="15">
        <v>1171952827900</v>
      </c>
      <c r="L236" s="15">
        <v>649773109875</v>
      </c>
      <c r="M236" s="15">
        <v>1037931867280</v>
      </c>
      <c r="N236" s="15">
        <v>0</v>
      </c>
    </row>
    <row r="237" spans="1:14" x14ac:dyDescent="0.25">
      <c r="A237">
        <v>234</v>
      </c>
      <c r="B237" t="s">
        <v>43</v>
      </c>
      <c r="C237" s="15">
        <v>954801462020</v>
      </c>
      <c r="D237" s="15">
        <v>164332463880</v>
      </c>
      <c r="E237" s="15">
        <v>976027675680</v>
      </c>
      <c r="F237" s="15">
        <v>174806867757</v>
      </c>
      <c r="G237" s="15">
        <v>598993568146</v>
      </c>
      <c r="H237" s="15">
        <v>838858275052</v>
      </c>
      <c r="I237" s="15">
        <v>1211600519879</v>
      </c>
      <c r="J237" s="15">
        <v>278430063710</v>
      </c>
      <c r="K237" s="15">
        <v>224300594444</v>
      </c>
      <c r="L237" s="15">
        <v>936846150802</v>
      </c>
      <c r="M237" s="15">
        <v>598692632840</v>
      </c>
      <c r="N237" s="15">
        <v>0</v>
      </c>
    </row>
    <row r="238" spans="1:14" x14ac:dyDescent="0.25">
      <c r="A238">
        <v>235</v>
      </c>
      <c r="B238" t="s">
        <v>44</v>
      </c>
      <c r="C238" s="15">
        <v>192629117270</v>
      </c>
      <c r="D238" s="15">
        <v>161193970840</v>
      </c>
      <c r="E238" s="15">
        <v>202729207880</v>
      </c>
      <c r="F238" s="15">
        <v>313696648560</v>
      </c>
      <c r="G238" s="15">
        <v>336955660510</v>
      </c>
      <c r="H238" s="15">
        <v>254704521220</v>
      </c>
      <c r="I238" s="15">
        <v>357554383160</v>
      </c>
      <c r="J238" s="15">
        <v>163879765260</v>
      </c>
      <c r="K238" s="15">
        <v>172081270890</v>
      </c>
      <c r="L238" s="15">
        <v>109768088180</v>
      </c>
      <c r="M238" s="15">
        <v>38043965190</v>
      </c>
      <c r="N238" s="15">
        <v>0</v>
      </c>
    </row>
    <row r="239" spans="1:14" x14ac:dyDescent="0.25">
      <c r="A239">
        <v>236</v>
      </c>
      <c r="B239" t="s">
        <v>37</v>
      </c>
      <c r="C239" s="15">
        <v>128632010710</v>
      </c>
      <c r="D239" s="15">
        <v>72254722910</v>
      </c>
      <c r="E239" s="15">
        <v>113560085520</v>
      </c>
      <c r="F239" s="15">
        <v>113969522020</v>
      </c>
      <c r="G239" s="15">
        <v>157492150356</v>
      </c>
      <c r="H239" s="15">
        <v>147518572753</v>
      </c>
      <c r="I239" s="15">
        <v>162874130820</v>
      </c>
      <c r="J239" s="15">
        <v>194023460700</v>
      </c>
      <c r="K239" s="15">
        <v>150641233340</v>
      </c>
      <c r="L239" s="15">
        <v>131493602990</v>
      </c>
      <c r="M239" s="15">
        <v>94115423500</v>
      </c>
      <c r="N239" s="15">
        <v>0</v>
      </c>
    </row>
    <row r="240" spans="1:14" x14ac:dyDescent="0.25">
      <c r="A240">
        <v>237</v>
      </c>
      <c r="B240" t="s">
        <v>39</v>
      </c>
      <c r="C240" s="15">
        <f>C241-SUM(C236:C239)</f>
        <v>614579722107</v>
      </c>
      <c r="D240" s="15">
        <f t="shared" ref="D240" si="147">D241-SUM(D236:D239)</f>
        <v>452980816841</v>
      </c>
      <c r="E240" s="15">
        <f t="shared" ref="E240" si="148">E241-SUM(E236:E239)</f>
        <v>555425940871</v>
      </c>
      <c r="F240" s="15">
        <f t="shared" ref="F240" si="149">F241-SUM(F236:F239)</f>
        <v>519015708373</v>
      </c>
      <c r="G240" s="15">
        <f t="shared" ref="G240" si="150">G241-SUM(G236:G239)</f>
        <v>562745597921</v>
      </c>
      <c r="H240" s="15">
        <f t="shared" ref="H240" si="151">H241-SUM(H236:H239)</f>
        <v>591005750488</v>
      </c>
      <c r="I240" s="15">
        <f t="shared" ref="I240" si="152">I241-SUM(I236:I239)</f>
        <v>582028209494</v>
      </c>
      <c r="J240" s="15">
        <f t="shared" ref="J240" si="153">J241-SUM(J236:J239)</f>
        <v>496188261438</v>
      </c>
      <c r="K240" s="15">
        <f t="shared" ref="K240" si="154">K241-SUM(K236:K239)</f>
        <v>552252743371</v>
      </c>
      <c r="L240" s="15">
        <f t="shared" ref="L240" si="155">L241-SUM(L236:L239)</f>
        <v>516019826947</v>
      </c>
      <c r="M240" s="15">
        <f t="shared" ref="M240" si="156">M241-SUM(M236:M239)</f>
        <v>542584332248</v>
      </c>
      <c r="N240" s="15">
        <f t="shared" ref="N240" si="157">N241-SUM(N236:N239)</f>
        <v>0</v>
      </c>
    </row>
    <row r="241" spans="1:14" x14ac:dyDescent="0.25">
      <c r="A241">
        <v>238</v>
      </c>
      <c r="B241" t="s">
        <v>4</v>
      </c>
      <c r="C241" s="15">
        <v>2743695024167</v>
      </c>
      <c r="D241" s="15">
        <v>1216937571928</v>
      </c>
      <c r="E241" s="15">
        <v>2441191049551</v>
      </c>
      <c r="F241" s="15">
        <v>1632569132960</v>
      </c>
      <c r="G241" s="15">
        <v>2511968726133</v>
      </c>
      <c r="H241" s="15">
        <v>2529055047538</v>
      </c>
      <c r="I241" s="15">
        <v>2637165597653</v>
      </c>
      <c r="J241" s="15">
        <v>1706399294618</v>
      </c>
      <c r="K241" s="15">
        <v>2271228669945</v>
      </c>
      <c r="L241" s="15">
        <v>2343900778794</v>
      </c>
      <c r="M241" s="15">
        <v>2311368221058</v>
      </c>
      <c r="N241" s="15">
        <v>0</v>
      </c>
    </row>
    <row r="242" spans="1:14" x14ac:dyDescent="0.25">
      <c r="A242">
        <v>239</v>
      </c>
    </row>
    <row r="243" spans="1:14" x14ac:dyDescent="0.25">
      <c r="A243">
        <v>240</v>
      </c>
      <c r="B243" t="s">
        <v>155</v>
      </c>
      <c r="D243" s="83"/>
    </row>
    <row r="244" spans="1:14" x14ac:dyDescent="0.25">
      <c r="A244">
        <v>241</v>
      </c>
      <c r="B244" s="7" t="s">
        <v>26</v>
      </c>
      <c r="C244" s="2" t="s">
        <v>6</v>
      </c>
      <c r="D244" s="2" t="s">
        <v>7</v>
      </c>
      <c r="E244" s="2" t="s">
        <v>8</v>
      </c>
      <c r="F244" s="2" t="s">
        <v>9</v>
      </c>
      <c r="G244" s="2" t="s">
        <v>10</v>
      </c>
      <c r="H244" s="2" t="s">
        <v>11</v>
      </c>
      <c r="I244" s="2" t="s">
        <v>12</v>
      </c>
      <c r="J244" s="2" t="s">
        <v>13</v>
      </c>
      <c r="K244" s="2" t="s">
        <v>14</v>
      </c>
      <c r="L244" s="2" t="s">
        <v>15</v>
      </c>
      <c r="M244" s="2" t="s">
        <v>16</v>
      </c>
      <c r="N244" s="2" t="s">
        <v>17</v>
      </c>
    </row>
    <row r="245" spans="1:14" x14ac:dyDescent="0.25">
      <c r="A245">
        <v>242</v>
      </c>
      <c r="B245" s="24" t="s">
        <v>156</v>
      </c>
      <c r="C245">
        <v>1042810.980426</v>
      </c>
      <c r="D245">
        <v>904736.82312899991</v>
      </c>
      <c r="E245">
        <v>1067369.8268799998</v>
      </c>
      <c r="F245">
        <v>1075379.2786700001</v>
      </c>
      <c r="G245">
        <v>1096723.456454</v>
      </c>
      <c r="H245">
        <v>1126474.650686</v>
      </c>
      <c r="I245">
        <v>1102022.281951</v>
      </c>
      <c r="J245">
        <v>1261545.9194429999</v>
      </c>
      <c r="K245">
        <v>1254575.4559380002</v>
      </c>
      <c r="L245">
        <v>1291228.3081479999</v>
      </c>
      <c r="M245">
        <v>1286649.485264</v>
      </c>
      <c r="N245">
        <v>1288154.5214249999</v>
      </c>
    </row>
    <row r="246" spans="1:14" x14ac:dyDescent="0.25">
      <c r="A246">
        <v>243</v>
      </c>
      <c r="B246" s="184" t="s">
        <v>124</v>
      </c>
      <c r="C246" s="15">
        <v>1157010.5685769999</v>
      </c>
      <c r="D246" s="15">
        <v>1112030.910808</v>
      </c>
      <c r="E246" s="15">
        <v>1216607.9450989999</v>
      </c>
      <c r="F246" s="15">
        <v>1057836.4200629999</v>
      </c>
      <c r="G246" s="15">
        <v>898667.68961700005</v>
      </c>
      <c r="H246" s="15">
        <v>795865.29130799999</v>
      </c>
      <c r="I246" s="15">
        <v>843664.76861999999</v>
      </c>
      <c r="J246" s="15">
        <v>887739.09656500001</v>
      </c>
      <c r="K246" s="15">
        <v>837004.3196380001</v>
      </c>
      <c r="L246" s="15">
        <v>827138.98159999982</v>
      </c>
      <c r="M246" s="15">
        <v>829403.64289599983</v>
      </c>
      <c r="N246" s="15">
        <v>875335.80621000007</v>
      </c>
    </row>
    <row r="247" spans="1:14" x14ac:dyDescent="0.25">
      <c r="A247">
        <v>244</v>
      </c>
      <c r="B247" s="24" t="s">
        <v>82</v>
      </c>
      <c r="C247" s="15">
        <v>886440.42412699992</v>
      </c>
      <c r="D247" s="15">
        <v>721706.19459299999</v>
      </c>
      <c r="E247" s="15">
        <v>846119.53169300011</v>
      </c>
      <c r="F247" s="15">
        <v>809758.99240700004</v>
      </c>
      <c r="G247" s="15">
        <v>915202.73037400004</v>
      </c>
      <c r="H247" s="15">
        <v>874763.7868280001</v>
      </c>
      <c r="I247" s="15">
        <v>879633.66535399994</v>
      </c>
      <c r="J247" s="15">
        <v>954583.96051000012</v>
      </c>
      <c r="K247" s="15">
        <v>951563.82077499991</v>
      </c>
      <c r="L247" s="15">
        <v>1014007.6878470001</v>
      </c>
      <c r="M247" s="15">
        <v>1002058.5153409999</v>
      </c>
      <c r="N247" s="15">
        <v>0</v>
      </c>
    </row>
    <row r="248" spans="1:14" x14ac:dyDescent="0.25">
      <c r="A248">
        <v>245</v>
      </c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</row>
    <row r="249" spans="1:14" x14ac:dyDescent="0.25">
      <c r="A249">
        <v>246</v>
      </c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</row>
    <row r="250" spans="1:14" x14ac:dyDescent="0.25">
      <c r="A250">
        <v>247</v>
      </c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</row>
    <row r="251" spans="1:14" x14ac:dyDescent="0.25">
      <c r="A251">
        <v>248</v>
      </c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</row>
    <row r="252" spans="1:14" x14ac:dyDescent="0.25">
      <c r="A252">
        <v>249</v>
      </c>
    </row>
    <row r="253" spans="1:14" x14ac:dyDescent="0.25">
      <c r="A253">
        <v>250</v>
      </c>
    </row>
    <row r="254" spans="1:14" x14ac:dyDescent="0.25">
      <c r="A254">
        <v>251</v>
      </c>
      <c r="B254" s="7" t="s">
        <v>26</v>
      </c>
      <c r="C254" s="2" t="s">
        <v>6</v>
      </c>
      <c r="D254" s="2" t="s">
        <v>7</v>
      </c>
      <c r="E254" s="2" t="s">
        <v>8</v>
      </c>
      <c r="F254" s="2" t="s">
        <v>9</v>
      </c>
      <c r="G254" s="2" t="s">
        <v>10</v>
      </c>
      <c r="H254" s="2" t="s">
        <v>11</v>
      </c>
      <c r="I254" s="2" t="s">
        <v>12</v>
      </c>
      <c r="J254" s="2" t="s">
        <v>13</v>
      </c>
      <c r="K254" s="2" t="s">
        <v>14</v>
      </c>
      <c r="L254" s="2" t="s">
        <v>15</v>
      </c>
      <c r="M254" s="2" t="s">
        <v>16</v>
      </c>
      <c r="N254" s="2" t="s">
        <v>17</v>
      </c>
    </row>
    <row r="255" spans="1:14" x14ac:dyDescent="0.25">
      <c r="A255">
        <v>252</v>
      </c>
    </row>
    <row r="256" spans="1:14" x14ac:dyDescent="0.25">
      <c r="A256">
        <v>253</v>
      </c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</row>
    <row r="257" spans="1:14" x14ac:dyDescent="0.25">
      <c r="A257">
        <v>254</v>
      </c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</row>
    <row r="258" spans="1:14" x14ac:dyDescent="0.25">
      <c r="A258">
        <v>255</v>
      </c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</row>
    <row r="259" spans="1:14" x14ac:dyDescent="0.25">
      <c r="A259">
        <v>256</v>
      </c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</row>
    <row r="260" spans="1:14" x14ac:dyDescent="0.25">
      <c r="A260">
        <v>257</v>
      </c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</row>
    <row r="261" spans="1:14" x14ac:dyDescent="0.25">
      <c r="A261">
        <v>258</v>
      </c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</row>
    <row r="262" spans="1:14" x14ac:dyDescent="0.25">
      <c r="A262">
        <v>259</v>
      </c>
    </row>
    <row r="263" spans="1:14" x14ac:dyDescent="0.25">
      <c r="A263">
        <v>260</v>
      </c>
      <c r="B263" t="s">
        <v>120</v>
      </c>
    </row>
    <row r="264" spans="1:14" x14ac:dyDescent="0.25">
      <c r="A264">
        <v>261</v>
      </c>
      <c r="B264" s="7" t="s">
        <v>26</v>
      </c>
      <c r="C264" s="2" t="s">
        <v>6</v>
      </c>
      <c r="D264" s="2" t="s">
        <v>7</v>
      </c>
      <c r="E264" s="2" t="s">
        <v>8</v>
      </c>
      <c r="F264" s="2" t="s">
        <v>9</v>
      </c>
      <c r="G264" s="2" t="s">
        <v>10</v>
      </c>
      <c r="H264" s="2" t="s">
        <v>11</v>
      </c>
      <c r="I264" s="2" t="s">
        <v>12</v>
      </c>
      <c r="J264" s="2" t="s">
        <v>13</v>
      </c>
      <c r="K264" s="2" t="s">
        <v>14</v>
      </c>
      <c r="L264" s="2" t="s">
        <v>15</v>
      </c>
      <c r="M264" s="2" t="s">
        <v>16</v>
      </c>
      <c r="N264" s="2" t="s">
        <v>17</v>
      </c>
    </row>
    <row r="265" spans="1:14" x14ac:dyDescent="0.25">
      <c r="A265">
        <v>262</v>
      </c>
      <c r="B265" s="4">
        <v>2016</v>
      </c>
      <c r="C265" s="15">
        <v>24969.200643</v>
      </c>
      <c r="D265" s="15">
        <v>23422.450781</v>
      </c>
      <c r="E265" s="15">
        <v>25076.164702999999</v>
      </c>
      <c r="F265" s="15">
        <v>24713.038381000002</v>
      </c>
      <c r="G265" s="15">
        <v>25014.658315000001</v>
      </c>
      <c r="H265" s="15">
        <v>24366.161667</v>
      </c>
      <c r="I265" s="15">
        <v>25292.660327000001</v>
      </c>
      <c r="J265" s="15">
        <v>25111.358422000001</v>
      </c>
      <c r="K265" s="15">
        <v>24456.172197999997</v>
      </c>
      <c r="L265" s="15">
        <v>25591.078285</v>
      </c>
      <c r="M265" s="15">
        <v>24418.216960000002</v>
      </c>
      <c r="N265" s="15">
        <v>25176.457135999997</v>
      </c>
    </row>
    <row r="266" spans="1:14" x14ac:dyDescent="0.25">
      <c r="A266">
        <v>263</v>
      </c>
      <c r="B266" s="4">
        <v>2017</v>
      </c>
      <c r="C266" s="15">
        <v>25564.339781000002</v>
      </c>
      <c r="D266" s="15">
        <v>23198.006884999999</v>
      </c>
      <c r="E266" s="15">
        <v>25894.591558</v>
      </c>
      <c r="F266" s="15">
        <v>25192.864932</v>
      </c>
      <c r="G266" s="15">
        <v>26247.853070000001</v>
      </c>
      <c r="H266" s="15">
        <v>25613.192646</v>
      </c>
      <c r="I266" s="15">
        <v>27059.154954999998</v>
      </c>
      <c r="J266" s="15">
        <v>27078.118117000002</v>
      </c>
      <c r="K266" s="15">
        <v>26314.553263000002</v>
      </c>
      <c r="L266" s="15">
        <v>27295.280311000002</v>
      </c>
      <c r="M266" s="15">
        <v>26484.381019</v>
      </c>
      <c r="N266" s="15">
        <v>27732.892455999998</v>
      </c>
    </row>
    <row r="267" spans="1:14" x14ac:dyDescent="0.25">
      <c r="A267">
        <v>264</v>
      </c>
      <c r="B267" s="4">
        <v>2018</v>
      </c>
      <c r="C267" s="15">
        <v>28053.845656000001</v>
      </c>
      <c r="D267" s="15">
        <v>25386.955482000001</v>
      </c>
      <c r="E267" s="15">
        <v>28110.969396</v>
      </c>
      <c r="F267" s="15">
        <v>27213.408546000002</v>
      </c>
      <c r="G267" s="15">
        <v>28416.847737</v>
      </c>
      <c r="H267" s="15">
        <v>27854.449095</v>
      </c>
      <c r="I267" s="15">
        <v>28942.740719000001</v>
      </c>
      <c r="J267" s="15">
        <v>28893.74192</v>
      </c>
      <c r="K267" s="15">
        <v>28131.726286000001</v>
      </c>
      <c r="L267" s="15">
        <v>29084.424409000003</v>
      </c>
      <c r="M267" s="15">
        <v>28356.057191</v>
      </c>
      <c r="N267" s="15"/>
    </row>
    <row r="268" spans="1:14" x14ac:dyDescent="0.25">
      <c r="A268">
        <v>265</v>
      </c>
      <c r="B268" s="21" t="s">
        <v>0</v>
      </c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</row>
    <row r="269" spans="1:14" x14ac:dyDescent="0.25">
      <c r="A269">
        <v>266</v>
      </c>
    </row>
    <row r="270" spans="1:14" x14ac:dyDescent="0.25">
      <c r="A270">
        <v>267</v>
      </c>
      <c r="B270" t="s">
        <v>104</v>
      </c>
    </row>
    <row r="271" spans="1:14" x14ac:dyDescent="0.25">
      <c r="A271">
        <v>268</v>
      </c>
      <c r="B271" s="7" t="s">
        <v>26</v>
      </c>
      <c r="C271" s="2" t="s">
        <v>6</v>
      </c>
      <c r="D271" s="2" t="s">
        <v>7</v>
      </c>
      <c r="E271" s="2" t="s">
        <v>8</v>
      </c>
      <c r="F271" s="2" t="s">
        <v>9</v>
      </c>
      <c r="G271" s="2" t="s">
        <v>10</v>
      </c>
      <c r="H271" s="2" t="s">
        <v>11</v>
      </c>
      <c r="I271" s="2" t="s">
        <v>12</v>
      </c>
      <c r="J271" s="2" t="s">
        <v>13</v>
      </c>
      <c r="K271" s="2" t="s">
        <v>14</v>
      </c>
      <c r="L271" s="2" t="s">
        <v>15</v>
      </c>
      <c r="M271" s="2" t="s">
        <v>16</v>
      </c>
      <c r="N271" s="2" t="s">
        <v>17</v>
      </c>
    </row>
    <row r="272" spans="1:14" x14ac:dyDescent="0.25">
      <c r="A272">
        <v>269</v>
      </c>
      <c r="B272" s="4">
        <v>2016</v>
      </c>
      <c r="C272" s="15">
        <v>3536438.48104</v>
      </c>
      <c r="D272" s="15">
        <v>3793322.988897</v>
      </c>
      <c r="E272" s="15">
        <v>4582103.4502250003</v>
      </c>
      <c r="F272" s="15">
        <v>3896050.4212199999</v>
      </c>
      <c r="G272" s="15">
        <v>3502157.6599290008</v>
      </c>
      <c r="H272" s="15">
        <v>4001388.2304400001</v>
      </c>
      <c r="I272" s="15">
        <v>3535216.5388759999</v>
      </c>
      <c r="J272" s="15">
        <v>3956904.5741149997</v>
      </c>
      <c r="K272" s="15">
        <v>5483057.3755339999</v>
      </c>
      <c r="L272" s="15">
        <v>4729483.089931</v>
      </c>
      <c r="M272" s="15">
        <v>4609691.069224</v>
      </c>
      <c r="N272" s="15">
        <v>4116247.5983150001</v>
      </c>
    </row>
    <row r="273" spans="1:14" x14ac:dyDescent="0.25">
      <c r="A273">
        <v>270</v>
      </c>
      <c r="B273" s="4">
        <v>2017</v>
      </c>
      <c r="C273" s="15">
        <v>4184487.3342089998</v>
      </c>
      <c r="D273" s="15">
        <v>4403072.0560139995</v>
      </c>
      <c r="E273" s="15">
        <v>4935475.296995</v>
      </c>
      <c r="F273" s="15">
        <v>5087305.0654159989</v>
      </c>
      <c r="G273" s="15">
        <v>4987852.3280689996</v>
      </c>
      <c r="H273" s="15">
        <v>4771226.1796310004</v>
      </c>
      <c r="I273" s="15">
        <v>3988766.5079159997</v>
      </c>
      <c r="J273" s="15">
        <v>3884126.6256919997</v>
      </c>
      <c r="K273" s="15">
        <v>3373035.9398419997</v>
      </c>
      <c r="L273" s="15">
        <v>3086982.2379560005</v>
      </c>
      <c r="M273" s="15">
        <v>3753248.684347</v>
      </c>
      <c r="N273" s="15">
        <v>4097378.92973</v>
      </c>
    </row>
    <row r="274" spans="1:14" x14ac:dyDescent="0.25">
      <c r="A274">
        <v>271</v>
      </c>
      <c r="B274" s="4">
        <v>2018</v>
      </c>
      <c r="C274" s="15">
        <v>4075020.6573259998</v>
      </c>
      <c r="D274" s="15">
        <v>3567731.5699269995</v>
      </c>
      <c r="E274" s="15">
        <v>4201206.3468349995</v>
      </c>
      <c r="F274" s="15">
        <v>4204666.8579489999</v>
      </c>
      <c r="G274" s="15">
        <v>4595175.5652700001</v>
      </c>
      <c r="H274" s="15">
        <v>5639708.2016269993</v>
      </c>
      <c r="I274" s="15">
        <v>4777221.1074400004</v>
      </c>
      <c r="J274" s="15">
        <v>4835073.7812669994</v>
      </c>
      <c r="K274" s="15">
        <v>5275547.7290619994</v>
      </c>
      <c r="L274" s="15">
        <v>5012149.4787280001</v>
      </c>
      <c r="M274" s="15">
        <v>4880793.1523880009</v>
      </c>
      <c r="N274" s="15"/>
    </row>
    <row r="275" spans="1:14" x14ac:dyDescent="0.25">
      <c r="A275">
        <v>272</v>
      </c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</row>
    <row r="276" spans="1:14" x14ac:dyDescent="0.25">
      <c r="A276">
        <v>273</v>
      </c>
      <c r="B276" t="s">
        <v>103</v>
      </c>
      <c r="L276" s="13"/>
    </row>
    <row r="277" spans="1:14" x14ac:dyDescent="0.25">
      <c r="A277">
        <v>274</v>
      </c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5">
      <c r="A278">
        <v>275</v>
      </c>
      <c r="B278" s="4">
        <v>2016</v>
      </c>
      <c r="C278" s="15">
        <v>1541073.7319629998</v>
      </c>
      <c r="D278" s="15">
        <v>1034454.2978999999</v>
      </c>
      <c r="E278" s="15">
        <v>1322582.1501829999</v>
      </c>
      <c r="F278" s="15">
        <v>1287079.8864859999</v>
      </c>
      <c r="G278" s="15">
        <v>1379274.978906</v>
      </c>
      <c r="H278" s="15">
        <v>1457222.8589679999</v>
      </c>
      <c r="I278" s="15">
        <v>1480548.1859380002</v>
      </c>
      <c r="J278" s="15">
        <v>1542386.0971350002</v>
      </c>
      <c r="K278" s="15">
        <v>1551005.4436239998</v>
      </c>
      <c r="L278" s="15">
        <v>1649039.9182799999</v>
      </c>
      <c r="M278" s="15">
        <v>1616940.8744640001</v>
      </c>
      <c r="N278" s="15">
        <v>1785473.7780920002</v>
      </c>
    </row>
    <row r="279" spans="1:14" x14ac:dyDescent="0.25">
      <c r="A279">
        <v>276</v>
      </c>
      <c r="B279" s="4">
        <v>2017</v>
      </c>
      <c r="C279" s="15">
        <v>2043145.0488260002</v>
      </c>
      <c r="D279" s="15">
        <v>1817651.2754909999</v>
      </c>
      <c r="E279" s="15">
        <v>2156742.8144150004</v>
      </c>
      <c r="F279" s="15">
        <v>2047623.5130209997</v>
      </c>
      <c r="G279" s="15">
        <v>1915719.772257</v>
      </c>
      <c r="H279" s="15">
        <v>1761339.323239</v>
      </c>
      <c r="I279" s="15">
        <v>1721705.8562009998</v>
      </c>
      <c r="J279" s="15">
        <v>1907180.8894740001</v>
      </c>
      <c r="K279" s="15">
        <v>1844343.508048</v>
      </c>
      <c r="L279" s="15">
        <v>1978232.820598</v>
      </c>
      <c r="M279" s="15">
        <v>1926446.6524939998</v>
      </c>
      <c r="N279" s="15">
        <v>1956475.1880869998</v>
      </c>
    </row>
    <row r="280" spans="1:14" x14ac:dyDescent="0.25">
      <c r="A280">
        <v>277</v>
      </c>
      <c r="B280" s="4">
        <v>2018</v>
      </c>
      <c r="C280" s="15">
        <v>2101233.6297299997</v>
      </c>
      <c r="D280" s="15">
        <v>1594250.2692189999</v>
      </c>
      <c r="E280" s="15">
        <v>1996634.0088749998</v>
      </c>
      <c r="F280" s="15">
        <v>1937411.9530840002</v>
      </c>
      <c r="G280" s="15">
        <v>2065706.202971</v>
      </c>
      <c r="H280" s="15">
        <v>1985037.9088269998</v>
      </c>
      <c r="I280" s="15">
        <v>2048344.4794859998</v>
      </c>
      <c r="J280" s="15">
        <v>2194279.266055</v>
      </c>
      <c r="K280" s="15">
        <v>2095364.2267860002</v>
      </c>
      <c r="L280" s="111">
        <v>2260494.838707</v>
      </c>
      <c r="M280" s="15">
        <v>2207138.2427096283</v>
      </c>
      <c r="N280" s="15"/>
    </row>
    <row r="281" spans="1:14" x14ac:dyDescent="0.25">
      <c r="A281">
        <v>278</v>
      </c>
    </row>
    <row r="282" spans="1:14" x14ac:dyDescent="0.25">
      <c r="A282">
        <v>279</v>
      </c>
    </row>
    <row r="283" spans="1:14" x14ac:dyDescent="0.25">
      <c r="A283">
        <v>280</v>
      </c>
      <c r="B283" s="7" t="s">
        <v>26</v>
      </c>
      <c r="C283" s="2" t="s">
        <v>6</v>
      </c>
      <c r="D283" s="2" t="s">
        <v>7</v>
      </c>
      <c r="E283" s="2" t="s">
        <v>8</v>
      </c>
      <c r="F283" s="2" t="s">
        <v>9</v>
      </c>
      <c r="G283" s="2" t="s">
        <v>10</v>
      </c>
      <c r="H283" s="2" t="s">
        <v>11</v>
      </c>
      <c r="I283" s="2" t="s">
        <v>12</v>
      </c>
      <c r="J283" s="2" t="s">
        <v>13</v>
      </c>
      <c r="K283" s="2" t="s">
        <v>14</v>
      </c>
      <c r="L283" s="2" t="s">
        <v>15</v>
      </c>
      <c r="M283" s="2" t="s">
        <v>16</v>
      </c>
      <c r="N283" s="2" t="s">
        <v>17</v>
      </c>
    </row>
    <row r="284" spans="1:14" x14ac:dyDescent="0.25">
      <c r="A284">
        <v>281</v>
      </c>
      <c r="B284" s="4">
        <v>2016</v>
      </c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</row>
    <row r="285" spans="1:14" x14ac:dyDescent="0.25">
      <c r="A285">
        <v>282</v>
      </c>
      <c r="B285" s="4">
        <v>2017</v>
      </c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</row>
    <row r="286" spans="1:14" x14ac:dyDescent="0.25">
      <c r="A286">
        <v>283</v>
      </c>
      <c r="B286" s="4">
        <v>2018</v>
      </c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</row>
    <row r="287" spans="1:14" x14ac:dyDescent="0.25">
      <c r="A287">
        <v>284</v>
      </c>
    </row>
    <row r="288" spans="1:14" x14ac:dyDescent="0.25">
      <c r="A288">
        <v>285</v>
      </c>
      <c r="B288" t="s">
        <v>60</v>
      </c>
    </row>
    <row r="289" spans="1:14" x14ac:dyDescent="0.25">
      <c r="A289">
        <v>286</v>
      </c>
      <c r="B289" s="7" t="s">
        <v>26</v>
      </c>
      <c r="C289" s="2" t="s">
        <v>6</v>
      </c>
      <c r="D289" s="2" t="s">
        <v>7</v>
      </c>
      <c r="E289" s="2" t="s">
        <v>8</v>
      </c>
      <c r="F289" s="2" t="s">
        <v>9</v>
      </c>
      <c r="G289" s="2" t="s">
        <v>10</v>
      </c>
      <c r="H289" s="2" t="s">
        <v>11</v>
      </c>
      <c r="I289" s="2" t="s">
        <v>12</v>
      </c>
      <c r="J289" s="2" t="s">
        <v>13</v>
      </c>
      <c r="K289" s="2" t="s">
        <v>14</v>
      </c>
      <c r="L289" s="2" t="s">
        <v>15</v>
      </c>
      <c r="M289" s="2" t="s">
        <v>16</v>
      </c>
      <c r="N289" s="2" t="s">
        <v>17</v>
      </c>
    </row>
    <row r="290" spans="1:14" x14ac:dyDescent="0.25">
      <c r="A290">
        <v>287</v>
      </c>
      <c r="B290" s="4">
        <v>2016</v>
      </c>
      <c r="C290" s="15">
        <v>476786.89963899995</v>
      </c>
      <c r="D290" s="15">
        <v>309584.89287499996</v>
      </c>
      <c r="E290" s="15">
        <v>408007.69258799998</v>
      </c>
      <c r="F290" s="15">
        <v>394350.11213300005</v>
      </c>
      <c r="G290" s="15">
        <v>436929.044888</v>
      </c>
      <c r="H290" s="15">
        <v>452362.09521799994</v>
      </c>
      <c r="I290" s="15">
        <v>449955.223834</v>
      </c>
      <c r="J290" s="15">
        <v>458951.65436800005</v>
      </c>
      <c r="K290" s="15">
        <v>449881.31184899999</v>
      </c>
      <c r="L290" s="15">
        <v>480391.45588900003</v>
      </c>
      <c r="M290" s="15">
        <v>461098.66389799997</v>
      </c>
      <c r="N290" s="15">
        <v>444173.79514499998</v>
      </c>
    </row>
    <row r="291" spans="1:14" x14ac:dyDescent="0.25">
      <c r="A291">
        <v>288</v>
      </c>
      <c r="B291" s="4">
        <v>2017</v>
      </c>
      <c r="C291" s="15">
        <v>348701.69939100003</v>
      </c>
      <c r="D291" s="15">
        <v>380303.74635600008</v>
      </c>
      <c r="E291" s="15">
        <v>441539.48045000003</v>
      </c>
      <c r="F291" s="15">
        <v>414559.31895499997</v>
      </c>
      <c r="G291" s="15">
        <v>301068.65289399994</v>
      </c>
      <c r="H291" s="15">
        <v>271604.04115</v>
      </c>
      <c r="I291" s="15">
        <v>282584.30585999996</v>
      </c>
      <c r="J291" s="15">
        <v>322150.64908800001</v>
      </c>
      <c r="K291" s="15">
        <v>311372.25940700003</v>
      </c>
      <c r="L291" s="15">
        <v>322572.01167900005</v>
      </c>
      <c r="M291" s="15">
        <v>313315.827001</v>
      </c>
      <c r="N291" s="15">
        <v>323432.92566200002</v>
      </c>
    </row>
    <row r="292" spans="1:14" x14ac:dyDescent="0.25">
      <c r="A292">
        <v>289</v>
      </c>
      <c r="B292" s="4">
        <v>2018</v>
      </c>
      <c r="C292" s="15">
        <v>374562.80135999998</v>
      </c>
      <c r="D292" s="15">
        <v>267148.63056600001</v>
      </c>
      <c r="E292" s="15">
        <v>329609.895999</v>
      </c>
      <c r="F292" s="15">
        <v>329913.79624099995</v>
      </c>
      <c r="G292" s="15">
        <v>356969.54540299997</v>
      </c>
      <c r="H292" s="15">
        <v>336426.15498900006</v>
      </c>
      <c r="I292" s="15">
        <v>347439.74207699997</v>
      </c>
      <c r="J292" s="15">
        <v>359824.06110499997</v>
      </c>
      <c r="K292" s="15">
        <v>329182.86209399998</v>
      </c>
      <c r="L292" s="111">
        <v>353095.91712400003</v>
      </c>
      <c r="M292" s="15">
        <v>341379.033321</v>
      </c>
      <c r="N292" s="15">
        <v>0</v>
      </c>
    </row>
    <row r="293" spans="1:14" x14ac:dyDescent="0.25">
      <c r="A293">
        <v>290</v>
      </c>
      <c r="B293" s="4"/>
      <c r="C293" s="15"/>
      <c r="D293" s="15"/>
      <c r="E293" s="15"/>
      <c r="F293" s="15"/>
      <c r="G293" s="15"/>
      <c r="H293" s="15"/>
      <c r="I293" s="85"/>
      <c r="J293" s="85"/>
      <c r="K293" s="85"/>
      <c r="L293" s="85"/>
      <c r="M293" s="15"/>
      <c r="N293" s="15"/>
    </row>
    <row r="294" spans="1:14" x14ac:dyDescent="0.25">
      <c r="A294">
        <v>291</v>
      </c>
      <c r="B294" t="s">
        <v>30</v>
      </c>
    </row>
    <row r="295" spans="1:14" x14ac:dyDescent="0.25">
      <c r="A295">
        <v>292</v>
      </c>
      <c r="B295" s="7" t="s">
        <v>26</v>
      </c>
      <c r="C295" s="2" t="s">
        <v>6</v>
      </c>
      <c r="D295" s="2" t="s">
        <v>7</v>
      </c>
      <c r="E295" s="2" t="s">
        <v>8</v>
      </c>
      <c r="F295" s="2" t="s">
        <v>9</v>
      </c>
      <c r="G295" s="2" t="s">
        <v>10</v>
      </c>
      <c r="H295" s="2" t="s">
        <v>11</v>
      </c>
      <c r="I295" s="2" t="s">
        <v>12</v>
      </c>
      <c r="J295" s="2" t="s">
        <v>13</v>
      </c>
      <c r="K295" s="2" t="s">
        <v>14</v>
      </c>
      <c r="L295" s="2" t="s">
        <v>15</v>
      </c>
      <c r="M295" s="2" t="s">
        <v>16</v>
      </c>
      <c r="N295" s="2" t="s">
        <v>17</v>
      </c>
    </row>
    <row r="296" spans="1:14" x14ac:dyDescent="0.25">
      <c r="A296">
        <v>293</v>
      </c>
      <c r="B296" s="4">
        <v>2016</v>
      </c>
      <c r="C296" s="15">
        <v>39082.168146000004</v>
      </c>
      <c r="D296" s="15">
        <v>27960.713927999997</v>
      </c>
      <c r="E296" s="15">
        <v>35481.488857000004</v>
      </c>
      <c r="F296" s="15">
        <v>34532.221514000004</v>
      </c>
      <c r="G296" s="15">
        <v>37357.060879999997</v>
      </c>
      <c r="H296" s="15">
        <v>38819.003219999999</v>
      </c>
      <c r="I296" s="15">
        <v>39010.855403000001</v>
      </c>
      <c r="J296" s="15">
        <v>40406.692949999997</v>
      </c>
      <c r="K296" s="15">
        <v>40502.126346999998</v>
      </c>
      <c r="L296" s="15">
        <v>42994.631107000001</v>
      </c>
      <c r="M296" s="15">
        <v>42062.480133000005</v>
      </c>
      <c r="N296" s="15">
        <v>46021.886197999993</v>
      </c>
    </row>
    <row r="297" spans="1:14" x14ac:dyDescent="0.25">
      <c r="A297">
        <v>294</v>
      </c>
      <c r="B297" s="4">
        <v>2017</v>
      </c>
      <c r="C297" s="15">
        <v>39848.479478000001</v>
      </c>
      <c r="D297" s="15">
        <v>34962.408884999997</v>
      </c>
      <c r="E297" s="15">
        <v>39862.308177999999</v>
      </c>
      <c r="F297" s="15">
        <v>36938.107305999998</v>
      </c>
      <c r="G297" s="15">
        <v>34437.368008999998</v>
      </c>
      <c r="H297" s="15">
        <v>31587.499915</v>
      </c>
      <c r="I297" s="15">
        <v>31402.354668</v>
      </c>
      <c r="J297" s="15">
        <v>34403.535823999999</v>
      </c>
      <c r="K297" s="15">
        <v>33495.561857000001</v>
      </c>
      <c r="L297" s="15">
        <v>33866.293919999996</v>
      </c>
      <c r="M297" s="15">
        <v>33485.142252999998</v>
      </c>
      <c r="N297" s="15">
        <v>34229.998439000003</v>
      </c>
    </row>
    <row r="298" spans="1:14" x14ac:dyDescent="0.25">
      <c r="A298">
        <v>295</v>
      </c>
      <c r="B298" s="4">
        <v>2018</v>
      </c>
      <c r="C298" s="15">
        <v>35849.955213000001</v>
      </c>
      <c r="D298" s="15">
        <v>27174.301162</v>
      </c>
      <c r="E298" s="15">
        <v>32406.420804000001</v>
      </c>
      <c r="F298" s="15">
        <v>31041.635444</v>
      </c>
      <c r="G298" s="15">
        <v>32542.243578000001</v>
      </c>
      <c r="H298" s="15">
        <v>29985.791023000002</v>
      </c>
      <c r="I298" s="15">
        <v>30663.885765999999</v>
      </c>
      <c r="J298" s="15">
        <v>32955.955171000001</v>
      </c>
      <c r="K298" s="15">
        <v>31450.935603999998</v>
      </c>
      <c r="L298" s="111">
        <v>34420.658398</v>
      </c>
      <c r="M298" s="15">
        <v>34535.801406999999</v>
      </c>
      <c r="N298" s="15"/>
    </row>
    <row r="299" spans="1:14" x14ac:dyDescent="0.25">
      <c r="A299">
        <v>296</v>
      </c>
    </row>
    <row r="300" spans="1:14" x14ac:dyDescent="0.25">
      <c r="A300">
        <v>297</v>
      </c>
      <c r="B300" t="s">
        <v>31</v>
      </c>
    </row>
    <row r="301" spans="1:14" x14ac:dyDescent="0.25">
      <c r="A301">
        <v>298</v>
      </c>
      <c r="B301" s="7" t="s">
        <v>26</v>
      </c>
      <c r="C301" s="2" t="s">
        <v>6</v>
      </c>
      <c r="D301" s="2" t="s">
        <v>7</v>
      </c>
      <c r="E301" s="2" t="s">
        <v>8</v>
      </c>
      <c r="F301" s="2" t="s">
        <v>9</v>
      </c>
      <c r="G301" s="2" t="s">
        <v>10</v>
      </c>
      <c r="H301" s="2" t="s">
        <v>11</v>
      </c>
      <c r="I301" s="2" t="s">
        <v>12</v>
      </c>
      <c r="J301" s="2" t="s">
        <v>13</v>
      </c>
      <c r="K301" s="2" t="s">
        <v>14</v>
      </c>
      <c r="L301" s="2" t="s">
        <v>15</v>
      </c>
      <c r="M301" s="2" t="s">
        <v>16</v>
      </c>
      <c r="N301" s="2" t="s">
        <v>17</v>
      </c>
    </row>
    <row r="302" spans="1:14" x14ac:dyDescent="0.25">
      <c r="A302">
        <v>299</v>
      </c>
      <c r="B302" s="4">
        <v>2016</v>
      </c>
      <c r="C302" s="15">
        <v>29198.875173</v>
      </c>
      <c r="D302" s="15">
        <v>27114.805048000002</v>
      </c>
      <c r="E302" s="15">
        <v>29945.016236000003</v>
      </c>
      <c r="F302" s="15">
        <v>29667.263695000001</v>
      </c>
      <c r="G302" s="15">
        <v>32146.215066999997</v>
      </c>
      <c r="H302" s="15">
        <v>32942.27205</v>
      </c>
      <c r="I302" s="15">
        <v>32666.917686999997</v>
      </c>
      <c r="J302" s="15">
        <v>32325.859494000004</v>
      </c>
      <c r="K302" s="15">
        <v>30675.445476999997</v>
      </c>
      <c r="L302" s="15">
        <v>33843.871850000003</v>
      </c>
      <c r="M302" s="15">
        <v>32266.250232999999</v>
      </c>
      <c r="N302" s="15">
        <v>32673.568517</v>
      </c>
    </row>
    <row r="303" spans="1:14" x14ac:dyDescent="0.25">
      <c r="A303">
        <v>300</v>
      </c>
      <c r="B303" s="4">
        <v>2017</v>
      </c>
      <c r="C303" s="15">
        <v>33102.804760999999</v>
      </c>
      <c r="D303" s="15">
        <v>31816.414960999999</v>
      </c>
      <c r="E303" s="15">
        <v>34142.219215000005</v>
      </c>
      <c r="F303" s="15">
        <v>34414.261992</v>
      </c>
      <c r="G303" s="15">
        <v>34716.960304</v>
      </c>
      <c r="H303" s="15">
        <v>33672.636902999999</v>
      </c>
      <c r="I303" s="15">
        <v>33987.116915999999</v>
      </c>
      <c r="J303" s="15">
        <v>35103.193576999998</v>
      </c>
      <c r="K303" s="15">
        <v>33799.220092999996</v>
      </c>
      <c r="L303" s="15">
        <v>34885.708405999998</v>
      </c>
      <c r="M303" s="15">
        <v>34559.331552999996</v>
      </c>
      <c r="N303" s="15">
        <v>35813.436700999999</v>
      </c>
    </row>
    <row r="304" spans="1:14" x14ac:dyDescent="0.25">
      <c r="A304">
        <v>301</v>
      </c>
      <c r="B304" s="4">
        <v>2018</v>
      </c>
      <c r="C304" s="15">
        <v>35171.93303</v>
      </c>
      <c r="D304" s="15">
        <v>33046.222676999998</v>
      </c>
      <c r="E304" s="15">
        <v>36937.317942000001</v>
      </c>
      <c r="F304" s="15">
        <v>35234.849629000004</v>
      </c>
      <c r="G304" s="15">
        <v>37164.676084000006</v>
      </c>
      <c r="H304" s="15">
        <v>37372.663769999999</v>
      </c>
      <c r="I304" s="15">
        <v>37296.421377999999</v>
      </c>
      <c r="J304" s="15">
        <v>37499.628442000001</v>
      </c>
      <c r="K304" s="15">
        <v>36790.572815</v>
      </c>
      <c r="L304" s="111">
        <v>36884.708533000005</v>
      </c>
      <c r="M304" s="15">
        <v>37265.599965000001</v>
      </c>
      <c r="N304" s="15">
        <v>0</v>
      </c>
    </row>
    <row r="305" spans="1:14" x14ac:dyDescent="0.25">
      <c r="A305">
        <v>302</v>
      </c>
    </row>
    <row r="306" spans="1:14" x14ac:dyDescent="0.25">
      <c r="A306">
        <v>303</v>
      </c>
      <c r="B306" t="s">
        <v>32</v>
      </c>
    </row>
    <row r="307" spans="1:14" x14ac:dyDescent="0.25">
      <c r="A307">
        <v>304</v>
      </c>
      <c r="B307" s="7" t="s">
        <v>26</v>
      </c>
      <c r="C307" s="2" t="s">
        <v>6</v>
      </c>
      <c r="D307" s="2" t="s">
        <v>7</v>
      </c>
      <c r="E307" s="2" t="s">
        <v>8</v>
      </c>
      <c r="F307" s="2" t="s">
        <v>9</v>
      </c>
      <c r="G307" s="2" t="s">
        <v>10</v>
      </c>
      <c r="H307" s="2" t="s">
        <v>11</v>
      </c>
      <c r="I307" s="2" t="s">
        <v>12</v>
      </c>
      <c r="J307" s="2" t="s">
        <v>13</v>
      </c>
      <c r="K307" s="2" t="s">
        <v>14</v>
      </c>
      <c r="L307" s="2" t="s">
        <v>15</v>
      </c>
      <c r="M307" s="2" t="s">
        <v>16</v>
      </c>
      <c r="N307" s="2" t="s">
        <v>17</v>
      </c>
    </row>
    <row r="308" spans="1:14" x14ac:dyDescent="0.25">
      <c r="A308">
        <v>305</v>
      </c>
      <c r="B308" s="4">
        <v>2016</v>
      </c>
      <c r="C308" s="15">
        <v>41568.254832999999</v>
      </c>
      <c r="D308" s="15">
        <v>33862.025248999998</v>
      </c>
      <c r="E308" s="15">
        <v>40627.623161000003</v>
      </c>
      <c r="F308" s="15">
        <v>40700.922633999995</v>
      </c>
      <c r="G308" s="15">
        <v>43667.302890999999</v>
      </c>
      <c r="H308" s="15">
        <v>44804.538265000003</v>
      </c>
      <c r="I308" s="15">
        <v>43851.775575</v>
      </c>
      <c r="J308" s="15">
        <v>44196.687765000002</v>
      </c>
      <c r="K308" s="15">
        <v>45811.345200999996</v>
      </c>
      <c r="L308" s="15">
        <v>51982.482704000002</v>
      </c>
      <c r="M308" s="15">
        <v>51936.685536000005</v>
      </c>
      <c r="N308" s="15">
        <v>56348.922992</v>
      </c>
    </row>
    <row r="309" spans="1:14" x14ac:dyDescent="0.25">
      <c r="A309">
        <v>306</v>
      </c>
      <c r="B309" s="4">
        <v>2017</v>
      </c>
      <c r="C309" s="15">
        <v>46466.571766000001</v>
      </c>
      <c r="D309" s="15">
        <v>41735.378594000002</v>
      </c>
      <c r="E309" s="15">
        <v>45478.782680999997</v>
      </c>
      <c r="F309" s="15">
        <v>46037.940701</v>
      </c>
      <c r="G309" s="15">
        <v>43656.512912999999</v>
      </c>
      <c r="H309" s="15">
        <v>41918.241248999999</v>
      </c>
      <c r="I309" s="15">
        <v>39129.011197</v>
      </c>
      <c r="J309" s="15">
        <v>46454.650876</v>
      </c>
      <c r="K309" s="15">
        <v>45411.997926999997</v>
      </c>
      <c r="L309" s="15">
        <v>48621.392929000001</v>
      </c>
      <c r="M309" s="15">
        <v>48803.344233999997</v>
      </c>
      <c r="N309" s="15">
        <v>50825.632589000001</v>
      </c>
    </row>
    <row r="310" spans="1:14" x14ac:dyDescent="0.25">
      <c r="A310">
        <v>307</v>
      </c>
      <c r="B310" s="4">
        <v>2018</v>
      </c>
      <c r="C310" s="15">
        <v>49969.439234999998</v>
      </c>
      <c r="D310" s="15">
        <v>40661.726959</v>
      </c>
      <c r="E310" s="15">
        <v>46520.174451999999</v>
      </c>
      <c r="F310" s="15">
        <v>45919.805393000002</v>
      </c>
      <c r="G310" s="15">
        <v>46629.738058000003</v>
      </c>
      <c r="H310" s="15">
        <v>45250.240917000003</v>
      </c>
      <c r="I310" s="15">
        <v>45949.187415</v>
      </c>
      <c r="J310" s="15">
        <v>46153.174782000002</v>
      </c>
      <c r="K310" s="15">
        <v>43819.258473000002</v>
      </c>
      <c r="L310" s="111">
        <v>50623.166203000001</v>
      </c>
      <c r="M310" s="15">
        <v>47001.594357000009</v>
      </c>
      <c r="N310" s="15">
        <v>0</v>
      </c>
    </row>
    <row r="311" spans="1:14" x14ac:dyDescent="0.25">
      <c r="A311">
        <v>308</v>
      </c>
    </row>
    <row r="312" spans="1:14" x14ac:dyDescent="0.25">
      <c r="A312">
        <v>309</v>
      </c>
      <c r="B312" t="s">
        <v>33</v>
      </c>
    </row>
    <row r="313" spans="1:14" x14ac:dyDescent="0.25">
      <c r="A313">
        <v>310</v>
      </c>
      <c r="B313" s="7" t="s">
        <v>26</v>
      </c>
      <c r="C313" s="2" t="s">
        <v>6</v>
      </c>
      <c r="D313" s="2" t="s">
        <v>7</v>
      </c>
      <c r="E313" s="2" t="s">
        <v>8</v>
      </c>
      <c r="F313" s="2" t="s">
        <v>9</v>
      </c>
      <c r="G313" s="2" t="s">
        <v>10</v>
      </c>
      <c r="H313" s="2" t="s">
        <v>11</v>
      </c>
      <c r="I313" s="2" t="s">
        <v>12</v>
      </c>
      <c r="J313" s="2" t="s">
        <v>13</v>
      </c>
      <c r="K313" s="2" t="s">
        <v>14</v>
      </c>
      <c r="L313" s="2" t="s">
        <v>15</v>
      </c>
      <c r="M313" s="2" t="s">
        <v>16</v>
      </c>
      <c r="N313" s="2" t="s">
        <v>17</v>
      </c>
    </row>
    <row r="314" spans="1:14" x14ac:dyDescent="0.25">
      <c r="A314">
        <v>311</v>
      </c>
      <c r="B314" s="4">
        <v>2016</v>
      </c>
      <c r="C314" s="15">
        <v>17229.455082</v>
      </c>
      <c r="D314" s="15">
        <v>15366.935171000001</v>
      </c>
      <c r="E314" s="15">
        <v>16920.010573</v>
      </c>
      <c r="F314" s="15">
        <v>16046.316244999998</v>
      </c>
      <c r="G314" s="15">
        <v>16848.358454000001</v>
      </c>
      <c r="H314" s="15">
        <v>16725.999131</v>
      </c>
      <c r="I314" s="15">
        <v>17737.748055</v>
      </c>
      <c r="J314" s="15">
        <v>17727.964382000002</v>
      </c>
      <c r="K314" s="15">
        <v>20188.487447</v>
      </c>
      <c r="L314" s="15">
        <v>22116.640586999998</v>
      </c>
      <c r="M314" s="15">
        <v>20180.596678000002</v>
      </c>
      <c r="N314" s="15">
        <v>21579.975835000001</v>
      </c>
    </row>
    <row r="315" spans="1:14" x14ac:dyDescent="0.25">
      <c r="A315">
        <v>312</v>
      </c>
      <c r="B315" s="4">
        <v>2017</v>
      </c>
      <c r="C315" s="15">
        <v>17233.330714</v>
      </c>
      <c r="D315" s="15">
        <v>16882.125818</v>
      </c>
      <c r="E315" s="15">
        <v>17199.495598000001</v>
      </c>
      <c r="F315" s="15">
        <v>17399.233082999999</v>
      </c>
      <c r="G315" s="15">
        <v>17479.784446000001</v>
      </c>
      <c r="H315" s="15">
        <v>16796.447196000001</v>
      </c>
      <c r="I315" s="15">
        <v>17749.637525999999</v>
      </c>
      <c r="J315" s="15">
        <v>20510.865051000001</v>
      </c>
      <c r="K315" s="15">
        <v>19185.908274000001</v>
      </c>
      <c r="L315" s="15">
        <v>19739.440764999999</v>
      </c>
      <c r="M315" s="15">
        <v>19251.115576</v>
      </c>
      <c r="N315" s="15">
        <v>21591.525383</v>
      </c>
    </row>
    <row r="316" spans="1:14" x14ac:dyDescent="0.25">
      <c r="A316">
        <v>313</v>
      </c>
      <c r="B316" s="4">
        <v>2018</v>
      </c>
      <c r="C316" s="15">
        <v>18145.366169000001</v>
      </c>
      <c r="D316" s="15">
        <v>16524.608226000004</v>
      </c>
      <c r="E316" s="15">
        <v>17963.616286</v>
      </c>
      <c r="F316" s="15">
        <v>18136.456944999998</v>
      </c>
      <c r="G316" s="15">
        <v>18533.036749999999</v>
      </c>
      <c r="H316" s="15">
        <v>17859.123121000001</v>
      </c>
      <c r="I316" s="15">
        <v>19104.484931999999</v>
      </c>
      <c r="J316" s="15">
        <v>19974.485504999997</v>
      </c>
      <c r="K316" s="15">
        <v>17989.453732999998</v>
      </c>
      <c r="L316" s="111">
        <v>18792.618524999998</v>
      </c>
      <c r="M316" s="15">
        <v>18896.005720999998</v>
      </c>
      <c r="N316" s="15">
        <v>0</v>
      </c>
    </row>
    <row r="317" spans="1:14" x14ac:dyDescent="0.25">
      <c r="A317">
        <v>314</v>
      </c>
    </row>
    <row r="318" spans="1:14" x14ac:dyDescent="0.25">
      <c r="A318">
        <v>315</v>
      </c>
      <c r="B318" t="s">
        <v>105</v>
      </c>
    </row>
    <row r="319" spans="1:14" x14ac:dyDescent="0.25">
      <c r="A319">
        <v>316</v>
      </c>
      <c r="B319" s="7" t="s">
        <v>26</v>
      </c>
      <c r="C319" s="2" t="s">
        <v>6</v>
      </c>
      <c r="D319" s="2" t="s">
        <v>7</v>
      </c>
      <c r="E319" s="2" t="s">
        <v>8</v>
      </c>
      <c r="F319" s="2" t="s">
        <v>9</v>
      </c>
      <c r="G319" s="2" t="s">
        <v>10</v>
      </c>
      <c r="H319" s="2" t="s">
        <v>11</v>
      </c>
      <c r="I319" s="2" t="s">
        <v>12</v>
      </c>
      <c r="J319" s="2" t="s">
        <v>13</v>
      </c>
      <c r="K319" s="2" t="s">
        <v>14</v>
      </c>
      <c r="L319" s="2" t="s">
        <v>15</v>
      </c>
      <c r="M319" s="2" t="s">
        <v>16</v>
      </c>
      <c r="N319" s="2" t="s">
        <v>17</v>
      </c>
    </row>
    <row r="320" spans="1:14" x14ac:dyDescent="0.25">
      <c r="A320">
        <v>317</v>
      </c>
      <c r="B320" s="4">
        <v>2016</v>
      </c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</row>
    <row r="321" spans="1:14" x14ac:dyDescent="0.25">
      <c r="A321">
        <v>318</v>
      </c>
      <c r="B321" s="4">
        <v>2017</v>
      </c>
      <c r="C321" s="15">
        <v>44245.344691999999</v>
      </c>
      <c r="D321" s="15">
        <v>39934.550083999995</v>
      </c>
      <c r="E321" s="15">
        <v>42653.019622999993</v>
      </c>
      <c r="F321" s="15">
        <v>43563.888491999998</v>
      </c>
      <c r="G321" s="15">
        <v>41005.422571000003</v>
      </c>
      <c r="H321" s="15">
        <v>37351.787006999992</v>
      </c>
      <c r="I321" s="15">
        <v>36400.345137000004</v>
      </c>
      <c r="J321" s="15">
        <v>36791.049790999998</v>
      </c>
      <c r="K321" s="15">
        <v>37042.794647999996</v>
      </c>
      <c r="L321" s="15">
        <v>38045.885180999998</v>
      </c>
      <c r="M321" s="15">
        <v>37681.697978999997</v>
      </c>
      <c r="N321" s="15">
        <v>37871.608897999999</v>
      </c>
    </row>
    <row r="322" spans="1:14" x14ac:dyDescent="0.25">
      <c r="A322">
        <v>319</v>
      </c>
      <c r="B322" s="4">
        <v>2018</v>
      </c>
      <c r="C322" s="15">
        <v>39513.541348999999</v>
      </c>
      <c r="D322" s="15">
        <v>36826.106120000004</v>
      </c>
      <c r="E322" s="15">
        <v>37743.176618999991</v>
      </c>
      <c r="F322" s="15">
        <v>37682.211137999999</v>
      </c>
      <c r="G322" s="15">
        <v>37486.410712000004</v>
      </c>
      <c r="H322" s="15">
        <v>36510.123289999996</v>
      </c>
      <c r="I322" s="15">
        <v>36754.542482000012</v>
      </c>
      <c r="J322" s="15">
        <v>38010.487648000002</v>
      </c>
      <c r="K322" s="15">
        <v>36048.050697999999</v>
      </c>
      <c r="L322" s="15">
        <v>36717.881459999997</v>
      </c>
      <c r="M322" s="15">
        <v>36946.632286999993</v>
      </c>
      <c r="N322" s="15">
        <v>0</v>
      </c>
    </row>
    <row r="323" spans="1:14" x14ac:dyDescent="0.25">
      <c r="A323">
        <v>320</v>
      </c>
    </row>
    <row r="324" spans="1:14" x14ac:dyDescent="0.25">
      <c r="A324">
        <v>321</v>
      </c>
      <c r="B324" t="s">
        <v>109</v>
      </c>
    </row>
    <row r="325" spans="1:14" x14ac:dyDescent="0.25">
      <c r="A325">
        <v>322</v>
      </c>
      <c r="B325" s="7" t="s">
        <v>26</v>
      </c>
      <c r="C325" s="2" t="s">
        <v>6</v>
      </c>
      <c r="D325" s="2" t="s">
        <v>7</v>
      </c>
      <c r="E325" s="2" t="s">
        <v>8</v>
      </c>
      <c r="F325" s="2" t="s">
        <v>9</v>
      </c>
      <c r="G325" s="2" t="s">
        <v>10</v>
      </c>
      <c r="H325" s="2" t="s">
        <v>11</v>
      </c>
      <c r="I325" s="2" t="s">
        <v>12</v>
      </c>
      <c r="J325" s="2" t="s">
        <v>13</v>
      </c>
      <c r="K325" s="2" t="s">
        <v>14</v>
      </c>
      <c r="L325" s="2" t="s">
        <v>15</v>
      </c>
      <c r="M325" s="2" t="s">
        <v>16</v>
      </c>
      <c r="N325" s="2" t="s">
        <v>17</v>
      </c>
    </row>
    <row r="326" spans="1:14" x14ac:dyDescent="0.25">
      <c r="A326">
        <v>323</v>
      </c>
      <c r="B326" s="4">
        <v>2016</v>
      </c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</row>
    <row r="327" spans="1:14" x14ac:dyDescent="0.25">
      <c r="A327">
        <v>324</v>
      </c>
      <c r="B327" s="4">
        <v>2017</v>
      </c>
      <c r="C327" s="15">
        <v>17135.029878000001</v>
      </c>
      <c r="D327" s="15">
        <v>15679.524411999999</v>
      </c>
      <c r="E327" s="15">
        <v>17045.998704999998</v>
      </c>
      <c r="F327" s="15">
        <v>16917.320296999998</v>
      </c>
      <c r="G327" s="15">
        <v>15875.38229</v>
      </c>
      <c r="H327" s="15">
        <v>14668.255461999997</v>
      </c>
      <c r="I327" s="15">
        <v>14728.315805</v>
      </c>
      <c r="J327" s="15">
        <v>16743.828274</v>
      </c>
      <c r="K327" s="15">
        <v>17206.619546000002</v>
      </c>
      <c r="L327" s="15">
        <v>17684.801373999999</v>
      </c>
      <c r="M327" s="15">
        <v>17240.828864999996</v>
      </c>
      <c r="N327" s="15">
        <v>16919.471543</v>
      </c>
    </row>
    <row r="328" spans="1:14" x14ac:dyDescent="0.25">
      <c r="A328">
        <v>325</v>
      </c>
      <c r="B328" s="4">
        <v>2018</v>
      </c>
      <c r="C328" s="15">
        <v>18680.664617999999</v>
      </c>
      <c r="D328" s="15">
        <v>15117.555961</v>
      </c>
      <c r="E328" s="15">
        <v>17085.008993000003</v>
      </c>
      <c r="F328" s="15">
        <v>17473.046641000001</v>
      </c>
      <c r="G328" s="15">
        <v>17517.583923999999</v>
      </c>
      <c r="H328" s="15">
        <v>16585.218784000001</v>
      </c>
      <c r="I328" s="15">
        <v>16749.082718999998</v>
      </c>
      <c r="J328" s="15">
        <v>17436.527290999999</v>
      </c>
      <c r="K328" s="15">
        <v>17216.068299999999</v>
      </c>
      <c r="L328" s="15">
        <v>18346.271801999999</v>
      </c>
      <c r="M328" s="15">
        <v>18460.065882000003</v>
      </c>
      <c r="N328" s="15">
        <v>0</v>
      </c>
    </row>
    <row r="329" spans="1:14" x14ac:dyDescent="0.25">
      <c r="A329">
        <v>326</v>
      </c>
    </row>
    <row r="330" spans="1:14" x14ac:dyDescent="0.25">
      <c r="A330">
        <v>327</v>
      </c>
      <c r="B330" t="s">
        <v>149</v>
      </c>
    </row>
    <row r="331" spans="1:14" x14ac:dyDescent="0.25">
      <c r="A331">
        <v>328</v>
      </c>
      <c r="B331" s="7" t="s">
        <v>26</v>
      </c>
      <c r="C331" s="2" t="s">
        <v>6</v>
      </c>
      <c r="D331" s="2" t="s">
        <v>7</v>
      </c>
      <c r="E331" s="2" t="s">
        <v>8</v>
      </c>
      <c r="F331" s="2" t="s">
        <v>9</v>
      </c>
      <c r="G331" s="2" t="s">
        <v>10</v>
      </c>
      <c r="H331" s="2" t="s">
        <v>11</v>
      </c>
      <c r="I331" s="2" t="s">
        <v>12</v>
      </c>
      <c r="J331" s="2" t="s">
        <v>13</v>
      </c>
      <c r="K331" s="2" t="s">
        <v>14</v>
      </c>
      <c r="L331" s="2" t="s">
        <v>15</v>
      </c>
      <c r="M331" s="2" t="s">
        <v>16</v>
      </c>
      <c r="N331" s="2" t="s">
        <v>17</v>
      </c>
    </row>
    <row r="332" spans="1:14" x14ac:dyDescent="0.25">
      <c r="A332">
        <v>329</v>
      </c>
      <c r="B332" s="4">
        <v>2016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</row>
    <row r="333" spans="1:14" x14ac:dyDescent="0.25">
      <c r="A333">
        <v>330</v>
      </c>
      <c r="B333" s="4">
        <v>2017</v>
      </c>
      <c r="C333" s="15">
        <v>5083.383828</v>
      </c>
      <c r="D333" s="15">
        <v>4254.7974830000003</v>
      </c>
      <c r="E333" s="15">
        <v>5146.2839600000007</v>
      </c>
      <c r="F333" s="15">
        <v>4863.3621780000003</v>
      </c>
      <c r="G333" s="15">
        <v>4818.7627350000002</v>
      </c>
      <c r="H333" s="15">
        <v>4447.2947440000007</v>
      </c>
      <c r="I333" s="15">
        <v>4573.2223489999997</v>
      </c>
      <c r="J333" s="15">
        <v>5369.6056800000006</v>
      </c>
      <c r="K333" s="15">
        <v>6943.0186200000007</v>
      </c>
      <c r="L333" s="15">
        <v>6106.5905149999999</v>
      </c>
      <c r="M333" s="15">
        <v>5660.5304649999998</v>
      </c>
      <c r="N333" s="15">
        <v>5659.3291399999998</v>
      </c>
    </row>
    <row r="334" spans="1:14" x14ac:dyDescent="0.25">
      <c r="A334">
        <v>331</v>
      </c>
      <c r="B334" s="4">
        <v>2018</v>
      </c>
      <c r="C334" s="15">
        <v>6508.163826</v>
      </c>
      <c r="D334" s="15">
        <v>5097.8970300000001</v>
      </c>
      <c r="E334" s="15">
        <v>5973.1</v>
      </c>
      <c r="F334" s="15">
        <v>5651.8540329999996</v>
      </c>
      <c r="G334" s="15">
        <v>5903.1280429999997</v>
      </c>
      <c r="H334" s="15">
        <v>5527.2528199999997</v>
      </c>
      <c r="I334" s="15">
        <v>5532.5159430000003</v>
      </c>
      <c r="J334" s="15">
        <v>5948.956639</v>
      </c>
      <c r="K334" s="15">
        <v>6365.0554410000004</v>
      </c>
      <c r="L334" s="15">
        <v>7219.6759720000009</v>
      </c>
      <c r="M334" s="15">
        <v>6152.4538320000001</v>
      </c>
      <c r="N334" s="15"/>
    </row>
    <row r="335" spans="1:14" x14ac:dyDescent="0.25">
      <c r="A335">
        <v>332</v>
      </c>
    </row>
    <row r="336" spans="1:14" x14ac:dyDescent="0.25">
      <c r="A336">
        <v>333</v>
      </c>
      <c r="B336" t="s">
        <v>107</v>
      </c>
    </row>
    <row r="337" spans="1:14" x14ac:dyDescent="0.25">
      <c r="A337">
        <v>334</v>
      </c>
      <c r="B337" s="7" t="s">
        <v>26</v>
      </c>
      <c r="C337" s="2" t="s">
        <v>6</v>
      </c>
      <c r="D337" s="2" t="s">
        <v>7</v>
      </c>
      <c r="E337" s="2" t="s">
        <v>8</v>
      </c>
      <c r="F337" s="2" t="s">
        <v>9</v>
      </c>
      <c r="G337" s="2" t="s">
        <v>10</v>
      </c>
      <c r="H337" s="2" t="s">
        <v>11</v>
      </c>
      <c r="I337" s="2" t="s">
        <v>12</v>
      </c>
      <c r="J337" s="2" t="s">
        <v>13</v>
      </c>
      <c r="K337" s="2" t="s">
        <v>14</v>
      </c>
      <c r="L337" s="2" t="s">
        <v>15</v>
      </c>
      <c r="M337" s="2" t="s">
        <v>16</v>
      </c>
      <c r="N337" s="2" t="s">
        <v>17</v>
      </c>
    </row>
    <row r="338" spans="1:14" x14ac:dyDescent="0.25">
      <c r="A338">
        <v>335</v>
      </c>
      <c r="B338" s="4">
        <v>2016</v>
      </c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</row>
    <row r="339" spans="1:14" x14ac:dyDescent="0.25">
      <c r="A339">
        <v>336</v>
      </c>
      <c r="B339" s="4">
        <v>2017</v>
      </c>
      <c r="C339" s="15">
        <v>6532.116723000001</v>
      </c>
      <c r="D339" s="15">
        <v>6393.0064480000001</v>
      </c>
      <c r="E339" s="15">
        <v>7599.1402899999994</v>
      </c>
      <c r="F339" s="15">
        <v>8720.0725350000012</v>
      </c>
      <c r="G339" s="15">
        <v>7914.2162560000015</v>
      </c>
      <c r="H339" s="15">
        <v>6238.3580819999997</v>
      </c>
      <c r="I339" s="15">
        <v>6336.6497850000014</v>
      </c>
      <c r="J339" s="15">
        <v>8763.2680670000009</v>
      </c>
      <c r="K339" s="15">
        <v>7468.8883290000003</v>
      </c>
      <c r="L339" s="15">
        <v>8194.548506000001</v>
      </c>
      <c r="M339" s="15">
        <v>7651.8739090000008</v>
      </c>
      <c r="N339" s="15">
        <v>8771.0348919999997</v>
      </c>
    </row>
    <row r="340" spans="1:14" x14ac:dyDescent="0.25">
      <c r="A340">
        <v>337</v>
      </c>
      <c r="B340" s="4">
        <v>2018</v>
      </c>
      <c r="C340" s="15">
        <v>6899.6266200000009</v>
      </c>
      <c r="D340" s="15">
        <v>5483.5434359999999</v>
      </c>
      <c r="E340" s="15">
        <v>7898.1235889999989</v>
      </c>
      <c r="F340" s="15">
        <v>7713.609872</v>
      </c>
      <c r="G340" s="15">
        <v>6426.9377469999999</v>
      </c>
      <c r="H340" s="15">
        <v>8618.2345490000007</v>
      </c>
      <c r="I340" s="15">
        <v>8363.5125990000015</v>
      </c>
      <c r="J340" s="15">
        <v>7712.1826959999999</v>
      </c>
      <c r="K340" s="15">
        <v>8919.4857859999975</v>
      </c>
      <c r="L340" s="15">
        <v>9595.8763279999985</v>
      </c>
      <c r="M340" s="15">
        <v>7899.1713839999993</v>
      </c>
      <c r="N340" s="15">
        <v>0</v>
      </c>
    </row>
    <row r="341" spans="1:14" x14ac:dyDescent="0.25">
      <c r="A341">
        <v>338</v>
      </c>
    </row>
    <row r="342" spans="1:14" x14ac:dyDescent="0.25">
      <c r="A342">
        <v>339</v>
      </c>
      <c r="B342" t="s">
        <v>108</v>
      </c>
    </row>
    <row r="343" spans="1:14" x14ac:dyDescent="0.25">
      <c r="A343">
        <v>340</v>
      </c>
      <c r="B343" s="7" t="s">
        <v>26</v>
      </c>
      <c r="C343" s="2" t="s">
        <v>6</v>
      </c>
      <c r="D343" s="2" t="s">
        <v>7</v>
      </c>
      <c r="E343" s="2" t="s">
        <v>8</v>
      </c>
      <c r="F343" s="2" t="s">
        <v>9</v>
      </c>
      <c r="G343" s="2" t="s">
        <v>10</v>
      </c>
      <c r="H343" s="2" t="s">
        <v>11</v>
      </c>
      <c r="I343" s="2" t="s">
        <v>12</v>
      </c>
      <c r="J343" s="2" t="s">
        <v>13</v>
      </c>
      <c r="K343" s="2" t="s">
        <v>14</v>
      </c>
      <c r="L343" s="2" t="s">
        <v>15</v>
      </c>
      <c r="M343" s="2" t="s">
        <v>16</v>
      </c>
      <c r="N343" s="2" t="s">
        <v>17</v>
      </c>
    </row>
    <row r="344" spans="1:14" x14ac:dyDescent="0.25">
      <c r="A344">
        <v>341</v>
      </c>
      <c r="B344" s="4">
        <v>2016</v>
      </c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</row>
    <row r="345" spans="1:14" x14ac:dyDescent="0.25">
      <c r="A345">
        <v>342</v>
      </c>
      <c r="B345" s="4">
        <v>2017</v>
      </c>
      <c r="C345" s="15">
        <v>24234.771631</v>
      </c>
      <c r="D345" s="15">
        <v>21978.361588</v>
      </c>
      <c r="E345" s="15">
        <v>24549.871106999999</v>
      </c>
      <c r="F345" s="15">
        <v>23887.910400000001</v>
      </c>
      <c r="G345" s="15">
        <v>24841.400003000002</v>
      </c>
      <c r="H345" s="15">
        <v>24279.173585000004</v>
      </c>
      <c r="I345" s="15">
        <v>25679.591794</v>
      </c>
      <c r="J345" s="15">
        <v>25695.847775000002</v>
      </c>
      <c r="K345" s="15">
        <v>24974.908596000001</v>
      </c>
      <c r="L345" s="15">
        <v>25816.178298999999</v>
      </c>
      <c r="M345" s="15">
        <v>25027.994714</v>
      </c>
      <c r="N345" s="15">
        <v>26144.046103000001</v>
      </c>
    </row>
    <row r="346" spans="1:14" x14ac:dyDescent="0.25">
      <c r="A346">
        <v>343</v>
      </c>
      <c r="B346" s="4">
        <v>2018</v>
      </c>
      <c r="C346" s="15">
        <v>26511.891844999998</v>
      </c>
      <c r="D346" s="15">
        <v>23992.705601000001</v>
      </c>
      <c r="E346" s="15">
        <v>26554.516224999999</v>
      </c>
      <c r="F346" s="15">
        <v>25701.221660000003</v>
      </c>
      <c r="G346" s="15">
        <v>26820.501164999998</v>
      </c>
      <c r="H346" s="15">
        <v>26307.264237000003</v>
      </c>
      <c r="I346" s="15">
        <v>27341.993213000002</v>
      </c>
      <c r="J346" s="15">
        <v>27292.883367999999</v>
      </c>
      <c r="K346" s="15">
        <v>26572.446266000003</v>
      </c>
      <c r="L346" s="15">
        <v>27471.724968999999</v>
      </c>
      <c r="M346" s="15">
        <v>26786.006369999999</v>
      </c>
      <c r="N346" s="15">
        <v>0</v>
      </c>
    </row>
    <row r="347" spans="1:14" x14ac:dyDescent="0.25">
      <c r="A347">
        <v>344</v>
      </c>
    </row>
    <row r="348" spans="1:14" x14ac:dyDescent="0.25">
      <c r="A348">
        <v>345</v>
      </c>
      <c r="B348" s="84"/>
    </row>
    <row r="349" spans="1:14" x14ac:dyDescent="0.25">
      <c r="A349">
        <v>346</v>
      </c>
      <c r="B349" s="7" t="s">
        <v>26</v>
      </c>
      <c r="C349" s="2" t="s">
        <v>6</v>
      </c>
      <c r="D349" s="2" t="s">
        <v>7</v>
      </c>
      <c r="E349" s="2" t="s">
        <v>8</v>
      </c>
      <c r="F349" s="2" t="s">
        <v>9</v>
      </c>
      <c r="G349" s="2" t="s">
        <v>10</v>
      </c>
      <c r="H349" s="2" t="s">
        <v>11</v>
      </c>
      <c r="I349" s="2" t="s">
        <v>12</v>
      </c>
      <c r="J349" s="2" t="s">
        <v>13</v>
      </c>
      <c r="K349" s="2" t="s">
        <v>14</v>
      </c>
      <c r="L349" s="2" t="s">
        <v>15</v>
      </c>
      <c r="M349" s="2" t="s">
        <v>16</v>
      </c>
      <c r="N349" s="2" t="s">
        <v>17</v>
      </c>
    </row>
    <row r="350" spans="1:14" x14ac:dyDescent="0.25">
      <c r="A350">
        <v>347</v>
      </c>
      <c r="B350" s="4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</row>
    <row r="351" spans="1:14" x14ac:dyDescent="0.25">
      <c r="A351">
        <v>348</v>
      </c>
      <c r="B351" s="4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</row>
    <row r="352" spans="1:14" x14ac:dyDescent="0.25">
      <c r="A352">
        <v>349</v>
      </c>
      <c r="B352" s="4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</row>
    <row r="353" spans="1:14" x14ac:dyDescent="0.25">
      <c r="A353">
        <v>350</v>
      </c>
      <c r="B353" s="4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</row>
    <row r="354" spans="1:14" x14ac:dyDescent="0.25">
      <c r="A354">
        <v>351</v>
      </c>
      <c r="B354" s="84" t="s">
        <v>34</v>
      </c>
      <c r="C354" s="83" t="s">
        <v>4</v>
      </c>
    </row>
    <row r="355" spans="1:14" x14ac:dyDescent="0.25">
      <c r="A355">
        <v>352</v>
      </c>
      <c r="B355" s="7" t="s">
        <v>68</v>
      </c>
      <c r="C355" s="2" t="s">
        <v>6</v>
      </c>
      <c r="D355" s="2" t="s">
        <v>7</v>
      </c>
      <c r="E355" s="2" t="s">
        <v>8</v>
      </c>
      <c r="F355" s="2" t="s">
        <v>9</v>
      </c>
      <c r="G355" s="2" t="s">
        <v>10</v>
      </c>
      <c r="H355" s="2" t="s">
        <v>11</v>
      </c>
      <c r="I355" s="2" t="s">
        <v>12</v>
      </c>
      <c r="J355" s="2" t="s">
        <v>13</v>
      </c>
      <c r="K355" s="2" t="s">
        <v>14</v>
      </c>
      <c r="L355" s="2" t="s">
        <v>15</v>
      </c>
      <c r="M355" s="2" t="s">
        <v>16</v>
      </c>
      <c r="N355" s="2" t="s">
        <v>17</v>
      </c>
    </row>
    <row r="356" spans="1:14" x14ac:dyDescent="0.25">
      <c r="A356">
        <v>353</v>
      </c>
      <c r="B356" t="s">
        <v>110</v>
      </c>
      <c r="C356">
        <v>53987.695</v>
      </c>
      <c r="D356">
        <v>40648.175000000003</v>
      </c>
      <c r="E356">
        <v>49872.06</v>
      </c>
      <c r="F356">
        <v>46455.65</v>
      </c>
      <c r="G356">
        <v>50266.584999999999</v>
      </c>
      <c r="H356">
        <v>50587.29</v>
      </c>
      <c r="I356">
        <v>48030.724999999999</v>
      </c>
      <c r="J356">
        <v>46793.195</v>
      </c>
      <c r="K356">
        <v>45307.77</v>
      </c>
      <c r="L356">
        <v>48091.974999999999</v>
      </c>
      <c r="M356">
        <v>45302.54</v>
      </c>
      <c r="N356">
        <v>54079.724999999999</v>
      </c>
    </row>
    <row r="357" spans="1:14" x14ac:dyDescent="0.25">
      <c r="A357">
        <v>354</v>
      </c>
      <c r="B357" t="s">
        <v>114</v>
      </c>
      <c r="C357">
        <v>0</v>
      </c>
      <c r="D357">
        <v>0</v>
      </c>
      <c r="E357">
        <v>0</v>
      </c>
      <c r="F357">
        <v>0</v>
      </c>
      <c r="G357">
        <v>605.70000000000005</v>
      </c>
      <c r="H357">
        <v>6824</v>
      </c>
      <c r="I357">
        <v>9212.2250000000004</v>
      </c>
      <c r="J357">
        <v>10434</v>
      </c>
      <c r="K357">
        <v>12306.4</v>
      </c>
      <c r="L357">
        <v>15702.800000000005</v>
      </c>
      <c r="M357">
        <v>16534.025000000001</v>
      </c>
      <c r="N357">
        <v>18615.689999999999</v>
      </c>
    </row>
    <row r="358" spans="1:14" x14ac:dyDescent="0.25">
      <c r="A358">
        <v>355</v>
      </c>
      <c r="B358" t="s">
        <v>111</v>
      </c>
      <c r="C358">
        <v>61211.764999999999</v>
      </c>
      <c r="D358">
        <v>39755.754999999997</v>
      </c>
      <c r="E358">
        <v>57178.84</v>
      </c>
      <c r="F358">
        <v>54459.584999999999</v>
      </c>
      <c r="G358">
        <v>58637.41</v>
      </c>
      <c r="H358">
        <v>61907.77</v>
      </c>
      <c r="I358">
        <v>59303.214999999997</v>
      </c>
      <c r="J358">
        <v>57810.764999999999</v>
      </c>
      <c r="K358">
        <v>55536.34</v>
      </c>
      <c r="L358">
        <v>55928.125</v>
      </c>
      <c r="M358">
        <v>54696.11</v>
      </c>
      <c r="N358">
        <v>61172.654999999999</v>
      </c>
    </row>
    <row r="359" spans="1:14" x14ac:dyDescent="0.25">
      <c r="A359">
        <v>356</v>
      </c>
      <c r="B359" t="s">
        <v>112</v>
      </c>
      <c r="C359">
        <v>38435.03</v>
      </c>
      <c r="D359">
        <v>28685.19</v>
      </c>
      <c r="E359">
        <v>37228.275000000001</v>
      </c>
      <c r="F359">
        <v>36990.22</v>
      </c>
      <c r="G359">
        <v>38015.565000000002</v>
      </c>
      <c r="H359">
        <v>38256.19</v>
      </c>
      <c r="I359">
        <v>39489.040000000001</v>
      </c>
      <c r="J359">
        <v>38182.135000000002</v>
      </c>
      <c r="K359">
        <v>33897.114999999998</v>
      </c>
      <c r="L359">
        <v>39292.35</v>
      </c>
      <c r="M359">
        <v>36693.474999999999</v>
      </c>
      <c r="N359">
        <v>40079.21</v>
      </c>
    </row>
    <row r="360" spans="1:14" x14ac:dyDescent="0.25">
      <c r="A360">
        <v>357</v>
      </c>
      <c r="B360" t="s">
        <v>113</v>
      </c>
      <c r="C360">
        <v>27400.025000000001</v>
      </c>
      <c r="D360">
        <v>13837.38</v>
      </c>
      <c r="E360">
        <v>26174.895</v>
      </c>
      <c r="F360">
        <v>21652.414999999997</v>
      </c>
      <c r="G360">
        <v>22529.62</v>
      </c>
      <c r="H360">
        <v>27962.190000000002</v>
      </c>
      <c r="I360">
        <v>25049.584999999999</v>
      </c>
      <c r="J360">
        <v>29177.415000000001</v>
      </c>
      <c r="K360">
        <v>27607.134999999998</v>
      </c>
      <c r="L360">
        <v>31145.465</v>
      </c>
      <c r="M360">
        <v>30516.55</v>
      </c>
      <c r="N360">
        <v>33408.92</v>
      </c>
    </row>
    <row r="361" spans="1:14" x14ac:dyDescent="0.25">
      <c r="A361">
        <v>358</v>
      </c>
      <c r="B361" t="s">
        <v>115</v>
      </c>
      <c r="C361">
        <v>64585.214999999997</v>
      </c>
      <c r="D361">
        <v>45318.02</v>
      </c>
      <c r="E361">
        <v>62381.64</v>
      </c>
      <c r="F361">
        <v>60404.92</v>
      </c>
      <c r="G361">
        <v>61549.95</v>
      </c>
      <c r="H361">
        <v>62210.785000000003</v>
      </c>
      <c r="I361">
        <v>61664.004999999997</v>
      </c>
      <c r="J361">
        <v>64957.144999999997</v>
      </c>
      <c r="K361">
        <v>67677.58</v>
      </c>
      <c r="L361">
        <v>68695.350000000006</v>
      </c>
      <c r="M361">
        <v>63283.364999999998</v>
      </c>
      <c r="N361">
        <v>68749.2</v>
      </c>
    </row>
    <row r="362" spans="1:14" x14ac:dyDescent="0.25">
      <c r="A362">
        <v>359</v>
      </c>
      <c r="B362" t="s">
        <v>116</v>
      </c>
      <c r="C362">
        <v>61134.055</v>
      </c>
      <c r="D362">
        <v>43178.07</v>
      </c>
      <c r="E362">
        <v>48523.184999999998</v>
      </c>
      <c r="F362">
        <v>48947.22</v>
      </c>
      <c r="G362">
        <v>56544.735000000001</v>
      </c>
      <c r="H362">
        <v>56316.91</v>
      </c>
      <c r="I362">
        <v>55974.39</v>
      </c>
      <c r="J362">
        <v>58559.375</v>
      </c>
      <c r="K362">
        <v>61576.754999999997</v>
      </c>
      <c r="L362">
        <v>62032.945</v>
      </c>
      <c r="M362">
        <v>62463.65</v>
      </c>
      <c r="N362">
        <v>67385.615000000005</v>
      </c>
    </row>
    <row r="363" spans="1:14" x14ac:dyDescent="0.25">
      <c r="A363">
        <v>360</v>
      </c>
      <c r="B363" t="s">
        <v>118</v>
      </c>
      <c r="C363">
        <v>8980.2000000000007</v>
      </c>
      <c r="D363">
        <v>3395.36</v>
      </c>
      <c r="E363">
        <v>4276.16</v>
      </c>
      <c r="F363">
        <v>5323.8</v>
      </c>
      <c r="G363">
        <v>6999.76</v>
      </c>
      <c r="H363">
        <v>9043</v>
      </c>
      <c r="I363">
        <v>8544.56</v>
      </c>
      <c r="J363">
        <v>8831.08</v>
      </c>
      <c r="K363">
        <v>4918.76</v>
      </c>
      <c r="L363">
        <v>5669.36</v>
      </c>
      <c r="M363">
        <v>9189.9599999999991</v>
      </c>
      <c r="N363">
        <v>12702.48</v>
      </c>
    </row>
    <row r="364" spans="1:14" x14ac:dyDescent="0.25">
      <c r="A364">
        <v>361</v>
      </c>
    </row>
    <row r="365" spans="1:14" x14ac:dyDescent="0.25">
      <c r="A365">
        <v>362</v>
      </c>
      <c r="B365" s="7" t="s">
        <v>67</v>
      </c>
      <c r="C365" s="2" t="s">
        <v>6</v>
      </c>
      <c r="D365" s="2" t="s">
        <v>7</v>
      </c>
      <c r="E365" s="2" t="s">
        <v>8</v>
      </c>
      <c r="F365" s="2" t="s">
        <v>9</v>
      </c>
      <c r="G365" s="2" t="s">
        <v>10</v>
      </c>
      <c r="H365" s="2" t="s">
        <v>11</v>
      </c>
      <c r="I365" s="2" t="s">
        <v>12</v>
      </c>
      <c r="J365" s="2" t="s">
        <v>13</v>
      </c>
      <c r="K365" s="2" t="s">
        <v>14</v>
      </c>
      <c r="L365" s="2" t="s">
        <v>15</v>
      </c>
      <c r="M365" s="2" t="s">
        <v>16</v>
      </c>
      <c r="N365" s="2" t="s">
        <v>17</v>
      </c>
    </row>
    <row r="366" spans="1:14" x14ac:dyDescent="0.25">
      <c r="A366">
        <v>363</v>
      </c>
      <c r="B366" t="s">
        <v>110</v>
      </c>
      <c r="C366">
        <v>48870.32</v>
      </c>
      <c r="D366">
        <v>39307.665000000001</v>
      </c>
      <c r="E366">
        <v>50799.565000000002</v>
      </c>
      <c r="F366">
        <v>49335.27</v>
      </c>
      <c r="G366">
        <v>51095.35</v>
      </c>
      <c r="H366">
        <v>44120.39</v>
      </c>
      <c r="I366">
        <v>49016.035000000003</v>
      </c>
      <c r="J366">
        <v>51673.68</v>
      </c>
      <c r="K366">
        <v>46018.855000000003</v>
      </c>
      <c r="L366">
        <v>46725.87000000001</v>
      </c>
      <c r="M366">
        <v>45051.32</v>
      </c>
      <c r="N366">
        <v>48494.21</v>
      </c>
    </row>
    <row r="367" spans="1:14" x14ac:dyDescent="0.25">
      <c r="A367">
        <v>364</v>
      </c>
      <c r="B367" t="s">
        <v>114</v>
      </c>
      <c r="C367">
        <v>19278.95</v>
      </c>
      <c r="D367">
        <v>12595.6</v>
      </c>
      <c r="E367">
        <v>19834.849999999999</v>
      </c>
      <c r="F367">
        <v>19892.674999999999</v>
      </c>
      <c r="G367">
        <v>21070.19</v>
      </c>
      <c r="H367">
        <v>17978.5</v>
      </c>
      <c r="I367">
        <v>17807.024999999998</v>
      </c>
      <c r="J367">
        <v>20776.600000000002</v>
      </c>
      <c r="K367">
        <v>21888.564999999999</v>
      </c>
      <c r="L367">
        <v>23430.674999999999</v>
      </c>
      <c r="M367">
        <v>23235.195</v>
      </c>
      <c r="N367">
        <v>21561.37</v>
      </c>
    </row>
    <row r="368" spans="1:14" x14ac:dyDescent="0.25">
      <c r="A368">
        <v>365</v>
      </c>
      <c r="B368" t="s">
        <v>111</v>
      </c>
      <c r="C368">
        <v>54522.834999999999</v>
      </c>
      <c r="D368">
        <v>50687.95</v>
      </c>
      <c r="E368">
        <v>58926.18</v>
      </c>
      <c r="F368">
        <v>56111.165000000001</v>
      </c>
      <c r="G368">
        <v>56564.235000000001</v>
      </c>
      <c r="H368">
        <v>55786.014999999999</v>
      </c>
      <c r="I368">
        <v>53152.959999999999</v>
      </c>
      <c r="J368">
        <v>61433.01</v>
      </c>
      <c r="K368">
        <v>57270.74</v>
      </c>
      <c r="L368">
        <v>63183.764999999999</v>
      </c>
      <c r="M368">
        <v>55577.78</v>
      </c>
      <c r="N368">
        <v>60481.7</v>
      </c>
    </row>
    <row r="369" spans="1:14" x14ac:dyDescent="0.25">
      <c r="A369">
        <v>366</v>
      </c>
      <c r="B369" t="s">
        <v>112</v>
      </c>
      <c r="C369">
        <v>38570.630000000005</v>
      </c>
      <c r="D369">
        <v>34415.275000000001</v>
      </c>
      <c r="E369">
        <v>38440.035000000003</v>
      </c>
      <c r="F369">
        <v>38749.044999999998</v>
      </c>
      <c r="G369">
        <v>37235.235000000001</v>
      </c>
      <c r="H369">
        <v>34961.29</v>
      </c>
      <c r="I369">
        <v>35966.01</v>
      </c>
      <c r="J369">
        <v>37700.775000000001</v>
      </c>
      <c r="K369">
        <v>39621.53</v>
      </c>
      <c r="L369">
        <v>48959.105000000003</v>
      </c>
      <c r="M369">
        <v>43514.59</v>
      </c>
      <c r="N369">
        <v>44640.79</v>
      </c>
    </row>
    <row r="370" spans="1:14" x14ac:dyDescent="0.25">
      <c r="A370">
        <v>367</v>
      </c>
      <c r="B370" t="s">
        <v>113</v>
      </c>
      <c r="C370">
        <v>32196.365000000002</v>
      </c>
      <c r="D370">
        <v>25697.18</v>
      </c>
      <c r="E370">
        <v>29935.919999999998</v>
      </c>
      <c r="F370">
        <v>31314.95</v>
      </c>
      <c r="G370">
        <v>28062.17</v>
      </c>
      <c r="H370">
        <v>29891.919999999998</v>
      </c>
      <c r="I370">
        <v>28087.935000000001</v>
      </c>
      <c r="J370">
        <v>33286.019999999997</v>
      </c>
      <c r="K370">
        <v>34958.35</v>
      </c>
      <c r="L370">
        <v>37282.294999999998</v>
      </c>
      <c r="M370">
        <v>40589.855000000003</v>
      </c>
      <c r="N370">
        <v>41575.154999999999</v>
      </c>
    </row>
    <row r="371" spans="1:14" x14ac:dyDescent="0.25">
      <c r="A371">
        <v>368</v>
      </c>
      <c r="B371" t="s">
        <v>115</v>
      </c>
      <c r="C371">
        <v>59847.675000000003</v>
      </c>
      <c r="D371">
        <v>56054.855000000003</v>
      </c>
      <c r="E371">
        <v>65057.22</v>
      </c>
      <c r="F371">
        <v>57831.595000000001</v>
      </c>
      <c r="G371">
        <v>54763.824999999997</v>
      </c>
      <c r="H371">
        <v>48862.85</v>
      </c>
      <c r="I371">
        <v>47068.915000000001</v>
      </c>
      <c r="J371">
        <v>55035.684999999998</v>
      </c>
      <c r="K371">
        <v>54347.245000000003</v>
      </c>
      <c r="L371">
        <v>51760.584999999999</v>
      </c>
      <c r="M371">
        <v>54774.7</v>
      </c>
      <c r="N371">
        <v>52154.224999999999</v>
      </c>
    </row>
    <row r="372" spans="1:14" x14ac:dyDescent="0.25">
      <c r="A372">
        <v>369</v>
      </c>
      <c r="B372" t="s">
        <v>116</v>
      </c>
      <c r="C372">
        <v>55734.200000000004</v>
      </c>
      <c r="D372">
        <v>57065.520000000004</v>
      </c>
      <c r="E372">
        <v>63521.705000000002</v>
      </c>
      <c r="F372">
        <v>56572.72</v>
      </c>
      <c r="G372">
        <v>51334.165000000001</v>
      </c>
      <c r="H372">
        <v>47191.3</v>
      </c>
      <c r="I372">
        <v>44071.93</v>
      </c>
      <c r="J372">
        <v>53030.559999999998</v>
      </c>
      <c r="K372">
        <v>52246.154999999999</v>
      </c>
      <c r="L372">
        <v>55207.37</v>
      </c>
      <c r="M372">
        <v>50967.995000000003</v>
      </c>
      <c r="N372">
        <v>50212.845000000001</v>
      </c>
    </row>
    <row r="373" spans="1:14" x14ac:dyDescent="0.25">
      <c r="A373">
        <v>370</v>
      </c>
      <c r="B373" t="s">
        <v>118</v>
      </c>
      <c r="C373">
        <v>16982.72</v>
      </c>
      <c r="D373">
        <v>12706.720000000001</v>
      </c>
      <c r="E373">
        <v>16165.92</v>
      </c>
      <c r="F373">
        <v>19281.84</v>
      </c>
      <c r="G373">
        <v>12849.880000000001</v>
      </c>
      <c r="H373">
        <v>7543.7199999999993</v>
      </c>
      <c r="I373">
        <v>7135.4800000000005</v>
      </c>
      <c r="J373">
        <v>5242.12</v>
      </c>
      <c r="K373">
        <v>3414.04</v>
      </c>
      <c r="L373">
        <v>3402.52</v>
      </c>
      <c r="M373">
        <v>3338.64</v>
      </c>
      <c r="N373">
        <v>3045.8</v>
      </c>
    </row>
    <row r="374" spans="1:14" x14ac:dyDescent="0.25">
      <c r="A374">
        <v>371</v>
      </c>
    </row>
    <row r="375" spans="1:14" x14ac:dyDescent="0.25">
      <c r="A375">
        <v>372</v>
      </c>
      <c r="B375" s="7" t="s">
        <v>66</v>
      </c>
      <c r="C375" s="2" t="s">
        <v>6</v>
      </c>
      <c r="D375" s="2" t="s">
        <v>7</v>
      </c>
      <c r="E375" s="2" t="s">
        <v>8</v>
      </c>
      <c r="F375" s="2" t="s">
        <v>9</v>
      </c>
      <c r="G375" s="2" t="s">
        <v>10</v>
      </c>
      <c r="H375" s="2" t="s">
        <v>11</v>
      </c>
      <c r="I375" s="2" t="s">
        <v>12</v>
      </c>
      <c r="J375" s="2" t="s">
        <v>13</v>
      </c>
      <c r="K375" s="2" t="s">
        <v>14</v>
      </c>
      <c r="L375" s="2" t="s">
        <v>15</v>
      </c>
      <c r="M375" s="2" t="s">
        <v>16</v>
      </c>
      <c r="N375" s="2" t="s">
        <v>17</v>
      </c>
    </row>
    <row r="376" spans="1:14" x14ac:dyDescent="0.25">
      <c r="A376">
        <v>373</v>
      </c>
      <c r="B376" t="s">
        <v>110</v>
      </c>
      <c r="C376">
        <v>47970.254999999997</v>
      </c>
      <c r="D376">
        <v>39003.575000000004</v>
      </c>
      <c r="E376">
        <v>47154.640000000007</v>
      </c>
      <c r="F376">
        <v>47201.18</v>
      </c>
      <c r="G376">
        <v>47541.075000000004</v>
      </c>
      <c r="H376">
        <v>45493.549999999996</v>
      </c>
      <c r="I376">
        <v>42096.695</v>
      </c>
      <c r="J376">
        <v>45827.655000000006</v>
      </c>
      <c r="K376">
        <v>44520.810000000005</v>
      </c>
      <c r="L376">
        <v>47745.13</v>
      </c>
      <c r="M376">
        <v>45469.520000000004</v>
      </c>
      <c r="N376">
        <v>0</v>
      </c>
    </row>
    <row r="377" spans="1:14" x14ac:dyDescent="0.25">
      <c r="A377">
        <v>374</v>
      </c>
      <c r="B377" t="s">
        <v>114</v>
      </c>
      <c r="C377">
        <v>23631.985000000001</v>
      </c>
      <c r="D377">
        <v>18609.23</v>
      </c>
      <c r="E377">
        <v>22957.03</v>
      </c>
      <c r="F377">
        <v>23132.845000000001</v>
      </c>
      <c r="G377">
        <v>20831.509999999998</v>
      </c>
      <c r="H377">
        <v>17601.665000000001</v>
      </c>
      <c r="I377">
        <v>22024.884999999998</v>
      </c>
      <c r="J377">
        <v>21216.055</v>
      </c>
      <c r="K377">
        <v>22152.41</v>
      </c>
      <c r="L377">
        <v>22274.959999999999</v>
      </c>
      <c r="M377">
        <v>20145.190000000002</v>
      </c>
      <c r="N377">
        <v>0</v>
      </c>
    </row>
    <row r="378" spans="1:14" x14ac:dyDescent="0.25">
      <c r="A378">
        <v>375</v>
      </c>
      <c r="B378" t="s">
        <v>111</v>
      </c>
      <c r="C378">
        <v>64359.92</v>
      </c>
      <c r="D378">
        <v>46864.464999999997</v>
      </c>
      <c r="E378">
        <v>62858.315000000002</v>
      </c>
      <c r="F378">
        <v>57927.11</v>
      </c>
      <c r="G378">
        <v>65330.65</v>
      </c>
      <c r="H378">
        <v>61822.595000000001</v>
      </c>
      <c r="I378">
        <v>62763.464999999997</v>
      </c>
      <c r="J378">
        <v>61033.760000000002</v>
      </c>
      <c r="K378">
        <v>58474.955000000002</v>
      </c>
      <c r="L378">
        <v>62087.635000000002</v>
      </c>
      <c r="M378">
        <v>63037.17</v>
      </c>
      <c r="N378">
        <v>0</v>
      </c>
    </row>
    <row r="379" spans="1:14" x14ac:dyDescent="0.25">
      <c r="A379">
        <v>376</v>
      </c>
      <c r="B379" t="s">
        <v>112</v>
      </c>
      <c r="C379">
        <v>47691.37</v>
      </c>
      <c r="D379">
        <v>37650.65</v>
      </c>
      <c r="E379">
        <v>45047.16</v>
      </c>
      <c r="F379">
        <v>39955.71</v>
      </c>
      <c r="G379">
        <v>40508.394999999997</v>
      </c>
      <c r="H379">
        <v>40934.654999999999</v>
      </c>
      <c r="I379">
        <v>39489.279999999999</v>
      </c>
      <c r="J379">
        <v>44038.785000000003</v>
      </c>
      <c r="K379">
        <v>36308.31</v>
      </c>
      <c r="L379">
        <v>39893.279999999999</v>
      </c>
      <c r="M379">
        <v>38754.230000000003</v>
      </c>
      <c r="N379">
        <v>0</v>
      </c>
    </row>
    <row r="380" spans="1:14" x14ac:dyDescent="0.25">
      <c r="A380">
        <v>377</v>
      </c>
      <c r="B380" t="s">
        <v>113</v>
      </c>
      <c r="C380">
        <v>41493.71</v>
      </c>
      <c r="D380">
        <v>33518.915000000001</v>
      </c>
      <c r="E380">
        <v>39223.114999999998</v>
      </c>
      <c r="F380">
        <v>37275.705000000002</v>
      </c>
      <c r="G380">
        <v>38848.620000000003</v>
      </c>
      <c r="H380">
        <v>35652.095000000001</v>
      </c>
      <c r="I380">
        <v>37434.949999999997</v>
      </c>
      <c r="J380">
        <v>39987.71</v>
      </c>
      <c r="K380">
        <v>36020.9</v>
      </c>
      <c r="L380">
        <v>39845.245000000003</v>
      </c>
      <c r="M380">
        <v>39645.925000000003</v>
      </c>
      <c r="N380">
        <v>0</v>
      </c>
    </row>
    <row r="381" spans="1:14" x14ac:dyDescent="0.25">
      <c r="A381">
        <v>378</v>
      </c>
      <c r="B381" t="s">
        <v>115</v>
      </c>
      <c r="C381">
        <v>57020.964999999997</v>
      </c>
      <c r="D381">
        <v>40869.22</v>
      </c>
      <c r="E381">
        <v>51111.65</v>
      </c>
      <c r="F381">
        <v>49742.080000000002</v>
      </c>
      <c r="G381">
        <v>51270.195</v>
      </c>
      <c r="H381">
        <v>46213.86</v>
      </c>
      <c r="I381">
        <v>48300.904999999999</v>
      </c>
      <c r="J381">
        <v>53297</v>
      </c>
      <c r="K381">
        <v>53644.125</v>
      </c>
      <c r="L381">
        <v>59359.91</v>
      </c>
      <c r="M381">
        <v>58843.485000000001</v>
      </c>
      <c r="N381">
        <v>0</v>
      </c>
    </row>
    <row r="382" spans="1:14" x14ac:dyDescent="0.25">
      <c r="A382">
        <v>379</v>
      </c>
      <c r="B382" t="s">
        <v>116</v>
      </c>
      <c r="C382">
        <v>55439.42</v>
      </c>
      <c r="D382">
        <v>40875.85</v>
      </c>
      <c r="E382">
        <v>53713.48</v>
      </c>
      <c r="F382">
        <v>50494.42</v>
      </c>
      <c r="G382">
        <v>54258.834999999999</v>
      </c>
      <c r="H382">
        <v>47081.01</v>
      </c>
      <c r="I382">
        <v>47272.62</v>
      </c>
      <c r="J382">
        <v>50885.130000000005</v>
      </c>
      <c r="K382">
        <v>47678.785000000003</v>
      </c>
      <c r="L382">
        <v>54946.434999999998</v>
      </c>
      <c r="M382">
        <v>56656.375</v>
      </c>
      <c r="N382">
        <v>0</v>
      </c>
    </row>
    <row r="383" spans="1:14" x14ac:dyDescent="0.25">
      <c r="A383">
        <v>380</v>
      </c>
      <c r="B383" t="s">
        <v>118</v>
      </c>
      <c r="C383">
        <v>3162.84</v>
      </c>
      <c r="D383">
        <v>3102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4" x14ac:dyDescent="0.25">
      <c r="A384">
        <v>381</v>
      </c>
    </row>
    <row r="385" spans="1:14" x14ac:dyDescent="0.25">
      <c r="A385">
        <v>382</v>
      </c>
      <c r="B385" s="84" t="s">
        <v>34</v>
      </c>
      <c r="D385" s="86" t="s">
        <v>119</v>
      </c>
    </row>
    <row r="386" spans="1:14" x14ac:dyDescent="0.25">
      <c r="A386">
        <v>383</v>
      </c>
      <c r="B386" s="7" t="s">
        <v>68</v>
      </c>
      <c r="C386" s="2" t="s">
        <v>6</v>
      </c>
      <c r="D386" s="2" t="s">
        <v>7</v>
      </c>
      <c r="E386" s="2" t="s">
        <v>8</v>
      </c>
      <c r="F386" s="2" t="s">
        <v>9</v>
      </c>
      <c r="G386" s="2" t="s">
        <v>10</v>
      </c>
      <c r="H386" s="2" t="s">
        <v>11</v>
      </c>
      <c r="I386" s="2" t="s">
        <v>12</v>
      </c>
      <c r="J386" s="2" t="s">
        <v>13</v>
      </c>
      <c r="K386" s="2" t="s">
        <v>14</v>
      </c>
      <c r="L386" s="2" t="s">
        <v>15</v>
      </c>
      <c r="M386" s="2" t="s">
        <v>16</v>
      </c>
      <c r="N386" s="2" t="s">
        <v>17</v>
      </c>
    </row>
    <row r="387" spans="1:14" x14ac:dyDescent="0.25">
      <c r="A387">
        <v>384</v>
      </c>
      <c r="B387" t="s">
        <v>110</v>
      </c>
      <c r="C387">
        <v>9148.11</v>
      </c>
      <c r="D387">
        <v>6730.17</v>
      </c>
      <c r="E387">
        <v>9633.34</v>
      </c>
      <c r="F387">
        <v>8801.1149999999998</v>
      </c>
      <c r="G387">
        <v>9054.3050000000003</v>
      </c>
      <c r="H387">
        <v>9724.52</v>
      </c>
      <c r="I387">
        <v>9938.01</v>
      </c>
      <c r="J387">
        <v>10356.73</v>
      </c>
      <c r="K387">
        <v>9259.9650000000001</v>
      </c>
      <c r="L387">
        <v>7512.35</v>
      </c>
      <c r="M387">
        <v>9349.4349999999995</v>
      </c>
      <c r="N387">
        <v>11028.965</v>
      </c>
    </row>
    <row r="388" spans="1:14" x14ac:dyDescent="0.25">
      <c r="A388">
        <v>385</v>
      </c>
      <c r="B388" t="s">
        <v>114</v>
      </c>
    </row>
    <row r="389" spans="1:14" x14ac:dyDescent="0.25">
      <c r="A389">
        <v>386</v>
      </c>
      <c r="B389" t="s">
        <v>111</v>
      </c>
      <c r="C389">
        <v>4639.5</v>
      </c>
      <c r="D389">
        <v>3164.77</v>
      </c>
      <c r="E389">
        <v>4679.24</v>
      </c>
      <c r="F389">
        <v>4250.45</v>
      </c>
      <c r="G389">
        <v>4809.5600000000004</v>
      </c>
      <c r="H389">
        <v>5683.74</v>
      </c>
      <c r="I389">
        <v>5070.88</v>
      </c>
      <c r="J389">
        <v>5465.2</v>
      </c>
      <c r="K389">
        <v>5005.83</v>
      </c>
      <c r="L389">
        <v>5508.15</v>
      </c>
      <c r="M389">
        <v>5502.25</v>
      </c>
      <c r="N389">
        <v>5949.64</v>
      </c>
    </row>
    <row r="390" spans="1:14" x14ac:dyDescent="0.25">
      <c r="A390">
        <v>387</v>
      </c>
      <c r="B390" t="s">
        <v>112</v>
      </c>
    </row>
    <row r="391" spans="1:14" x14ac:dyDescent="0.25">
      <c r="A391">
        <v>388</v>
      </c>
      <c r="B391" t="s">
        <v>113</v>
      </c>
    </row>
    <row r="392" spans="1:14" x14ac:dyDescent="0.25">
      <c r="A392">
        <v>389</v>
      </c>
      <c r="B392" t="s">
        <v>115</v>
      </c>
      <c r="C392">
        <v>802.37</v>
      </c>
      <c r="D392">
        <v>534.74</v>
      </c>
      <c r="E392">
        <v>768.79</v>
      </c>
      <c r="F392">
        <v>825.94</v>
      </c>
      <c r="G392">
        <v>814.43</v>
      </c>
      <c r="H392">
        <v>868.56</v>
      </c>
      <c r="I392">
        <v>853.81</v>
      </c>
      <c r="J392">
        <v>966</v>
      </c>
      <c r="K392">
        <v>877.91</v>
      </c>
      <c r="L392">
        <v>682.39</v>
      </c>
      <c r="M392">
        <v>857.62</v>
      </c>
      <c r="N392">
        <v>952.28</v>
      </c>
    </row>
    <row r="393" spans="1:14" x14ac:dyDescent="0.25">
      <c r="A393">
        <v>390</v>
      </c>
      <c r="B393" t="s">
        <v>116</v>
      </c>
    </row>
    <row r="394" spans="1:14" x14ac:dyDescent="0.25">
      <c r="A394">
        <v>391</v>
      </c>
      <c r="B394" t="s">
        <v>118</v>
      </c>
    </row>
    <row r="395" spans="1:14" x14ac:dyDescent="0.25">
      <c r="A395">
        <v>392</v>
      </c>
    </row>
    <row r="396" spans="1:14" x14ac:dyDescent="0.25">
      <c r="A396">
        <v>393</v>
      </c>
      <c r="B396" s="7" t="s">
        <v>67</v>
      </c>
      <c r="C396" s="2" t="s">
        <v>6</v>
      </c>
      <c r="D396" s="2" t="s">
        <v>7</v>
      </c>
      <c r="E396" s="2" t="s">
        <v>8</v>
      </c>
      <c r="F396" s="2" t="s">
        <v>9</v>
      </c>
      <c r="G396" s="2" t="s">
        <v>10</v>
      </c>
      <c r="H396" s="2" t="s">
        <v>11</v>
      </c>
      <c r="I396" s="2" t="s">
        <v>12</v>
      </c>
      <c r="J396" s="2" t="s">
        <v>13</v>
      </c>
      <c r="K396" s="2" t="s">
        <v>14</v>
      </c>
      <c r="L396" s="2" t="s">
        <v>15</v>
      </c>
      <c r="M396" s="2" t="s">
        <v>16</v>
      </c>
      <c r="N396" s="2" t="s">
        <v>17</v>
      </c>
    </row>
    <row r="397" spans="1:14" x14ac:dyDescent="0.25">
      <c r="A397">
        <v>394</v>
      </c>
      <c r="B397" t="s">
        <v>110</v>
      </c>
      <c r="C397">
        <v>8733.1749999999993</v>
      </c>
      <c r="D397">
        <v>9614.94</v>
      </c>
      <c r="E397">
        <v>12092.1</v>
      </c>
      <c r="F397">
        <v>11205.715</v>
      </c>
      <c r="G397">
        <v>11388.424999999999</v>
      </c>
      <c r="H397">
        <v>11398.555</v>
      </c>
      <c r="I397">
        <v>10710.35</v>
      </c>
      <c r="J397">
        <v>12176.504999999999</v>
      </c>
      <c r="K397">
        <v>11923.635</v>
      </c>
      <c r="L397">
        <v>13046.335000000001</v>
      </c>
      <c r="M397">
        <v>12983.844999999999</v>
      </c>
      <c r="N397">
        <v>12919.58</v>
      </c>
    </row>
    <row r="398" spans="1:14" x14ac:dyDescent="0.25">
      <c r="A398">
        <v>395</v>
      </c>
      <c r="B398" t="s">
        <v>114</v>
      </c>
    </row>
    <row r="399" spans="1:14" x14ac:dyDescent="0.25">
      <c r="A399">
        <v>396</v>
      </c>
      <c r="B399" t="s">
        <v>111</v>
      </c>
      <c r="C399">
        <v>5221.43</v>
      </c>
      <c r="D399">
        <v>7280.42</v>
      </c>
      <c r="E399">
        <v>7800.55</v>
      </c>
      <c r="F399">
        <v>7697.67</v>
      </c>
      <c r="G399">
        <v>8510.69</v>
      </c>
      <c r="H399">
        <v>8973.9500000000007</v>
      </c>
      <c r="I399">
        <v>8128.79</v>
      </c>
      <c r="J399">
        <v>10405.41</v>
      </c>
      <c r="K399">
        <v>9808.19</v>
      </c>
      <c r="L399">
        <v>11246</v>
      </c>
      <c r="M399">
        <v>11712.03</v>
      </c>
      <c r="N399">
        <v>11270.24</v>
      </c>
    </row>
    <row r="400" spans="1:14" x14ac:dyDescent="0.25">
      <c r="A400">
        <v>397</v>
      </c>
      <c r="B400" t="s">
        <v>112</v>
      </c>
      <c r="C400">
        <v>0</v>
      </c>
      <c r="D400">
        <v>0</v>
      </c>
      <c r="E400">
        <v>0</v>
      </c>
      <c r="F400">
        <v>4.7</v>
      </c>
      <c r="G400">
        <v>0</v>
      </c>
      <c r="H400">
        <v>5.23</v>
      </c>
      <c r="I400">
        <v>0</v>
      </c>
      <c r="J400">
        <v>0</v>
      </c>
      <c r="K400">
        <v>0</v>
      </c>
      <c r="L400">
        <v>0</v>
      </c>
      <c r="M400">
        <v>4.49</v>
      </c>
      <c r="N400">
        <v>5.95</v>
      </c>
    </row>
    <row r="401" spans="1:14" x14ac:dyDescent="0.25">
      <c r="A401">
        <v>398</v>
      </c>
      <c r="B401" t="s">
        <v>113</v>
      </c>
    </row>
    <row r="402" spans="1:14" x14ac:dyDescent="0.25">
      <c r="A402">
        <v>399</v>
      </c>
      <c r="B402" t="s">
        <v>115</v>
      </c>
      <c r="C402">
        <v>899.38</v>
      </c>
      <c r="D402">
        <v>969.11</v>
      </c>
      <c r="E402">
        <v>1123.46</v>
      </c>
      <c r="F402">
        <v>1251.49</v>
      </c>
      <c r="G402">
        <v>1368.59</v>
      </c>
      <c r="H402">
        <v>1309.56</v>
      </c>
      <c r="I402">
        <v>1232.8900000000001</v>
      </c>
      <c r="J402">
        <v>1325.97</v>
      </c>
      <c r="K402">
        <v>1257.24</v>
      </c>
      <c r="L402">
        <v>1341.99</v>
      </c>
      <c r="M402">
        <v>1399.36</v>
      </c>
      <c r="N402">
        <v>1294.32</v>
      </c>
    </row>
    <row r="403" spans="1:14" x14ac:dyDescent="0.25">
      <c r="A403">
        <v>400</v>
      </c>
      <c r="B403" t="s">
        <v>116</v>
      </c>
      <c r="C403">
        <v>0</v>
      </c>
      <c r="D403">
        <v>11.879999999999999</v>
      </c>
      <c r="E403">
        <v>37.92</v>
      </c>
      <c r="F403">
        <v>18.579999999999998</v>
      </c>
      <c r="G403">
        <v>24.92</v>
      </c>
      <c r="H403">
        <v>17.55</v>
      </c>
      <c r="I403">
        <v>21.84</v>
      </c>
      <c r="J403">
        <v>22.61</v>
      </c>
      <c r="K403">
        <v>38.28</v>
      </c>
      <c r="L403">
        <v>59.260000000000005</v>
      </c>
      <c r="M403">
        <v>80.14</v>
      </c>
      <c r="N403">
        <v>77.930000000000007</v>
      </c>
    </row>
    <row r="404" spans="1:14" x14ac:dyDescent="0.25">
      <c r="A404">
        <v>401</v>
      </c>
      <c r="B404" t="s">
        <v>118</v>
      </c>
    </row>
    <row r="405" spans="1:14" x14ac:dyDescent="0.25">
      <c r="A405">
        <v>402</v>
      </c>
    </row>
    <row r="406" spans="1:14" x14ac:dyDescent="0.25">
      <c r="A406">
        <v>403</v>
      </c>
      <c r="B406" s="7" t="s">
        <v>66</v>
      </c>
      <c r="C406" s="2" t="s">
        <v>6</v>
      </c>
      <c r="D406" s="2" t="s">
        <v>7</v>
      </c>
      <c r="E406" s="2" t="s">
        <v>8</v>
      </c>
      <c r="F406" s="2" t="s">
        <v>9</v>
      </c>
      <c r="G406" s="2" t="s">
        <v>10</v>
      </c>
      <c r="H406" s="2" t="s">
        <v>11</v>
      </c>
      <c r="I406" s="2" t="s">
        <v>12</v>
      </c>
      <c r="J406" s="2" t="s">
        <v>13</v>
      </c>
      <c r="K406" s="2" t="s">
        <v>14</v>
      </c>
      <c r="L406" s="2" t="s">
        <v>15</v>
      </c>
      <c r="M406" s="2" t="s">
        <v>16</v>
      </c>
      <c r="N406" s="2" t="s">
        <v>17</v>
      </c>
    </row>
    <row r="407" spans="1:14" x14ac:dyDescent="0.25">
      <c r="A407">
        <v>404</v>
      </c>
      <c r="B407" t="s">
        <v>110</v>
      </c>
      <c r="C407">
        <v>12189.215</v>
      </c>
      <c r="D407">
        <v>8895.93</v>
      </c>
      <c r="E407">
        <v>11711.73</v>
      </c>
      <c r="F407">
        <v>13614.62</v>
      </c>
      <c r="G407">
        <v>15078.81</v>
      </c>
      <c r="H407">
        <v>13389.654999999999</v>
      </c>
      <c r="I407">
        <v>10784.405000000001</v>
      </c>
      <c r="J407">
        <v>10576.705</v>
      </c>
      <c r="K407">
        <v>9428.0849999999991</v>
      </c>
      <c r="L407">
        <v>10940.605</v>
      </c>
      <c r="M407">
        <v>10955.9</v>
      </c>
    </row>
    <row r="408" spans="1:14" x14ac:dyDescent="0.25">
      <c r="A408">
        <v>405</v>
      </c>
      <c r="B408" t="s">
        <v>114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83.92</v>
      </c>
      <c r="I408">
        <v>2244.8000000000002</v>
      </c>
      <c r="J408">
        <v>2366.48</v>
      </c>
      <c r="K408">
        <v>2086.94</v>
      </c>
      <c r="L408">
        <v>2198.56</v>
      </c>
      <c r="M408">
        <v>2432.6999999999998</v>
      </c>
    </row>
    <row r="409" spans="1:14" x14ac:dyDescent="0.25">
      <c r="A409">
        <v>406</v>
      </c>
      <c r="B409" t="s">
        <v>111</v>
      </c>
      <c r="C409">
        <v>11091.56</v>
      </c>
      <c r="D409">
        <v>8386.86</v>
      </c>
      <c r="E409">
        <v>12833.58</v>
      </c>
      <c r="F409">
        <v>12565.09</v>
      </c>
      <c r="G409">
        <v>15229.66</v>
      </c>
      <c r="H409">
        <v>15881.17</v>
      </c>
      <c r="I409">
        <v>15858.72</v>
      </c>
      <c r="J409">
        <v>15227.73</v>
      </c>
      <c r="K409">
        <v>13767.8</v>
      </c>
      <c r="L409">
        <v>16105.58</v>
      </c>
      <c r="M409">
        <v>15702.91</v>
      </c>
    </row>
    <row r="410" spans="1:14" x14ac:dyDescent="0.25">
      <c r="A410">
        <v>407</v>
      </c>
      <c r="B410" t="s">
        <v>112</v>
      </c>
      <c r="C410">
        <v>130.18</v>
      </c>
      <c r="D410">
        <v>0</v>
      </c>
      <c r="E410">
        <v>0</v>
      </c>
      <c r="F410">
        <v>198.2</v>
      </c>
      <c r="G410">
        <v>208.5</v>
      </c>
      <c r="H410">
        <v>211.9</v>
      </c>
      <c r="I410">
        <v>215.87</v>
      </c>
      <c r="J410">
        <v>209.88</v>
      </c>
      <c r="K410">
        <v>208.32</v>
      </c>
      <c r="L410">
        <v>214.04</v>
      </c>
      <c r="M410">
        <v>49.64</v>
      </c>
    </row>
    <row r="411" spans="1:14" x14ac:dyDescent="0.25">
      <c r="A411">
        <v>408</v>
      </c>
      <c r="B411" t="s">
        <v>113</v>
      </c>
    </row>
    <row r="412" spans="1:14" x14ac:dyDescent="0.25">
      <c r="A412">
        <v>409</v>
      </c>
      <c r="B412" t="s">
        <v>115</v>
      </c>
      <c r="C412">
        <v>1203.32</v>
      </c>
      <c r="D412">
        <v>1045.56</v>
      </c>
      <c r="E412">
        <v>1877.68</v>
      </c>
      <c r="F412">
        <v>1378.79</v>
      </c>
      <c r="G412">
        <v>1649.23</v>
      </c>
      <c r="H412">
        <v>1388.37</v>
      </c>
      <c r="I412">
        <v>1393.05</v>
      </c>
      <c r="J412">
        <v>1656.82</v>
      </c>
      <c r="K412">
        <v>1606.77</v>
      </c>
      <c r="L412">
        <v>1846.37</v>
      </c>
      <c r="M412">
        <v>1910.54</v>
      </c>
    </row>
    <row r="413" spans="1:14" x14ac:dyDescent="0.25">
      <c r="A413">
        <v>410</v>
      </c>
      <c r="B413" t="s">
        <v>116</v>
      </c>
      <c r="C413">
        <v>119.61999999999999</v>
      </c>
      <c r="D413">
        <v>143.02000000000001</v>
      </c>
      <c r="E413">
        <v>250.89</v>
      </c>
      <c r="F413">
        <v>251.02999999999997</v>
      </c>
      <c r="G413">
        <v>356.60999999999996</v>
      </c>
      <c r="H413">
        <v>327.90000000000003</v>
      </c>
      <c r="I413">
        <v>401.29999999999995</v>
      </c>
      <c r="J413">
        <v>473.93</v>
      </c>
      <c r="K413">
        <v>465.44999999999993</v>
      </c>
      <c r="L413">
        <v>520.19000000000005</v>
      </c>
      <c r="M413">
        <v>455.28</v>
      </c>
    </row>
    <row r="414" spans="1:14" x14ac:dyDescent="0.25">
      <c r="A414">
        <v>411</v>
      </c>
      <c r="B414" t="s">
        <v>118</v>
      </c>
    </row>
    <row r="415" spans="1:14" x14ac:dyDescent="0.25">
      <c r="A415">
        <v>412</v>
      </c>
    </row>
    <row r="416" spans="1:14" x14ac:dyDescent="0.25">
      <c r="A416">
        <v>413</v>
      </c>
      <c r="B416" s="84" t="s">
        <v>117</v>
      </c>
    </row>
    <row r="417" spans="1:14" x14ac:dyDescent="0.25">
      <c r="A417">
        <v>414</v>
      </c>
      <c r="B417" s="7" t="s">
        <v>68</v>
      </c>
      <c r="C417" s="2" t="s">
        <v>6</v>
      </c>
      <c r="D417" s="2" t="s">
        <v>7</v>
      </c>
      <c r="E417" s="2" t="s">
        <v>8</v>
      </c>
      <c r="F417" s="2" t="s">
        <v>9</v>
      </c>
      <c r="G417" s="2" t="s">
        <v>10</v>
      </c>
      <c r="H417" s="2" t="s">
        <v>11</v>
      </c>
      <c r="I417" s="2" t="s">
        <v>12</v>
      </c>
      <c r="J417" s="2" t="s">
        <v>13</v>
      </c>
      <c r="K417" s="2" t="s">
        <v>14</v>
      </c>
      <c r="L417" s="2" t="s">
        <v>15</v>
      </c>
      <c r="M417" s="2" t="s">
        <v>16</v>
      </c>
      <c r="N417" s="2" t="s">
        <v>17</v>
      </c>
    </row>
    <row r="418" spans="1:14" x14ac:dyDescent="0.25">
      <c r="A418">
        <v>415</v>
      </c>
      <c r="B418" t="s">
        <v>110</v>
      </c>
      <c r="C418">
        <v>48000</v>
      </c>
      <c r="D418">
        <v>48000</v>
      </c>
      <c r="E418">
        <v>48000</v>
      </c>
      <c r="F418">
        <v>48000</v>
      </c>
      <c r="G418">
        <v>48000</v>
      </c>
      <c r="H418">
        <v>48000</v>
      </c>
      <c r="I418">
        <v>48000</v>
      </c>
      <c r="J418">
        <v>48000</v>
      </c>
      <c r="K418">
        <v>48000</v>
      </c>
      <c r="L418">
        <v>48000</v>
      </c>
      <c r="M418">
        <v>48000</v>
      </c>
      <c r="N418">
        <v>48000</v>
      </c>
    </row>
    <row r="419" spans="1:14" x14ac:dyDescent="0.25">
      <c r="A419">
        <v>416</v>
      </c>
      <c r="B419" t="s">
        <v>114</v>
      </c>
      <c r="F419">
        <v>12000</v>
      </c>
      <c r="G419">
        <v>12000</v>
      </c>
      <c r="H419">
        <v>12000</v>
      </c>
      <c r="I419">
        <v>12000</v>
      </c>
      <c r="J419">
        <v>12000</v>
      </c>
      <c r="K419">
        <v>12000</v>
      </c>
      <c r="L419">
        <v>18000</v>
      </c>
      <c r="M419">
        <v>18000</v>
      </c>
      <c r="N419">
        <v>18000</v>
      </c>
    </row>
    <row r="420" spans="1:14" x14ac:dyDescent="0.25">
      <c r="A420">
        <v>417</v>
      </c>
      <c r="B420" t="s">
        <v>111</v>
      </c>
      <c r="C420">
        <v>60000</v>
      </c>
      <c r="D420">
        <v>60000</v>
      </c>
      <c r="E420">
        <v>60000</v>
      </c>
      <c r="F420">
        <v>60000</v>
      </c>
      <c r="G420">
        <v>60000</v>
      </c>
      <c r="H420">
        <v>60000</v>
      </c>
      <c r="I420">
        <v>60000</v>
      </c>
      <c r="J420">
        <v>60000</v>
      </c>
      <c r="K420">
        <v>60000</v>
      </c>
      <c r="L420">
        <v>60000</v>
      </c>
      <c r="M420">
        <v>60000</v>
      </c>
      <c r="N420">
        <v>60000</v>
      </c>
    </row>
    <row r="421" spans="1:14" x14ac:dyDescent="0.25">
      <c r="A421">
        <v>418</v>
      </c>
      <c r="B421" t="s">
        <v>112</v>
      </c>
      <c r="C421">
        <v>45000</v>
      </c>
      <c r="D421">
        <v>45000</v>
      </c>
      <c r="E421">
        <v>45000</v>
      </c>
      <c r="F421">
        <v>45000</v>
      </c>
      <c r="G421">
        <v>45000</v>
      </c>
      <c r="H421">
        <v>45000</v>
      </c>
      <c r="I421">
        <v>45000</v>
      </c>
      <c r="J421">
        <v>45000</v>
      </c>
      <c r="K421">
        <v>45000</v>
      </c>
      <c r="L421">
        <v>45000</v>
      </c>
      <c r="M421">
        <v>45000</v>
      </c>
      <c r="N421">
        <v>45000</v>
      </c>
    </row>
    <row r="422" spans="1:14" x14ac:dyDescent="0.25">
      <c r="A422">
        <v>419</v>
      </c>
      <c r="B422" t="s">
        <v>113</v>
      </c>
      <c r="C422">
        <v>36000</v>
      </c>
      <c r="D422">
        <v>36000</v>
      </c>
      <c r="E422">
        <v>36000</v>
      </c>
      <c r="F422">
        <v>36000</v>
      </c>
      <c r="G422">
        <v>36000</v>
      </c>
      <c r="H422">
        <v>36000</v>
      </c>
      <c r="I422">
        <v>36000</v>
      </c>
      <c r="J422">
        <v>36000</v>
      </c>
      <c r="K422">
        <v>36000</v>
      </c>
      <c r="L422">
        <v>36000</v>
      </c>
      <c r="M422">
        <v>36000</v>
      </c>
      <c r="N422">
        <v>36000</v>
      </c>
    </row>
    <row r="423" spans="1:14" x14ac:dyDescent="0.25">
      <c r="A423">
        <v>420</v>
      </c>
      <c r="B423" t="s">
        <v>115</v>
      </c>
      <c r="C423">
        <v>60000</v>
      </c>
      <c r="D423">
        <v>60000</v>
      </c>
      <c r="E423">
        <v>60000</v>
      </c>
      <c r="F423">
        <v>60000</v>
      </c>
      <c r="G423">
        <v>60000</v>
      </c>
      <c r="H423">
        <v>60000</v>
      </c>
      <c r="I423">
        <v>60000</v>
      </c>
      <c r="J423">
        <v>60000</v>
      </c>
      <c r="K423">
        <v>60000</v>
      </c>
      <c r="L423">
        <v>60000</v>
      </c>
      <c r="M423">
        <v>60000</v>
      </c>
      <c r="N423">
        <v>60000</v>
      </c>
    </row>
    <row r="424" spans="1:14" x14ac:dyDescent="0.25">
      <c r="A424">
        <v>421</v>
      </c>
      <c r="B424" t="s">
        <v>116</v>
      </c>
      <c r="C424">
        <v>60000</v>
      </c>
      <c r="D424">
        <v>60000</v>
      </c>
      <c r="E424">
        <v>60000</v>
      </c>
      <c r="F424">
        <v>60000</v>
      </c>
      <c r="G424">
        <v>60000</v>
      </c>
      <c r="H424">
        <v>60000</v>
      </c>
      <c r="I424">
        <v>60000</v>
      </c>
      <c r="J424">
        <v>60000</v>
      </c>
      <c r="K424">
        <v>60000</v>
      </c>
      <c r="L424">
        <v>60000</v>
      </c>
      <c r="M424">
        <v>60000</v>
      </c>
      <c r="N424">
        <v>60000</v>
      </c>
    </row>
    <row r="425" spans="1:14" x14ac:dyDescent="0.25">
      <c r="A425">
        <v>422</v>
      </c>
      <c r="B425" t="s">
        <v>118</v>
      </c>
    </row>
    <row r="426" spans="1:14" x14ac:dyDescent="0.25">
      <c r="A426">
        <v>423</v>
      </c>
    </row>
    <row r="427" spans="1:14" x14ac:dyDescent="0.25">
      <c r="A427">
        <v>424</v>
      </c>
      <c r="B427" s="7" t="s">
        <v>67</v>
      </c>
      <c r="C427" s="2" t="s">
        <v>6</v>
      </c>
      <c r="D427" s="2" t="s">
        <v>7</v>
      </c>
      <c r="E427" s="2" t="s">
        <v>8</v>
      </c>
      <c r="F427" s="2" t="s">
        <v>9</v>
      </c>
      <c r="G427" s="2" t="s">
        <v>10</v>
      </c>
      <c r="H427" s="2" t="s">
        <v>11</v>
      </c>
      <c r="I427" s="2" t="s">
        <v>12</v>
      </c>
      <c r="J427" s="2" t="s">
        <v>13</v>
      </c>
      <c r="K427" s="2" t="s">
        <v>14</v>
      </c>
      <c r="L427" s="2" t="s">
        <v>15</v>
      </c>
      <c r="M427" s="2" t="s">
        <v>16</v>
      </c>
      <c r="N427" s="2" t="s">
        <v>17</v>
      </c>
    </row>
    <row r="428" spans="1:14" x14ac:dyDescent="0.25">
      <c r="A428">
        <v>425</v>
      </c>
      <c r="B428" t="s">
        <v>110</v>
      </c>
      <c r="C428">
        <v>48000</v>
      </c>
      <c r="D428">
        <v>48000</v>
      </c>
      <c r="E428">
        <v>48000</v>
      </c>
      <c r="F428">
        <v>48000</v>
      </c>
      <c r="G428">
        <v>48000</v>
      </c>
      <c r="H428">
        <v>48000</v>
      </c>
      <c r="I428">
        <v>48000</v>
      </c>
      <c r="J428">
        <v>48000</v>
      </c>
      <c r="K428">
        <v>48000</v>
      </c>
      <c r="L428">
        <v>48000</v>
      </c>
      <c r="M428">
        <v>48000</v>
      </c>
      <c r="N428">
        <v>48000</v>
      </c>
    </row>
    <row r="429" spans="1:14" x14ac:dyDescent="0.25">
      <c r="A429">
        <v>426</v>
      </c>
      <c r="B429" t="s">
        <v>114</v>
      </c>
      <c r="C429">
        <v>18000</v>
      </c>
      <c r="D429">
        <v>18000</v>
      </c>
      <c r="E429">
        <v>18000</v>
      </c>
      <c r="F429">
        <v>18000</v>
      </c>
      <c r="G429">
        <v>18000</v>
      </c>
      <c r="H429">
        <v>18000</v>
      </c>
      <c r="I429">
        <v>18000</v>
      </c>
      <c r="J429">
        <v>18000</v>
      </c>
      <c r="K429">
        <v>18000</v>
      </c>
      <c r="L429">
        <v>18000</v>
      </c>
      <c r="M429">
        <v>18000</v>
      </c>
      <c r="N429">
        <v>18000</v>
      </c>
    </row>
    <row r="430" spans="1:14" x14ac:dyDescent="0.25">
      <c r="A430">
        <v>427</v>
      </c>
      <c r="B430" t="s">
        <v>111</v>
      </c>
      <c r="C430">
        <v>60000</v>
      </c>
      <c r="D430">
        <v>60000</v>
      </c>
      <c r="E430">
        <v>60000</v>
      </c>
      <c r="F430">
        <v>60000</v>
      </c>
      <c r="G430">
        <v>60000</v>
      </c>
      <c r="H430">
        <v>60000</v>
      </c>
      <c r="I430">
        <v>60000</v>
      </c>
      <c r="J430">
        <v>60000</v>
      </c>
      <c r="K430">
        <v>60000</v>
      </c>
      <c r="L430">
        <v>60000</v>
      </c>
      <c r="M430">
        <v>60000</v>
      </c>
      <c r="N430">
        <v>60000</v>
      </c>
    </row>
    <row r="431" spans="1:14" x14ac:dyDescent="0.25">
      <c r="A431">
        <v>428</v>
      </c>
      <c r="B431" t="s">
        <v>112</v>
      </c>
      <c r="C431">
        <v>45000</v>
      </c>
      <c r="D431">
        <v>45000</v>
      </c>
      <c r="E431">
        <v>45000</v>
      </c>
      <c r="F431">
        <v>45000</v>
      </c>
      <c r="G431">
        <v>45000</v>
      </c>
      <c r="H431">
        <v>45000</v>
      </c>
      <c r="I431">
        <v>45000</v>
      </c>
      <c r="J431">
        <v>45000</v>
      </c>
      <c r="K431">
        <v>45000</v>
      </c>
      <c r="L431">
        <v>45000</v>
      </c>
      <c r="M431">
        <v>45000</v>
      </c>
      <c r="N431">
        <v>45000</v>
      </c>
    </row>
    <row r="432" spans="1:14" x14ac:dyDescent="0.25">
      <c r="A432">
        <v>429</v>
      </c>
      <c r="B432" t="s">
        <v>113</v>
      </c>
      <c r="C432">
        <v>36000</v>
      </c>
      <c r="D432">
        <v>36000</v>
      </c>
      <c r="E432">
        <v>36000</v>
      </c>
      <c r="F432">
        <v>36000</v>
      </c>
      <c r="G432">
        <v>36000</v>
      </c>
      <c r="H432">
        <v>36000</v>
      </c>
      <c r="I432">
        <v>36000</v>
      </c>
      <c r="J432">
        <v>36000</v>
      </c>
      <c r="K432">
        <v>36000</v>
      </c>
      <c r="L432">
        <v>36000</v>
      </c>
      <c r="M432">
        <v>36000</v>
      </c>
      <c r="N432">
        <v>36000</v>
      </c>
    </row>
    <row r="433" spans="1:14" x14ac:dyDescent="0.25">
      <c r="A433">
        <v>430</v>
      </c>
      <c r="B433" t="s">
        <v>115</v>
      </c>
      <c r="C433">
        <v>60000</v>
      </c>
      <c r="D433">
        <v>60000</v>
      </c>
      <c r="E433">
        <v>60000</v>
      </c>
      <c r="F433">
        <v>60000</v>
      </c>
      <c r="G433">
        <v>60000</v>
      </c>
      <c r="H433">
        <v>60000</v>
      </c>
      <c r="I433">
        <v>60000</v>
      </c>
      <c r="J433">
        <v>60000</v>
      </c>
      <c r="K433">
        <v>60000</v>
      </c>
      <c r="L433">
        <v>60000</v>
      </c>
      <c r="M433">
        <v>60000</v>
      </c>
      <c r="N433">
        <v>60000</v>
      </c>
    </row>
    <row r="434" spans="1:14" x14ac:dyDescent="0.25">
      <c r="A434">
        <v>431</v>
      </c>
      <c r="B434" t="s">
        <v>116</v>
      </c>
      <c r="C434">
        <v>60000</v>
      </c>
      <c r="D434">
        <v>60000</v>
      </c>
      <c r="E434">
        <v>60000</v>
      </c>
      <c r="F434">
        <v>60000</v>
      </c>
      <c r="G434">
        <v>60000</v>
      </c>
      <c r="H434">
        <v>60000</v>
      </c>
      <c r="I434">
        <v>60000</v>
      </c>
      <c r="J434">
        <v>60000</v>
      </c>
      <c r="K434">
        <v>60000</v>
      </c>
      <c r="L434">
        <v>60000</v>
      </c>
      <c r="M434">
        <v>60000</v>
      </c>
      <c r="N434">
        <v>60000</v>
      </c>
    </row>
    <row r="435" spans="1:14" x14ac:dyDescent="0.25">
      <c r="A435">
        <v>432</v>
      </c>
      <c r="B435" t="s">
        <v>118</v>
      </c>
    </row>
    <row r="436" spans="1:14" x14ac:dyDescent="0.25">
      <c r="A436">
        <v>433</v>
      </c>
    </row>
    <row r="437" spans="1:14" x14ac:dyDescent="0.25">
      <c r="A437">
        <v>434</v>
      </c>
      <c r="B437" s="7" t="s">
        <v>66</v>
      </c>
      <c r="C437" s="2" t="s">
        <v>6</v>
      </c>
      <c r="D437" s="2" t="s">
        <v>7</v>
      </c>
      <c r="E437" s="2" t="s">
        <v>8</v>
      </c>
      <c r="F437" s="2" t="s">
        <v>9</v>
      </c>
      <c r="G437" s="2" t="s">
        <v>10</v>
      </c>
      <c r="H437" s="2" t="s">
        <v>11</v>
      </c>
      <c r="I437" s="2" t="s">
        <v>12</v>
      </c>
      <c r="J437" s="2" t="s">
        <v>13</v>
      </c>
      <c r="K437" s="2" t="s">
        <v>14</v>
      </c>
      <c r="L437" s="2" t="s">
        <v>15</v>
      </c>
      <c r="M437" s="2" t="s">
        <v>16</v>
      </c>
      <c r="N437" s="2" t="s">
        <v>17</v>
      </c>
    </row>
    <row r="438" spans="1:14" x14ac:dyDescent="0.25">
      <c r="A438">
        <v>435</v>
      </c>
      <c r="B438" t="s">
        <v>110</v>
      </c>
      <c r="C438">
        <v>48000</v>
      </c>
      <c r="D438">
        <v>48000</v>
      </c>
      <c r="E438">
        <v>48000</v>
      </c>
      <c r="F438">
        <v>48000</v>
      </c>
      <c r="G438">
        <v>48000</v>
      </c>
      <c r="H438">
        <v>48000</v>
      </c>
      <c r="I438">
        <v>48000</v>
      </c>
      <c r="J438">
        <v>48000</v>
      </c>
      <c r="K438">
        <v>48000</v>
      </c>
      <c r="L438">
        <v>48000</v>
      </c>
      <c r="M438">
        <v>48000</v>
      </c>
      <c r="N438">
        <v>48000</v>
      </c>
    </row>
    <row r="439" spans="1:14" x14ac:dyDescent="0.25">
      <c r="A439">
        <v>436</v>
      </c>
      <c r="B439" t="s">
        <v>114</v>
      </c>
      <c r="C439">
        <v>24000</v>
      </c>
      <c r="D439">
        <v>24000</v>
      </c>
      <c r="E439">
        <v>24000</v>
      </c>
      <c r="F439">
        <v>24000</v>
      </c>
      <c r="G439">
        <v>24000</v>
      </c>
      <c r="H439">
        <v>24000</v>
      </c>
      <c r="I439">
        <v>24000</v>
      </c>
      <c r="J439">
        <v>24000</v>
      </c>
      <c r="K439">
        <v>24000</v>
      </c>
      <c r="L439">
        <v>24000</v>
      </c>
      <c r="M439">
        <v>24000</v>
      </c>
      <c r="N439">
        <v>24000</v>
      </c>
    </row>
    <row r="440" spans="1:14" x14ac:dyDescent="0.25">
      <c r="A440">
        <v>437</v>
      </c>
      <c r="B440" t="s">
        <v>111</v>
      </c>
      <c r="C440">
        <v>60000</v>
      </c>
      <c r="D440">
        <v>60000</v>
      </c>
      <c r="E440">
        <v>60000</v>
      </c>
      <c r="F440">
        <v>60000</v>
      </c>
      <c r="G440">
        <v>60000</v>
      </c>
      <c r="H440">
        <v>60000</v>
      </c>
      <c r="I440">
        <v>65000</v>
      </c>
      <c r="J440">
        <v>65000</v>
      </c>
      <c r="K440">
        <v>65000</v>
      </c>
      <c r="L440">
        <v>65000</v>
      </c>
      <c r="M440">
        <v>65000</v>
      </c>
      <c r="N440">
        <v>65000</v>
      </c>
    </row>
    <row r="441" spans="1:14" x14ac:dyDescent="0.25">
      <c r="A441">
        <v>438</v>
      </c>
      <c r="B441" t="s">
        <v>112</v>
      </c>
      <c r="C441">
        <v>45000</v>
      </c>
      <c r="D441">
        <v>45000</v>
      </c>
      <c r="E441">
        <v>45000</v>
      </c>
      <c r="F441">
        <v>45000</v>
      </c>
      <c r="G441">
        <v>45000</v>
      </c>
      <c r="H441">
        <v>45000</v>
      </c>
      <c r="I441">
        <v>45000</v>
      </c>
      <c r="J441">
        <v>45000</v>
      </c>
      <c r="K441">
        <v>45000</v>
      </c>
      <c r="L441">
        <v>45000</v>
      </c>
      <c r="M441">
        <v>45000</v>
      </c>
      <c r="N441">
        <v>45000</v>
      </c>
    </row>
    <row r="442" spans="1:14" x14ac:dyDescent="0.25">
      <c r="A442">
        <v>439</v>
      </c>
      <c r="B442" t="s">
        <v>113</v>
      </c>
      <c r="C442">
        <v>36000</v>
      </c>
      <c r="D442">
        <v>36000</v>
      </c>
      <c r="E442">
        <v>36000</v>
      </c>
      <c r="F442">
        <v>36000</v>
      </c>
      <c r="G442">
        <v>36000</v>
      </c>
      <c r="H442">
        <v>36000</v>
      </c>
      <c r="I442">
        <v>40000</v>
      </c>
      <c r="J442">
        <v>40000</v>
      </c>
      <c r="K442">
        <v>40000</v>
      </c>
      <c r="L442">
        <v>40000</v>
      </c>
      <c r="M442">
        <v>40000</v>
      </c>
      <c r="N442">
        <v>40000</v>
      </c>
    </row>
    <row r="443" spans="1:14" x14ac:dyDescent="0.25">
      <c r="A443">
        <v>440</v>
      </c>
      <c r="B443" t="s">
        <v>115</v>
      </c>
      <c r="C443">
        <v>60000</v>
      </c>
      <c r="D443">
        <v>60000</v>
      </c>
      <c r="E443">
        <v>60000</v>
      </c>
      <c r="F443">
        <v>60000</v>
      </c>
      <c r="G443">
        <v>60000</v>
      </c>
      <c r="H443">
        <v>60000</v>
      </c>
      <c r="I443">
        <v>60000</v>
      </c>
      <c r="J443">
        <v>60000</v>
      </c>
      <c r="K443">
        <v>60000</v>
      </c>
      <c r="L443">
        <v>60000</v>
      </c>
      <c r="M443">
        <v>60000</v>
      </c>
      <c r="N443">
        <v>60000</v>
      </c>
    </row>
    <row r="444" spans="1:14" x14ac:dyDescent="0.25">
      <c r="A444">
        <v>441</v>
      </c>
      <c r="B444" t="s">
        <v>116</v>
      </c>
      <c r="C444">
        <v>60000</v>
      </c>
      <c r="D444">
        <v>60000</v>
      </c>
      <c r="E444">
        <v>60000</v>
      </c>
      <c r="F444">
        <v>60000</v>
      </c>
      <c r="G444">
        <v>60000</v>
      </c>
      <c r="H444">
        <v>60000</v>
      </c>
      <c r="I444">
        <v>60000</v>
      </c>
      <c r="J444">
        <v>60000</v>
      </c>
      <c r="K444">
        <v>60000</v>
      </c>
      <c r="L444">
        <v>60000</v>
      </c>
      <c r="M444">
        <v>60000</v>
      </c>
      <c r="N444">
        <v>60000</v>
      </c>
    </row>
    <row r="445" spans="1:14" x14ac:dyDescent="0.25">
      <c r="A445">
        <v>442</v>
      </c>
      <c r="B445" t="s">
        <v>118</v>
      </c>
    </row>
    <row r="446" spans="1:14" x14ac:dyDescent="0.25">
      <c r="A446">
        <v>443</v>
      </c>
    </row>
    <row r="447" spans="1:14" x14ac:dyDescent="0.25">
      <c r="A447">
        <v>444</v>
      </c>
      <c r="B447" t="s">
        <v>30</v>
      </c>
    </row>
    <row r="448" spans="1:14" x14ac:dyDescent="0.25">
      <c r="A448">
        <v>445</v>
      </c>
      <c r="B448" s="7" t="s">
        <v>68</v>
      </c>
      <c r="C448" s="2" t="s">
        <v>6</v>
      </c>
      <c r="D448" s="2" t="s">
        <v>7</v>
      </c>
      <c r="E448" s="2" t="s">
        <v>8</v>
      </c>
      <c r="F448" s="2" t="s">
        <v>9</v>
      </c>
      <c r="G448" s="2" t="s">
        <v>10</v>
      </c>
      <c r="H448" s="2" t="s">
        <v>11</v>
      </c>
      <c r="I448" s="2" t="s">
        <v>12</v>
      </c>
      <c r="J448" s="2" t="s">
        <v>13</v>
      </c>
      <c r="K448" s="2" t="s">
        <v>14</v>
      </c>
      <c r="L448" s="2" t="s">
        <v>15</v>
      </c>
      <c r="M448" s="2" t="s">
        <v>16</v>
      </c>
      <c r="N448" s="2" t="s">
        <v>17</v>
      </c>
    </row>
    <row r="449" spans="1:14" x14ac:dyDescent="0.25">
      <c r="A449">
        <v>446</v>
      </c>
      <c r="B449" t="s">
        <v>110</v>
      </c>
      <c r="C449" s="15">
        <v>4399.5448260000003</v>
      </c>
      <c r="D449" s="15">
        <v>3525.8889180000001</v>
      </c>
      <c r="E449" s="15">
        <v>4078.9988320000002</v>
      </c>
      <c r="F449" s="15">
        <v>3968.6903459999999</v>
      </c>
      <c r="G449" s="15">
        <v>4638.6374169999999</v>
      </c>
      <c r="H449" s="15">
        <v>4390.6287199999997</v>
      </c>
      <c r="I449" s="15">
        <v>4409.1752749999996</v>
      </c>
      <c r="J449" s="15">
        <v>4285.7794409999997</v>
      </c>
      <c r="K449" s="15">
        <v>4471.7875169999998</v>
      </c>
      <c r="L449" s="15">
        <v>4863.3358879999996</v>
      </c>
      <c r="M449" s="15">
        <v>4373.7088359999998</v>
      </c>
      <c r="N449" s="15">
        <v>4991.7057000000004</v>
      </c>
    </row>
    <row r="450" spans="1:14" x14ac:dyDescent="0.25">
      <c r="A450">
        <v>447</v>
      </c>
      <c r="B450" t="s">
        <v>114</v>
      </c>
      <c r="C450" s="15">
        <v>0</v>
      </c>
      <c r="D450" s="15">
        <v>0</v>
      </c>
      <c r="E450" s="15">
        <v>0</v>
      </c>
      <c r="F450" s="15">
        <v>0</v>
      </c>
      <c r="G450" s="15">
        <v>41.631659999999997</v>
      </c>
      <c r="H450" s="15">
        <v>468.49212</v>
      </c>
      <c r="I450" s="15">
        <v>660.34034099999997</v>
      </c>
      <c r="J450" s="15">
        <v>762.24201600000004</v>
      </c>
      <c r="K450" s="15">
        <v>892.06153200000006</v>
      </c>
      <c r="L450" s="15">
        <v>1144.1199590000001</v>
      </c>
      <c r="M450" s="15">
        <v>1196.87817</v>
      </c>
      <c r="N450" s="15">
        <v>1355.866638</v>
      </c>
    </row>
    <row r="451" spans="1:14" x14ac:dyDescent="0.25">
      <c r="A451">
        <v>448</v>
      </c>
      <c r="B451" t="s">
        <v>111</v>
      </c>
      <c r="C451" s="15">
        <v>5405.1441210000003</v>
      </c>
      <c r="D451" s="15">
        <v>3768.169046</v>
      </c>
      <c r="E451" s="15">
        <v>5092.0654690000001</v>
      </c>
      <c r="F451" s="15">
        <v>4877.1346750000002</v>
      </c>
      <c r="G451" s="15">
        <v>5222.3797670000004</v>
      </c>
      <c r="H451" s="15">
        <v>5421.791408</v>
      </c>
      <c r="I451" s="15">
        <v>5494.3262109999996</v>
      </c>
      <c r="J451" s="15">
        <v>5348.3618399999996</v>
      </c>
      <c r="K451" s="15">
        <v>5220.5466409999999</v>
      </c>
      <c r="L451" s="15">
        <v>5295.2821800000002</v>
      </c>
      <c r="M451" s="15">
        <v>5158.5049330000002</v>
      </c>
      <c r="N451" s="15">
        <v>5802.5342479999999</v>
      </c>
    </row>
    <row r="452" spans="1:14" x14ac:dyDescent="0.25">
      <c r="A452">
        <v>449</v>
      </c>
      <c r="B452" t="s">
        <v>112</v>
      </c>
      <c r="C452" s="15">
        <v>5153.6960849999996</v>
      </c>
      <c r="D452" s="15">
        <v>3937.0083650000001</v>
      </c>
      <c r="E452" s="15">
        <v>4859.8769659999998</v>
      </c>
      <c r="F452" s="15">
        <v>4746.5118679999996</v>
      </c>
      <c r="G452" s="15">
        <v>4872.3075840000001</v>
      </c>
      <c r="H452" s="15">
        <v>4788.4124499999998</v>
      </c>
      <c r="I452" s="15">
        <v>5193.4421329999996</v>
      </c>
      <c r="J452" s="15">
        <v>5090.8916090000002</v>
      </c>
      <c r="K452" s="15">
        <v>4624.0055039999997</v>
      </c>
      <c r="L452" s="15">
        <v>5270.3215559999999</v>
      </c>
      <c r="M452" s="15">
        <v>4870.415782</v>
      </c>
      <c r="N452" s="15">
        <v>5246.4796779999997</v>
      </c>
    </row>
    <row r="453" spans="1:14" x14ac:dyDescent="0.25">
      <c r="A453">
        <v>450</v>
      </c>
      <c r="B453" t="s">
        <v>113</v>
      </c>
      <c r="C453" s="15">
        <v>3498.4980059999998</v>
      </c>
      <c r="D453" s="15">
        <v>1977.099485</v>
      </c>
      <c r="E453" s="15">
        <v>3281.5787319999999</v>
      </c>
      <c r="F453" s="15">
        <v>2875.983565</v>
      </c>
      <c r="G453" s="15">
        <v>2940.5285690000001</v>
      </c>
      <c r="H453" s="15">
        <v>3714.820397</v>
      </c>
      <c r="I453" s="15">
        <v>3450.2173269999998</v>
      </c>
      <c r="J453" s="15">
        <v>4016.6235539999998</v>
      </c>
      <c r="K453" s="15">
        <v>3890.7656750000001</v>
      </c>
      <c r="L453" s="15">
        <v>4295.9866480000001</v>
      </c>
      <c r="M453" s="15">
        <v>4261.6963130000004</v>
      </c>
      <c r="N453" s="15">
        <v>4686.9733610000003</v>
      </c>
    </row>
    <row r="454" spans="1:14" x14ac:dyDescent="0.25">
      <c r="A454">
        <v>451</v>
      </c>
      <c r="B454" t="s">
        <v>115</v>
      </c>
      <c r="C454" s="15">
        <v>9567.4927599999992</v>
      </c>
      <c r="D454" s="15">
        <v>6974.7267149999998</v>
      </c>
      <c r="E454" s="15">
        <v>9536.2410139999993</v>
      </c>
      <c r="F454" s="15">
        <v>9152.1290590000008</v>
      </c>
      <c r="G454" s="15">
        <v>9312.2127970000001</v>
      </c>
      <c r="H454" s="15">
        <v>9442.9657989999996</v>
      </c>
      <c r="I454" s="15">
        <v>9276.0218920000007</v>
      </c>
      <c r="J454" s="15">
        <v>9861.6648299999997</v>
      </c>
      <c r="K454" s="15">
        <v>10189.111601000001</v>
      </c>
      <c r="L454" s="15">
        <v>10432.527833</v>
      </c>
      <c r="M454" s="15">
        <v>9838.4369299999998</v>
      </c>
      <c r="N454" s="15">
        <v>10448.352720000001</v>
      </c>
    </row>
    <row r="455" spans="1:14" x14ac:dyDescent="0.25">
      <c r="A455">
        <v>452</v>
      </c>
      <c r="B455" t="s">
        <v>116</v>
      </c>
      <c r="C455" s="15">
        <v>9961.6449250000005</v>
      </c>
      <c r="D455" s="15">
        <v>7366.2204039999997</v>
      </c>
      <c r="E455" s="15">
        <v>8116.0520749999996</v>
      </c>
      <c r="F455" s="15">
        <v>8271.2362040000007</v>
      </c>
      <c r="G455" s="15">
        <v>9488.2363310000001</v>
      </c>
      <c r="H455" s="15">
        <v>9474.6529179999998</v>
      </c>
      <c r="I455" s="15">
        <v>9501.469083</v>
      </c>
      <c r="J455" s="15">
        <v>9981.0968769999999</v>
      </c>
      <c r="K455" s="15">
        <v>10387.271015</v>
      </c>
      <c r="L455" s="15">
        <v>10460.087065</v>
      </c>
      <c r="M455" s="15">
        <v>10642.269738000001</v>
      </c>
      <c r="N455" s="15">
        <v>11419.139582</v>
      </c>
    </row>
    <row r="456" spans="1:14" x14ac:dyDescent="0.25">
      <c r="A456">
        <v>453</v>
      </c>
      <c r="B456" t="s">
        <v>118</v>
      </c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</row>
    <row r="457" spans="1:14" x14ac:dyDescent="0.25">
      <c r="A457">
        <v>454</v>
      </c>
    </row>
    <row r="458" spans="1:14" x14ac:dyDescent="0.25">
      <c r="A458">
        <v>455</v>
      </c>
      <c r="B458" s="7" t="s">
        <v>67</v>
      </c>
      <c r="C458" s="2" t="s">
        <v>6</v>
      </c>
      <c r="D458" s="2" t="s">
        <v>7</v>
      </c>
      <c r="E458" s="2" t="s">
        <v>8</v>
      </c>
      <c r="F458" s="2" t="s">
        <v>9</v>
      </c>
      <c r="G458" s="2" t="s">
        <v>10</v>
      </c>
      <c r="H458" s="2" t="s">
        <v>11</v>
      </c>
      <c r="I458" s="2" t="s">
        <v>12</v>
      </c>
      <c r="J458" s="2" t="s">
        <v>13</v>
      </c>
      <c r="K458" s="2" t="s">
        <v>14</v>
      </c>
      <c r="L458" s="2" t="s">
        <v>15</v>
      </c>
      <c r="M458" s="2" t="s">
        <v>16</v>
      </c>
      <c r="N458" s="2" t="s">
        <v>17</v>
      </c>
    </row>
    <row r="459" spans="1:14" x14ac:dyDescent="0.25">
      <c r="A459">
        <v>456</v>
      </c>
      <c r="B459" t="s">
        <v>110</v>
      </c>
      <c r="C459" s="15">
        <v>4204.0435829999997</v>
      </c>
      <c r="D459" s="15">
        <v>3338.2391560000001</v>
      </c>
      <c r="E459" s="15">
        <v>4199.0809929999996</v>
      </c>
      <c r="F459" s="15">
        <v>4077.0180019999998</v>
      </c>
      <c r="G459" s="15">
        <v>4078.9749510000001</v>
      </c>
      <c r="H459" s="15">
        <v>3629.0221820000002</v>
      </c>
      <c r="I459" s="15">
        <v>4020.0743809999999</v>
      </c>
      <c r="J459" s="15">
        <v>4082.1831529999999</v>
      </c>
      <c r="K459" s="15">
        <v>3713.5592150000002</v>
      </c>
      <c r="L459" s="15">
        <v>3462.7432250000002</v>
      </c>
      <c r="M459" s="15">
        <v>3431.4375140000002</v>
      </c>
      <c r="N459" s="15">
        <v>3781.2869460000002</v>
      </c>
    </row>
    <row r="460" spans="1:14" x14ac:dyDescent="0.25">
      <c r="A460">
        <v>457</v>
      </c>
      <c r="B460" t="s">
        <v>114</v>
      </c>
      <c r="C460" s="15">
        <v>1402.2875919999999</v>
      </c>
      <c r="D460" s="15">
        <v>931.38030400000002</v>
      </c>
      <c r="E460" s="15">
        <v>1373.8155079999999</v>
      </c>
      <c r="F460" s="15">
        <v>1240.8944389999999</v>
      </c>
      <c r="G460" s="15">
        <v>1351.3553139999999</v>
      </c>
      <c r="H460" s="15">
        <v>1375.0775530000001</v>
      </c>
      <c r="I460" s="15">
        <v>1354.6697300000001</v>
      </c>
      <c r="J460" s="15">
        <v>1483.339588</v>
      </c>
      <c r="K460" s="15">
        <v>1632.5499620000001</v>
      </c>
      <c r="L460" s="15">
        <v>1708.8365060000001</v>
      </c>
      <c r="M460" s="15">
        <v>1731.1043870000001</v>
      </c>
      <c r="N460" s="15">
        <v>1650.751123</v>
      </c>
    </row>
    <row r="461" spans="1:14" x14ac:dyDescent="0.25">
      <c r="A461">
        <v>458</v>
      </c>
      <c r="B461" t="s">
        <v>111</v>
      </c>
      <c r="C461" s="15">
        <v>5134.7491989999999</v>
      </c>
      <c r="D461" s="15">
        <v>4571.5218860000004</v>
      </c>
      <c r="E461" s="15">
        <v>5287.8365540000004</v>
      </c>
      <c r="F461" s="15">
        <v>4956.4155190000001</v>
      </c>
      <c r="G461" s="15">
        <v>4922.0121310000004</v>
      </c>
      <c r="H461" s="15">
        <v>4734.6726269999999</v>
      </c>
      <c r="I461" s="15">
        <v>4655.3376550000003</v>
      </c>
      <c r="J461" s="15">
        <v>5129.7039999999997</v>
      </c>
      <c r="K461" s="15">
        <v>4860.6220729999995</v>
      </c>
      <c r="L461" s="15">
        <v>5144.7272750000002</v>
      </c>
      <c r="M461" s="15">
        <v>4418.5177629999998</v>
      </c>
      <c r="N461" s="15">
        <v>4985.2591190000003</v>
      </c>
    </row>
    <row r="462" spans="1:14" x14ac:dyDescent="0.25">
      <c r="A462">
        <v>459</v>
      </c>
      <c r="B462" t="s">
        <v>112</v>
      </c>
      <c r="C462" s="15">
        <v>4877.140034</v>
      </c>
      <c r="D462" s="15">
        <v>4392.0942100000002</v>
      </c>
      <c r="E462" s="15">
        <v>4731.8899950000005</v>
      </c>
      <c r="F462" s="15">
        <v>4724.3358429999998</v>
      </c>
      <c r="G462" s="15">
        <v>4608.2033149999997</v>
      </c>
      <c r="H462" s="15">
        <v>4473.8113510000003</v>
      </c>
      <c r="I462" s="15">
        <v>4782.1046580000002</v>
      </c>
      <c r="J462" s="15">
        <v>4873.1244660000002</v>
      </c>
      <c r="K462" s="15">
        <v>4795.3222969999997</v>
      </c>
      <c r="L462" s="15">
        <v>5097.0388139999995</v>
      </c>
      <c r="M462" s="15">
        <v>5233.1316720000004</v>
      </c>
      <c r="N462" s="15">
        <v>5307.6635530000003</v>
      </c>
    </row>
    <row r="463" spans="1:14" x14ac:dyDescent="0.25">
      <c r="A463">
        <v>460</v>
      </c>
      <c r="B463" t="s">
        <v>113</v>
      </c>
      <c r="C463" s="15">
        <v>4183.9644959999996</v>
      </c>
      <c r="D463" s="15">
        <v>3471.7669700000001</v>
      </c>
      <c r="E463" s="15">
        <v>3852.3086920000001</v>
      </c>
      <c r="F463" s="15">
        <v>3572.495707</v>
      </c>
      <c r="G463" s="15">
        <v>3260.6865250000001</v>
      </c>
      <c r="H463" s="15">
        <v>3386.279951</v>
      </c>
      <c r="I463" s="15">
        <v>3368.666608</v>
      </c>
      <c r="J463" s="15">
        <v>3835.9784679999998</v>
      </c>
      <c r="K463" s="15">
        <v>3920.9116560000002</v>
      </c>
      <c r="L463" s="15">
        <v>4082.5950670000002</v>
      </c>
      <c r="M463" s="15">
        <v>4457.2271419999997</v>
      </c>
      <c r="N463" s="15">
        <v>4595.7789739999998</v>
      </c>
    </row>
    <row r="464" spans="1:14" x14ac:dyDescent="0.25">
      <c r="A464">
        <v>461</v>
      </c>
      <c r="B464" t="s">
        <v>115</v>
      </c>
      <c r="C464" s="15">
        <v>9089.7985669999998</v>
      </c>
      <c r="D464" s="15">
        <v>8086.0148680000002</v>
      </c>
      <c r="E464" s="15">
        <v>9069.8017980000004</v>
      </c>
      <c r="F464" s="15">
        <v>7792.5270300000002</v>
      </c>
      <c r="G464" s="15">
        <v>7331.7959129999999</v>
      </c>
      <c r="H464" s="15">
        <v>6376.9233299999996</v>
      </c>
      <c r="I464" s="15">
        <v>6248.6615659999998</v>
      </c>
      <c r="J464" s="15">
        <v>7108.6256149999999</v>
      </c>
      <c r="K464" s="15">
        <v>7052.6085810000004</v>
      </c>
      <c r="L464" s="15">
        <v>6601.7902160000003</v>
      </c>
      <c r="M464" s="15">
        <v>6996.4646290000001</v>
      </c>
      <c r="N464" s="15">
        <v>6734.6949850000001</v>
      </c>
    </row>
    <row r="465" spans="1:14" x14ac:dyDescent="0.25">
      <c r="A465">
        <v>462</v>
      </c>
      <c r="B465" t="s">
        <v>116</v>
      </c>
      <c r="C465" s="15">
        <v>8932.4816919999994</v>
      </c>
      <c r="D465" s="15">
        <v>8650.3227119999992</v>
      </c>
      <c r="E465" s="15">
        <v>9414.3676720000003</v>
      </c>
      <c r="F465" s="15">
        <v>8270.9993699999995</v>
      </c>
      <c r="G465" s="15">
        <v>7350.2143560000004</v>
      </c>
      <c r="H465" s="15">
        <v>6710.5222460000005</v>
      </c>
      <c r="I465" s="15">
        <v>6296.7184360000001</v>
      </c>
      <c r="J465" s="15">
        <v>7301.7030420000001</v>
      </c>
      <c r="K465" s="15">
        <v>7142.0762350000005</v>
      </c>
      <c r="L465" s="15">
        <v>7393.6260240000001</v>
      </c>
      <c r="M465" s="15">
        <v>6850.6295209999998</v>
      </c>
      <c r="N465" s="15">
        <v>6840.2003949999998</v>
      </c>
    </row>
    <row r="466" spans="1:14" x14ac:dyDescent="0.25">
      <c r="A466">
        <v>463</v>
      </c>
      <c r="B466" t="s">
        <v>118</v>
      </c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</row>
    <row r="467" spans="1:14" x14ac:dyDescent="0.25">
      <c r="A467">
        <v>464</v>
      </c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</row>
    <row r="468" spans="1:14" x14ac:dyDescent="0.25">
      <c r="A468">
        <v>465</v>
      </c>
      <c r="B468" s="7" t="s">
        <v>66</v>
      </c>
      <c r="C468" s="2" t="s">
        <v>6</v>
      </c>
      <c r="D468" s="2" t="s">
        <v>7</v>
      </c>
      <c r="E468" s="2" t="s">
        <v>8</v>
      </c>
      <c r="F468" s="2" t="s">
        <v>9</v>
      </c>
      <c r="G468" s="2" t="s">
        <v>10</v>
      </c>
      <c r="H468" s="2" t="s">
        <v>11</v>
      </c>
      <c r="I468" s="2" t="s">
        <v>12</v>
      </c>
      <c r="J468" s="2" t="s">
        <v>13</v>
      </c>
      <c r="K468" s="2" t="s">
        <v>14</v>
      </c>
      <c r="L468" s="2" t="s">
        <v>15</v>
      </c>
      <c r="M468" s="2" t="s">
        <v>16</v>
      </c>
      <c r="N468" s="2" t="s">
        <v>17</v>
      </c>
    </row>
    <row r="469" spans="1:14" x14ac:dyDescent="0.25">
      <c r="A469">
        <v>466</v>
      </c>
      <c r="B469" t="s">
        <v>110</v>
      </c>
      <c r="C469" s="15">
        <v>3691.6160260000001</v>
      </c>
      <c r="D469" s="15">
        <v>3109.4303279999999</v>
      </c>
      <c r="E469" s="15">
        <v>3600.772062</v>
      </c>
      <c r="F469" s="15">
        <v>3475.2260160000001</v>
      </c>
      <c r="G469" s="15">
        <v>3493.782197</v>
      </c>
      <c r="H469" s="15">
        <v>3422.1123400000001</v>
      </c>
      <c r="I469" s="15">
        <v>3378.810669</v>
      </c>
      <c r="J469" s="15">
        <v>3749.7898209999998</v>
      </c>
      <c r="K469" s="15">
        <v>3760.9529090000001</v>
      </c>
      <c r="L469" s="15">
        <v>4119.4269240000003</v>
      </c>
      <c r="M469" s="15">
        <v>3858.5521359999998</v>
      </c>
      <c r="N469" s="15">
        <v>0</v>
      </c>
    </row>
    <row r="470" spans="1:14" x14ac:dyDescent="0.25">
      <c r="A470">
        <v>467</v>
      </c>
      <c r="B470" t="s">
        <v>114</v>
      </c>
      <c r="C470" s="15">
        <v>1762.991507</v>
      </c>
      <c r="D470" s="15">
        <v>1291.065247</v>
      </c>
      <c r="E470" s="15">
        <v>1472.8863200000001</v>
      </c>
      <c r="F470" s="15">
        <v>1646.675295</v>
      </c>
      <c r="G470" s="15">
        <v>1581.277</v>
      </c>
      <c r="H470" s="15">
        <v>1344.1581080000001</v>
      </c>
      <c r="I470" s="15">
        <v>1554.797507</v>
      </c>
      <c r="J470" s="15">
        <v>1497.9243650000001</v>
      </c>
      <c r="K470" s="15">
        <v>1553.3960420000001</v>
      </c>
      <c r="L470" s="15">
        <v>1598.7224120000001</v>
      </c>
      <c r="M470" s="15">
        <v>1400.7805989999999</v>
      </c>
      <c r="N470" s="15"/>
    </row>
    <row r="471" spans="1:14" x14ac:dyDescent="0.25">
      <c r="A471">
        <v>468</v>
      </c>
      <c r="B471" t="s">
        <v>111</v>
      </c>
      <c r="C471" s="15">
        <v>5195.0186389999999</v>
      </c>
      <c r="D471" s="15">
        <v>3834.3023349999999</v>
      </c>
      <c r="E471" s="15">
        <v>4900.1628149999997</v>
      </c>
      <c r="F471" s="15">
        <v>4525.1416589999999</v>
      </c>
      <c r="G471" s="15">
        <v>4958.6511389999996</v>
      </c>
      <c r="H471" s="15">
        <v>4597.8095739999999</v>
      </c>
      <c r="I471" s="15">
        <v>4702.0631219999996</v>
      </c>
      <c r="J471" s="15">
        <v>4637.419363</v>
      </c>
      <c r="K471" s="15">
        <v>4575.9144889999998</v>
      </c>
      <c r="L471" s="15">
        <v>4663.41543</v>
      </c>
      <c r="M471" s="15">
        <v>4849.8498360000003</v>
      </c>
      <c r="N471" s="15">
        <v>0</v>
      </c>
    </row>
    <row r="472" spans="1:14" x14ac:dyDescent="0.25">
      <c r="A472">
        <v>469</v>
      </c>
      <c r="B472" t="s">
        <v>112</v>
      </c>
      <c r="C472" s="15">
        <v>5603.2053040000001</v>
      </c>
      <c r="D472" s="15">
        <v>4419.4915080000001</v>
      </c>
      <c r="E472" s="15">
        <v>5145.427404</v>
      </c>
      <c r="F472" s="15">
        <v>4840.5249299999996</v>
      </c>
      <c r="G472" s="15">
        <v>4875.3765720000001</v>
      </c>
      <c r="H472" s="15">
        <v>4789.8113530000001</v>
      </c>
      <c r="I472" s="15">
        <v>4613.2609080000002</v>
      </c>
      <c r="J472" s="15">
        <v>5171.7289350000001</v>
      </c>
      <c r="K472" s="15">
        <v>4444.9508159999996</v>
      </c>
      <c r="L472" s="15">
        <v>4878.1331360000004</v>
      </c>
      <c r="M472" s="15">
        <v>4753.4176260000004</v>
      </c>
      <c r="N472" s="15">
        <v>0</v>
      </c>
    </row>
    <row r="473" spans="1:14" x14ac:dyDescent="0.25">
      <c r="A473">
        <v>470</v>
      </c>
      <c r="B473" t="s">
        <v>113</v>
      </c>
      <c r="C473" s="15">
        <v>4611.2734300000002</v>
      </c>
      <c r="D473" s="15">
        <v>3555.910648</v>
      </c>
      <c r="E473" s="15">
        <v>4079.2804590000001</v>
      </c>
      <c r="F473" s="15">
        <v>3926.1564159999998</v>
      </c>
      <c r="G473" s="15">
        <v>4102.9993919999997</v>
      </c>
      <c r="H473" s="15">
        <v>3785.122961</v>
      </c>
      <c r="I473" s="15">
        <v>3943.4436300000002</v>
      </c>
      <c r="J473" s="15">
        <v>4328.2437970000001</v>
      </c>
      <c r="K473" s="15">
        <v>3884.094055</v>
      </c>
      <c r="L473" s="15">
        <v>4261.2503640000004</v>
      </c>
      <c r="M473" s="15">
        <v>4256.5360840000003</v>
      </c>
      <c r="N473" s="15">
        <v>0</v>
      </c>
    </row>
    <row r="474" spans="1:14" x14ac:dyDescent="0.25">
      <c r="A474">
        <v>471</v>
      </c>
      <c r="B474" t="s">
        <v>115</v>
      </c>
      <c r="C474" s="15">
        <v>7393.2389670000002</v>
      </c>
      <c r="D474" s="15">
        <v>5266.7725570000002</v>
      </c>
      <c r="E474" s="15">
        <v>6329.2548649999999</v>
      </c>
      <c r="F474" s="15">
        <v>6181.813717</v>
      </c>
      <c r="G474" s="15">
        <v>6487.1692839999996</v>
      </c>
      <c r="H474" s="15">
        <v>5889.4748600000003</v>
      </c>
      <c r="I474" s="15">
        <v>6212.8695790000002</v>
      </c>
      <c r="J474" s="15">
        <v>6836.1743109999998</v>
      </c>
      <c r="K474" s="15">
        <v>6918.9722949999996</v>
      </c>
      <c r="L474" s="15">
        <v>7593.67659</v>
      </c>
      <c r="M474" s="15">
        <v>7718.3804739999996</v>
      </c>
      <c r="N474" s="15">
        <v>0</v>
      </c>
    </row>
    <row r="475" spans="1:14" x14ac:dyDescent="0.25">
      <c r="A475">
        <v>472</v>
      </c>
      <c r="B475" t="s">
        <v>116</v>
      </c>
      <c r="C475" s="15">
        <v>7246.6294879999996</v>
      </c>
      <c r="D475" s="15">
        <v>5358.6330200000002</v>
      </c>
      <c r="E475" s="15">
        <v>6878.6368789999997</v>
      </c>
      <c r="F475" s="15">
        <v>6446.0974109999997</v>
      </c>
      <c r="G475" s="15">
        <v>7042.9879940000001</v>
      </c>
      <c r="H475" s="15">
        <v>6157.3018270000002</v>
      </c>
      <c r="I475" s="15">
        <v>6258.640351</v>
      </c>
      <c r="J475" s="15">
        <v>6734.6745790000004</v>
      </c>
      <c r="K475" s="15">
        <v>6312.654998</v>
      </c>
      <c r="L475" s="15">
        <v>7306.0335420000001</v>
      </c>
      <c r="M475" s="15">
        <v>7698.2846520000003</v>
      </c>
      <c r="N475" s="15">
        <v>0</v>
      </c>
    </row>
    <row r="476" spans="1:14" x14ac:dyDescent="0.25">
      <c r="A476">
        <v>473</v>
      </c>
      <c r="B476" t="s">
        <v>118</v>
      </c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</row>
    <row r="477" spans="1:14" x14ac:dyDescent="0.25">
      <c r="A477">
        <v>474</v>
      </c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</row>
    <row r="478" spans="1:14" x14ac:dyDescent="0.25">
      <c r="A478">
        <v>475</v>
      </c>
      <c r="B478" t="s">
        <v>31</v>
      </c>
    </row>
    <row r="479" spans="1:14" x14ac:dyDescent="0.25">
      <c r="A479">
        <v>476</v>
      </c>
      <c r="B479" s="7" t="s">
        <v>68</v>
      </c>
      <c r="C479" s="2" t="s">
        <v>6</v>
      </c>
      <c r="D479" s="2" t="s">
        <v>7</v>
      </c>
      <c r="E479" s="2" t="s">
        <v>8</v>
      </c>
      <c r="F479" s="2" t="s">
        <v>9</v>
      </c>
      <c r="G479" s="2" t="s">
        <v>10</v>
      </c>
      <c r="H479" s="2" t="s">
        <v>11</v>
      </c>
      <c r="I479" s="2" t="s">
        <v>12</v>
      </c>
      <c r="J479" s="2" t="s">
        <v>13</v>
      </c>
      <c r="K479" s="2" t="s">
        <v>14</v>
      </c>
      <c r="L479" s="2" t="s">
        <v>15</v>
      </c>
      <c r="M479" s="2" t="s">
        <v>16</v>
      </c>
      <c r="N479" s="2" t="s">
        <v>17</v>
      </c>
    </row>
    <row r="480" spans="1:14" x14ac:dyDescent="0.25">
      <c r="A480">
        <v>477</v>
      </c>
      <c r="B480" t="s">
        <v>110</v>
      </c>
      <c r="C480" s="15">
        <v>4355.6262379999998</v>
      </c>
      <c r="D480" s="15">
        <v>3323.0802429999994</v>
      </c>
      <c r="E480" s="15">
        <v>4376.9954150000003</v>
      </c>
      <c r="F480" s="15">
        <v>4356.4801729999999</v>
      </c>
      <c r="G480" s="15">
        <v>4111.009677</v>
      </c>
      <c r="H480" s="15">
        <v>4627.2600230000007</v>
      </c>
      <c r="I480" s="15">
        <v>4097.4787550000001</v>
      </c>
      <c r="J480" s="15">
        <v>3752.4287709999999</v>
      </c>
      <c r="K480" s="15">
        <v>3316.6243839999997</v>
      </c>
      <c r="L480" s="15">
        <v>4180.807033</v>
      </c>
      <c r="M480" s="15">
        <v>3649.6413910000001</v>
      </c>
      <c r="N480" s="15">
        <v>3538.5027869999999</v>
      </c>
    </row>
    <row r="481" spans="1:14" x14ac:dyDescent="0.25">
      <c r="A481">
        <v>478</v>
      </c>
      <c r="B481" t="s">
        <v>114</v>
      </c>
      <c r="C481" s="15">
        <v>0</v>
      </c>
      <c r="D481" s="15">
        <v>0</v>
      </c>
      <c r="E481" s="15">
        <v>0</v>
      </c>
      <c r="F481" s="15">
        <v>0</v>
      </c>
      <c r="G481" s="15">
        <v>2077.2688200000002</v>
      </c>
      <c r="H481" s="15">
        <v>2406.8446449999997</v>
      </c>
      <c r="I481" s="15">
        <v>2531.7753640000001</v>
      </c>
      <c r="J481" s="15">
        <v>2401.9158010000001</v>
      </c>
      <c r="K481" s="15">
        <v>2002.763256</v>
      </c>
      <c r="L481" s="15">
        <v>2910.799117</v>
      </c>
      <c r="M481" s="15">
        <v>2078.9967970000002</v>
      </c>
      <c r="N481" s="15">
        <v>2182.0968510000002</v>
      </c>
    </row>
    <row r="482" spans="1:14" x14ac:dyDescent="0.25">
      <c r="A482">
        <v>479</v>
      </c>
      <c r="B482" t="s">
        <v>111</v>
      </c>
      <c r="C482" s="15">
        <v>5825.5299249999998</v>
      </c>
      <c r="D482" s="15">
        <v>5605.3540069999999</v>
      </c>
      <c r="E482" s="15">
        <v>6019.3446640000002</v>
      </c>
      <c r="F482" s="15">
        <v>6126.1542049999998</v>
      </c>
      <c r="G482" s="15">
        <v>6371.6786209999991</v>
      </c>
      <c r="H482" s="15">
        <v>6213.7828879999997</v>
      </c>
      <c r="I482" s="15">
        <v>6295.845816</v>
      </c>
      <c r="J482" s="15">
        <v>6308.7890700000007</v>
      </c>
      <c r="K482" s="15">
        <v>6088.5469560000001</v>
      </c>
      <c r="L482" s="15">
        <v>6417.7513469999994</v>
      </c>
      <c r="M482" s="15">
        <v>6138.9948839999997</v>
      </c>
      <c r="N482" s="15">
        <v>6264.0421759999999</v>
      </c>
    </row>
    <row r="483" spans="1:14" x14ac:dyDescent="0.25">
      <c r="A483">
        <v>480</v>
      </c>
      <c r="B483" t="s">
        <v>112</v>
      </c>
      <c r="C483" s="15">
        <v>2897.5769009999999</v>
      </c>
      <c r="D483" s="15">
        <v>2904.5725040000002</v>
      </c>
      <c r="E483" s="15">
        <v>3129.7178089999998</v>
      </c>
      <c r="F483" s="15">
        <v>2987.7033120000001</v>
      </c>
      <c r="G483" s="15">
        <v>3082.2380319999997</v>
      </c>
      <c r="H483" s="15">
        <v>3065.6644620000002</v>
      </c>
      <c r="I483" s="15">
        <v>3050.8835880000001</v>
      </c>
      <c r="J483" s="15">
        <v>3156.5607170000003</v>
      </c>
      <c r="K483" s="15">
        <v>3049.5054840000003</v>
      </c>
      <c r="L483" s="15">
        <v>3216.8420670000005</v>
      </c>
      <c r="M483" s="15">
        <v>3164.8914139999997</v>
      </c>
      <c r="N483" s="15">
        <v>3259.3180990000001</v>
      </c>
    </row>
    <row r="484" spans="1:14" x14ac:dyDescent="0.25">
      <c r="A484">
        <v>481</v>
      </c>
      <c r="B484" t="s">
        <v>113</v>
      </c>
      <c r="C484" s="15">
        <v>4216.2391170000001</v>
      </c>
      <c r="D484" s="15">
        <v>4033.9592570000004</v>
      </c>
      <c r="E484" s="15">
        <v>4366.8448280000002</v>
      </c>
      <c r="F484" s="15">
        <v>4158.4024469999995</v>
      </c>
      <c r="G484" s="15">
        <v>4327.2434839999996</v>
      </c>
      <c r="H484" s="15">
        <v>4414.9368190000005</v>
      </c>
      <c r="I484" s="15">
        <v>4498.0043070000002</v>
      </c>
      <c r="J484" s="15">
        <v>4491.4256139999998</v>
      </c>
      <c r="K484" s="15">
        <v>4334.1801189999996</v>
      </c>
      <c r="L484" s="15">
        <v>4531.1578239999999</v>
      </c>
      <c r="M484" s="15">
        <v>4547.6743160000005</v>
      </c>
      <c r="N484" s="15">
        <v>4677.9824859999999</v>
      </c>
    </row>
    <row r="485" spans="1:14" x14ac:dyDescent="0.25">
      <c r="A485">
        <v>482</v>
      </c>
      <c r="B485" t="s">
        <v>115</v>
      </c>
      <c r="C485" s="15">
        <v>4617.1846850000002</v>
      </c>
      <c r="D485" s="15">
        <v>4203.8402310000001</v>
      </c>
      <c r="E485" s="15">
        <v>4540.6657509999995</v>
      </c>
      <c r="F485" s="15">
        <v>4810.7424059999994</v>
      </c>
      <c r="G485" s="15">
        <v>4823.0522579999997</v>
      </c>
      <c r="H485" s="15">
        <v>4731.7848690000001</v>
      </c>
      <c r="I485" s="15">
        <v>4750.8637629999994</v>
      </c>
      <c r="J485" s="15">
        <v>4797.1634239999994</v>
      </c>
      <c r="K485" s="15">
        <v>4609.5180890000001</v>
      </c>
      <c r="L485" s="15">
        <v>4805.9223280000006</v>
      </c>
      <c r="M485" s="15">
        <v>4985.8584849999997</v>
      </c>
      <c r="N485" s="15">
        <v>4776.6515580000005</v>
      </c>
    </row>
    <row r="486" spans="1:14" x14ac:dyDescent="0.25">
      <c r="A486">
        <v>483</v>
      </c>
      <c r="B486" t="s">
        <v>116</v>
      </c>
      <c r="C486" s="15">
        <v>6891.8301029999993</v>
      </c>
      <c r="D486" s="15">
        <v>6677.3918779999995</v>
      </c>
      <c r="E486" s="15">
        <v>7118.7830840000006</v>
      </c>
      <c r="F486" s="15">
        <v>6831.3998709999996</v>
      </c>
      <c r="G486" s="15">
        <v>6969.8782939999992</v>
      </c>
      <c r="H486" s="15">
        <v>7106.3265659999997</v>
      </c>
      <c r="I486" s="15">
        <v>7052.3750569999993</v>
      </c>
      <c r="J486" s="15">
        <v>7030</v>
      </c>
      <c r="K486" s="15">
        <v>6893</v>
      </c>
      <c r="L486" s="15">
        <v>7275.7565699999996</v>
      </c>
      <c r="M486" s="15">
        <v>7166.1296609999999</v>
      </c>
      <c r="N486" s="15">
        <v>7392.1328979999998</v>
      </c>
    </row>
    <row r="487" spans="1:14" x14ac:dyDescent="0.25">
      <c r="A487">
        <v>484</v>
      </c>
      <c r="B487" t="s">
        <v>118</v>
      </c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</row>
    <row r="488" spans="1:14" x14ac:dyDescent="0.25">
      <c r="A488">
        <v>485</v>
      </c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</row>
    <row r="489" spans="1:14" x14ac:dyDescent="0.25">
      <c r="A489">
        <v>486</v>
      </c>
      <c r="B489" s="7" t="s">
        <v>67</v>
      </c>
      <c r="C489" s="2" t="s">
        <v>6</v>
      </c>
      <c r="D489" s="2" t="s">
        <v>7</v>
      </c>
      <c r="E489" s="2" t="s">
        <v>8</v>
      </c>
      <c r="F489" s="2" t="s">
        <v>9</v>
      </c>
      <c r="G489" s="2" t="s">
        <v>10</v>
      </c>
      <c r="H489" s="2" t="s">
        <v>11</v>
      </c>
      <c r="I489" s="2" t="s">
        <v>12</v>
      </c>
      <c r="J489" s="2" t="s">
        <v>13</v>
      </c>
      <c r="K489" s="2" t="s">
        <v>14</v>
      </c>
      <c r="L489" s="2" t="s">
        <v>15</v>
      </c>
      <c r="M489" s="2" t="s">
        <v>16</v>
      </c>
      <c r="N489" s="2" t="s">
        <v>17</v>
      </c>
    </row>
    <row r="490" spans="1:14" x14ac:dyDescent="0.25">
      <c r="A490">
        <v>487</v>
      </c>
      <c r="B490" t="s">
        <v>110</v>
      </c>
      <c r="C490" s="15">
        <v>3628.6601460000002</v>
      </c>
      <c r="D490" s="15">
        <v>3663.918514</v>
      </c>
      <c r="E490" s="15">
        <v>3728.2595100000003</v>
      </c>
      <c r="F490" s="15">
        <v>4402.7746360000001</v>
      </c>
      <c r="G490" s="15">
        <v>3858.5111239999997</v>
      </c>
      <c r="H490" s="15">
        <v>3772.9600499999997</v>
      </c>
      <c r="I490" s="15">
        <v>3507.0604469999998</v>
      </c>
      <c r="J490" s="15">
        <v>4647.5704509999996</v>
      </c>
      <c r="K490" s="15">
        <v>3875.2171120000003</v>
      </c>
      <c r="L490" s="15">
        <v>3706.7695949999998</v>
      </c>
      <c r="M490" s="15">
        <v>4474.8721879999994</v>
      </c>
      <c r="N490" s="15">
        <v>4928.4507549999998</v>
      </c>
    </row>
    <row r="491" spans="1:14" x14ac:dyDescent="0.25">
      <c r="A491">
        <v>488</v>
      </c>
      <c r="B491" t="s">
        <v>114</v>
      </c>
      <c r="C491" s="15">
        <v>2402.982849</v>
      </c>
      <c r="D491" s="15">
        <v>2267.8023720000001</v>
      </c>
      <c r="E491" s="15">
        <v>2700.751647</v>
      </c>
      <c r="F491" s="15">
        <v>2515.3263689999999</v>
      </c>
      <c r="G491" s="15">
        <v>2874.3323060000002</v>
      </c>
      <c r="H491" s="15">
        <v>2911.4304380000003</v>
      </c>
      <c r="I491" s="15">
        <v>3063.0466420000002</v>
      </c>
      <c r="J491" s="15">
        <v>2876.275674</v>
      </c>
      <c r="K491" s="15">
        <v>3034.6876189999998</v>
      </c>
      <c r="L491" s="15">
        <v>2963.1493060000003</v>
      </c>
      <c r="M491" s="15">
        <v>2969.6872189999999</v>
      </c>
      <c r="N491" s="15">
        <v>2997.810986</v>
      </c>
    </row>
    <row r="492" spans="1:14" x14ac:dyDescent="0.25">
      <c r="A492">
        <v>489</v>
      </c>
      <c r="B492" t="s">
        <v>111</v>
      </c>
      <c r="C492" s="15">
        <v>6470.745105</v>
      </c>
      <c r="D492" s="15">
        <v>6000.672141</v>
      </c>
      <c r="E492" s="15">
        <v>6555.2338799999998</v>
      </c>
      <c r="F492" s="15">
        <v>6484.0770120000007</v>
      </c>
      <c r="G492" s="15">
        <v>6598.589422</v>
      </c>
      <c r="H492" s="15">
        <v>6410.8756080000003</v>
      </c>
      <c r="I492" s="15">
        <v>6592.217673000001</v>
      </c>
      <c r="J492" s="15">
        <v>6668.8353600000009</v>
      </c>
      <c r="K492" s="15">
        <v>6467.611011</v>
      </c>
      <c r="L492" s="15">
        <v>6638.7919919999995</v>
      </c>
      <c r="M492" s="15">
        <v>6846.9975039999999</v>
      </c>
      <c r="N492" s="15">
        <v>6828.6293109999997</v>
      </c>
    </row>
    <row r="493" spans="1:14" x14ac:dyDescent="0.25">
      <c r="A493">
        <v>490</v>
      </c>
      <c r="B493" t="s">
        <v>112</v>
      </c>
      <c r="C493" s="15">
        <v>3268.451317</v>
      </c>
      <c r="D493" s="15">
        <v>3308.209151</v>
      </c>
      <c r="E493" s="15">
        <v>3395.5967279999995</v>
      </c>
      <c r="F493" s="15">
        <v>3419.6673700000001</v>
      </c>
      <c r="G493" s="15">
        <v>3487.1514819999998</v>
      </c>
      <c r="H493" s="15">
        <v>3384.4274090000004</v>
      </c>
      <c r="I493" s="15">
        <v>3325.9837729999999</v>
      </c>
      <c r="J493" s="15">
        <v>3403.553934</v>
      </c>
      <c r="K493" s="15">
        <v>3269.6096550000002</v>
      </c>
      <c r="L493" s="15">
        <v>3413.4440599999998</v>
      </c>
      <c r="M493" s="15">
        <v>3181.238625</v>
      </c>
      <c r="N493" s="15">
        <v>3218.6372619999997</v>
      </c>
    </row>
    <row r="494" spans="1:14" x14ac:dyDescent="0.25">
      <c r="A494">
        <v>491</v>
      </c>
      <c r="B494" t="s">
        <v>113</v>
      </c>
      <c r="C494" s="15">
        <v>4815.7597310000001</v>
      </c>
      <c r="D494" s="15">
        <v>4495.1236850000005</v>
      </c>
      <c r="E494" s="15">
        <v>4831.8320830000011</v>
      </c>
      <c r="F494" s="15">
        <v>4803.9813589999994</v>
      </c>
      <c r="G494" s="15">
        <v>4850.9349010000005</v>
      </c>
      <c r="H494" s="15">
        <v>4789.591848</v>
      </c>
      <c r="I494" s="15">
        <v>4807.2807169999996</v>
      </c>
      <c r="J494" s="15">
        <v>4879.0748629999998</v>
      </c>
      <c r="K494" s="15">
        <v>4750.0528160000003</v>
      </c>
      <c r="L494" s="15">
        <v>4934.0990400000001</v>
      </c>
      <c r="M494" s="15">
        <v>4825.4934679999997</v>
      </c>
      <c r="N494" s="15">
        <v>5071.9902339999999</v>
      </c>
    </row>
    <row r="495" spans="1:14" x14ac:dyDescent="0.25">
      <c r="A495">
        <v>492</v>
      </c>
      <c r="B495" t="s">
        <v>115</v>
      </c>
      <c r="C495" s="15">
        <v>4977.8740930000004</v>
      </c>
      <c r="D495" s="15">
        <v>4912.5982290000002</v>
      </c>
      <c r="E495" s="15">
        <v>5215.7746749999997</v>
      </c>
      <c r="F495" s="15">
        <v>5194.3988410000011</v>
      </c>
      <c r="G495" s="15">
        <v>5288.4601569999995</v>
      </c>
      <c r="H495" s="15">
        <v>4795.1137819999994</v>
      </c>
      <c r="I495" s="15">
        <v>4974.4091719999997</v>
      </c>
      <c r="J495" s="15">
        <v>4881.0348629999999</v>
      </c>
      <c r="K495" s="15">
        <v>4750.9939439999998</v>
      </c>
      <c r="L495" s="15">
        <v>4802.1984430000002</v>
      </c>
      <c r="M495" s="15">
        <v>4818.4348799999998</v>
      </c>
      <c r="N495" s="15">
        <v>4920.1339689999995</v>
      </c>
    </row>
    <row r="496" spans="1:14" x14ac:dyDescent="0.25">
      <c r="A496">
        <v>493</v>
      </c>
      <c r="B496" t="s">
        <v>116</v>
      </c>
      <c r="C496" s="15">
        <v>7538.3315199999997</v>
      </c>
      <c r="D496" s="15">
        <v>7168.0908690000006</v>
      </c>
      <c r="E496" s="15">
        <v>7714.7706920000001</v>
      </c>
      <c r="F496" s="15">
        <v>7594.0364049999998</v>
      </c>
      <c r="G496" s="15">
        <v>7758.9809120000009</v>
      </c>
      <c r="H496" s="15">
        <v>7608.237768</v>
      </c>
      <c r="I496" s="15">
        <v>7717.1184919999996</v>
      </c>
      <c r="J496" s="15">
        <v>7746.8484319999998</v>
      </c>
      <c r="K496" s="15">
        <v>7651.047935999999</v>
      </c>
      <c r="L496" s="15">
        <v>8427.2559700000002</v>
      </c>
      <c r="M496" s="15">
        <v>7442.6076689999991</v>
      </c>
      <c r="N496" s="15">
        <v>7847.7841840000001</v>
      </c>
    </row>
    <row r="497" spans="1:14" x14ac:dyDescent="0.25">
      <c r="A497">
        <v>494</v>
      </c>
      <c r="B497" t="s">
        <v>118</v>
      </c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</row>
    <row r="498" spans="1:14" x14ac:dyDescent="0.25">
      <c r="A498">
        <v>495</v>
      </c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</row>
    <row r="499" spans="1:14" x14ac:dyDescent="0.25">
      <c r="A499">
        <v>496</v>
      </c>
      <c r="B499" s="7" t="s">
        <v>66</v>
      </c>
      <c r="C499" s="2" t="s">
        <v>6</v>
      </c>
      <c r="D499" s="2" t="s">
        <v>7</v>
      </c>
      <c r="E499" s="2" t="s">
        <v>8</v>
      </c>
      <c r="F499" s="2" t="s">
        <v>9</v>
      </c>
      <c r="G499" s="2" t="s">
        <v>10</v>
      </c>
      <c r="H499" s="2" t="s">
        <v>11</v>
      </c>
      <c r="I499" s="2" t="s">
        <v>12</v>
      </c>
      <c r="J499" s="2" t="s">
        <v>13</v>
      </c>
      <c r="K499" s="2" t="s">
        <v>14</v>
      </c>
      <c r="L499" s="2" t="s">
        <v>15</v>
      </c>
      <c r="M499" s="2" t="s">
        <v>16</v>
      </c>
      <c r="N499" s="2" t="s">
        <v>17</v>
      </c>
    </row>
    <row r="500" spans="1:14" x14ac:dyDescent="0.25">
      <c r="A500">
        <v>497</v>
      </c>
      <c r="B500" t="s">
        <v>110</v>
      </c>
      <c r="C500" s="15">
        <v>3684.8833889999996</v>
      </c>
      <c r="D500" s="15">
        <v>3826.7624900000001</v>
      </c>
      <c r="E500" s="15">
        <v>4328.6055159999996</v>
      </c>
      <c r="F500" s="15">
        <v>3817.9813880000002</v>
      </c>
      <c r="G500" s="15">
        <v>4826.7579839999999</v>
      </c>
      <c r="H500" s="15">
        <v>4141.6129380000002</v>
      </c>
      <c r="I500" s="15">
        <v>4297.573265</v>
      </c>
      <c r="J500" s="15">
        <v>4414.0197509999998</v>
      </c>
      <c r="K500" s="15">
        <v>4099.1554390000001</v>
      </c>
      <c r="L500" s="15">
        <v>4342.2338380000001</v>
      </c>
      <c r="M500" s="15">
        <v>4169.8911520000001</v>
      </c>
      <c r="N500" s="15">
        <v>0</v>
      </c>
    </row>
    <row r="501" spans="1:14" x14ac:dyDescent="0.25">
      <c r="A501">
        <v>498</v>
      </c>
      <c r="B501" t="s">
        <v>114</v>
      </c>
      <c r="C501" s="15">
        <v>2975.9733780000001</v>
      </c>
      <c r="D501" s="15">
        <v>2758.8175969999998</v>
      </c>
      <c r="E501" s="15">
        <v>3105.9612630000001</v>
      </c>
      <c r="F501" s="15">
        <v>3097.276073</v>
      </c>
      <c r="G501" s="15">
        <v>3111.818021</v>
      </c>
      <c r="H501" s="15">
        <v>3096.9886980000001</v>
      </c>
      <c r="I501" s="15">
        <v>3172.0524529999998</v>
      </c>
      <c r="J501" s="15">
        <v>3259.1475959999998</v>
      </c>
      <c r="K501" s="15">
        <v>3315.4686849999998</v>
      </c>
      <c r="L501" s="15">
        <v>3340.0473689999999</v>
      </c>
      <c r="M501" s="15">
        <v>3403.862153</v>
      </c>
      <c r="N501" s="15">
        <v>0</v>
      </c>
    </row>
    <row r="502" spans="1:14" x14ac:dyDescent="0.25">
      <c r="A502">
        <v>499</v>
      </c>
      <c r="B502" t="s">
        <v>111</v>
      </c>
      <c r="C502" s="15">
        <v>6821.5655379999998</v>
      </c>
      <c r="D502" s="15">
        <v>6400.2243490000001</v>
      </c>
      <c r="E502" s="15">
        <v>7037.6858570000004</v>
      </c>
      <c r="F502" s="15">
        <v>6802.994471</v>
      </c>
      <c r="G502" s="15">
        <v>7011.6707649999998</v>
      </c>
      <c r="H502" s="15">
        <v>7648.9880510000003</v>
      </c>
      <c r="I502" s="15">
        <v>7144.9393129999999</v>
      </c>
      <c r="J502" s="15">
        <v>7264.8557039999996</v>
      </c>
      <c r="K502" s="15">
        <v>6836.0132130000002</v>
      </c>
      <c r="L502" s="15">
        <v>7083.8684060000005</v>
      </c>
      <c r="M502" s="15">
        <v>7052.6540939999995</v>
      </c>
      <c r="N502" s="15">
        <v>0</v>
      </c>
    </row>
    <row r="503" spans="1:14" x14ac:dyDescent="0.25">
      <c r="A503">
        <v>500</v>
      </c>
      <c r="B503" t="s">
        <v>112</v>
      </c>
      <c r="C503" s="15">
        <v>3434.5794850000002</v>
      </c>
      <c r="D503" s="15">
        <v>3191.4180870000005</v>
      </c>
      <c r="E503" s="15">
        <v>3512.3076070000002</v>
      </c>
      <c r="F503" s="15">
        <v>3393.2926160000002</v>
      </c>
      <c r="G503" s="15">
        <v>3428.1428990000004</v>
      </c>
      <c r="H503" s="15">
        <v>3494.6921919999995</v>
      </c>
      <c r="I503" s="15">
        <v>3644.4453010000002</v>
      </c>
      <c r="J503" s="15">
        <v>3571.258045</v>
      </c>
      <c r="K503" s="15">
        <v>3529.9981229999999</v>
      </c>
      <c r="L503" s="15">
        <v>3462.3478190000001</v>
      </c>
      <c r="M503" s="15">
        <v>3624.4526729999998</v>
      </c>
      <c r="N503" s="15">
        <v>0</v>
      </c>
    </row>
    <row r="504" spans="1:14" x14ac:dyDescent="0.25">
      <c r="A504">
        <v>501</v>
      </c>
      <c r="B504" t="s">
        <v>113</v>
      </c>
      <c r="C504" s="15">
        <v>5089.0494290000006</v>
      </c>
      <c r="D504" s="15">
        <v>4666.5639260000007</v>
      </c>
      <c r="E504" s="15">
        <v>5142.2842919999994</v>
      </c>
      <c r="F504" s="15">
        <v>5015.0308490000007</v>
      </c>
      <c r="G504" s="15">
        <v>5260.7099269999999</v>
      </c>
      <c r="H504" s="15">
        <v>5349.5508289999998</v>
      </c>
      <c r="I504" s="15">
        <v>5368.1875660000005</v>
      </c>
      <c r="J504" s="15">
        <v>5326.7171630000003</v>
      </c>
      <c r="K504" s="15">
        <v>5029.7698630000004</v>
      </c>
      <c r="L504" s="15">
        <v>5128.804196000001</v>
      </c>
      <c r="M504" s="15">
        <v>4916.5165390000002</v>
      </c>
      <c r="N504" s="15">
        <v>0</v>
      </c>
    </row>
    <row r="505" spans="1:14" x14ac:dyDescent="0.25">
      <c r="A505">
        <v>502</v>
      </c>
      <c r="B505" t="s">
        <v>115</v>
      </c>
      <c r="C505" s="15">
        <v>5212.3847500000002</v>
      </c>
      <c r="D505" s="15">
        <v>4893.5723069999995</v>
      </c>
      <c r="E505" s="15">
        <v>5389.1741970000003</v>
      </c>
      <c r="F505" s="15">
        <v>5137.8534219999992</v>
      </c>
      <c r="G505" s="15">
        <v>5325.2978469999998</v>
      </c>
      <c r="H505" s="15">
        <v>5553.1741280000006</v>
      </c>
      <c r="I505" s="15">
        <v>5545.7619649999997</v>
      </c>
      <c r="J505" s="15">
        <v>5497.3177240000005</v>
      </c>
      <c r="K505" s="15">
        <v>5752.6377069999999</v>
      </c>
      <c r="L505" s="15">
        <v>5436.3767379999999</v>
      </c>
      <c r="M505" s="15">
        <v>5898.4276220000002</v>
      </c>
      <c r="N505" s="15">
        <v>0</v>
      </c>
    </row>
    <row r="506" spans="1:14" x14ac:dyDescent="0.25">
      <c r="A506">
        <v>503</v>
      </c>
      <c r="B506" t="s">
        <v>116</v>
      </c>
      <c r="C506" s="15">
        <v>7953.497061</v>
      </c>
      <c r="D506" s="15">
        <v>7308.8639210000001</v>
      </c>
      <c r="E506" s="15">
        <v>8421.2992099999992</v>
      </c>
      <c r="F506" s="15">
        <v>7970.4208100000005</v>
      </c>
      <c r="G506" s="15">
        <v>8200.2786410000008</v>
      </c>
      <c r="H506" s="15">
        <v>8087.6569340000005</v>
      </c>
      <c r="I506" s="15">
        <v>8123.461515</v>
      </c>
      <c r="J506" s="15">
        <v>8166.3124589999989</v>
      </c>
      <c r="K506" s="15">
        <v>8227.5297850000006</v>
      </c>
      <c r="L506" s="15">
        <v>8091.0301669999999</v>
      </c>
      <c r="M506" s="15">
        <v>8199.7957319999987</v>
      </c>
      <c r="N506" s="15">
        <v>0</v>
      </c>
    </row>
    <row r="507" spans="1:14" x14ac:dyDescent="0.25">
      <c r="A507">
        <v>504</v>
      </c>
      <c r="B507" t="s">
        <v>118</v>
      </c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</row>
    <row r="508" spans="1:14" x14ac:dyDescent="0.25">
      <c r="A508">
        <v>505</v>
      </c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</row>
    <row r="509" spans="1:14" x14ac:dyDescent="0.25">
      <c r="A509">
        <v>506</v>
      </c>
      <c r="B509" t="s">
        <v>32</v>
      </c>
    </row>
    <row r="510" spans="1:14" x14ac:dyDescent="0.25">
      <c r="A510">
        <v>507</v>
      </c>
      <c r="B510" s="7" t="s">
        <v>68</v>
      </c>
      <c r="C510" s="2" t="s">
        <v>6</v>
      </c>
      <c r="D510" s="2" t="s">
        <v>7</v>
      </c>
      <c r="E510" s="2" t="s">
        <v>8</v>
      </c>
      <c r="F510" s="2" t="s">
        <v>9</v>
      </c>
      <c r="G510" s="2" t="s">
        <v>10</v>
      </c>
      <c r="H510" s="2" t="s">
        <v>11</v>
      </c>
      <c r="I510" s="2" t="s">
        <v>12</v>
      </c>
      <c r="J510" s="2" t="s">
        <v>13</v>
      </c>
      <c r="K510" s="2" t="s">
        <v>14</v>
      </c>
      <c r="L510" s="2" t="s">
        <v>15</v>
      </c>
      <c r="M510" s="2" t="s">
        <v>16</v>
      </c>
      <c r="N510" s="2" t="s">
        <v>17</v>
      </c>
    </row>
    <row r="511" spans="1:14" x14ac:dyDescent="0.25">
      <c r="A511">
        <v>508</v>
      </c>
      <c r="B511" t="s">
        <v>110</v>
      </c>
      <c r="C511" s="15">
        <v>6577.5946500000009</v>
      </c>
      <c r="D511" s="15">
        <v>6251.9686950000005</v>
      </c>
      <c r="E511" s="15">
        <v>6601.3533160000006</v>
      </c>
      <c r="F511" s="15">
        <v>6221.1027830000003</v>
      </c>
      <c r="G511" s="15">
        <v>6144.5207700000001</v>
      </c>
      <c r="H511" s="15">
        <v>6986.9476920000006</v>
      </c>
      <c r="I511" s="15">
        <v>6758.9734520000002</v>
      </c>
      <c r="J511" s="15">
        <v>6638.5693609999998</v>
      </c>
      <c r="K511" s="15">
        <v>6607.7002080000002</v>
      </c>
      <c r="L511" s="15">
        <v>7017.3799749999998</v>
      </c>
      <c r="M511" s="15">
        <v>6673.802259</v>
      </c>
      <c r="N511" s="15">
        <v>7407.4532399999998</v>
      </c>
    </row>
    <row r="512" spans="1:14" x14ac:dyDescent="0.25">
      <c r="A512">
        <v>509</v>
      </c>
      <c r="B512" t="s">
        <v>114</v>
      </c>
      <c r="C512" s="15">
        <v>0</v>
      </c>
      <c r="D512" s="15">
        <v>0</v>
      </c>
      <c r="E512" s="15">
        <v>0</v>
      </c>
      <c r="F512" s="15">
        <v>0</v>
      </c>
      <c r="G512" s="15">
        <v>601.99486999999942</v>
      </c>
      <c r="H512" s="15">
        <v>1302.2738459999998</v>
      </c>
      <c r="I512" s="15">
        <v>1720.977498</v>
      </c>
      <c r="J512" s="15">
        <v>1978.6487699999998</v>
      </c>
      <c r="K512" s="15">
        <v>2089.6997630000001</v>
      </c>
      <c r="L512" s="15">
        <v>3205.8409859999992</v>
      </c>
      <c r="M512" s="15">
        <v>3028.5892029999995</v>
      </c>
      <c r="N512" s="15">
        <v>3570.8475030000004</v>
      </c>
    </row>
    <row r="513" spans="1:14" x14ac:dyDescent="0.25">
      <c r="A513">
        <v>510</v>
      </c>
      <c r="B513" t="s">
        <v>111</v>
      </c>
      <c r="C513" s="15">
        <v>7348.3342300000004</v>
      </c>
      <c r="D513" s="15">
        <v>5461.5938809999998</v>
      </c>
      <c r="E513" s="15">
        <v>7745.7966860000006</v>
      </c>
      <c r="F513" s="15">
        <v>7341.9473439999992</v>
      </c>
      <c r="G513" s="15">
        <v>7643.3463270000002</v>
      </c>
      <c r="H513" s="15">
        <v>8384.9859939999988</v>
      </c>
      <c r="I513" s="15">
        <v>7964.2109189999992</v>
      </c>
      <c r="J513" s="15">
        <v>7997.5067949999993</v>
      </c>
      <c r="K513" s="15">
        <v>8255.9333889999998</v>
      </c>
      <c r="L513" s="15">
        <v>8674.3500349999995</v>
      </c>
      <c r="M513" s="15">
        <v>8143.6736579999997</v>
      </c>
      <c r="N513" s="15">
        <v>8757.5336960000004</v>
      </c>
    </row>
    <row r="514" spans="1:14" x14ac:dyDescent="0.25">
      <c r="A514">
        <v>511</v>
      </c>
      <c r="B514" t="s">
        <v>112</v>
      </c>
      <c r="C514" s="15">
        <v>6544.4763640000001</v>
      </c>
      <c r="D514" s="15">
        <v>5993.896111</v>
      </c>
      <c r="E514" s="15">
        <v>6304.3690050000005</v>
      </c>
      <c r="F514" s="15">
        <v>6826.6162090000007</v>
      </c>
      <c r="G514" s="15">
        <v>8048.0342599999994</v>
      </c>
      <c r="H514" s="15">
        <v>7128.9751720000004</v>
      </c>
      <c r="I514" s="15">
        <v>6988.0095000000001</v>
      </c>
      <c r="J514" s="15">
        <v>6246.395117</v>
      </c>
      <c r="K514" s="15">
        <v>5964.7093279999999</v>
      </c>
      <c r="L514" s="15">
        <v>6458.0236780000005</v>
      </c>
      <c r="M514" s="15">
        <v>6715.7835539999996</v>
      </c>
      <c r="N514" s="15">
        <v>6977.9414269999997</v>
      </c>
    </row>
    <row r="515" spans="1:14" x14ac:dyDescent="0.25">
      <c r="A515">
        <v>512</v>
      </c>
      <c r="B515" t="s">
        <v>113</v>
      </c>
      <c r="C515" s="15">
        <v>3642.7511999999992</v>
      </c>
      <c r="D515" s="15">
        <v>2924.5551230000001</v>
      </c>
      <c r="E515" s="15">
        <v>4032.1032649999997</v>
      </c>
      <c r="F515" s="15">
        <v>3532.2769869999997</v>
      </c>
      <c r="G515" s="15">
        <v>3703.5979860000002</v>
      </c>
      <c r="H515" s="15">
        <v>4056.6722030000001</v>
      </c>
      <c r="I515" s="15">
        <v>3961.0133879999998</v>
      </c>
      <c r="J515" s="15">
        <v>3810.7615169999999</v>
      </c>
      <c r="K515" s="15">
        <v>4295.7673129999994</v>
      </c>
      <c r="L515" s="15">
        <v>4359.7940860000008</v>
      </c>
      <c r="M515" s="15">
        <v>4074.5252839999998</v>
      </c>
      <c r="N515" s="15">
        <v>4432.3238950000004</v>
      </c>
    </row>
    <row r="516" spans="1:14" x14ac:dyDescent="0.25">
      <c r="A516">
        <v>513</v>
      </c>
      <c r="B516" t="s">
        <v>115</v>
      </c>
      <c r="C516" s="15">
        <v>9206.358628</v>
      </c>
      <c r="D516" s="15">
        <v>6717.9097199999997</v>
      </c>
      <c r="E516" s="15">
        <v>8808.6958439999999</v>
      </c>
      <c r="F516" s="15">
        <v>8866.4994100000004</v>
      </c>
      <c r="G516" s="15">
        <v>9428.4471520000006</v>
      </c>
      <c r="H516" s="15">
        <v>9257.4768519999998</v>
      </c>
      <c r="I516" s="15">
        <v>9233.9122630000002</v>
      </c>
      <c r="J516" s="15">
        <v>9474.8367689999995</v>
      </c>
      <c r="K516" s="15">
        <v>9569.4519380000002</v>
      </c>
      <c r="L516" s="15">
        <v>9854.2381380000006</v>
      </c>
      <c r="M516" s="15">
        <v>8907.9825629999996</v>
      </c>
      <c r="N516" s="15">
        <v>9433.165927</v>
      </c>
    </row>
    <row r="517" spans="1:14" x14ac:dyDescent="0.25">
      <c r="A517">
        <v>514</v>
      </c>
      <c r="B517" t="s">
        <v>116</v>
      </c>
      <c r="C517" s="15">
        <v>8170.995077999999</v>
      </c>
      <c r="D517" s="15">
        <v>6484.8090179999999</v>
      </c>
      <c r="E517" s="15">
        <v>7110.8707020000002</v>
      </c>
      <c r="F517" s="15">
        <v>7897.2765089999984</v>
      </c>
      <c r="G517" s="15">
        <v>8079.2583589999995</v>
      </c>
      <c r="H517" s="15">
        <v>7648.7164119999998</v>
      </c>
      <c r="I517" s="15">
        <v>7199.7565649999997</v>
      </c>
      <c r="J517" s="15">
        <v>8024</v>
      </c>
      <c r="K517" s="15">
        <v>8237</v>
      </c>
      <c r="L517" s="15">
        <v>8444.0874050000002</v>
      </c>
      <c r="M517" s="15">
        <v>8839.0977519999997</v>
      </c>
      <c r="N517" s="15">
        <v>9104.436020000001</v>
      </c>
    </row>
    <row r="518" spans="1:14" x14ac:dyDescent="0.25">
      <c r="A518">
        <v>515</v>
      </c>
      <c r="B518" t="s">
        <v>118</v>
      </c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</row>
    <row r="519" spans="1:14" x14ac:dyDescent="0.25">
      <c r="A519">
        <v>516</v>
      </c>
    </row>
    <row r="520" spans="1:14" x14ac:dyDescent="0.25">
      <c r="A520">
        <v>517</v>
      </c>
      <c r="B520" s="7" t="s">
        <v>67</v>
      </c>
      <c r="C520" s="2" t="s">
        <v>6</v>
      </c>
      <c r="D520" s="2" t="s">
        <v>7</v>
      </c>
      <c r="E520" s="2" t="s">
        <v>8</v>
      </c>
      <c r="F520" s="2" t="s">
        <v>9</v>
      </c>
      <c r="G520" s="2" t="s">
        <v>10</v>
      </c>
      <c r="H520" s="2" t="s">
        <v>11</v>
      </c>
      <c r="I520" s="2" t="s">
        <v>12</v>
      </c>
      <c r="J520" s="2" t="s">
        <v>13</v>
      </c>
      <c r="K520" s="2" t="s">
        <v>14</v>
      </c>
      <c r="L520" s="2" t="s">
        <v>15</v>
      </c>
      <c r="M520" s="2" t="s">
        <v>16</v>
      </c>
      <c r="N520" s="2" t="s">
        <v>17</v>
      </c>
    </row>
    <row r="521" spans="1:14" x14ac:dyDescent="0.25">
      <c r="A521">
        <v>518</v>
      </c>
      <c r="B521" t="s">
        <v>110</v>
      </c>
      <c r="C521" s="15">
        <v>6552.7566660000002</v>
      </c>
      <c r="D521" s="15">
        <v>5303.3981140000005</v>
      </c>
      <c r="E521" s="15">
        <v>6169.3049380000002</v>
      </c>
      <c r="F521" s="15">
        <v>7050.0321629999989</v>
      </c>
      <c r="G521" s="15">
        <v>6642.4610639999992</v>
      </c>
      <c r="H521" s="15">
        <v>6414.2758210000002</v>
      </c>
      <c r="I521" s="15">
        <v>5981.7894290000004</v>
      </c>
      <c r="J521" s="15">
        <v>6944.5323920000001</v>
      </c>
      <c r="K521" s="15">
        <v>7122.6525639999991</v>
      </c>
      <c r="L521" s="15">
        <v>7230.6060289999996</v>
      </c>
      <c r="M521" s="15">
        <v>7197.2249870000005</v>
      </c>
      <c r="N521" s="15">
        <v>7284.0649700000004</v>
      </c>
    </row>
    <row r="522" spans="1:14" x14ac:dyDescent="0.25">
      <c r="A522">
        <v>519</v>
      </c>
      <c r="B522" t="s">
        <v>114</v>
      </c>
      <c r="C522" s="15">
        <v>2955.8937989999999</v>
      </c>
      <c r="D522" s="15">
        <v>2947.5902259999998</v>
      </c>
      <c r="E522" s="15">
        <v>3064.0611730000005</v>
      </c>
      <c r="F522" s="15">
        <v>3502.1396220000001</v>
      </c>
      <c r="G522" s="15">
        <v>3684.0986420000004</v>
      </c>
      <c r="H522" s="15">
        <v>3297.6249819999998</v>
      </c>
      <c r="I522" s="15">
        <v>3172.2304579999995</v>
      </c>
      <c r="J522" s="15">
        <v>3637.699521</v>
      </c>
      <c r="K522" s="15">
        <v>3888.7693420000005</v>
      </c>
      <c r="L522" s="15">
        <v>3726.4484950000001</v>
      </c>
      <c r="M522" s="15">
        <v>4140.6414160000004</v>
      </c>
      <c r="N522" s="15">
        <v>3867.1020779999999</v>
      </c>
    </row>
    <row r="523" spans="1:14" x14ac:dyDescent="0.25">
      <c r="A523">
        <v>520</v>
      </c>
      <c r="B523" t="s">
        <v>111</v>
      </c>
      <c r="C523" s="15">
        <v>8747.7383439999994</v>
      </c>
      <c r="D523" s="15">
        <v>6654.6431259999999</v>
      </c>
      <c r="E523" s="15">
        <v>6995.5125819999994</v>
      </c>
      <c r="F523" s="15">
        <v>8363.0085710000003</v>
      </c>
      <c r="G523" s="15">
        <v>7573.065176000001</v>
      </c>
      <c r="H523" s="15">
        <v>8282.7685700000002</v>
      </c>
      <c r="I523" s="15">
        <v>6956.8610799999997</v>
      </c>
      <c r="J523" s="15">
        <v>9427.4208469999994</v>
      </c>
      <c r="K523" s="15">
        <v>8427.9632220000003</v>
      </c>
      <c r="L523" s="15">
        <v>9729.6690729999991</v>
      </c>
      <c r="M523" s="15">
        <v>9416.923420000001</v>
      </c>
      <c r="N523" s="15">
        <v>10031.306028999999</v>
      </c>
    </row>
    <row r="524" spans="1:14" x14ac:dyDescent="0.25">
      <c r="A524">
        <v>521</v>
      </c>
      <c r="B524" t="s">
        <v>112</v>
      </c>
      <c r="C524" s="15">
        <v>6257.6738940000005</v>
      </c>
      <c r="D524" s="15">
        <v>6127.3385079999998</v>
      </c>
      <c r="E524" s="15">
        <v>6518.0042939999994</v>
      </c>
      <c r="F524" s="15">
        <v>6232.1555999999991</v>
      </c>
      <c r="G524" s="15">
        <v>6435.8060450000003</v>
      </c>
      <c r="H524" s="15">
        <v>6000.5706750000008</v>
      </c>
      <c r="I524" s="15">
        <v>6335.7753720000001</v>
      </c>
      <c r="J524" s="15">
        <v>6516.0188010000011</v>
      </c>
      <c r="K524" s="15">
        <v>6691.4289070000004</v>
      </c>
      <c r="L524" s="15">
        <v>7753.6247240000002</v>
      </c>
      <c r="M524" s="15">
        <v>7653.1588939999992</v>
      </c>
      <c r="N524" s="15">
        <v>7322.7625669999998</v>
      </c>
    </row>
    <row r="525" spans="1:14" x14ac:dyDescent="0.25">
      <c r="A525">
        <v>522</v>
      </c>
      <c r="B525" t="s">
        <v>113</v>
      </c>
      <c r="C525" s="15">
        <v>5108.3595399999995</v>
      </c>
      <c r="D525" s="15">
        <v>4579.0173220000006</v>
      </c>
      <c r="E525" s="15">
        <v>4711.2577529999999</v>
      </c>
      <c r="F525" s="15">
        <v>4778.8944899999997</v>
      </c>
      <c r="G525" s="15">
        <v>3858.4162639999995</v>
      </c>
      <c r="H525" s="15">
        <v>3917.5391629999999</v>
      </c>
      <c r="I525" s="15">
        <v>3721.8323460000001</v>
      </c>
      <c r="J525" s="15">
        <v>4096.9063980000001</v>
      </c>
      <c r="K525" s="15">
        <v>4315.9443329999995</v>
      </c>
      <c r="L525" s="15">
        <v>4676.283743</v>
      </c>
      <c r="M525" s="15">
        <v>5508.3723380000001</v>
      </c>
      <c r="N525" s="15">
        <v>5506.6780740000004</v>
      </c>
    </row>
    <row r="526" spans="1:14" x14ac:dyDescent="0.25">
      <c r="A526">
        <v>523</v>
      </c>
      <c r="B526" t="s">
        <v>115</v>
      </c>
      <c r="C526" s="15">
        <v>8402.2258320000001</v>
      </c>
      <c r="D526" s="15">
        <v>8520.7317430000003</v>
      </c>
      <c r="E526" s="15">
        <v>9230.2948120000001</v>
      </c>
      <c r="F526" s="15">
        <v>8658.1491800000003</v>
      </c>
      <c r="G526" s="15">
        <v>8313.841253999999</v>
      </c>
      <c r="H526" s="15">
        <v>7359.280616</v>
      </c>
      <c r="I526" s="15">
        <v>7166.8110510000006</v>
      </c>
      <c r="J526" s="15">
        <v>8116.9626859999998</v>
      </c>
      <c r="K526" s="15">
        <v>8211.570189</v>
      </c>
      <c r="L526" s="15">
        <v>8075.7483850000008</v>
      </c>
      <c r="M526" s="15">
        <v>8027.9532559999998</v>
      </c>
      <c r="N526" s="15">
        <v>8326.0228239999997</v>
      </c>
    </row>
    <row r="527" spans="1:14" x14ac:dyDescent="0.25">
      <c r="A527">
        <v>524</v>
      </c>
      <c r="B527" t="s">
        <v>116</v>
      </c>
      <c r="C527" s="15">
        <v>8441.923691</v>
      </c>
      <c r="D527" s="15">
        <v>7602.6595550000002</v>
      </c>
      <c r="E527" s="15">
        <v>8790.3471289999998</v>
      </c>
      <c r="F527" s="15">
        <v>7453.5610750000005</v>
      </c>
      <c r="G527" s="15">
        <v>7148.8244680000007</v>
      </c>
      <c r="H527" s="15">
        <v>6646.1814219999997</v>
      </c>
      <c r="I527" s="15">
        <v>5793.7114609999999</v>
      </c>
      <c r="J527" s="15">
        <v>7715.1102310000006</v>
      </c>
      <c r="K527" s="15">
        <v>6753.6693699999996</v>
      </c>
      <c r="L527" s="15">
        <v>7429.0124799999994</v>
      </c>
      <c r="M527" s="15">
        <v>6859.069923</v>
      </c>
      <c r="N527" s="15">
        <v>8487.6960469999995</v>
      </c>
    </row>
    <row r="528" spans="1:14" x14ac:dyDescent="0.25">
      <c r="A528">
        <v>525</v>
      </c>
      <c r="B528" t="s">
        <v>118</v>
      </c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</row>
    <row r="529" spans="1:14" x14ac:dyDescent="0.25">
      <c r="A529">
        <v>526</v>
      </c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</row>
    <row r="530" spans="1:14" x14ac:dyDescent="0.25">
      <c r="A530">
        <v>527</v>
      </c>
      <c r="B530" s="7" t="s">
        <v>66</v>
      </c>
      <c r="C530" s="2" t="s">
        <v>6</v>
      </c>
      <c r="D530" s="2" t="s">
        <v>7</v>
      </c>
      <c r="E530" s="2" t="s">
        <v>8</v>
      </c>
      <c r="F530" s="2" t="s">
        <v>9</v>
      </c>
      <c r="G530" s="2" t="s">
        <v>10</v>
      </c>
      <c r="H530" s="2" t="s">
        <v>11</v>
      </c>
      <c r="I530" s="2" t="s">
        <v>12</v>
      </c>
      <c r="J530" s="2" t="s">
        <v>13</v>
      </c>
      <c r="K530" s="2" t="s">
        <v>14</v>
      </c>
      <c r="L530" s="2" t="s">
        <v>15</v>
      </c>
      <c r="M530" s="2" t="s">
        <v>16</v>
      </c>
      <c r="N530" s="2" t="s">
        <v>17</v>
      </c>
    </row>
    <row r="531" spans="1:14" x14ac:dyDescent="0.25">
      <c r="A531">
        <v>528</v>
      </c>
      <c r="B531" t="s">
        <v>110</v>
      </c>
      <c r="C531" s="15">
        <v>6841.7796840000001</v>
      </c>
      <c r="D531" s="15">
        <v>6155.0398519999999</v>
      </c>
      <c r="E531" s="15">
        <v>6501.7999799999998</v>
      </c>
      <c r="F531" s="15">
        <v>6518.9361189999991</v>
      </c>
      <c r="G531" s="15">
        <v>7704.6736140000003</v>
      </c>
      <c r="H531" s="15">
        <v>7267.180593</v>
      </c>
      <c r="I531" s="15">
        <v>6353.2718550000009</v>
      </c>
      <c r="J531" s="15">
        <v>6609.7143750000005</v>
      </c>
      <c r="K531" s="15">
        <v>5898.2964460000003</v>
      </c>
      <c r="L531" s="15">
        <v>7390.9347260000004</v>
      </c>
      <c r="M531" s="15">
        <v>6499.9705239999994</v>
      </c>
      <c r="N531" s="15">
        <v>0</v>
      </c>
    </row>
    <row r="532" spans="1:14" x14ac:dyDescent="0.25">
      <c r="A532">
        <v>529</v>
      </c>
      <c r="B532" t="s">
        <v>114</v>
      </c>
      <c r="C532" s="15">
        <v>3868.6571880000001</v>
      </c>
      <c r="D532" s="15">
        <v>2903.6264930000002</v>
      </c>
      <c r="E532" s="15">
        <v>4122.663912</v>
      </c>
      <c r="F532" s="15">
        <v>3582.331518</v>
      </c>
      <c r="G532" s="15">
        <v>3410.0411010000003</v>
      </c>
      <c r="H532" s="15">
        <v>3372.5871360000001</v>
      </c>
      <c r="I532" s="15">
        <v>4632.4343219999992</v>
      </c>
      <c r="J532" s="15">
        <v>3881.3594660000003</v>
      </c>
      <c r="K532" s="15">
        <v>3992.0645379999996</v>
      </c>
      <c r="L532" s="15">
        <v>6259.8590610000001</v>
      </c>
      <c r="M532" s="15">
        <v>3608.6284720000003</v>
      </c>
      <c r="N532" s="15">
        <v>0</v>
      </c>
    </row>
    <row r="533" spans="1:14" x14ac:dyDescent="0.25">
      <c r="A533">
        <v>530</v>
      </c>
      <c r="B533" t="s">
        <v>111</v>
      </c>
      <c r="C533" s="15">
        <v>8559.894647000001</v>
      </c>
      <c r="D533" s="15">
        <v>7719.0075999999999</v>
      </c>
      <c r="E533" s="15">
        <v>8372.5359749999989</v>
      </c>
      <c r="F533" s="15">
        <v>9026.0052180000002</v>
      </c>
      <c r="G533" s="15">
        <v>8846.8800300000003</v>
      </c>
      <c r="H533" s="15">
        <v>8923.7162740000003</v>
      </c>
      <c r="I533" s="15">
        <v>9050.1293420000002</v>
      </c>
      <c r="J533" s="15">
        <v>8626.0399660000003</v>
      </c>
      <c r="K533" s="15">
        <v>8100.5870020000002</v>
      </c>
      <c r="L533" s="15">
        <v>9303.9441050000005</v>
      </c>
      <c r="M533" s="15">
        <v>8542.3914920000007</v>
      </c>
      <c r="N533" s="15">
        <v>0</v>
      </c>
    </row>
    <row r="534" spans="1:14" x14ac:dyDescent="0.25">
      <c r="A534">
        <v>531</v>
      </c>
      <c r="B534" t="s">
        <v>112</v>
      </c>
      <c r="C534" s="15">
        <v>8426.7675290000006</v>
      </c>
      <c r="D534" s="15">
        <v>6360.4218259999998</v>
      </c>
      <c r="E534" s="15">
        <v>7755.0932570000004</v>
      </c>
      <c r="F534" s="15">
        <v>7329.4752949999993</v>
      </c>
      <c r="G534" s="15">
        <v>7153.7433180000007</v>
      </c>
      <c r="H534" s="15">
        <v>6985.5589330000003</v>
      </c>
      <c r="I534" s="15">
        <v>7955.8315829999992</v>
      </c>
      <c r="J534" s="15">
        <v>7843.0483409999988</v>
      </c>
      <c r="K534" s="15">
        <v>6993.4479870000005</v>
      </c>
      <c r="L534" s="15">
        <v>6443.9421159999984</v>
      </c>
      <c r="M534" s="15">
        <v>6915.9933460000011</v>
      </c>
      <c r="N534" s="15">
        <v>0</v>
      </c>
    </row>
    <row r="535" spans="1:14" x14ac:dyDescent="0.25">
      <c r="A535">
        <v>532</v>
      </c>
      <c r="B535" t="s">
        <v>113</v>
      </c>
      <c r="C535" s="15">
        <v>5548.3240930000002</v>
      </c>
      <c r="D535" s="15">
        <v>5488.1045980000008</v>
      </c>
      <c r="E535" s="15">
        <v>5127.0924670000004</v>
      </c>
      <c r="F535" s="15">
        <v>5541.6251179999999</v>
      </c>
      <c r="G535" s="15">
        <v>4874.966203</v>
      </c>
      <c r="H535" s="15">
        <v>5401.5740699999997</v>
      </c>
      <c r="I535" s="15">
        <v>4840.1694859999998</v>
      </c>
      <c r="J535" s="15">
        <v>4975.4448560000001</v>
      </c>
      <c r="K535" s="15">
        <v>4610.0293169999986</v>
      </c>
      <c r="L535" s="15">
        <v>5070.2673939999995</v>
      </c>
      <c r="M535" s="15">
        <v>5121.0922100000007</v>
      </c>
      <c r="N535" s="15">
        <v>0</v>
      </c>
    </row>
    <row r="536" spans="1:14" x14ac:dyDescent="0.25">
      <c r="A536">
        <v>533</v>
      </c>
      <c r="B536" t="s">
        <v>115</v>
      </c>
      <c r="C536" s="15">
        <v>8777.5563879999991</v>
      </c>
      <c r="D536" s="15">
        <v>6104.968425</v>
      </c>
      <c r="E536" s="15">
        <v>7545.6517000000003</v>
      </c>
      <c r="F536" s="15">
        <v>7089.7706699999999</v>
      </c>
      <c r="G536" s="15">
        <v>7515.9749590000001</v>
      </c>
      <c r="H536" s="15">
        <v>6824.1212999999989</v>
      </c>
      <c r="I536" s="15">
        <v>7039.8613660000001</v>
      </c>
      <c r="J536" s="15">
        <v>7668.995511000001</v>
      </c>
      <c r="K536" s="15">
        <v>7930.0765359999996</v>
      </c>
      <c r="L536" s="15">
        <v>9289.5097409999998</v>
      </c>
      <c r="M536" s="15">
        <v>9069.6344369999988</v>
      </c>
      <c r="N536" s="15">
        <v>0</v>
      </c>
    </row>
    <row r="537" spans="1:14" x14ac:dyDescent="0.25">
      <c r="A537">
        <v>534</v>
      </c>
      <c r="B537" t="s">
        <v>116</v>
      </c>
      <c r="C537" s="15">
        <v>7946.4597059999996</v>
      </c>
      <c r="D537" s="15">
        <v>5930.5581649999995</v>
      </c>
      <c r="E537" s="15">
        <v>7095.3371610000013</v>
      </c>
      <c r="F537" s="15">
        <v>6831.6614550000004</v>
      </c>
      <c r="G537" s="15">
        <v>7123.4588330000006</v>
      </c>
      <c r="H537" s="15">
        <v>6475.5026110000008</v>
      </c>
      <c r="I537" s="15">
        <v>6077.4894610000001</v>
      </c>
      <c r="J537" s="15">
        <v>6548.5722670000005</v>
      </c>
      <c r="K537" s="15">
        <v>6294.7566469999992</v>
      </c>
      <c r="L537" s="15">
        <v>6864.7090600000001</v>
      </c>
      <c r="M537" s="15">
        <v>7243.8838759999999</v>
      </c>
      <c r="N537" s="15">
        <v>0</v>
      </c>
    </row>
    <row r="538" spans="1:14" x14ac:dyDescent="0.25">
      <c r="A538">
        <v>535</v>
      </c>
      <c r="B538" t="s">
        <v>118</v>
      </c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</row>
    <row r="539" spans="1:14" x14ac:dyDescent="0.25">
      <c r="A539">
        <v>536</v>
      </c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</row>
    <row r="540" spans="1:14" x14ac:dyDescent="0.25">
      <c r="A540">
        <v>537</v>
      </c>
      <c r="B540" t="s">
        <v>33</v>
      </c>
    </row>
    <row r="541" spans="1:14" x14ac:dyDescent="0.25">
      <c r="A541">
        <v>538</v>
      </c>
      <c r="B541" s="7" t="s">
        <v>68</v>
      </c>
      <c r="C541" s="2" t="s">
        <v>6</v>
      </c>
      <c r="D541" s="2" t="s">
        <v>7</v>
      </c>
      <c r="E541" s="2" t="s">
        <v>8</v>
      </c>
      <c r="F541" s="2" t="s">
        <v>9</v>
      </c>
      <c r="G541" s="2" t="s">
        <v>10</v>
      </c>
      <c r="H541" s="2" t="s">
        <v>11</v>
      </c>
      <c r="I541" s="2" t="s">
        <v>12</v>
      </c>
      <c r="J541" s="2" t="s">
        <v>13</v>
      </c>
      <c r="K541" s="2" t="s">
        <v>14</v>
      </c>
      <c r="L541" s="2" t="s">
        <v>15</v>
      </c>
      <c r="M541" s="2" t="s">
        <v>16</v>
      </c>
      <c r="N541" s="2" t="s">
        <v>17</v>
      </c>
    </row>
    <row r="542" spans="1:14" x14ac:dyDescent="0.25">
      <c r="A542">
        <v>539</v>
      </c>
      <c r="B542" t="s">
        <v>110</v>
      </c>
      <c r="C542" s="15">
        <v>1710.422894</v>
      </c>
      <c r="D542" s="15">
        <v>2324.6386910000001</v>
      </c>
      <c r="E542" s="15">
        <v>2069.3704480000001</v>
      </c>
      <c r="F542" s="15">
        <v>1654.124642</v>
      </c>
      <c r="G542" s="15">
        <v>1608.6204399999999</v>
      </c>
      <c r="H542" s="15">
        <v>1625.8495129999999</v>
      </c>
      <c r="I542" s="15">
        <v>1776.639934</v>
      </c>
      <c r="J542" s="15">
        <v>1731.844423</v>
      </c>
      <c r="K542" s="15">
        <v>2192.3123890000002</v>
      </c>
      <c r="L542" s="15">
        <v>2399.6939550000002</v>
      </c>
      <c r="M542" s="15">
        <v>2467.1554510000001</v>
      </c>
      <c r="N542" s="15">
        <v>2131.3752180000001</v>
      </c>
    </row>
    <row r="543" spans="1:14" x14ac:dyDescent="0.25">
      <c r="A543">
        <v>540</v>
      </c>
      <c r="B543" t="s">
        <v>114</v>
      </c>
      <c r="C543" s="15">
        <v>0</v>
      </c>
      <c r="D543" s="15">
        <v>0</v>
      </c>
      <c r="E543" s="15">
        <v>0</v>
      </c>
      <c r="F543" s="15">
        <v>0</v>
      </c>
      <c r="G543" s="15">
        <v>2.6012050000000002</v>
      </c>
      <c r="H543" s="15">
        <v>28.759537000000002</v>
      </c>
      <c r="I543" s="15">
        <v>54.526302000000001</v>
      </c>
      <c r="J543" s="15">
        <v>62.151375999999999</v>
      </c>
      <c r="K543" s="15">
        <v>57.308508000000003</v>
      </c>
      <c r="L543" s="15">
        <v>82.375949000000006</v>
      </c>
      <c r="M543" s="15">
        <v>724.64178700000002</v>
      </c>
      <c r="N543" s="15">
        <v>794.98260099999993</v>
      </c>
    </row>
    <row r="544" spans="1:14" x14ac:dyDescent="0.25">
      <c r="A544">
        <v>541</v>
      </c>
      <c r="B544" t="s">
        <v>111</v>
      </c>
      <c r="C544" s="15">
        <v>3773.3570709999999</v>
      </c>
      <c r="D544" s="15">
        <v>3531.6637000000001</v>
      </c>
      <c r="E544" s="15">
        <v>4012.892593</v>
      </c>
      <c r="F544" s="15">
        <v>3743.4740459999998</v>
      </c>
      <c r="G544" s="15">
        <v>4488.3545709999999</v>
      </c>
      <c r="H544" s="15">
        <v>4113.3932080000004</v>
      </c>
      <c r="I544" s="15">
        <v>4173.7637409999998</v>
      </c>
      <c r="J544" s="15">
        <v>4159.9059829999997</v>
      </c>
      <c r="K544" s="15">
        <v>4683.968245</v>
      </c>
      <c r="L544" s="15">
        <v>5027.7274299999999</v>
      </c>
      <c r="M544" s="15">
        <v>4747.2383490000002</v>
      </c>
      <c r="N544" s="15">
        <v>4849.8579890000001</v>
      </c>
    </row>
    <row r="545" spans="1:14" x14ac:dyDescent="0.25">
      <c r="A545">
        <v>542</v>
      </c>
      <c r="B545" t="s">
        <v>112</v>
      </c>
      <c r="C545" s="15">
        <v>1479.637367</v>
      </c>
      <c r="D545" s="15">
        <v>1248.1321619999999</v>
      </c>
      <c r="E545" s="15">
        <v>1389.669856</v>
      </c>
      <c r="F545" s="15">
        <v>1394.1564229999999</v>
      </c>
      <c r="G545" s="15">
        <v>1517.038215</v>
      </c>
      <c r="H545" s="15">
        <v>1426.199488</v>
      </c>
      <c r="I545" s="15">
        <v>1513.8076759999999</v>
      </c>
      <c r="J545" s="15">
        <v>1311.492025</v>
      </c>
      <c r="K545" s="15">
        <v>1510.471738</v>
      </c>
      <c r="L545" s="15">
        <v>1548.988241</v>
      </c>
      <c r="M545" s="15">
        <v>1497.6102259999998</v>
      </c>
      <c r="N545" s="15">
        <v>1334.6600289999999</v>
      </c>
    </row>
    <row r="546" spans="1:14" x14ac:dyDescent="0.25">
      <c r="A546">
        <v>543</v>
      </c>
      <c r="B546" t="s">
        <v>113</v>
      </c>
      <c r="C546" s="15">
        <v>1575.706674</v>
      </c>
      <c r="D546" s="15">
        <v>1456.136994</v>
      </c>
      <c r="E546" s="15">
        <v>1979.9008250000002</v>
      </c>
      <c r="F546" s="15">
        <v>1798.9354769999998</v>
      </c>
      <c r="G546" s="15">
        <v>1730.4706249999999</v>
      </c>
      <c r="H546" s="15">
        <v>1758.692301</v>
      </c>
      <c r="I546" s="15">
        <v>1732.6992909999999</v>
      </c>
      <c r="J546" s="15">
        <v>1800.5013470000001</v>
      </c>
      <c r="K546" s="15">
        <v>1959.4475220000002</v>
      </c>
      <c r="L546" s="15">
        <v>1935.2669139999998</v>
      </c>
      <c r="M546" s="15">
        <v>1971.1545150000002</v>
      </c>
      <c r="N546" s="15">
        <v>2099.5186220000001</v>
      </c>
    </row>
    <row r="547" spans="1:14" x14ac:dyDescent="0.25">
      <c r="A547">
        <v>544</v>
      </c>
      <c r="B547" t="s">
        <v>115</v>
      </c>
      <c r="C547" s="15">
        <v>3294.0448139999999</v>
      </c>
      <c r="D547" s="15">
        <v>2928.2048420000001</v>
      </c>
      <c r="E547" s="15">
        <v>3380.1279129999998</v>
      </c>
      <c r="F547" s="15">
        <v>3314.55078</v>
      </c>
      <c r="G547" s="15">
        <v>3224.1925040000001</v>
      </c>
      <c r="H547" s="15">
        <v>3391.2686650000001</v>
      </c>
      <c r="I547" s="15">
        <v>3839.83367</v>
      </c>
      <c r="J547" s="15">
        <v>3458.3358149999999</v>
      </c>
      <c r="K547" s="15">
        <v>3551.4977180000001</v>
      </c>
      <c r="L547" s="15">
        <v>4163.5073469999998</v>
      </c>
      <c r="M547" s="15">
        <v>4216.2181250000003</v>
      </c>
      <c r="N547" s="15">
        <v>4831.7367729999996</v>
      </c>
    </row>
    <row r="548" spans="1:14" x14ac:dyDescent="0.25">
      <c r="A548">
        <v>545</v>
      </c>
      <c r="B548" t="s">
        <v>116</v>
      </c>
      <c r="C548" s="15">
        <v>3265.8236619999998</v>
      </c>
      <c r="D548" s="15">
        <v>3000.0506109999997</v>
      </c>
      <c r="E548" s="15">
        <v>3215.231624</v>
      </c>
      <c r="F548" s="15">
        <v>3220.0595630000003</v>
      </c>
      <c r="G548" s="15">
        <v>3300.2265669999997</v>
      </c>
      <c r="H548" s="15">
        <v>3480.8185679999997</v>
      </c>
      <c r="I548" s="15">
        <v>3738.0471830000001</v>
      </c>
      <c r="J548" s="15">
        <v>3409</v>
      </c>
      <c r="K548" s="15">
        <v>3347</v>
      </c>
      <c r="L548" s="15">
        <v>3421.7704180000001</v>
      </c>
      <c r="M548" s="15">
        <v>3414.9040199999999</v>
      </c>
      <c r="N548" s="15">
        <v>3516.6336780000001</v>
      </c>
    </row>
    <row r="549" spans="1:14" x14ac:dyDescent="0.25">
      <c r="A549">
        <v>546</v>
      </c>
      <c r="B549" t="s">
        <v>118</v>
      </c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</row>
    <row r="550" spans="1:14" x14ac:dyDescent="0.25">
      <c r="A550">
        <v>547</v>
      </c>
    </row>
    <row r="551" spans="1:14" x14ac:dyDescent="0.25">
      <c r="A551">
        <v>548</v>
      </c>
      <c r="B551" s="7" t="s">
        <v>67</v>
      </c>
      <c r="C551" s="2" t="s">
        <v>6</v>
      </c>
      <c r="D551" s="2" t="s">
        <v>7</v>
      </c>
      <c r="E551" s="2" t="s">
        <v>8</v>
      </c>
      <c r="F551" s="2" t="s">
        <v>9</v>
      </c>
      <c r="G551" s="2" t="s">
        <v>10</v>
      </c>
      <c r="H551" s="2" t="s">
        <v>11</v>
      </c>
      <c r="I551" s="2" t="s">
        <v>12</v>
      </c>
      <c r="J551" s="2" t="s">
        <v>13</v>
      </c>
      <c r="K551" s="2" t="s">
        <v>14</v>
      </c>
      <c r="L551" s="2" t="s">
        <v>15</v>
      </c>
      <c r="M551" s="2" t="s">
        <v>16</v>
      </c>
      <c r="N551" s="2" t="s">
        <v>17</v>
      </c>
    </row>
    <row r="552" spans="1:14" x14ac:dyDescent="0.25">
      <c r="A552">
        <v>549</v>
      </c>
      <c r="B552" t="s">
        <v>110</v>
      </c>
      <c r="C552" s="15">
        <v>1989.5454179999999</v>
      </c>
      <c r="D552" s="15">
        <v>1674.9664170000001</v>
      </c>
      <c r="E552" s="15">
        <v>1737.586413</v>
      </c>
      <c r="F552" s="15">
        <v>1753.095452</v>
      </c>
      <c r="G552" s="15">
        <v>1720.060039</v>
      </c>
      <c r="H552" s="15">
        <v>1601.2633740000001</v>
      </c>
      <c r="I552" s="15">
        <v>1748.2595799999999</v>
      </c>
      <c r="J552" s="15">
        <v>2306.1369530000002</v>
      </c>
      <c r="K552" s="15">
        <v>2178.5353300000002</v>
      </c>
      <c r="L552" s="15">
        <v>1809.1114689999999</v>
      </c>
      <c r="M552" s="15">
        <v>2029.6303170000001</v>
      </c>
      <c r="N552" s="15">
        <v>3459.3340349999999</v>
      </c>
    </row>
    <row r="553" spans="1:14" x14ac:dyDescent="0.25">
      <c r="A553">
        <v>550</v>
      </c>
      <c r="B553" t="s">
        <v>114</v>
      </c>
      <c r="C553" s="15">
        <v>662.52093300000001</v>
      </c>
      <c r="D553" s="15">
        <v>652.80287899999996</v>
      </c>
      <c r="E553" s="15">
        <v>640.10479499999997</v>
      </c>
      <c r="F553" s="15">
        <v>743.63874699999997</v>
      </c>
      <c r="G553" s="15">
        <v>863.29877799999997</v>
      </c>
      <c r="H553" s="15">
        <v>720.258106</v>
      </c>
      <c r="I553" s="15">
        <v>853.48997599999996</v>
      </c>
      <c r="J553" s="15">
        <v>747.79115000000002</v>
      </c>
      <c r="K553" s="15">
        <v>987.13458800000001</v>
      </c>
      <c r="L553" s="15">
        <v>1086.9273739999999</v>
      </c>
      <c r="M553" s="15">
        <v>1074.0721400000002</v>
      </c>
      <c r="N553" s="15">
        <v>963.37791300000004</v>
      </c>
    </row>
    <row r="554" spans="1:14" x14ac:dyDescent="0.25">
      <c r="A554">
        <v>551</v>
      </c>
      <c r="B554" t="s">
        <v>111</v>
      </c>
      <c r="C554" s="15">
        <v>3741.4595360000003</v>
      </c>
      <c r="D554" s="15">
        <v>3930.1240309999998</v>
      </c>
      <c r="E554" s="15">
        <v>4106.563177</v>
      </c>
      <c r="F554" s="15">
        <v>4016.3164269999997</v>
      </c>
      <c r="G554" s="15">
        <v>4036.6056589999998</v>
      </c>
      <c r="H554" s="15">
        <v>3861.1059409999998</v>
      </c>
      <c r="I554" s="15">
        <v>4076.1533210000007</v>
      </c>
      <c r="J554" s="15">
        <v>4668.9666259999995</v>
      </c>
      <c r="K554" s="15">
        <v>4074.8239469999994</v>
      </c>
      <c r="L554" s="15">
        <v>4113.8441309999998</v>
      </c>
      <c r="M554" s="15">
        <v>4137.9350570000006</v>
      </c>
      <c r="N554" s="15">
        <v>4500.2326800000001</v>
      </c>
    </row>
    <row r="555" spans="1:14" x14ac:dyDescent="0.25">
      <c r="A555">
        <v>552</v>
      </c>
      <c r="B555" t="s">
        <v>112</v>
      </c>
      <c r="C555" s="15">
        <v>1449.49638</v>
      </c>
      <c r="D555" s="15">
        <v>1525.2923860000001</v>
      </c>
      <c r="E555" s="15">
        <v>1540.7905850000002</v>
      </c>
      <c r="F555" s="15">
        <v>1482.8218750000001</v>
      </c>
      <c r="G555" s="15">
        <v>1622.666847</v>
      </c>
      <c r="H555" s="15">
        <v>1444.5248529999999</v>
      </c>
      <c r="I555" s="15">
        <v>1472.0784960000001</v>
      </c>
      <c r="J555" s="15">
        <v>1551.3342640000001</v>
      </c>
      <c r="K555" s="15">
        <v>1572.2384050000001</v>
      </c>
      <c r="L555" s="15">
        <v>1519.1450220000002</v>
      </c>
      <c r="M555" s="15">
        <v>1444.0147140000001</v>
      </c>
      <c r="N555" s="15">
        <v>2234.1458130000001</v>
      </c>
    </row>
    <row r="556" spans="1:14" x14ac:dyDescent="0.25">
      <c r="A556">
        <v>553</v>
      </c>
      <c r="B556" t="s">
        <v>113</v>
      </c>
      <c r="C556" s="15">
        <v>2214.0369970000002</v>
      </c>
      <c r="D556" s="15">
        <v>2284.2490069999999</v>
      </c>
      <c r="E556" s="15">
        <v>1469.2104449999999</v>
      </c>
      <c r="F556" s="15">
        <v>1951.93821</v>
      </c>
      <c r="G556" s="15">
        <v>2024.623378</v>
      </c>
      <c r="H556" s="15">
        <v>1930.4416679999999</v>
      </c>
      <c r="I556" s="15">
        <v>2100.4187630000001</v>
      </c>
      <c r="J556" s="15">
        <v>2233.1998149999999</v>
      </c>
      <c r="K556" s="15">
        <v>2403.9709279999997</v>
      </c>
      <c r="L556" s="15">
        <v>2357.1677209999998</v>
      </c>
      <c r="M556" s="15">
        <v>2376.8593740000001</v>
      </c>
      <c r="N556" s="15">
        <v>2600.7019</v>
      </c>
    </row>
    <row r="557" spans="1:14" x14ac:dyDescent="0.25">
      <c r="A557">
        <v>554</v>
      </c>
      <c r="B557" t="s">
        <v>115</v>
      </c>
      <c r="C557" s="15">
        <v>3801.6288049999998</v>
      </c>
      <c r="D557" s="15">
        <v>3514.1691339999998</v>
      </c>
      <c r="E557" s="15">
        <v>4105.9964970000001</v>
      </c>
      <c r="F557" s="15">
        <v>3978.2446529999997</v>
      </c>
      <c r="G557" s="15">
        <v>3747.4664549999998</v>
      </c>
      <c r="H557" s="15">
        <v>4032.0350130000002</v>
      </c>
      <c r="I557" s="15">
        <v>3724.5486759999994</v>
      </c>
      <c r="J557" s="15">
        <v>4763.9560980000006</v>
      </c>
      <c r="K557" s="15">
        <v>4047.6456399999997</v>
      </c>
      <c r="L557" s="15">
        <v>3805.2513340000005</v>
      </c>
      <c r="M557" s="15">
        <v>4499.4419050000006</v>
      </c>
      <c r="N557" s="15">
        <v>3807.5644000000002</v>
      </c>
    </row>
    <row r="558" spans="1:14" x14ac:dyDescent="0.25">
      <c r="A558">
        <v>555</v>
      </c>
      <c r="B558" t="s">
        <v>116</v>
      </c>
      <c r="C558" s="15">
        <v>3374.6426449999999</v>
      </c>
      <c r="D558" s="15">
        <v>3300.5219639999996</v>
      </c>
      <c r="E558" s="15">
        <v>3599.2436859999998</v>
      </c>
      <c r="F558" s="15">
        <v>3473.1777189999998</v>
      </c>
      <c r="G558" s="15">
        <v>3465.0632900000001</v>
      </c>
      <c r="H558" s="15">
        <v>3206.8182409999999</v>
      </c>
      <c r="I558" s="15">
        <v>3774.6887139999994</v>
      </c>
      <c r="J558" s="15">
        <v>4239.4801449999995</v>
      </c>
      <c r="K558" s="15">
        <v>3921.5594360000005</v>
      </c>
      <c r="L558" s="15">
        <v>5047.9937140000002</v>
      </c>
      <c r="M558" s="15">
        <v>3689.162069</v>
      </c>
      <c r="N558" s="15">
        <v>4026.1686419999996</v>
      </c>
    </row>
    <row r="559" spans="1:14" x14ac:dyDescent="0.25">
      <c r="A559">
        <v>556</v>
      </c>
      <c r="B559" t="s">
        <v>118</v>
      </c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</row>
    <row r="560" spans="1:14" x14ac:dyDescent="0.25">
      <c r="A560">
        <v>557</v>
      </c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</row>
    <row r="561" spans="1:14" x14ac:dyDescent="0.25">
      <c r="A561">
        <v>558</v>
      </c>
      <c r="B561" s="7" t="s">
        <v>66</v>
      </c>
      <c r="C561" s="2" t="s">
        <v>6</v>
      </c>
      <c r="D561" s="2" t="s">
        <v>7</v>
      </c>
      <c r="E561" s="2" t="s">
        <v>8</v>
      </c>
      <c r="F561" s="2" t="s">
        <v>9</v>
      </c>
      <c r="G561" s="2" t="s">
        <v>10</v>
      </c>
      <c r="H561" s="2" t="s">
        <v>11</v>
      </c>
      <c r="I561" s="2" t="s">
        <v>12</v>
      </c>
      <c r="J561" s="2" t="s">
        <v>13</v>
      </c>
      <c r="K561" s="2" t="s">
        <v>14</v>
      </c>
      <c r="L561" s="2" t="s">
        <v>15</v>
      </c>
      <c r="M561" s="2" t="s">
        <v>16</v>
      </c>
      <c r="N561" s="2" t="s">
        <v>17</v>
      </c>
    </row>
    <row r="562" spans="1:14" x14ac:dyDescent="0.25">
      <c r="A562">
        <v>559</v>
      </c>
      <c r="B562" t="s">
        <v>110</v>
      </c>
      <c r="C562" s="15">
        <v>1837.9810170000001</v>
      </c>
      <c r="D562" s="15">
        <v>1673.2475300000001</v>
      </c>
      <c r="E562" s="15">
        <v>1767.2770529999998</v>
      </c>
      <c r="F562" s="15">
        <v>1721.5944549999999</v>
      </c>
      <c r="G562" s="15">
        <v>1580.9023950000001</v>
      </c>
      <c r="H562" s="15">
        <v>1795.2348030000001</v>
      </c>
      <c r="I562" s="15">
        <v>1879.6566819999998</v>
      </c>
      <c r="J562" s="15">
        <v>2059.8092770000003</v>
      </c>
      <c r="K562" s="15">
        <v>1777.7194180000001</v>
      </c>
      <c r="L562" s="15">
        <v>1635.7165709999999</v>
      </c>
      <c r="M562" s="15">
        <v>1738.329236</v>
      </c>
      <c r="N562" s="15">
        <v>0</v>
      </c>
    </row>
    <row r="563" spans="1:14" x14ac:dyDescent="0.25">
      <c r="A563">
        <v>560</v>
      </c>
      <c r="B563" t="s">
        <v>114</v>
      </c>
      <c r="C563" s="15">
        <v>870.15248000000008</v>
      </c>
      <c r="D563" s="15">
        <v>755.02775700000007</v>
      </c>
      <c r="E563" s="15">
        <v>845.32818599999996</v>
      </c>
      <c r="F563" s="15">
        <v>1138.963575</v>
      </c>
      <c r="G563" s="15">
        <v>840.41769999999997</v>
      </c>
      <c r="H563" s="15">
        <v>853.96310199999994</v>
      </c>
      <c r="I563" s="15">
        <v>880.6643590000001</v>
      </c>
      <c r="J563" s="15">
        <v>1100.5837080000001</v>
      </c>
      <c r="K563" s="15">
        <v>807.792866</v>
      </c>
      <c r="L563" s="15">
        <v>735.07382099999995</v>
      </c>
      <c r="M563" s="15">
        <v>1124.841541</v>
      </c>
      <c r="N563" s="15">
        <v>0</v>
      </c>
    </row>
    <row r="564" spans="1:14" x14ac:dyDescent="0.25">
      <c r="A564">
        <v>561</v>
      </c>
      <c r="B564" t="s">
        <v>111</v>
      </c>
      <c r="C564" s="15">
        <v>3956.563819</v>
      </c>
      <c r="D564" s="15">
        <v>3954.3718260000005</v>
      </c>
      <c r="E564" s="15">
        <v>4143.041193</v>
      </c>
      <c r="F564" s="15">
        <v>4221.6146899999994</v>
      </c>
      <c r="G564" s="15">
        <v>4514.7299519999997</v>
      </c>
      <c r="H564" s="15">
        <v>3867.593073</v>
      </c>
      <c r="I564" s="15">
        <v>4558.8712319999995</v>
      </c>
      <c r="J564" s="15">
        <v>4138.3411859999997</v>
      </c>
      <c r="K564" s="15">
        <v>3705.0897479999999</v>
      </c>
      <c r="L564" s="15">
        <v>4064.9885260000001</v>
      </c>
      <c r="M564" s="15">
        <v>4040.983123</v>
      </c>
      <c r="N564" s="15">
        <v>0</v>
      </c>
    </row>
    <row r="565" spans="1:14" x14ac:dyDescent="0.25">
      <c r="A565">
        <v>562</v>
      </c>
      <c r="B565" t="s">
        <v>112</v>
      </c>
      <c r="C565" s="15">
        <v>1640.6864760000001</v>
      </c>
      <c r="D565" s="15">
        <v>1520.2369080000001</v>
      </c>
      <c r="E565" s="15">
        <v>1489.55178</v>
      </c>
      <c r="F565" s="15">
        <v>1594.3239879999999</v>
      </c>
      <c r="G565" s="15">
        <v>1549.1092619999999</v>
      </c>
      <c r="H565" s="15">
        <v>1449.2867550000001</v>
      </c>
      <c r="I565" s="15">
        <v>1548.571631</v>
      </c>
      <c r="J565" s="15">
        <v>1882.71255</v>
      </c>
      <c r="K565" s="15">
        <v>1391.5204699999999</v>
      </c>
      <c r="L565" s="15">
        <v>1419.425915</v>
      </c>
      <c r="M565" s="15">
        <v>1539.8139939999999</v>
      </c>
      <c r="N565" s="15">
        <v>0</v>
      </c>
    </row>
    <row r="566" spans="1:14" x14ac:dyDescent="0.25">
      <c r="A566">
        <v>563</v>
      </c>
      <c r="B566" t="s">
        <v>113</v>
      </c>
      <c r="C566" s="15">
        <v>2585.2967100000001</v>
      </c>
      <c r="D566" s="15">
        <v>2434.2648450000002</v>
      </c>
      <c r="E566" s="15">
        <v>2579.7677619999999</v>
      </c>
      <c r="F566" s="15">
        <v>2510.4996009999995</v>
      </c>
      <c r="G566" s="15">
        <v>2865.3006930000001</v>
      </c>
      <c r="H566" s="15">
        <v>2423.3585069999999</v>
      </c>
      <c r="I566" s="15">
        <v>2671.9282619999999</v>
      </c>
      <c r="J566" s="15">
        <v>2561.4793639999998</v>
      </c>
      <c r="K566" s="15">
        <v>2872.0249389999999</v>
      </c>
      <c r="L566" s="15">
        <v>3001.305194</v>
      </c>
      <c r="M566" s="15">
        <v>2741.1138839999999</v>
      </c>
      <c r="N566" s="15">
        <v>0</v>
      </c>
    </row>
    <row r="567" spans="1:14" x14ac:dyDescent="0.25">
      <c r="A567">
        <v>564</v>
      </c>
      <c r="B567" t="s">
        <v>115</v>
      </c>
      <c r="C567" s="15">
        <v>3380.0200489999997</v>
      </c>
      <c r="D567" s="15">
        <v>2739.024183</v>
      </c>
      <c r="E567" s="15">
        <v>3062.2330819999997</v>
      </c>
      <c r="F567" s="15">
        <v>3066.306521</v>
      </c>
      <c r="G567" s="15">
        <v>3240.810774</v>
      </c>
      <c r="H567" s="15">
        <v>3375.9018409999999</v>
      </c>
      <c r="I567" s="15">
        <v>3217.8042350000001</v>
      </c>
      <c r="J567" s="15">
        <v>3914.9703199999994</v>
      </c>
      <c r="K567" s="15">
        <v>3490.6522110000005</v>
      </c>
      <c r="L567" s="15">
        <v>4010.2044889999997</v>
      </c>
      <c r="M567" s="15">
        <v>3737.5483880000002</v>
      </c>
      <c r="N567" s="15">
        <v>0</v>
      </c>
    </row>
    <row r="568" spans="1:14" x14ac:dyDescent="0.25">
      <c r="A568">
        <v>565</v>
      </c>
      <c r="B568" t="s">
        <v>116</v>
      </c>
      <c r="C568" s="15">
        <v>3874.665618</v>
      </c>
      <c r="D568" s="15">
        <v>3448.4351770000003</v>
      </c>
      <c r="E568" s="15">
        <v>4076.41723</v>
      </c>
      <c r="F568" s="15">
        <v>3883.1541149999998</v>
      </c>
      <c r="G568" s="15">
        <v>3941.7659739999999</v>
      </c>
      <c r="H568" s="15">
        <v>4093.7850400000002</v>
      </c>
      <c r="I568" s="15">
        <v>4346.988531</v>
      </c>
      <c r="J568" s="15">
        <v>4316.5891000000001</v>
      </c>
      <c r="K568" s="15">
        <v>3944.6540809999997</v>
      </c>
      <c r="L568" s="15">
        <v>3925.9040089999999</v>
      </c>
      <c r="M568" s="15">
        <v>3973.3755550000001</v>
      </c>
      <c r="N568" s="15">
        <v>0</v>
      </c>
    </row>
    <row r="569" spans="1:14" x14ac:dyDescent="0.25">
      <c r="A569">
        <v>566</v>
      </c>
      <c r="B569" t="s">
        <v>118</v>
      </c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</row>
    <row r="570" spans="1:14" x14ac:dyDescent="0.25">
      <c r="A570">
        <v>567</v>
      </c>
    </row>
    <row r="571" spans="1:14" x14ac:dyDescent="0.25">
      <c r="A571">
        <v>568</v>
      </c>
      <c r="B571" s="84" t="s">
        <v>129</v>
      </c>
      <c r="D571" s="86"/>
    </row>
    <row r="572" spans="1:14" x14ac:dyDescent="0.25">
      <c r="A572">
        <v>569</v>
      </c>
      <c r="B572" s="7" t="s">
        <v>67</v>
      </c>
      <c r="C572" s="2" t="s">
        <v>6</v>
      </c>
      <c r="D572" s="2" t="s">
        <v>7</v>
      </c>
      <c r="E572" s="2" t="s">
        <v>8</v>
      </c>
      <c r="F572" s="2" t="s">
        <v>9</v>
      </c>
      <c r="G572" s="2" t="s">
        <v>10</v>
      </c>
      <c r="H572" s="2" t="s">
        <v>11</v>
      </c>
      <c r="I572" s="2" t="s">
        <v>12</v>
      </c>
      <c r="J572" s="2" t="s">
        <v>13</v>
      </c>
      <c r="K572" s="2" t="s">
        <v>14</v>
      </c>
      <c r="L572" s="2" t="s">
        <v>15</v>
      </c>
      <c r="M572" s="2" t="s">
        <v>16</v>
      </c>
      <c r="N572" s="2" t="s">
        <v>17</v>
      </c>
    </row>
    <row r="573" spans="1:14" x14ac:dyDescent="0.25">
      <c r="A573">
        <v>570</v>
      </c>
      <c r="B573" t="s">
        <v>61</v>
      </c>
    </row>
    <row r="574" spans="1:14" x14ac:dyDescent="0.25">
      <c r="A574">
        <v>571</v>
      </c>
      <c r="B574" t="s">
        <v>35</v>
      </c>
      <c r="C574">
        <v>132225540.46000001</v>
      </c>
      <c r="D574">
        <v>117098414.88000001</v>
      </c>
      <c r="E574">
        <v>74885388.780000001</v>
      </c>
      <c r="F574">
        <v>66654290.749999993</v>
      </c>
      <c r="G574">
        <v>115576602.92</v>
      </c>
      <c r="H574">
        <v>153335821.44</v>
      </c>
      <c r="I574">
        <v>172170408.64999998</v>
      </c>
      <c r="J574">
        <v>141854418.13</v>
      </c>
      <c r="K574">
        <v>137203795.50999999</v>
      </c>
      <c r="L574">
        <v>136597724.16</v>
      </c>
      <c r="M574">
        <v>146825337.62</v>
      </c>
      <c r="N574">
        <v>119885760.22000001</v>
      </c>
    </row>
    <row r="575" spans="1:14" x14ac:dyDescent="0.25">
      <c r="A575">
        <v>572</v>
      </c>
      <c r="B575" t="s">
        <v>43</v>
      </c>
      <c r="C575">
        <v>66542606.409999996</v>
      </c>
      <c r="D575">
        <v>62139971.899999999</v>
      </c>
      <c r="E575">
        <v>78439412.599999994</v>
      </c>
      <c r="F575">
        <v>82977423.590000004</v>
      </c>
      <c r="G575">
        <v>86107031.090000004</v>
      </c>
      <c r="H575">
        <v>80730639.090000004</v>
      </c>
      <c r="I575">
        <v>90323938.569999993</v>
      </c>
      <c r="J575">
        <v>45171550.57</v>
      </c>
      <c r="K575">
        <v>84789328.370000005</v>
      </c>
      <c r="L575">
        <v>62275392.469999999</v>
      </c>
      <c r="M575">
        <v>50306476.269999996</v>
      </c>
      <c r="N575">
        <v>81413277.170000002</v>
      </c>
    </row>
    <row r="576" spans="1:14" x14ac:dyDescent="0.25">
      <c r="A576">
        <v>573</v>
      </c>
      <c r="B576" t="s">
        <v>44</v>
      </c>
      <c r="C576">
        <v>55109003.93</v>
      </c>
      <c r="D576">
        <v>34051515.619999997</v>
      </c>
      <c r="E576">
        <v>147553222.31999999</v>
      </c>
      <c r="F576">
        <v>103235685.92</v>
      </c>
      <c r="G576">
        <v>52236622</v>
      </c>
      <c r="H576">
        <v>17014108.780000001</v>
      </c>
      <c r="I576">
        <v>24789471.030000001</v>
      </c>
      <c r="J576">
        <v>20614577.030000001</v>
      </c>
      <c r="K576">
        <v>12629262.83</v>
      </c>
      <c r="L576">
        <v>17061147.73</v>
      </c>
      <c r="M576">
        <v>20704383.530000001</v>
      </c>
      <c r="N576">
        <v>27971058.630000003</v>
      </c>
    </row>
    <row r="577" spans="1:14" x14ac:dyDescent="0.25">
      <c r="A577">
        <v>574</v>
      </c>
      <c r="B577" t="s">
        <v>37</v>
      </c>
      <c r="C577">
        <v>5676401.29</v>
      </c>
      <c r="D577">
        <v>2261954.9500000002</v>
      </c>
      <c r="E577">
        <v>2786463.0000000005</v>
      </c>
      <c r="F577">
        <v>4477727.8900000006</v>
      </c>
      <c r="G577">
        <v>3238553.01</v>
      </c>
      <c r="H577">
        <v>3734406.5499999993</v>
      </c>
      <c r="I577">
        <v>3610351.08</v>
      </c>
      <c r="J577">
        <v>3054519.4099999997</v>
      </c>
      <c r="K577">
        <v>3876506</v>
      </c>
      <c r="L577">
        <v>5016382.2699999996</v>
      </c>
      <c r="M577">
        <v>4771209.8900000006</v>
      </c>
      <c r="N577">
        <v>3848460.53</v>
      </c>
    </row>
    <row r="578" spans="1:14" x14ac:dyDescent="0.25">
      <c r="A578">
        <v>575</v>
      </c>
      <c r="B578" t="s">
        <v>39</v>
      </c>
      <c r="C578" s="15">
        <f>C579-SUM(C574:C577)</f>
        <v>66058604.140000015</v>
      </c>
      <c r="D578" s="15">
        <f t="shared" ref="D578:N578" si="158">D579-SUM(D574:D577)</f>
        <v>86121080.960000008</v>
      </c>
      <c r="E578" s="15">
        <f t="shared" si="158"/>
        <v>100318901.93000001</v>
      </c>
      <c r="F578" s="15">
        <f t="shared" si="158"/>
        <v>98423072.349999964</v>
      </c>
      <c r="G578" s="15">
        <f t="shared" si="158"/>
        <v>92369073.370000064</v>
      </c>
      <c r="H578" s="15">
        <f t="shared" si="158"/>
        <v>87591321.080000043</v>
      </c>
      <c r="I578" s="15">
        <f t="shared" si="158"/>
        <v>80020175.590000033</v>
      </c>
      <c r="J578" s="15">
        <f t="shared" si="158"/>
        <v>64461010.620000005</v>
      </c>
      <c r="K578" s="15">
        <f t="shared" si="158"/>
        <v>60895289.310000032</v>
      </c>
      <c r="L578" s="15">
        <f t="shared" si="158"/>
        <v>51578082.599999964</v>
      </c>
      <c r="M578" s="15">
        <f t="shared" si="158"/>
        <v>54564329.949999988</v>
      </c>
      <c r="N578">
        <f t="shared" si="158"/>
        <v>58182498.769999921</v>
      </c>
    </row>
    <row r="579" spans="1:14" x14ac:dyDescent="0.25">
      <c r="A579">
        <v>576</v>
      </c>
      <c r="B579" t="s">
        <v>4</v>
      </c>
      <c r="C579">
        <v>325612156.23000002</v>
      </c>
      <c r="D579">
        <v>301672938.31</v>
      </c>
      <c r="E579">
        <v>403983388.63</v>
      </c>
      <c r="F579">
        <v>355768200.49999994</v>
      </c>
      <c r="G579">
        <v>349527882.39000005</v>
      </c>
      <c r="H579">
        <v>342406296.94000006</v>
      </c>
      <c r="I579">
        <v>370914344.92000002</v>
      </c>
      <c r="J579">
        <v>275156075.75999999</v>
      </c>
      <c r="K579">
        <v>299394182.02000004</v>
      </c>
      <c r="L579">
        <v>272528729.22999996</v>
      </c>
      <c r="M579">
        <v>277171737.25999999</v>
      </c>
      <c r="N579">
        <v>291301055.31999993</v>
      </c>
    </row>
    <row r="580" spans="1:14" x14ac:dyDescent="0.25">
      <c r="A580">
        <v>577</v>
      </c>
    </row>
    <row r="581" spans="1:14" x14ac:dyDescent="0.25">
      <c r="A581">
        <v>578</v>
      </c>
      <c r="B581" s="7" t="s">
        <v>66</v>
      </c>
      <c r="C581" s="2" t="s">
        <v>6</v>
      </c>
      <c r="D581" s="2" t="s">
        <v>7</v>
      </c>
      <c r="E581" s="2" t="s">
        <v>8</v>
      </c>
      <c r="F581" s="2" t="s">
        <v>9</v>
      </c>
      <c r="G581" s="2" t="s">
        <v>10</v>
      </c>
      <c r="H581" s="2" t="s">
        <v>11</v>
      </c>
      <c r="I581" s="2" t="s">
        <v>12</v>
      </c>
      <c r="J581" s="2" t="s">
        <v>13</v>
      </c>
      <c r="K581" s="2" t="s">
        <v>14</v>
      </c>
      <c r="L581" s="2" t="s">
        <v>15</v>
      </c>
      <c r="M581" s="2" t="s">
        <v>16</v>
      </c>
      <c r="N581" s="2" t="s">
        <v>17</v>
      </c>
    </row>
    <row r="582" spans="1:14" x14ac:dyDescent="0.25">
      <c r="A582">
        <v>579</v>
      </c>
      <c r="B582" t="s">
        <v>61</v>
      </c>
    </row>
    <row r="583" spans="1:14" x14ac:dyDescent="0.25">
      <c r="A583">
        <v>580</v>
      </c>
      <c r="B583" t="s">
        <v>35</v>
      </c>
      <c r="C583" s="15">
        <v>160953905.07999998</v>
      </c>
      <c r="D583" s="15">
        <v>127935419.12</v>
      </c>
      <c r="E583" s="15">
        <v>118946395.87</v>
      </c>
      <c r="F583" s="15">
        <v>110279963.90000001</v>
      </c>
      <c r="G583" s="15">
        <v>164009907.13000003</v>
      </c>
      <c r="H583" s="15">
        <v>187136088.03</v>
      </c>
      <c r="I583" s="15">
        <v>142521024.63</v>
      </c>
      <c r="J583" s="15">
        <v>121133090.41</v>
      </c>
      <c r="K583" s="15">
        <v>221964220.63</v>
      </c>
      <c r="L583" s="15">
        <v>198750581.95000002</v>
      </c>
      <c r="M583" s="15">
        <v>261111657.38000003</v>
      </c>
    </row>
    <row r="584" spans="1:14" x14ac:dyDescent="0.25">
      <c r="A584">
        <v>581</v>
      </c>
      <c r="B584" t="s">
        <v>43</v>
      </c>
      <c r="C584" s="15">
        <v>109269301.97</v>
      </c>
      <c r="D584" s="15">
        <v>82036345.469999999</v>
      </c>
      <c r="E584" s="15">
        <v>110047683.17</v>
      </c>
      <c r="F584" s="15">
        <v>75786850.170000002</v>
      </c>
      <c r="G584" s="15">
        <v>66728928.469999999</v>
      </c>
      <c r="H584" s="15">
        <v>77120131.170000002</v>
      </c>
      <c r="I584" s="15">
        <v>120604569.06999999</v>
      </c>
      <c r="J584" s="15">
        <v>88759739.069999993</v>
      </c>
      <c r="K584" s="15">
        <v>55368764.57</v>
      </c>
      <c r="L584" s="15">
        <v>65783443.960000001</v>
      </c>
      <c r="M584" s="15">
        <v>73058354.159999996</v>
      </c>
    </row>
    <row r="585" spans="1:14" x14ac:dyDescent="0.25">
      <c r="A585">
        <v>582</v>
      </c>
      <c r="B585" t="s">
        <v>44</v>
      </c>
      <c r="C585" s="15">
        <v>31325235.93</v>
      </c>
      <c r="D585" s="15">
        <v>33112142.510000002</v>
      </c>
      <c r="E585" s="15">
        <v>31285102.309999999</v>
      </c>
      <c r="F585" s="15">
        <v>43408688.810000002</v>
      </c>
      <c r="G585" s="15">
        <v>49329449.310000002</v>
      </c>
      <c r="H585" s="15">
        <v>46226417.810000002</v>
      </c>
      <c r="I585" s="15">
        <v>54875361.009999998</v>
      </c>
      <c r="J585" s="15">
        <v>30241125.809999999</v>
      </c>
      <c r="K585" s="15">
        <v>28845707.41</v>
      </c>
      <c r="L585" s="15">
        <v>21110320.309999999</v>
      </c>
      <c r="M585" s="15">
        <v>8151909</v>
      </c>
      <c r="N585">
        <v>0</v>
      </c>
    </row>
    <row r="586" spans="1:14" x14ac:dyDescent="0.25">
      <c r="A586">
        <v>583</v>
      </c>
      <c r="B586" t="s">
        <v>37</v>
      </c>
      <c r="C586" s="15">
        <v>6313436.2699999996</v>
      </c>
      <c r="D586" s="15">
        <v>5476852.3699999992</v>
      </c>
      <c r="E586" s="15">
        <v>5085791.09</v>
      </c>
      <c r="F586" s="15">
        <v>2892783.3699999996</v>
      </c>
      <c r="G586" s="15">
        <v>3221692.7499999995</v>
      </c>
      <c r="H586" s="15">
        <v>3001883.58</v>
      </c>
      <c r="I586" s="15">
        <v>3403880.67</v>
      </c>
      <c r="J586" s="15">
        <v>4549775.96</v>
      </c>
      <c r="K586" s="15">
        <v>6605487.6000000006</v>
      </c>
      <c r="L586" s="15">
        <v>4529989.68</v>
      </c>
      <c r="M586" s="15">
        <v>3698155.07</v>
      </c>
      <c r="N586">
        <v>0</v>
      </c>
    </row>
    <row r="587" spans="1:14" x14ac:dyDescent="0.25">
      <c r="A587">
        <v>584</v>
      </c>
      <c r="B587" t="s">
        <v>39</v>
      </c>
      <c r="C587" s="15">
        <f>C588-SUM(C583:C586)</f>
        <v>64653462.850000083</v>
      </c>
      <c r="D587" s="15">
        <f t="shared" ref="D587:N587" si="159">D588-SUM(D583:D586)</f>
        <v>71783343.420000046</v>
      </c>
      <c r="E587" s="15">
        <f t="shared" si="159"/>
        <v>77241284.059999973</v>
      </c>
      <c r="F587" s="15">
        <f t="shared" si="159"/>
        <v>76287027.800000012</v>
      </c>
      <c r="G587" s="15">
        <f t="shared" si="159"/>
        <v>80787516.149999917</v>
      </c>
      <c r="H587" s="15">
        <f t="shared" si="159"/>
        <v>91453884.74000001</v>
      </c>
      <c r="I587" s="15">
        <f t="shared" si="159"/>
        <v>95056379.149999976</v>
      </c>
      <c r="J587" s="15">
        <f t="shared" si="159"/>
        <v>85853317.609999955</v>
      </c>
      <c r="K587" s="15">
        <f t="shared" si="159"/>
        <v>81448787.889999986</v>
      </c>
      <c r="L587" s="15">
        <f t="shared" si="159"/>
        <v>67413679.289999962</v>
      </c>
      <c r="M587" s="15">
        <f t="shared" si="159"/>
        <v>55965173.309999943</v>
      </c>
      <c r="N587">
        <f t="shared" si="159"/>
        <v>0</v>
      </c>
    </row>
    <row r="588" spans="1:14" x14ac:dyDescent="0.25">
      <c r="A588">
        <v>585</v>
      </c>
      <c r="B588" t="s">
        <v>4</v>
      </c>
      <c r="C588" s="15">
        <v>372515342.10000002</v>
      </c>
      <c r="D588" s="15">
        <v>320344102.89000005</v>
      </c>
      <c r="E588" s="15">
        <v>342606256.5</v>
      </c>
      <c r="F588" s="15">
        <v>308655314.05000001</v>
      </c>
      <c r="G588" s="15">
        <v>364077493.80999994</v>
      </c>
      <c r="H588" s="15">
        <v>404938405.32999998</v>
      </c>
      <c r="I588" s="15">
        <v>416461214.52999997</v>
      </c>
      <c r="J588" s="15">
        <v>330537048.85999995</v>
      </c>
      <c r="K588" s="15">
        <v>394232968.10000002</v>
      </c>
      <c r="L588" s="15">
        <v>357588015.19</v>
      </c>
      <c r="M588" s="15">
        <v>401985248.91999996</v>
      </c>
      <c r="N588">
        <v>0</v>
      </c>
    </row>
    <row r="589" spans="1:14" x14ac:dyDescent="0.25">
      <c r="A589">
        <v>586</v>
      </c>
    </row>
    <row r="590" spans="1:14" x14ac:dyDescent="0.25">
      <c r="A590">
        <v>587</v>
      </c>
      <c r="B590" s="7" t="s">
        <v>67</v>
      </c>
      <c r="C590" s="2" t="s">
        <v>6</v>
      </c>
      <c r="D590" s="2" t="s">
        <v>7</v>
      </c>
      <c r="E590" s="2" t="s">
        <v>8</v>
      </c>
      <c r="F590" s="2" t="s">
        <v>9</v>
      </c>
      <c r="G590" s="2" t="s">
        <v>10</v>
      </c>
      <c r="H590" s="2" t="s">
        <v>11</v>
      </c>
      <c r="I590" s="2" t="s">
        <v>12</v>
      </c>
      <c r="J590" s="2" t="s">
        <v>13</v>
      </c>
      <c r="K590" s="2" t="s">
        <v>14</v>
      </c>
      <c r="L590" s="2" t="s">
        <v>15</v>
      </c>
      <c r="M590" s="2" t="s">
        <v>16</v>
      </c>
      <c r="N590" s="2" t="s">
        <v>17</v>
      </c>
    </row>
    <row r="591" spans="1:14" x14ac:dyDescent="0.25">
      <c r="A591">
        <v>588</v>
      </c>
      <c r="B591" t="s">
        <v>62</v>
      </c>
    </row>
    <row r="592" spans="1:14" x14ac:dyDescent="0.25">
      <c r="A592">
        <v>589</v>
      </c>
      <c r="B592" t="s">
        <v>35</v>
      </c>
      <c r="C592" s="15">
        <v>695058399358</v>
      </c>
      <c r="D592" s="15">
        <v>613237513231</v>
      </c>
      <c r="E592" s="15">
        <v>394048677435</v>
      </c>
      <c r="F592" s="15">
        <v>346345810587</v>
      </c>
      <c r="G592" s="15">
        <v>588036981298</v>
      </c>
      <c r="H592" s="15">
        <v>766468529581.80835</v>
      </c>
      <c r="I592" s="15">
        <v>864188972021.10986</v>
      </c>
      <c r="J592" s="15">
        <v>704093375322.04749</v>
      </c>
      <c r="K592" s="15">
        <v>678433039987.33789</v>
      </c>
      <c r="L592" s="15">
        <v>670644268708</v>
      </c>
      <c r="M592" s="15">
        <v>721888471986.26611</v>
      </c>
      <c r="N592" s="15">
        <v>595742302300.15015</v>
      </c>
    </row>
    <row r="593" spans="1:14" x14ac:dyDescent="0.25">
      <c r="A593">
        <v>590</v>
      </c>
      <c r="B593" t="s">
        <v>43</v>
      </c>
      <c r="C593" s="15">
        <v>643674232604</v>
      </c>
      <c r="D593" s="15">
        <v>615739602525</v>
      </c>
      <c r="E593" s="15">
        <v>776896159117</v>
      </c>
      <c r="F593" s="15">
        <v>827326237349</v>
      </c>
      <c r="G593" s="15">
        <v>859888516052</v>
      </c>
      <c r="H593" s="15">
        <v>777414111845.4209</v>
      </c>
      <c r="I593" s="15">
        <v>845026278945.6792</v>
      </c>
      <c r="J593" s="15">
        <v>416973252853</v>
      </c>
      <c r="K593" s="15">
        <v>769641808701.79187</v>
      </c>
      <c r="L593" s="15">
        <v>553147763844</v>
      </c>
      <c r="M593" s="15">
        <v>451781406663.38916</v>
      </c>
      <c r="N593" s="15">
        <v>737621600504</v>
      </c>
    </row>
    <row r="594" spans="1:14" x14ac:dyDescent="0.25">
      <c r="A594">
        <v>591</v>
      </c>
      <c r="B594" t="s">
        <v>44</v>
      </c>
      <c r="C594" s="15">
        <v>270869948644</v>
      </c>
      <c r="D594" s="15">
        <v>170445582530</v>
      </c>
      <c r="E594" s="15">
        <v>734668601153</v>
      </c>
      <c r="F594" s="15">
        <v>517396044860</v>
      </c>
      <c r="G594" s="15">
        <v>264071068549</v>
      </c>
      <c r="H594" s="15">
        <v>85806976382</v>
      </c>
      <c r="I594" s="15">
        <v>122657099392</v>
      </c>
      <c r="J594" s="15">
        <v>102394171527</v>
      </c>
      <c r="K594" s="15">
        <v>61083857443</v>
      </c>
      <c r="L594" s="15">
        <v>85945143420</v>
      </c>
      <c r="M594" s="15">
        <v>104824699123</v>
      </c>
      <c r="N594" s="15">
        <v>142583935867</v>
      </c>
    </row>
    <row r="595" spans="1:14" x14ac:dyDescent="0.25">
      <c r="A595">
        <v>592</v>
      </c>
      <c r="B595" t="s">
        <v>37</v>
      </c>
      <c r="C595" s="15">
        <v>35631468153</v>
      </c>
      <c r="D595" s="15">
        <v>13993585549</v>
      </c>
      <c r="E595" s="15">
        <v>16569511003</v>
      </c>
      <c r="F595" s="15">
        <v>25359522843</v>
      </c>
      <c r="G595" s="15">
        <v>17538449287</v>
      </c>
      <c r="H595" s="15">
        <v>19728526057</v>
      </c>
      <c r="I595" s="15">
        <v>18885857412</v>
      </c>
      <c r="J595" s="15">
        <v>15346334121</v>
      </c>
      <c r="K595" s="15">
        <v>18891958682</v>
      </c>
      <c r="L595" s="15">
        <v>27258364231</v>
      </c>
      <c r="M595" s="15">
        <v>26725696811</v>
      </c>
      <c r="N595" s="15">
        <v>26330555706</v>
      </c>
    </row>
    <row r="596" spans="1:14" x14ac:dyDescent="0.25">
      <c r="A596">
        <v>593</v>
      </c>
      <c r="B596" t="s">
        <v>39</v>
      </c>
      <c r="C596" s="15">
        <f>C597-SUM(C592:C595)</f>
        <v>525741240047</v>
      </c>
      <c r="D596" s="15">
        <f t="shared" ref="D596:N596" si="160">D597-SUM(D592:D595)</f>
        <v>626368307809</v>
      </c>
      <c r="E596" s="15">
        <f t="shared" si="160"/>
        <v>707449230447</v>
      </c>
      <c r="F596" s="15">
        <f t="shared" si="160"/>
        <v>717645848729</v>
      </c>
      <c r="G596" s="15">
        <f t="shared" si="160"/>
        <v>672012228546</v>
      </c>
      <c r="H596" s="15">
        <f t="shared" si="160"/>
        <v>654911783808.00024</v>
      </c>
      <c r="I596" s="15">
        <f t="shared" si="160"/>
        <v>594353015699</v>
      </c>
      <c r="J596" s="15">
        <f t="shared" si="160"/>
        <v>503690026524</v>
      </c>
      <c r="K596" s="15">
        <f t="shared" si="160"/>
        <v>489401383118.99976</v>
      </c>
      <c r="L596" s="15">
        <f t="shared" si="160"/>
        <v>431872024821</v>
      </c>
      <c r="M596" s="15">
        <f t="shared" si="160"/>
        <v>448336857832</v>
      </c>
      <c r="N596" s="15">
        <f t="shared" si="160"/>
        <v>472580701425</v>
      </c>
    </row>
    <row r="597" spans="1:14" x14ac:dyDescent="0.25">
      <c r="A597">
        <v>594</v>
      </c>
      <c r="B597" t="s">
        <v>4</v>
      </c>
      <c r="C597" s="15">
        <v>2170975288806</v>
      </c>
      <c r="D597" s="15">
        <v>2039784591644</v>
      </c>
      <c r="E597" s="15">
        <v>2629632179155</v>
      </c>
      <c r="F597" s="15">
        <v>2434073464368</v>
      </c>
      <c r="G597" s="15">
        <v>2401547243732</v>
      </c>
      <c r="H597" s="15">
        <v>2304329927674.2295</v>
      </c>
      <c r="I597" s="15">
        <v>2445111223469.7891</v>
      </c>
      <c r="J597" s="15">
        <v>1742497160347.0474</v>
      </c>
      <c r="K597" s="15">
        <v>2017452047933.1296</v>
      </c>
      <c r="L597" s="15">
        <v>1768867565024</v>
      </c>
      <c r="M597" s="15">
        <v>1753557132415.6553</v>
      </c>
      <c r="N597" s="15">
        <v>1974859095802.1501</v>
      </c>
    </row>
    <row r="598" spans="1:14" x14ac:dyDescent="0.25">
      <c r="A598">
        <v>595</v>
      </c>
    </row>
    <row r="599" spans="1:14" x14ac:dyDescent="0.25">
      <c r="A599">
        <v>596</v>
      </c>
      <c r="B599" s="7" t="s">
        <v>66</v>
      </c>
      <c r="C599" s="2" t="s">
        <v>6</v>
      </c>
      <c r="D599" s="2" t="s">
        <v>7</v>
      </c>
      <c r="E599" s="2" t="s">
        <v>8</v>
      </c>
      <c r="F599" s="2" t="s">
        <v>9</v>
      </c>
      <c r="G599" s="2" t="s">
        <v>10</v>
      </c>
      <c r="H599" s="2" t="s">
        <v>11</v>
      </c>
      <c r="I599" s="2" t="s">
        <v>12</v>
      </c>
      <c r="J599" s="2" t="s">
        <v>13</v>
      </c>
      <c r="K599" s="2" t="s">
        <v>14</v>
      </c>
      <c r="L599" s="2" t="s">
        <v>15</v>
      </c>
      <c r="M599" s="2" t="s">
        <v>16</v>
      </c>
      <c r="N599" s="2" t="s">
        <v>17</v>
      </c>
    </row>
    <row r="600" spans="1:14" x14ac:dyDescent="0.25">
      <c r="A600">
        <v>597</v>
      </c>
      <c r="B600" t="s">
        <v>62</v>
      </c>
    </row>
    <row r="601" spans="1:14" x14ac:dyDescent="0.25">
      <c r="A601">
        <v>598</v>
      </c>
      <c r="B601" t="s">
        <v>35</v>
      </c>
      <c r="C601" s="15">
        <v>794758678418.43372</v>
      </c>
      <c r="D601" s="15">
        <v>643752712660.23267</v>
      </c>
      <c r="E601" s="15">
        <v>612431371364.02271</v>
      </c>
      <c r="F601" s="15">
        <v>575801322317.49854</v>
      </c>
      <c r="G601" s="15">
        <v>884735446470.55969</v>
      </c>
      <c r="H601" s="15">
        <v>1037085101157.3367</v>
      </c>
      <c r="I601" s="15">
        <v>794594711333</v>
      </c>
      <c r="J601" s="15">
        <v>685021300715</v>
      </c>
      <c r="K601" s="15">
        <v>1265790422761</v>
      </c>
      <c r="L601" s="15">
        <v>1117607040104</v>
      </c>
      <c r="M601" s="15">
        <v>1453335727328</v>
      </c>
      <c r="N601">
        <v>0</v>
      </c>
    </row>
    <row r="602" spans="1:14" x14ac:dyDescent="0.25">
      <c r="A602">
        <v>599</v>
      </c>
      <c r="B602" t="s">
        <v>43</v>
      </c>
      <c r="C602" s="15">
        <v>975005684005.11414</v>
      </c>
      <c r="D602" s="15">
        <v>734105680098.27539</v>
      </c>
      <c r="E602" s="15">
        <v>1064497965606.3916</v>
      </c>
      <c r="F602" s="15">
        <v>752032858379.1217</v>
      </c>
      <c r="G602" s="15">
        <v>677402180661</v>
      </c>
      <c r="H602" s="15">
        <v>851027546200</v>
      </c>
      <c r="I602" s="15">
        <v>1383055891493</v>
      </c>
      <c r="J602" s="15">
        <v>1022334629157</v>
      </c>
      <c r="K602" s="15">
        <v>637598389468</v>
      </c>
      <c r="L602" s="15">
        <v>730518544425</v>
      </c>
      <c r="M602" s="15">
        <v>803553799029</v>
      </c>
      <c r="N602">
        <v>0</v>
      </c>
    </row>
    <row r="603" spans="1:14" x14ac:dyDescent="0.25">
      <c r="A603">
        <v>600</v>
      </c>
      <c r="B603" t="s">
        <v>44</v>
      </c>
      <c r="C603" s="15">
        <v>161926188443</v>
      </c>
      <c r="D603" s="15">
        <v>172952709163</v>
      </c>
      <c r="E603" s="15">
        <v>165763199991</v>
      </c>
      <c r="F603" s="15">
        <v>235780668495</v>
      </c>
      <c r="G603" s="15">
        <v>274833054058</v>
      </c>
      <c r="H603" s="15">
        <v>260924415340</v>
      </c>
      <c r="I603" s="15">
        <v>317738967690</v>
      </c>
      <c r="J603" s="15">
        <v>175555778209</v>
      </c>
      <c r="K603" s="15">
        <v>167170586064</v>
      </c>
      <c r="L603" s="15">
        <v>123866088421</v>
      </c>
      <c r="M603" s="15">
        <v>48028812336</v>
      </c>
      <c r="N603">
        <v>0</v>
      </c>
    </row>
    <row r="604" spans="1:14" x14ac:dyDescent="0.25">
      <c r="A604">
        <v>601</v>
      </c>
      <c r="B604" t="s">
        <v>37</v>
      </c>
      <c r="C604" s="15">
        <v>34724238712</v>
      </c>
      <c r="D604" s="15">
        <v>30289111375</v>
      </c>
      <c r="E604" s="15">
        <v>27440836657</v>
      </c>
      <c r="F604" s="15">
        <v>16429939728</v>
      </c>
      <c r="G604" s="15">
        <v>17532931221</v>
      </c>
      <c r="H604" s="15">
        <v>21965286719</v>
      </c>
      <c r="I604" s="15">
        <v>22995509096</v>
      </c>
      <c r="J604" s="15">
        <v>33576450066</v>
      </c>
      <c r="K604" s="15">
        <v>37894669525</v>
      </c>
      <c r="L604" s="15">
        <v>45611516874</v>
      </c>
      <c r="M604" s="15">
        <v>22033676630</v>
      </c>
      <c r="N604">
        <v>0</v>
      </c>
    </row>
    <row r="605" spans="1:14" x14ac:dyDescent="0.25">
      <c r="A605">
        <v>602</v>
      </c>
      <c r="B605" t="s">
        <v>39</v>
      </c>
      <c r="C605" s="15">
        <f>C606-SUM(C601:C604)</f>
        <v>512997063062</v>
      </c>
      <c r="D605" s="15">
        <f t="shared" ref="D605" si="161">D606-SUM(D601:D604)</f>
        <v>558636773514</v>
      </c>
      <c r="E605" s="15">
        <f t="shared" ref="E605" si="162">E606-SUM(E601:E604)</f>
        <v>592491820611.99976</v>
      </c>
      <c r="F605" s="15">
        <f t="shared" ref="F605" si="163">F606-SUM(F601:F604)</f>
        <v>571394298678.00024</v>
      </c>
      <c r="G605" s="15">
        <f t="shared" ref="G605" si="164">G606-SUM(G601:G604)</f>
        <v>587295819122</v>
      </c>
      <c r="H605" s="15">
        <f t="shared" ref="H605" si="165">H606-SUM(H601:H604)</f>
        <v>670456971237.00024</v>
      </c>
      <c r="I605" s="15">
        <f t="shared" ref="I605" si="166">I606-SUM(I601:I604)</f>
        <v>743254948014</v>
      </c>
      <c r="J605" s="15">
        <f t="shared" ref="J605" si="167">J606-SUM(J601:J604)</f>
        <v>692730805540</v>
      </c>
      <c r="K605" s="15">
        <f t="shared" ref="K605" si="168">K606-SUM(K601:K604)</f>
        <v>685997292507</v>
      </c>
      <c r="L605" s="15">
        <f t="shared" ref="L605" si="169">L606-SUM(L601:L604)</f>
        <v>565473118574</v>
      </c>
      <c r="M605" s="15">
        <f t="shared" ref="M605" si="170">M606-SUM(M601:M604)</f>
        <v>494243083919</v>
      </c>
      <c r="N605">
        <f t="shared" ref="N605" si="171">N606-SUM(N601:N604)</f>
        <v>0</v>
      </c>
    </row>
    <row r="606" spans="1:14" x14ac:dyDescent="0.25">
      <c r="A606">
        <v>603</v>
      </c>
      <c r="B606" t="s">
        <v>4</v>
      </c>
      <c r="C606" s="15">
        <v>2479411852640.5479</v>
      </c>
      <c r="D606" s="15">
        <v>2139736986810.5081</v>
      </c>
      <c r="E606" s="15">
        <v>2462625194230.4141</v>
      </c>
      <c r="F606" s="15">
        <v>2151439087597.6204</v>
      </c>
      <c r="G606" s="15">
        <v>2441799431532.5596</v>
      </c>
      <c r="H606" s="15">
        <v>2841459320653.3369</v>
      </c>
      <c r="I606" s="15">
        <v>3261640027626</v>
      </c>
      <c r="J606" s="15">
        <v>2609218963687</v>
      </c>
      <c r="K606" s="15">
        <v>2794451360325</v>
      </c>
      <c r="L606" s="15">
        <v>2583076308398</v>
      </c>
      <c r="M606" s="15">
        <v>2821195099242</v>
      </c>
      <c r="N606">
        <v>0</v>
      </c>
    </row>
    <row r="607" spans="1:14" x14ac:dyDescent="0.25">
      <c r="A607">
        <v>604</v>
      </c>
    </row>
    <row r="608" spans="1:14" x14ac:dyDescent="0.25">
      <c r="A608">
        <v>605</v>
      </c>
      <c r="B608" t="s">
        <v>143</v>
      </c>
    </row>
    <row r="609" spans="1:14" x14ac:dyDescent="0.25">
      <c r="A609">
        <v>606</v>
      </c>
      <c r="B609" s="7" t="s">
        <v>67</v>
      </c>
      <c r="C609" s="2" t="s">
        <v>6</v>
      </c>
      <c r="D609" s="2" t="s">
        <v>7</v>
      </c>
      <c r="E609" s="2" t="s">
        <v>8</v>
      </c>
      <c r="F609" s="2" t="s">
        <v>9</v>
      </c>
      <c r="G609" s="2" t="s">
        <v>10</v>
      </c>
      <c r="H609" s="2" t="s">
        <v>11</v>
      </c>
      <c r="I609" s="2" t="s">
        <v>12</v>
      </c>
      <c r="J609" s="2" t="s">
        <v>13</v>
      </c>
      <c r="K609" s="2" t="s">
        <v>14</v>
      </c>
      <c r="L609" s="2" t="s">
        <v>15</v>
      </c>
      <c r="M609" s="2" t="s">
        <v>16</v>
      </c>
      <c r="N609" s="2" t="s">
        <v>17</v>
      </c>
    </row>
    <row r="610" spans="1:14" x14ac:dyDescent="0.25">
      <c r="A610">
        <v>607</v>
      </c>
      <c r="B610" t="s">
        <v>61</v>
      </c>
    </row>
    <row r="611" spans="1:14" x14ac:dyDescent="0.25">
      <c r="A611">
        <v>608</v>
      </c>
      <c r="B611" t="s">
        <v>35</v>
      </c>
      <c r="C611" s="15">
        <v>85731115.420000002</v>
      </c>
      <c r="D611" s="15">
        <v>75476119.450000003</v>
      </c>
      <c r="E611" s="15">
        <v>84235233.789999992</v>
      </c>
      <c r="F611" s="15">
        <v>83373942.210000008</v>
      </c>
      <c r="G611" s="15">
        <v>76744055.199999988</v>
      </c>
      <c r="H611" s="15">
        <v>71779992.5</v>
      </c>
      <c r="I611" s="15">
        <v>74610224.370000005</v>
      </c>
      <c r="J611" s="15">
        <v>98738816.950000003</v>
      </c>
      <c r="K611" s="15">
        <v>112972669.85000001</v>
      </c>
      <c r="L611" s="15">
        <v>137029847.69999999</v>
      </c>
      <c r="M611" s="15">
        <v>132216528.2</v>
      </c>
      <c r="N611" s="15">
        <v>132851453.14000002</v>
      </c>
    </row>
    <row r="612" spans="1:14" x14ac:dyDescent="0.25">
      <c r="A612">
        <v>609</v>
      </c>
      <c r="B612" t="s">
        <v>43</v>
      </c>
      <c r="C612" s="15">
        <v>52882979.459999993</v>
      </c>
      <c r="D612" s="15">
        <v>51613313.509999998</v>
      </c>
      <c r="E612" s="15">
        <v>58843843.299999997</v>
      </c>
      <c r="F612" s="15">
        <v>53828380.009999998</v>
      </c>
      <c r="G612" s="15">
        <v>47556667.5</v>
      </c>
      <c r="H612" s="15">
        <v>44472076.999999993</v>
      </c>
      <c r="I612" s="15">
        <v>46362966.519999996</v>
      </c>
      <c r="J612" s="15">
        <v>57918376</v>
      </c>
      <c r="K612" s="15">
        <v>61552556.200000003</v>
      </c>
      <c r="L612" s="15">
        <v>62855432.899999999</v>
      </c>
      <c r="M612" s="15">
        <v>61698767.200000003</v>
      </c>
      <c r="N612" s="15">
        <v>57882613.100000001</v>
      </c>
    </row>
    <row r="613" spans="1:14" x14ac:dyDescent="0.25">
      <c r="A613">
        <v>610</v>
      </c>
      <c r="B613" t="s">
        <v>44</v>
      </c>
      <c r="C613" s="15">
        <v>84025519.969999999</v>
      </c>
      <c r="D613" s="15">
        <v>63851567.310000002</v>
      </c>
      <c r="E613" s="15">
        <v>64988169.299999997</v>
      </c>
      <c r="F613" s="15">
        <v>58483778.399999999</v>
      </c>
      <c r="G613" s="15">
        <v>60268785.920000002</v>
      </c>
      <c r="H613" s="15">
        <v>50808610.219999999</v>
      </c>
      <c r="I613" s="15">
        <v>47476750.75</v>
      </c>
      <c r="J613" s="15">
        <v>40025900</v>
      </c>
      <c r="K613" s="15">
        <v>24606059.199999999</v>
      </c>
      <c r="L613" s="15">
        <v>25504289.100000001</v>
      </c>
      <c r="M613" s="15">
        <v>29433240.199999999</v>
      </c>
      <c r="N613" s="15">
        <v>30041918.899999999</v>
      </c>
    </row>
    <row r="614" spans="1:14" x14ac:dyDescent="0.25">
      <c r="A614">
        <v>611</v>
      </c>
      <c r="B614" t="s">
        <v>37</v>
      </c>
      <c r="C614" s="15">
        <v>19143446.66</v>
      </c>
      <c r="D614" s="15">
        <v>15994621.949999999</v>
      </c>
      <c r="E614" s="15">
        <v>19340180.949999999</v>
      </c>
      <c r="F614" s="15">
        <v>21361317.420000002</v>
      </c>
      <c r="G614" s="15">
        <v>22582479.879999999</v>
      </c>
      <c r="H614" s="15">
        <v>23568526.259999998</v>
      </c>
      <c r="I614" s="15">
        <v>24162762.169999998</v>
      </c>
      <c r="J614" s="15">
        <v>28625875.280000001</v>
      </c>
      <c r="K614" s="15">
        <v>29776671.609999999</v>
      </c>
      <c r="L614" s="15">
        <v>20357883.870000001</v>
      </c>
      <c r="M614" s="15">
        <v>14594371.130000001</v>
      </c>
      <c r="N614" s="15">
        <v>24909193.41</v>
      </c>
    </row>
    <row r="615" spans="1:14" x14ac:dyDescent="0.25">
      <c r="A615">
        <v>612</v>
      </c>
      <c r="B615" t="s">
        <v>39</v>
      </c>
      <c r="C615" s="15">
        <f>C616-SUM(C611:C614)</f>
        <v>77665650.199999988</v>
      </c>
      <c r="D615" s="15">
        <f t="shared" ref="D615:N615" si="172">D616-SUM(D611:D614)</f>
        <v>78401023.859999985</v>
      </c>
      <c r="E615" s="15">
        <f t="shared" si="172"/>
        <v>109093778.14999998</v>
      </c>
      <c r="F615" s="15">
        <f t="shared" si="172"/>
        <v>105104229.48999995</v>
      </c>
      <c r="G615" s="15">
        <f t="shared" si="172"/>
        <v>102096418.24000001</v>
      </c>
      <c r="H615" s="15">
        <f t="shared" si="172"/>
        <v>91788737.860000044</v>
      </c>
      <c r="I615" s="15">
        <f t="shared" si="172"/>
        <v>86549596.50000003</v>
      </c>
      <c r="J615" s="15">
        <f t="shared" si="172"/>
        <v>88768919.370000035</v>
      </c>
      <c r="K615" s="15">
        <f t="shared" si="172"/>
        <v>77592042.900000036</v>
      </c>
      <c r="L615" s="15">
        <f t="shared" si="172"/>
        <v>82125944.340000033</v>
      </c>
      <c r="M615" s="15">
        <f t="shared" si="172"/>
        <v>76283218.530000001</v>
      </c>
      <c r="N615" s="15">
        <f t="shared" si="172"/>
        <v>73014038.689999938</v>
      </c>
    </row>
    <row r="616" spans="1:14" x14ac:dyDescent="0.25">
      <c r="A616">
        <v>613</v>
      </c>
      <c r="B616" t="s">
        <v>4</v>
      </c>
      <c r="C616" s="15">
        <v>319448711.70999998</v>
      </c>
      <c r="D616" s="15">
        <v>285336646.07999998</v>
      </c>
      <c r="E616" s="15">
        <v>336501205.48999995</v>
      </c>
      <c r="F616" s="15">
        <v>322151647.52999997</v>
      </c>
      <c r="G616" s="15">
        <v>309248406.74000001</v>
      </c>
      <c r="H616" s="15">
        <v>282417943.84000003</v>
      </c>
      <c r="I616" s="15">
        <v>279162300.31</v>
      </c>
      <c r="J616" s="15">
        <v>314077887.60000002</v>
      </c>
      <c r="K616" s="15">
        <v>306499999.76000005</v>
      </c>
      <c r="L616" s="15">
        <v>327873397.91000003</v>
      </c>
      <c r="M616" s="15">
        <v>314226125.25999999</v>
      </c>
      <c r="N616" s="15">
        <v>318699217.23999995</v>
      </c>
    </row>
    <row r="617" spans="1:14" x14ac:dyDescent="0.25">
      <c r="A617">
        <v>614</v>
      </c>
    </row>
    <row r="618" spans="1:14" x14ac:dyDescent="0.25">
      <c r="A618">
        <v>615</v>
      </c>
      <c r="B618" s="7" t="s">
        <v>66</v>
      </c>
      <c r="C618" s="2" t="s">
        <v>6</v>
      </c>
      <c r="D618" s="2" t="s">
        <v>7</v>
      </c>
      <c r="E618" s="2" t="s">
        <v>8</v>
      </c>
      <c r="F618" s="2" t="s">
        <v>9</v>
      </c>
      <c r="G618" s="2" t="s">
        <v>10</v>
      </c>
      <c r="H618" s="2" t="s">
        <v>11</v>
      </c>
      <c r="I618" s="2" t="s">
        <v>12</v>
      </c>
      <c r="J618" s="2" t="s">
        <v>13</v>
      </c>
      <c r="K618" s="2" t="s">
        <v>14</v>
      </c>
      <c r="L618" s="2" t="s">
        <v>15</v>
      </c>
      <c r="M618" s="2" t="s">
        <v>16</v>
      </c>
      <c r="N618" s="2" t="s">
        <v>17</v>
      </c>
    </row>
    <row r="619" spans="1:14" x14ac:dyDescent="0.25">
      <c r="A619">
        <v>616</v>
      </c>
      <c r="B619" t="s">
        <v>61</v>
      </c>
    </row>
    <row r="620" spans="1:14" x14ac:dyDescent="0.25">
      <c r="A620">
        <v>617</v>
      </c>
      <c r="B620" t="s">
        <v>35</v>
      </c>
      <c r="C620" s="15">
        <v>134828028.63</v>
      </c>
      <c r="D620" s="15">
        <v>104165872.18999998</v>
      </c>
      <c r="E620" s="15">
        <v>123344461.39999999</v>
      </c>
      <c r="F620" s="15">
        <v>107573886.8</v>
      </c>
      <c r="G620" s="15">
        <v>105241962.8</v>
      </c>
      <c r="H620" s="15">
        <v>101248336.63999999</v>
      </c>
      <c r="I620" s="15">
        <v>100249394.59999999</v>
      </c>
      <c r="J620" s="15">
        <v>107837453.84999999</v>
      </c>
      <c r="K620" s="15">
        <v>115734586.81</v>
      </c>
      <c r="L620" s="15">
        <v>135423646.53999999</v>
      </c>
      <c r="M620" s="15">
        <v>143038556.59999999</v>
      </c>
      <c r="N620" s="15"/>
    </row>
    <row r="621" spans="1:14" x14ac:dyDescent="0.25">
      <c r="A621">
        <v>618</v>
      </c>
      <c r="B621" t="s">
        <v>43</v>
      </c>
      <c r="C621" s="15">
        <v>61982911.200000003</v>
      </c>
      <c r="D621" s="15">
        <v>47286469.5</v>
      </c>
      <c r="E621" s="15">
        <v>53580553.299999997</v>
      </c>
      <c r="F621" s="15">
        <v>46942815</v>
      </c>
      <c r="G621" s="15">
        <v>48351813.700000003</v>
      </c>
      <c r="H621" s="15">
        <v>43767111.299999997</v>
      </c>
      <c r="I621" s="15">
        <v>44257299.100000001</v>
      </c>
      <c r="J621" s="15">
        <v>45599538</v>
      </c>
      <c r="K621" s="15">
        <v>46028982.5</v>
      </c>
      <c r="L621" s="15">
        <v>51378242.609999999</v>
      </c>
      <c r="M621" s="15">
        <v>51967463.799999997</v>
      </c>
      <c r="N621" s="15"/>
    </row>
    <row r="622" spans="1:14" x14ac:dyDescent="0.25">
      <c r="A622">
        <v>619</v>
      </c>
      <c r="B622" t="s">
        <v>44</v>
      </c>
      <c r="C622" s="15">
        <v>33025223.699999999</v>
      </c>
      <c r="D622" s="15">
        <v>28301462.420000002</v>
      </c>
      <c r="E622" s="15">
        <v>39142116.200000003</v>
      </c>
      <c r="F622" s="15">
        <v>44339036.5</v>
      </c>
      <c r="G622" s="15">
        <v>53204035.5</v>
      </c>
      <c r="H622" s="15">
        <v>46891541.5</v>
      </c>
      <c r="I622" s="15">
        <v>51534340.799999997</v>
      </c>
      <c r="J622" s="15">
        <v>52135631.200000003</v>
      </c>
      <c r="K622" s="15">
        <v>30666527.399999999</v>
      </c>
      <c r="L622" s="15">
        <v>25974760.100000001</v>
      </c>
      <c r="M622" s="15">
        <v>19259319.309999999</v>
      </c>
      <c r="N622" s="15"/>
    </row>
    <row r="623" spans="1:14" x14ac:dyDescent="0.25">
      <c r="A623">
        <v>620</v>
      </c>
      <c r="B623" t="s">
        <v>37</v>
      </c>
      <c r="C623" s="15">
        <v>21944614.259999998</v>
      </c>
      <c r="D623" s="15">
        <v>13617275.4</v>
      </c>
      <c r="E623" s="15">
        <v>20174481.780000001</v>
      </c>
      <c r="F623" s="15">
        <v>23914805.219999999</v>
      </c>
      <c r="G623" s="15">
        <v>28307362.120000001</v>
      </c>
      <c r="H623" s="15">
        <v>26424190.169999998</v>
      </c>
      <c r="I623" s="15">
        <v>26481739.91</v>
      </c>
      <c r="J623" s="15">
        <v>27787943.710000001</v>
      </c>
      <c r="K623" s="15">
        <v>25040008.859999999</v>
      </c>
      <c r="L623" s="15">
        <v>22523247.419999998</v>
      </c>
      <c r="M623" s="15">
        <v>15865470.609999999</v>
      </c>
      <c r="N623" s="15"/>
    </row>
    <row r="624" spans="1:14" x14ac:dyDescent="0.25">
      <c r="A624">
        <v>621</v>
      </c>
      <c r="B624" t="s">
        <v>39</v>
      </c>
      <c r="C624" s="15">
        <f>C625-SUM(C620:C623)</f>
        <v>85109745.430000067</v>
      </c>
      <c r="D624" s="15">
        <f t="shared" ref="D624:N624" si="173">D625-SUM(D620:D623)</f>
        <v>63227973.079999983</v>
      </c>
      <c r="E624" s="15">
        <f t="shared" si="173"/>
        <v>81946142.159999996</v>
      </c>
      <c r="F624" s="15">
        <f t="shared" si="173"/>
        <v>79806383.849999994</v>
      </c>
      <c r="G624" s="15">
        <f t="shared" si="173"/>
        <v>80481426.730000019</v>
      </c>
      <c r="H624" s="15">
        <f t="shared" si="173"/>
        <v>72371660.51000002</v>
      </c>
      <c r="I624" s="15">
        <f t="shared" si="173"/>
        <v>73665298.560000032</v>
      </c>
      <c r="J624" s="15">
        <f t="shared" si="173"/>
        <v>79254703.679999977</v>
      </c>
      <c r="K624" s="15">
        <f t="shared" si="173"/>
        <v>77837187.480000019</v>
      </c>
      <c r="L624" s="15">
        <f t="shared" si="173"/>
        <v>87519734.26000005</v>
      </c>
      <c r="M624" s="15">
        <f t="shared" si="173"/>
        <v>89772918.139999986</v>
      </c>
      <c r="N624" s="15">
        <f t="shared" si="173"/>
        <v>0</v>
      </c>
    </row>
    <row r="625" spans="1:14" x14ac:dyDescent="0.25">
      <c r="A625">
        <v>622</v>
      </c>
      <c r="B625" t="s">
        <v>4</v>
      </c>
      <c r="C625" s="15">
        <v>336890523.22000003</v>
      </c>
      <c r="D625" s="15">
        <v>256599052.59</v>
      </c>
      <c r="E625" s="15">
        <v>318187754.83999997</v>
      </c>
      <c r="F625" s="15">
        <v>302576927.37</v>
      </c>
      <c r="G625" s="15">
        <v>315586600.85000002</v>
      </c>
      <c r="H625" s="15">
        <v>290702840.12</v>
      </c>
      <c r="I625" s="15">
        <v>296188072.97000003</v>
      </c>
      <c r="J625" s="15">
        <v>312615270.44</v>
      </c>
      <c r="K625" s="15">
        <v>295307293.05000001</v>
      </c>
      <c r="L625" s="15">
        <v>322819630.93000001</v>
      </c>
      <c r="M625" s="15">
        <v>319903728.45999998</v>
      </c>
      <c r="N625" s="15"/>
    </row>
    <row r="626" spans="1:14" x14ac:dyDescent="0.25">
      <c r="A626">
        <v>623</v>
      </c>
    </row>
    <row r="627" spans="1:14" x14ac:dyDescent="0.25">
      <c r="A627">
        <v>624</v>
      </c>
      <c r="B627" s="7" t="s">
        <v>67</v>
      </c>
      <c r="C627" s="2" t="s">
        <v>6</v>
      </c>
      <c r="D627" s="2" t="s">
        <v>7</v>
      </c>
      <c r="E627" s="2" t="s">
        <v>8</v>
      </c>
      <c r="F627" s="2" t="s">
        <v>9</v>
      </c>
      <c r="G627" s="2" t="s">
        <v>10</v>
      </c>
      <c r="H627" s="2" t="s">
        <v>11</v>
      </c>
      <c r="I627" s="2" t="s">
        <v>12</v>
      </c>
      <c r="J627" s="2" t="s">
        <v>13</v>
      </c>
      <c r="K627" s="2" t="s">
        <v>14</v>
      </c>
      <c r="L627" s="2" t="s">
        <v>15</v>
      </c>
      <c r="M627" s="2" t="s">
        <v>16</v>
      </c>
      <c r="N627" s="2" t="s">
        <v>17</v>
      </c>
    </row>
    <row r="628" spans="1:14" x14ac:dyDescent="0.25">
      <c r="A628">
        <v>625</v>
      </c>
      <c r="B628" t="s">
        <v>62</v>
      </c>
    </row>
    <row r="629" spans="1:14" x14ac:dyDescent="0.25">
      <c r="A629">
        <v>626</v>
      </c>
      <c r="B629" t="s">
        <v>35</v>
      </c>
      <c r="C629" s="15">
        <v>450677275824</v>
      </c>
      <c r="D629" s="15">
        <v>394953775263</v>
      </c>
      <c r="E629" s="15">
        <v>439103857231</v>
      </c>
      <c r="F629" s="15">
        <v>433990519968</v>
      </c>
      <c r="G629" s="15">
        <v>397034816991</v>
      </c>
      <c r="H629" s="15">
        <v>362110446774</v>
      </c>
      <c r="I629" s="15">
        <v>374901050612</v>
      </c>
      <c r="J629" s="15">
        <v>492860475244</v>
      </c>
      <c r="K629" s="15">
        <v>557171527764</v>
      </c>
      <c r="L629" s="15">
        <v>669825187868</v>
      </c>
      <c r="M629" s="15">
        <v>644062143321</v>
      </c>
      <c r="N629" s="15">
        <v>651947042705</v>
      </c>
    </row>
    <row r="630" spans="1:14" x14ac:dyDescent="0.25">
      <c r="A630">
        <v>627</v>
      </c>
      <c r="B630" t="s">
        <v>43</v>
      </c>
      <c r="C630" s="15">
        <v>529592360584</v>
      </c>
      <c r="D630" s="15">
        <v>504256325838</v>
      </c>
      <c r="E630" s="15">
        <v>582223840205</v>
      </c>
      <c r="F630" s="15">
        <v>533107636286</v>
      </c>
      <c r="G630" s="15">
        <v>477445192187</v>
      </c>
      <c r="H630" s="15">
        <v>447899514724</v>
      </c>
      <c r="I630" s="15">
        <v>462901663452</v>
      </c>
      <c r="J630" s="15">
        <v>541093749844</v>
      </c>
      <c r="K630" s="15">
        <v>554605552111</v>
      </c>
      <c r="L630" s="15">
        <v>570468571492</v>
      </c>
      <c r="M630" s="15">
        <v>553427926499</v>
      </c>
      <c r="N630" s="15">
        <v>524478873416</v>
      </c>
    </row>
    <row r="631" spans="1:14" x14ac:dyDescent="0.25">
      <c r="A631">
        <v>628</v>
      </c>
      <c r="B631" t="s">
        <v>44</v>
      </c>
      <c r="C631" s="15">
        <v>410767662967</v>
      </c>
      <c r="D631" s="15">
        <v>315733868976</v>
      </c>
      <c r="E631" s="15">
        <v>325135372050</v>
      </c>
      <c r="F631" s="15">
        <v>295315103031</v>
      </c>
      <c r="G631" s="15">
        <v>307105521960</v>
      </c>
      <c r="H631" s="15">
        <v>260909401886</v>
      </c>
      <c r="I631" s="15">
        <v>236730708002</v>
      </c>
      <c r="J631" s="15">
        <v>199495166714</v>
      </c>
      <c r="K631" s="15">
        <v>123276655388</v>
      </c>
      <c r="L631" s="15">
        <v>128446207350</v>
      </c>
      <c r="M631" s="15">
        <v>148533060121</v>
      </c>
      <c r="N631" s="15">
        <v>153100548270</v>
      </c>
    </row>
    <row r="632" spans="1:14" x14ac:dyDescent="0.25">
      <c r="A632">
        <v>629</v>
      </c>
      <c r="B632" t="s">
        <v>37</v>
      </c>
      <c r="C632" s="15">
        <v>118441090250</v>
      </c>
      <c r="D632" s="15">
        <v>99502915240</v>
      </c>
      <c r="E632" s="15">
        <v>115930311074</v>
      </c>
      <c r="F632" s="15">
        <v>121910327814</v>
      </c>
      <c r="G632" s="15">
        <v>118765014074</v>
      </c>
      <c r="H632" s="15">
        <v>119040265574</v>
      </c>
      <c r="I632" s="15">
        <v>118115243524</v>
      </c>
      <c r="J632" s="15">
        <v>140719447474</v>
      </c>
      <c r="K632" s="15">
        <v>144173150304</v>
      </c>
      <c r="L632" s="15">
        <v>111022470108</v>
      </c>
      <c r="M632" s="15">
        <v>83056704720</v>
      </c>
      <c r="N632" s="15">
        <v>132177250968</v>
      </c>
    </row>
    <row r="633" spans="1:14" x14ac:dyDescent="0.25">
      <c r="A633">
        <v>630</v>
      </c>
      <c r="B633" t="s">
        <v>39</v>
      </c>
      <c r="C633" s="15">
        <f>C634-SUM(C629:C632)</f>
        <v>524841376736</v>
      </c>
      <c r="D633" s="15">
        <f t="shared" ref="D633:N633" si="174">D634-SUM(D629:D632)</f>
        <v>516567809054</v>
      </c>
      <c r="E633" s="15">
        <f t="shared" si="174"/>
        <v>692166040659</v>
      </c>
      <c r="F633" s="15">
        <f t="shared" si="174"/>
        <v>653464580786</v>
      </c>
      <c r="G633" s="15">
        <f t="shared" si="174"/>
        <v>640482347561</v>
      </c>
      <c r="H633" s="15">
        <f t="shared" si="174"/>
        <v>571588147193</v>
      </c>
      <c r="I633" s="15">
        <f t="shared" si="174"/>
        <v>536106168639</v>
      </c>
      <c r="J633" s="15">
        <f t="shared" si="174"/>
        <v>535718591843</v>
      </c>
      <c r="K633" s="15">
        <f t="shared" si="174"/>
        <v>473173657575</v>
      </c>
      <c r="L633" s="15">
        <f t="shared" si="174"/>
        <v>519116004165</v>
      </c>
      <c r="M633" s="15">
        <f t="shared" si="174"/>
        <v>497570728560</v>
      </c>
      <c r="N633" s="15">
        <f t="shared" si="174"/>
        <v>492319113553</v>
      </c>
    </row>
    <row r="634" spans="1:14" x14ac:dyDescent="0.25">
      <c r="A634">
        <v>631</v>
      </c>
      <c r="B634" t="s">
        <v>4</v>
      </c>
      <c r="C634" s="15">
        <v>2034319766361</v>
      </c>
      <c r="D634" s="15">
        <v>1831014694371</v>
      </c>
      <c r="E634" s="15">
        <v>2154559421219</v>
      </c>
      <c r="F634" s="15">
        <v>2037788167885</v>
      </c>
      <c r="G634" s="15">
        <v>1940832892773</v>
      </c>
      <c r="H634" s="15">
        <v>1761547776151</v>
      </c>
      <c r="I634" s="15">
        <v>1728754834229</v>
      </c>
      <c r="J634" s="15">
        <v>1909887431119</v>
      </c>
      <c r="K634" s="15">
        <v>1852400543142</v>
      </c>
      <c r="L634" s="15">
        <v>1998878440983</v>
      </c>
      <c r="M634" s="15">
        <v>1926650563221</v>
      </c>
      <c r="N634" s="15">
        <v>1954022828912</v>
      </c>
    </row>
    <row r="635" spans="1:14" x14ac:dyDescent="0.25">
      <c r="A635">
        <v>632</v>
      </c>
    </row>
    <row r="636" spans="1:14" x14ac:dyDescent="0.25">
      <c r="A636">
        <v>633</v>
      </c>
      <c r="B636" s="7" t="s">
        <v>66</v>
      </c>
      <c r="C636" s="2" t="s">
        <v>6</v>
      </c>
      <c r="D636" s="2" t="s">
        <v>7</v>
      </c>
      <c r="E636" s="2" t="s">
        <v>8</v>
      </c>
      <c r="F636" s="2" t="s">
        <v>9</v>
      </c>
      <c r="G636" s="2" t="s">
        <v>10</v>
      </c>
      <c r="H636" s="2" t="s">
        <v>11</v>
      </c>
      <c r="I636" s="2" t="s">
        <v>12</v>
      </c>
      <c r="J636" s="2" t="s">
        <v>13</v>
      </c>
      <c r="K636" s="2" t="s">
        <v>14</v>
      </c>
      <c r="L636" s="2" t="s">
        <v>15</v>
      </c>
      <c r="M636" s="2" t="s">
        <v>16</v>
      </c>
      <c r="N636" s="2" t="s">
        <v>17</v>
      </c>
    </row>
    <row r="637" spans="1:14" x14ac:dyDescent="0.25">
      <c r="A637">
        <v>634</v>
      </c>
      <c r="B637" t="s">
        <v>62</v>
      </c>
    </row>
    <row r="638" spans="1:14" x14ac:dyDescent="0.25">
      <c r="A638">
        <v>635</v>
      </c>
      <c r="B638" t="s">
        <v>35</v>
      </c>
      <c r="C638" s="15">
        <v>668981581171</v>
      </c>
      <c r="D638" s="15">
        <v>517160601593</v>
      </c>
      <c r="E638" s="15">
        <v>628562355725</v>
      </c>
      <c r="F638" s="15">
        <v>560435728282</v>
      </c>
      <c r="G638" s="15">
        <v>562288377365</v>
      </c>
      <c r="H638" s="15">
        <v>559871647315</v>
      </c>
      <c r="I638" s="15">
        <v>564887109817</v>
      </c>
      <c r="J638" s="15">
        <v>615228019401</v>
      </c>
      <c r="K638" s="15">
        <v>661314356690</v>
      </c>
      <c r="L638" s="15">
        <v>772061553698</v>
      </c>
      <c r="M638" s="15">
        <v>804009620894</v>
      </c>
      <c r="N638" s="15">
        <v>0</v>
      </c>
    </row>
    <row r="639" spans="1:14" x14ac:dyDescent="0.25">
      <c r="A639">
        <v>636</v>
      </c>
      <c r="B639" t="s">
        <v>43</v>
      </c>
      <c r="C639" s="15">
        <v>571760568297</v>
      </c>
      <c r="D639" s="15">
        <v>432159297344</v>
      </c>
      <c r="E639" s="15">
        <v>505265935547</v>
      </c>
      <c r="F639" s="15">
        <v>456592963278</v>
      </c>
      <c r="G639" s="15">
        <v>486370357117</v>
      </c>
      <c r="H639" s="15">
        <v>479725492654</v>
      </c>
      <c r="I639" s="15">
        <v>505210848634</v>
      </c>
      <c r="J639" s="15">
        <v>523282109185</v>
      </c>
      <c r="K639" s="15">
        <v>530138173459</v>
      </c>
      <c r="L639" s="15">
        <v>568525425137</v>
      </c>
      <c r="M639" s="15">
        <v>559763309809.39294</v>
      </c>
      <c r="N639" s="15">
        <v>0</v>
      </c>
    </row>
    <row r="640" spans="1:14" x14ac:dyDescent="0.25">
      <c r="A640">
        <v>637</v>
      </c>
      <c r="B640" t="s">
        <v>44</v>
      </c>
      <c r="C640" s="15">
        <v>171477648124</v>
      </c>
      <c r="D640" s="15">
        <v>148987147088</v>
      </c>
      <c r="E640" s="15">
        <v>208988861983</v>
      </c>
      <c r="F640" s="15">
        <v>242700184749</v>
      </c>
      <c r="G640" s="15">
        <v>296547055619</v>
      </c>
      <c r="H640" s="15">
        <v>267319369128</v>
      </c>
      <c r="I640" s="15">
        <v>299576103486</v>
      </c>
      <c r="J640" s="15">
        <v>305061960840</v>
      </c>
      <c r="K640" s="15">
        <v>179236325833</v>
      </c>
      <c r="L640" s="15">
        <v>151758877624</v>
      </c>
      <c r="M640" s="15">
        <v>112625421370</v>
      </c>
      <c r="N640" s="15"/>
    </row>
    <row r="641" spans="1:14" x14ac:dyDescent="0.25">
      <c r="A641">
        <v>638</v>
      </c>
      <c r="B641" t="s">
        <v>37</v>
      </c>
      <c r="C641" s="15">
        <v>122385487494</v>
      </c>
      <c r="D641" s="15">
        <v>77828895757</v>
      </c>
      <c r="E641" s="15">
        <v>107550928217</v>
      </c>
      <c r="F641" s="15">
        <v>124811656350</v>
      </c>
      <c r="G641" s="15">
        <v>154009098337</v>
      </c>
      <c r="H641" s="15">
        <v>145630922728</v>
      </c>
      <c r="I641" s="15">
        <v>143119548297</v>
      </c>
      <c r="J641" s="15">
        <v>153600188181</v>
      </c>
      <c r="K641" s="15">
        <v>143742778535</v>
      </c>
      <c r="L641" s="15">
        <v>131842850514</v>
      </c>
      <c r="M641" s="15">
        <v>97234576939</v>
      </c>
      <c r="N641" s="15"/>
    </row>
    <row r="642" spans="1:14" x14ac:dyDescent="0.25">
      <c r="A642">
        <v>639</v>
      </c>
      <c r="B642" t="s">
        <v>39</v>
      </c>
      <c r="C642" s="15">
        <f>C643-SUM(C638:C641)</f>
        <v>573107420254</v>
      </c>
      <c r="D642" s="15">
        <f t="shared" ref="D642:N642" si="175">D643-SUM(D638:D641)</f>
        <v>412303903467</v>
      </c>
      <c r="E642" s="15">
        <f t="shared" si="175"/>
        <v>536751526275</v>
      </c>
      <c r="F642" s="15">
        <f t="shared" si="175"/>
        <v>540396167879</v>
      </c>
      <c r="G642" s="15">
        <f t="shared" si="175"/>
        <v>562528490063</v>
      </c>
      <c r="H642" s="15">
        <f t="shared" si="175"/>
        <v>517985906200</v>
      </c>
      <c r="I642" s="15">
        <f t="shared" si="175"/>
        <v>534838362416</v>
      </c>
      <c r="J642" s="15">
        <f t="shared" si="175"/>
        <v>584374920417</v>
      </c>
      <c r="K642" s="15">
        <f t="shared" si="175"/>
        <v>574305373565</v>
      </c>
      <c r="L642" s="15">
        <f t="shared" si="175"/>
        <v>634128892906</v>
      </c>
      <c r="M642" s="15">
        <f t="shared" si="175"/>
        <v>662425578273.59521</v>
      </c>
      <c r="N642" s="15">
        <f t="shared" si="175"/>
        <v>0</v>
      </c>
    </row>
    <row r="643" spans="1:14" x14ac:dyDescent="0.25">
      <c r="A643">
        <v>640</v>
      </c>
      <c r="B643" t="s">
        <v>4</v>
      </c>
      <c r="C643" s="15">
        <v>2107712705340</v>
      </c>
      <c r="D643" s="15">
        <v>1588439845249</v>
      </c>
      <c r="E643" s="15">
        <v>1987119607747</v>
      </c>
      <c r="F643" s="15">
        <v>1924936700538</v>
      </c>
      <c r="G643" s="15">
        <v>2061743378501</v>
      </c>
      <c r="H643" s="15">
        <v>1970533338025</v>
      </c>
      <c r="I643" s="15">
        <v>2047631972650</v>
      </c>
      <c r="J643" s="15">
        <v>2181547198024</v>
      </c>
      <c r="K643" s="15">
        <v>2088737008082</v>
      </c>
      <c r="L643" s="15">
        <v>2258317599879</v>
      </c>
      <c r="M643" s="15">
        <v>2236058507285.9883</v>
      </c>
      <c r="N643" s="15"/>
    </row>
    <row r="644" spans="1:14" x14ac:dyDescent="0.25">
      <c r="A644">
        <v>641</v>
      </c>
    </row>
    <row r="645" spans="1:14" x14ac:dyDescent="0.25">
      <c r="A645">
        <v>642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</vt:lpstr>
      <vt:lpstr>S1</vt:lpstr>
      <vt:lpstr>1</vt:lpstr>
      <vt:lpstr>S2</vt:lpstr>
      <vt:lpstr>2</vt:lpstr>
      <vt:lpstr>S3</vt:lpstr>
      <vt:lpstr>3</vt:lpstr>
      <vt:lpstr>S4</vt:lpstr>
      <vt:lpstr>4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Teerapong Rojthip</dc:creator>
  <cp:lastModifiedBy>Nguyen Minh Hung</cp:lastModifiedBy>
  <dcterms:created xsi:type="dcterms:W3CDTF">2018-02-05T01:54:12Z</dcterms:created>
  <dcterms:modified xsi:type="dcterms:W3CDTF">2018-12-14T07:01:50Z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Dashboard Feed.xlsx</vt:lpwstr>
  </property>
</Properties>
</file>