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1800" windowWidth="19368" windowHeight="106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S22" i="1"/>
  <c r="S23" i="1"/>
  <c r="S24" i="1"/>
  <c r="S26" i="1"/>
  <c r="S27" i="1"/>
  <c r="S28" i="1"/>
  <c r="S19" i="1"/>
  <c r="U31" i="1"/>
  <c r="U32" i="1"/>
  <c r="U33" i="1"/>
  <c r="U34" i="1"/>
  <c r="U35" i="1"/>
  <c r="U36" i="1"/>
  <c r="U30" i="1"/>
  <c r="S31" i="1"/>
  <c r="S32" i="1"/>
  <c r="S33" i="1"/>
  <c r="S34" i="1"/>
  <c r="S35" i="1"/>
  <c r="S36" i="1"/>
  <c r="S30" i="1"/>
  <c r="T36" i="1"/>
  <c r="T35" i="1"/>
  <c r="T34" i="1"/>
  <c r="T33" i="1"/>
  <c r="T32" i="1"/>
  <c r="T31" i="1"/>
  <c r="T30" i="1"/>
  <c r="R36" i="1" l="1"/>
  <c r="R35" i="1"/>
  <c r="R34" i="1"/>
  <c r="R33" i="1"/>
  <c r="R32" i="1"/>
  <c r="R31" i="1"/>
  <c r="R30" i="1"/>
  <c r="R28" i="1"/>
  <c r="R26" i="1"/>
  <c r="R24" i="1"/>
  <c r="R23" i="1"/>
  <c r="R22" i="1"/>
  <c r="R20" i="1"/>
  <c r="R19" i="1"/>
  <c r="M6" i="1" l="1"/>
  <c r="M7" i="1"/>
  <c r="M8" i="1"/>
  <c r="M9" i="1"/>
  <c r="M10" i="1"/>
  <c r="M11" i="1"/>
  <c r="M12" i="1"/>
  <c r="M13" i="1"/>
  <c r="M5" i="1"/>
  <c r="K6" i="1"/>
  <c r="K7" i="1"/>
  <c r="K8" i="1"/>
  <c r="K9" i="1"/>
  <c r="K10" i="1"/>
  <c r="K11" i="1"/>
  <c r="K12" i="1"/>
  <c r="K13" i="1"/>
  <c r="K5" i="1"/>
  <c r="H6" i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5" i="1"/>
  <c r="E6" i="1"/>
  <c r="E7" i="1"/>
  <c r="E8" i="1"/>
  <c r="E9" i="1"/>
  <c r="E10" i="1"/>
  <c r="E11" i="1"/>
  <c r="E12" i="1"/>
  <c r="E13" i="1"/>
  <c r="E5" i="1"/>
  <c r="D6" i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<sst xmlns="http://schemas.openxmlformats.org/spreadsheetml/2006/main" count="51" uniqueCount="45">
  <si>
    <t>Związki organiczne</t>
  </si>
  <si>
    <t>Wapń</t>
  </si>
  <si>
    <t>Potas</t>
  </si>
  <si>
    <t>Sód</t>
  </si>
  <si>
    <t>Magnez</t>
  </si>
  <si>
    <t>Węglany</t>
  </si>
  <si>
    <t>Fosforany</t>
  </si>
  <si>
    <t>7WP1Z1</t>
  </si>
  <si>
    <t>5WP1Z1</t>
  </si>
  <si>
    <t>1BWP1Z1</t>
  </si>
  <si>
    <t>5WP1Z2</t>
  </si>
  <si>
    <t>12 DNI 1NAOH</t>
  </si>
  <si>
    <t>4 DNI 1NAOH</t>
  </si>
  <si>
    <t>1 DZIEŃ NAOH</t>
  </si>
  <si>
    <t>9WP1Z1</t>
  </si>
  <si>
    <t>9BWP1Z1</t>
  </si>
  <si>
    <t>8WP1Z2</t>
  </si>
  <si>
    <t>6BWP1Z1</t>
  </si>
  <si>
    <t>9 DNI 0,05MNAOH</t>
  </si>
  <si>
    <t>6 DNI 0,05NAOH</t>
  </si>
  <si>
    <t>3WP1Z1</t>
  </si>
  <si>
    <t>4BWP1Z1</t>
  </si>
  <si>
    <t>2WP1Z2</t>
  </si>
  <si>
    <t>4 DNI 0,05MNAOH</t>
  </si>
  <si>
    <t>2WP1Z1</t>
  </si>
  <si>
    <t>3BWP1Z1</t>
  </si>
  <si>
    <t>0WP1Z2</t>
  </si>
  <si>
    <t>3 DNI 0,05MNAOH</t>
  </si>
  <si>
    <t>6WP1Z1</t>
  </si>
  <si>
    <t>12WP1Z2</t>
  </si>
  <si>
    <t>Fizjologicznie</t>
  </si>
  <si>
    <t>W 0,05M NaOH</t>
  </si>
  <si>
    <t>BW 0,05M NaOH</t>
  </si>
  <si>
    <t>HA 0,05M NaOH</t>
  </si>
  <si>
    <t>W 1MNaOH</t>
  </si>
  <si>
    <t>HA 1MNaOH</t>
  </si>
  <si>
    <t>BW 1MNaOH</t>
  </si>
  <si>
    <t>GR1</t>
  </si>
  <si>
    <t>GR2</t>
  </si>
  <si>
    <t>GR3</t>
  </si>
  <si>
    <t>GR4</t>
  </si>
  <si>
    <t>GR5</t>
  </si>
  <si>
    <t>GR6</t>
  </si>
  <si>
    <t>GR7</t>
  </si>
  <si>
    <t>Odchylenie standardowe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</si>
</sst>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Sheet1!$G$5:$G$13</c:f>
              <c:numCache>
                <c:formatCode>General</c:formatCode>
                <c:ptCount val="9"/>
                <c:pt idx="0">
                  <c:v>0</c:v>
                </c:pt>
                <c:pt idx="1">
                  <c:v>0.88275862068965516</c:v>
                </c:pt>
                <c:pt idx="2">
                  <c:v>1.296551724137931</c:v>
                </c:pt>
                <c:pt idx="3">
                  <c:v>2.1793103448275861</c:v>
                </c:pt>
                <c:pt idx="4">
                  <c:v>3.0344827586206895</c:v>
                </c:pt>
                <c:pt idx="5">
                  <c:v>4.0183908045977015</c:v>
                </c:pt>
                <c:pt idx="6">
                  <c:v>4.9931034482758623</c:v>
                </c:pt>
                <c:pt idx="7">
                  <c:v>6.455172413793103</c:v>
                </c:pt>
                <c:pt idx="8">
                  <c:v>8</c:v>
                </c:pt>
              </c:numCache>
            </c:numRef>
          </c:xVal>
          <c:yVal>
            <c:numRef>
              <c:f>Sheet1!$H$5:$H$13</c:f>
              <c:numCache>
                <c:formatCode>General</c:formatCode>
                <c:ptCount val="9"/>
                <c:pt idx="0">
                  <c:v>30.38961038961039</c:v>
                </c:pt>
                <c:pt idx="1">
                  <c:v>32.5</c:v>
                </c:pt>
                <c:pt idx="2">
                  <c:v>31.022727272727273</c:v>
                </c:pt>
                <c:pt idx="3">
                  <c:v>25.324675324675326</c:v>
                </c:pt>
                <c:pt idx="4">
                  <c:v>20.998376623376622</c:v>
                </c:pt>
                <c:pt idx="5">
                  <c:v>16.25</c:v>
                </c:pt>
                <c:pt idx="6">
                  <c:v>13.400974025974026</c:v>
                </c:pt>
                <c:pt idx="7">
                  <c:v>12.13474025974026</c:v>
                </c:pt>
                <c:pt idx="8">
                  <c:v>10.657467532467532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3328"/>
        <c:axId val="50434960"/>
      </c:scatterChart>
      <c:valAx>
        <c:axId val="504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34960"/>
        <c:crosses val="autoZero"/>
        <c:crossBetween val="midCat"/>
      </c:valAx>
      <c:valAx>
        <c:axId val="50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Degradacja w warunkach fizjologicznych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Degradacja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Sheet1!$M$5:$M$13</c:f>
              <c:numCache>
                <c:formatCode>General</c:formatCode>
                <c:ptCount val="9"/>
                <c:pt idx="0">
                  <c:v>0</c:v>
                </c:pt>
                <c:pt idx="1">
                  <c:v>6.1793103448275861</c:v>
                </c:pt>
                <c:pt idx="2">
                  <c:v>9.0758620689655167</c:v>
                </c:pt>
                <c:pt idx="3">
                  <c:v>15.255172413793103</c:v>
                </c:pt>
                <c:pt idx="4">
                  <c:v>21.241379310344826</c:v>
                </c:pt>
                <c:pt idx="5">
                  <c:v>28.128735632183911</c:v>
                </c:pt>
                <c:pt idx="6">
                  <c:v>34.951724137931038</c:v>
                </c:pt>
                <c:pt idx="7">
                  <c:v>45.186206896551724</c:v>
                </c:pt>
                <c:pt idx="8">
                  <c:v>56</c:v>
                </c:pt>
              </c:numCache>
            </c:numRef>
          </c:xVal>
          <c:yVal>
            <c:numRef>
              <c:f>Sheet1!$N$5:$N$12</c:f>
              <c:numCache>
                <c:formatCode>General</c:formatCode>
                <c:ptCount val="8"/>
                <c:pt idx="0">
                  <c:v>100</c:v>
                </c:pt>
                <c:pt idx="1">
                  <c:v>106.94444444444444</c:v>
                </c:pt>
                <c:pt idx="2">
                  <c:v>102.08333333333334</c:v>
                </c:pt>
                <c:pt idx="3">
                  <c:v>83.333333333333343</c:v>
                </c:pt>
                <c:pt idx="4">
                  <c:v>69.097222222222214</c:v>
                </c:pt>
                <c:pt idx="5">
                  <c:v>53.472222222222221</c:v>
                </c:pt>
                <c:pt idx="6">
                  <c:v>44.097222222222221</c:v>
                </c:pt>
                <c:pt idx="7">
                  <c:v>39.930555555555557</c:v>
                </c:pt>
              </c:numCache>
            </c:numRef>
          </c:yVal>
          <c:smooth val="0"/>
        </c:ser>
        <c:ser>
          <c:idx val="1"/>
          <c:order val="1"/>
          <c:tx>
            <c:v>1-5 tydzień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Sheet1!$M$7:$M$11</c:f>
              <c:numCache>
                <c:formatCode>General</c:formatCode>
                <c:ptCount val="5"/>
                <c:pt idx="0">
                  <c:v>9.0758620689655167</c:v>
                </c:pt>
                <c:pt idx="1">
                  <c:v>15.255172413793103</c:v>
                </c:pt>
                <c:pt idx="2">
                  <c:v>21.241379310344826</c:v>
                </c:pt>
                <c:pt idx="3">
                  <c:v>28.128735632183911</c:v>
                </c:pt>
                <c:pt idx="4">
                  <c:v>34.951724137931038</c:v>
                </c:pt>
              </c:numCache>
            </c:numRef>
          </c:xVal>
          <c:yVal>
            <c:numRef>
              <c:f>Sheet1!$K$7:$K$11</c:f>
              <c:numCache>
                <c:formatCode>General</c:formatCode>
                <c:ptCount val="5"/>
                <c:pt idx="0">
                  <c:v>102.08333333333334</c:v>
                </c:pt>
                <c:pt idx="1">
                  <c:v>83.333333333333343</c:v>
                </c:pt>
                <c:pt idx="2">
                  <c:v>69.097222222222214</c:v>
                </c:pt>
                <c:pt idx="3">
                  <c:v>53.472222222222221</c:v>
                </c:pt>
                <c:pt idx="4">
                  <c:v>44.097222222222221</c:v>
                </c:pt>
              </c:numCache>
            </c:numRef>
          </c:yVal>
          <c:smooth val="0"/>
        </c:ser>
        <c:ser>
          <c:idx val="2"/>
          <c:order val="2"/>
          <c:tx>
            <c:v>5-8 tydzień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Sheet1!$M$11:$M$13</c:f>
              <c:numCache>
                <c:formatCode>General</c:formatCode>
                <c:ptCount val="3"/>
                <c:pt idx="0">
                  <c:v>34.951724137931038</c:v>
                </c:pt>
                <c:pt idx="1">
                  <c:v>45.186206896551724</c:v>
                </c:pt>
                <c:pt idx="2">
                  <c:v>56</c:v>
                </c:pt>
              </c:numCache>
            </c:numRef>
          </c:xVal>
          <c:yVal>
            <c:numRef>
              <c:f>Sheet1!$K$11:$K$13</c:f>
              <c:numCache>
                <c:formatCode>General</c:formatCode>
                <c:ptCount val="3"/>
                <c:pt idx="0">
                  <c:v>44.097222222222221</c:v>
                </c:pt>
                <c:pt idx="1">
                  <c:v>39.930555555555557</c:v>
                </c:pt>
                <c:pt idx="2">
                  <c:v>35.069444444444436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9312"/>
        <c:axId val="2017004064"/>
      </c:scatterChart>
      <c:valAx>
        <c:axId val="504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7004064"/>
        <c:crosses val="autoZero"/>
        <c:crossBetween val="midCat"/>
      </c:valAx>
      <c:valAx>
        <c:axId val="20170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masy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Skład kości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Sheet1!$C$48:$C$54</c:f>
              <c:strCache>
                <c:ptCount val="7"/>
                <c:pt idx="0">
                  <c:v>Związki organiczne</c:v>
                </c:pt>
                <c:pt idx="1">
                  <c:v>Wapń</c:v>
                </c:pt>
                <c:pt idx="2">
                  <c:v>Węglany</c:v>
                </c:pt>
                <c:pt idx="3">
                  <c:v>Fosforany</c:v>
                </c:pt>
                <c:pt idx="4">
                  <c:v>Potas</c:v>
                </c:pt>
                <c:pt idx="5">
                  <c:v>Sód</c:v>
                </c:pt>
                <c:pt idx="6">
                  <c:v>Magnez</c:v>
                </c:pt>
              </c:strCache>
            </c:strRef>
          </c:cat>
          <c:val>
            <c:numRef>
              <c:f>Sheet1!$D$48:$D$54</c:f>
              <c:numCache>
                <c:formatCode>General</c:formatCode>
                <c:ptCount val="7"/>
                <c:pt idx="0">
                  <c:v>33</c:v>
                </c:pt>
                <c:pt idx="1">
                  <c:v>39</c:v>
                </c:pt>
                <c:pt idx="2">
                  <c:v>9.8000000000000007</c:v>
                </c:pt>
                <c:pt idx="3">
                  <c:v>17</c:v>
                </c:pt>
                <c:pt idx="4">
                  <c:v>0.2</c:v>
                </c:pt>
                <c:pt idx="5">
                  <c:v>0.7</c:v>
                </c:pt>
                <c:pt idx="6">
                  <c:v>0.5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22</xdr:row>
      <xdr:rowOff>68580</xdr:rowOff>
    </xdr:from>
    <xdr:to>
      <xdr:col>11</xdr:col>
      <xdr:colOff>220980</xdr:colOff>
      <xdr:row>37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14</xdr:row>
      <xdr:rowOff>144780</xdr:rowOff>
    </xdr:from>
    <xdr:to>
      <xdr:col>15</xdr:col>
      <xdr:colOff>441960</xdr:colOff>
      <xdr:row>29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36</xdr:row>
      <xdr:rowOff>152400</xdr:rowOff>
    </xdr:from>
    <xdr:to>
      <xdr:col>10</xdr:col>
      <xdr:colOff>76200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O16" workbookViewId="0">
      <selection activeCell="X23" sqref="X23"/>
    </sheetView>
  </sheetViews>
  <sheetFormatPr defaultRowHeight="14.4" x14ac:dyDescent="0.3"/>
  <sheetData>
    <row r="1" spans="1:21" x14ac:dyDescent="0.3">
      <c r="A1">
        <v>1072.5</v>
      </c>
      <c r="B1">
        <v>829.5</v>
      </c>
      <c r="R1" t="s">
        <v>11</v>
      </c>
      <c r="S1" t="s">
        <v>7</v>
      </c>
      <c r="T1">
        <v>638</v>
      </c>
    </row>
    <row r="2" spans="1:21" x14ac:dyDescent="0.3">
      <c r="A2">
        <v>0</v>
      </c>
      <c r="B2">
        <v>0</v>
      </c>
      <c r="R2" t="s">
        <v>12</v>
      </c>
      <c r="S2" t="s">
        <v>8</v>
      </c>
      <c r="T2">
        <v>635</v>
      </c>
    </row>
    <row r="3" spans="1:21" x14ac:dyDescent="0.3">
      <c r="S3" t="s">
        <v>9</v>
      </c>
      <c r="T3">
        <v>630</v>
      </c>
    </row>
    <row r="4" spans="1:21" x14ac:dyDescent="0.3">
      <c r="S4" t="s">
        <v>10</v>
      </c>
      <c r="T4">
        <v>638</v>
      </c>
      <c r="U4">
        <v>582</v>
      </c>
    </row>
    <row r="5" spans="1:21" x14ac:dyDescent="0.3">
      <c r="A5">
        <v>1072.5</v>
      </c>
      <c r="B5">
        <v>397.5</v>
      </c>
      <c r="D5">
        <f>A5-$A$1</f>
        <v>0</v>
      </c>
      <c r="E5">
        <f>$B$1-B5</f>
        <v>432</v>
      </c>
      <c r="G5">
        <f>8*D5/$D$13</f>
        <v>0</v>
      </c>
      <c r="H5">
        <f>E5*32.5/$E$6</f>
        <v>30.38961038961039</v>
      </c>
      <c r="J5">
        <v>0</v>
      </c>
      <c r="K5">
        <f>H5*100/$H$5</f>
        <v>100</v>
      </c>
      <c r="M5">
        <f>J5*7</f>
        <v>0</v>
      </c>
      <c r="N5">
        <v>100</v>
      </c>
      <c r="R5" t="s">
        <v>13</v>
      </c>
      <c r="S5" t="s">
        <v>14</v>
      </c>
      <c r="T5">
        <v>630</v>
      </c>
    </row>
    <row r="6" spans="1:21" x14ac:dyDescent="0.3">
      <c r="A6">
        <v>1120.5</v>
      </c>
      <c r="B6">
        <v>367.5</v>
      </c>
      <c r="D6">
        <f t="shared" ref="D6:D13" si="0">A6-$A$1</f>
        <v>48</v>
      </c>
      <c r="E6">
        <f t="shared" ref="E6:E13" si="1">$B$1-B6</f>
        <v>462</v>
      </c>
      <c r="G6">
        <f t="shared" ref="G6:G13" si="2">8*D6/$D$13</f>
        <v>0.88275862068965516</v>
      </c>
      <c r="H6">
        <f t="shared" ref="H6:H13" si="3">E6*32.5/$E$6</f>
        <v>32.5</v>
      </c>
      <c r="J6">
        <v>0.88275862068965516</v>
      </c>
      <c r="K6">
        <f t="shared" ref="K6:K13" si="4">H6*100/$H$5</f>
        <v>106.94444444444444</v>
      </c>
      <c r="M6">
        <f t="shared" ref="M6:M13" si="5">J6*7</f>
        <v>6.1793103448275861</v>
      </c>
      <c r="N6">
        <v>106.94444444444444</v>
      </c>
      <c r="S6" t="s">
        <v>15</v>
      </c>
      <c r="T6">
        <v>620</v>
      </c>
    </row>
    <row r="7" spans="1:21" x14ac:dyDescent="0.3">
      <c r="A7">
        <v>1143</v>
      </c>
      <c r="B7">
        <v>388.5</v>
      </c>
      <c r="D7">
        <f t="shared" si="0"/>
        <v>70.5</v>
      </c>
      <c r="E7">
        <f t="shared" si="1"/>
        <v>441</v>
      </c>
      <c r="G7">
        <f t="shared" si="2"/>
        <v>1.296551724137931</v>
      </c>
      <c r="H7">
        <f t="shared" si="3"/>
        <v>31.022727272727273</v>
      </c>
      <c r="J7">
        <v>1.296551724137931</v>
      </c>
      <c r="K7">
        <f t="shared" si="4"/>
        <v>102.08333333333334</v>
      </c>
      <c r="M7">
        <f t="shared" si="5"/>
        <v>9.0758620689655167</v>
      </c>
      <c r="N7">
        <v>102.08333333333334</v>
      </c>
      <c r="S7" t="s">
        <v>16</v>
      </c>
      <c r="T7">
        <v>628</v>
      </c>
      <c r="U7">
        <v>580</v>
      </c>
    </row>
    <row r="8" spans="1:21" x14ac:dyDescent="0.3">
      <c r="A8">
        <v>1191</v>
      </c>
      <c r="B8">
        <v>469.5</v>
      </c>
      <c r="D8">
        <f t="shared" si="0"/>
        <v>118.5</v>
      </c>
      <c r="E8">
        <f t="shared" si="1"/>
        <v>360</v>
      </c>
      <c r="G8">
        <f t="shared" si="2"/>
        <v>2.1793103448275861</v>
      </c>
      <c r="H8">
        <f t="shared" si="3"/>
        <v>25.324675324675326</v>
      </c>
      <c r="J8">
        <v>2.1793103448275861</v>
      </c>
      <c r="K8">
        <f t="shared" si="4"/>
        <v>83.333333333333343</v>
      </c>
      <c r="M8">
        <f t="shared" si="5"/>
        <v>15.255172413793103</v>
      </c>
      <c r="N8">
        <v>83.333333333333343</v>
      </c>
      <c r="R8" t="s">
        <v>18</v>
      </c>
      <c r="S8" t="s">
        <v>17</v>
      </c>
      <c r="T8">
        <v>628</v>
      </c>
    </row>
    <row r="9" spans="1:21" x14ac:dyDescent="0.3">
      <c r="A9">
        <v>1237.5</v>
      </c>
      <c r="B9">
        <v>531</v>
      </c>
      <c r="D9">
        <f t="shared" si="0"/>
        <v>165</v>
      </c>
      <c r="E9">
        <f t="shared" si="1"/>
        <v>298.5</v>
      </c>
      <c r="G9">
        <f t="shared" si="2"/>
        <v>3.0344827586206895</v>
      </c>
      <c r="H9">
        <f t="shared" si="3"/>
        <v>20.998376623376622</v>
      </c>
      <c r="J9">
        <v>3.0344827586206895</v>
      </c>
      <c r="K9">
        <f t="shared" si="4"/>
        <v>69.097222222222214</v>
      </c>
      <c r="M9">
        <f t="shared" si="5"/>
        <v>21.241379310344826</v>
      </c>
      <c r="N9">
        <v>69.097222222222214</v>
      </c>
      <c r="R9" t="s">
        <v>19</v>
      </c>
      <c r="S9" t="s">
        <v>20</v>
      </c>
      <c r="T9">
        <v>620</v>
      </c>
    </row>
    <row r="10" spans="1:21" x14ac:dyDescent="0.3">
      <c r="A10">
        <v>1291</v>
      </c>
      <c r="B10">
        <v>598.5</v>
      </c>
      <c r="D10">
        <f t="shared" si="0"/>
        <v>218.5</v>
      </c>
      <c r="E10">
        <f t="shared" si="1"/>
        <v>231</v>
      </c>
      <c r="G10">
        <f t="shared" si="2"/>
        <v>4.0183908045977015</v>
      </c>
      <c r="H10">
        <f t="shared" si="3"/>
        <v>16.25</v>
      </c>
      <c r="J10">
        <v>4.0183908045977015</v>
      </c>
      <c r="K10">
        <f t="shared" si="4"/>
        <v>53.472222222222221</v>
      </c>
      <c r="M10">
        <f t="shared" si="5"/>
        <v>28.128735632183911</v>
      </c>
      <c r="N10">
        <v>53.472222222222221</v>
      </c>
      <c r="S10" t="s">
        <v>21</v>
      </c>
      <c r="T10">
        <v>630</v>
      </c>
    </row>
    <row r="11" spans="1:21" x14ac:dyDescent="0.3">
      <c r="A11">
        <v>1344</v>
      </c>
      <c r="B11">
        <v>639</v>
      </c>
      <c r="D11">
        <f t="shared" si="0"/>
        <v>271.5</v>
      </c>
      <c r="E11">
        <f t="shared" si="1"/>
        <v>190.5</v>
      </c>
      <c r="G11">
        <f t="shared" si="2"/>
        <v>4.9931034482758623</v>
      </c>
      <c r="H11">
        <f t="shared" si="3"/>
        <v>13.400974025974026</v>
      </c>
      <c r="J11">
        <v>4.9931034482758623</v>
      </c>
      <c r="K11">
        <f t="shared" si="4"/>
        <v>44.097222222222221</v>
      </c>
      <c r="M11">
        <f t="shared" si="5"/>
        <v>34.951724137931038</v>
      </c>
      <c r="N11">
        <v>44.097222222222221</v>
      </c>
      <c r="S11" t="s">
        <v>22</v>
      </c>
      <c r="T11">
        <v>620</v>
      </c>
      <c r="U11">
        <v>570</v>
      </c>
    </row>
    <row r="12" spans="1:21" x14ac:dyDescent="0.3">
      <c r="A12">
        <v>1423.5</v>
      </c>
      <c r="B12">
        <v>657</v>
      </c>
      <c r="D12">
        <f t="shared" si="0"/>
        <v>351</v>
      </c>
      <c r="E12">
        <f t="shared" si="1"/>
        <v>172.5</v>
      </c>
      <c r="G12">
        <f t="shared" si="2"/>
        <v>6.455172413793103</v>
      </c>
      <c r="H12">
        <f t="shared" si="3"/>
        <v>12.13474025974026</v>
      </c>
      <c r="J12">
        <v>6.455172413793103</v>
      </c>
      <c r="K12">
        <f t="shared" si="4"/>
        <v>39.930555555555557</v>
      </c>
      <c r="M12">
        <f t="shared" si="5"/>
        <v>45.186206896551724</v>
      </c>
      <c r="N12">
        <v>39.930555555555557</v>
      </c>
      <c r="R12" t="s">
        <v>23</v>
      </c>
      <c r="S12" t="s">
        <v>24</v>
      </c>
      <c r="T12">
        <v>627</v>
      </c>
    </row>
    <row r="13" spans="1:21" x14ac:dyDescent="0.3">
      <c r="A13">
        <v>1507.5</v>
      </c>
      <c r="B13">
        <v>678</v>
      </c>
      <c r="D13">
        <f t="shared" si="0"/>
        <v>435</v>
      </c>
      <c r="E13">
        <f t="shared" si="1"/>
        <v>151.5</v>
      </c>
      <c r="G13">
        <f t="shared" si="2"/>
        <v>8</v>
      </c>
      <c r="H13">
        <f t="shared" si="3"/>
        <v>10.657467532467532</v>
      </c>
      <c r="J13">
        <v>8</v>
      </c>
      <c r="K13">
        <f t="shared" si="4"/>
        <v>35.069444444444436</v>
      </c>
      <c r="M13">
        <f t="shared" si="5"/>
        <v>56</v>
      </c>
      <c r="N13">
        <v>35.069444444444436</v>
      </c>
      <c r="S13" t="s">
        <v>25</v>
      </c>
      <c r="T13">
        <v>630</v>
      </c>
    </row>
    <row r="14" spans="1:21" x14ac:dyDescent="0.3">
      <c r="S14" t="s">
        <v>26</v>
      </c>
      <c r="T14">
        <v>626</v>
      </c>
      <c r="U14">
        <v>580</v>
      </c>
    </row>
    <row r="15" spans="1:21" x14ac:dyDescent="0.3">
      <c r="R15" t="s">
        <v>27</v>
      </c>
      <c r="S15" t="s">
        <v>28</v>
      </c>
      <c r="T15">
        <v>631</v>
      </c>
    </row>
    <row r="16" spans="1:21" x14ac:dyDescent="0.3">
      <c r="S16" t="s">
        <v>29</v>
      </c>
      <c r="T16">
        <v>622</v>
      </c>
      <c r="U16">
        <v>570</v>
      </c>
    </row>
    <row r="19" spans="17:21" x14ac:dyDescent="0.3">
      <c r="Q19" t="s">
        <v>30</v>
      </c>
      <c r="R19">
        <f>119.28/2.24</f>
        <v>53.249999999999993</v>
      </c>
      <c r="S19">
        <f>11%*R19</f>
        <v>5.857499999999999</v>
      </c>
    </row>
    <row r="20" spans="17:21" x14ac:dyDescent="0.3">
      <c r="R20">
        <f>59.171/0.4291</f>
        <v>137.89559543230015</v>
      </c>
      <c r="S20">
        <f t="shared" ref="S20:S28" si="6">11%*R20</f>
        <v>15.168515497553017</v>
      </c>
    </row>
    <row r="22" spans="17:21" x14ac:dyDescent="0.3">
      <c r="Q22" t="s">
        <v>31</v>
      </c>
      <c r="R22">
        <f>99.987/0.67</f>
        <v>149.23432835820893</v>
      </c>
      <c r="S22">
        <f t="shared" si="6"/>
        <v>16.415776119402981</v>
      </c>
    </row>
    <row r="23" spans="17:21" x14ac:dyDescent="0.3">
      <c r="Q23" t="s">
        <v>33</v>
      </c>
      <c r="R23">
        <f>99.162/0.9569</f>
        <v>103.6283833211412</v>
      </c>
      <c r="S23">
        <f t="shared" si="6"/>
        <v>11.399122165325531</v>
      </c>
    </row>
    <row r="24" spans="17:21" x14ac:dyDescent="0.3">
      <c r="Q24" t="s">
        <v>32</v>
      </c>
      <c r="R24">
        <f>99.062/1.703</f>
        <v>58.169113329418671</v>
      </c>
      <c r="S24">
        <f t="shared" si="6"/>
        <v>6.3986024662360537</v>
      </c>
    </row>
    <row r="26" spans="17:21" x14ac:dyDescent="0.3">
      <c r="Q26" t="s">
        <v>34</v>
      </c>
      <c r="R26">
        <f>98.745/0.866</f>
        <v>114.02424942263281</v>
      </c>
      <c r="S26">
        <f t="shared" si="6"/>
        <v>12.542667436489609</v>
      </c>
    </row>
    <row r="27" spans="17:21" x14ac:dyDescent="0.3">
      <c r="Q27" t="s">
        <v>35</v>
      </c>
      <c r="R27">
        <v>4</v>
      </c>
      <c r="S27">
        <f t="shared" si="6"/>
        <v>0.44</v>
      </c>
    </row>
    <row r="28" spans="17:21" x14ac:dyDescent="0.3">
      <c r="Q28" t="s">
        <v>36</v>
      </c>
      <c r="R28">
        <f>83.464/14.68</f>
        <v>5.6855585831062667</v>
      </c>
      <c r="S28">
        <f t="shared" si="6"/>
        <v>0.62541144414168937</v>
      </c>
    </row>
    <row r="29" spans="17:21" x14ac:dyDescent="0.3">
      <c r="S29" t="s">
        <v>44</v>
      </c>
      <c r="U29" t="s">
        <v>44</v>
      </c>
    </row>
    <row r="30" spans="17:21" x14ac:dyDescent="0.3">
      <c r="Q30" t="s">
        <v>37</v>
      </c>
      <c r="R30">
        <f>99.443/1.0599</f>
        <v>93.823002170016025</v>
      </c>
      <c r="S30">
        <f>11%*R30</f>
        <v>10.320530238701762</v>
      </c>
      <c r="T30">
        <f>97.886/0.8894</f>
        <v>110.05846638183044</v>
      </c>
      <c r="U30">
        <f>11%*T30</f>
        <v>12.106431302001349</v>
      </c>
    </row>
    <row r="31" spans="17:21" x14ac:dyDescent="0.3">
      <c r="Q31" t="s">
        <v>38</v>
      </c>
      <c r="R31">
        <f>98.91/1.2032</f>
        <v>82.205784574468083</v>
      </c>
      <c r="S31">
        <f t="shared" ref="S31:S36" si="7">11%*R31</f>
        <v>9.0426363031914896</v>
      </c>
      <c r="T31">
        <f>95.861/0.8694</f>
        <v>110.2610996089257</v>
      </c>
      <c r="U31">
        <f t="shared" ref="U31:U36" si="8">11%*T31</f>
        <v>12.128720956981828</v>
      </c>
    </row>
    <row r="32" spans="17:21" x14ac:dyDescent="0.3">
      <c r="Q32" t="s">
        <v>39</v>
      </c>
      <c r="R32">
        <f>98.818/1.2957</f>
        <v>76.266110982480512</v>
      </c>
      <c r="S32">
        <f t="shared" si="7"/>
        <v>8.3892722080728568</v>
      </c>
      <c r="T32">
        <f>95.513/0.9338</f>
        <v>102.28421503533949</v>
      </c>
      <c r="U32">
        <f t="shared" si="8"/>
        <v>11.251263653887344</v>
      </c>
    </row>
    <row r="33" spans="3:21" x14ac:dyDescent="0.3">
      <c r="Q33" t="s">
        <v>40</v>
      </c>
      <c r="R33">
        <f>98.454/1.2536</f>
        <v>78.537013401403954</v>
      </c>
      <c r="S33">
        <f t="shared" si="7"/>
        <v>8.6390714741544343</v>
      </c>
      <c r="T33">
        <f>94.133/0.7804</f>
        <v>120.62147616606867</v>
      </c>
      <c r="U33">
        <f t="shared" si="8"/>
        <v>13.268362378267554</v>
      </c>
    </row>
    <row r="34" spans="3:21" x14ac:dyDescent="0.3">
      <c r="Q34" t="s">
        <v>41</v>
      </c>
      <c r="R34">
        <f>98.728/1.2516</f>
        <v>78.881431767337801</v>
      </c>
      <c r="S34">
        <f t="shared" si="7"/>
        <v>8.6769574944071586</v>
      </c>
      <c r="T34">
        <f>95.173/0.8623</f>
        <v>110.37110054505393</v>
      </c>
      <c r="U34">
        <f t="shared" si="8"/>
        <v>12.140821059955933</v>
      </c>
    </row>
    <row r="35" spans="3:21" x14ac:dyDescent="0.3">
      <c r="Q35" t="s">
        <v>42</v>
      </c>
      <c r="R35">
        <f>97.391/1.8363</f>
        <v>53.03654087022818</v>
      </c>
      <c r="S35">
        <f t="shared" si="7"/>
        <v>5.8340194957250997</v>
      </c>
      <c r="T35">
        <f>90.097/1.0376</f>
        <v>86.832112567463369</v>
      </c>
      <c r="U35">
        <f t="shared" si="8"/>
        <v>9.5515323824209712</v>
      </c>
    </row>
    <row r="36" spans="3:21" x14ac:dyDescent="0.3">
      <c r="Q36" t="s">
        <v>43</v>
      </c>
      <c r="R36">
        <f>95.721/2.3338</f>
        <v>41.015082697746166</v>
      </c>
      <c r="S36">
        <f t="shared" si="7"/>
        <v>4.5116590967520782</v>
      </c>
      <c r="T36">
        <f>83.758/1.024</f>
        <v>81.794921875</v>
      </c>
      <c r="U36">
        <f t="shared" si="8"/>
        <v>8.9974414062499992</v>
      </c>
    </row>
    <row r="39" spans="3:21" x14ac:dyDescent="0.3">
      <c r="C39" t="s">
        <v>0</v>
      </c>
      <c r="D39">
        <v>33</v>
      </c>
    </row>
    <row r="40" spans="3:21" x14ac:dyDescent="0.3">
      <c r="C40" t="s">
        <v>1</v>
      </c>
      <c r="D40">
        <v>39</v>
      </c>
    </row>
    <row r="41" spans="3:21" x14ac:dyDescent="0.3">
      <c r="C41" t="s">
        <v>2</v>
      </c>
      <c r="D41">
        <v>0.2</v>
      </c>
    </row>
    <row r="42" spans="3:21" x14ac:dyDescent="0.3">
      <c r="C42" t="s">
        <v>3</v>
      </c>
      <c r="D42">
        <v>0.7</v>
      </c>
    </row>
    <row r="43" spans="3:21" x14ac:dyDescent="0.3">
      <c r="C43" t="s">
        <v>4</v>
      </c>
      <c r="D43">
        <v>0.5</v>
      </c>
    </row>
    <row r="48" spans="3:21" x14ac:dyDescent="0.3">
      <c r="C48" t="s">
        <v>0</v>
      </c>
      <c r="D48">
        <v>33</v>
      </c>
    </row>
    <row r="49" spans="3:4" x14ac:dyDescent="0.3">
      <c r="C49" t="s">
        <v>1</v>
      </c>
      <c r="D49">
        <v>39</v>
      </c>
    </row>
    <row r="50" spans="3:4" x14ac:dyDescent="0.3">
      <c r="C50" t="s">
        <v>5</v>
      </c>
      <c r="D50">
        <v>9.8000000000000007</v>
      </c>
    </row>
    <row r="51" spans="3:4" x14ac:dyDescent="0.3">
      <c r="C51" t="s">
        <v>6</v>
      </c>
      <c r="D51">
        <v>17</v>
      </c>
    </row>
    <row r="52" spans="3:4" x14ac:dyDescent="0.3">
      <c r="C52" t="s">
        <v>2</v>
      </c>
      <c r="D52">
        <v>0.2</v>
      </c>
    </row>
    <row r="53" spans="3:4" x14ac:dyDescent="0.3">
      <c r="C53" t="s">
        <v>3</v>
      </c>
      <c r="D53">
        <v>0.7</v>
      </c>
    </row>
    <row r="54" spans="3:4" x14ac:dyDescent="0.3">
      <c r="C54" t="s">
        <v>4</v>
      </c>
      <c r="D54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2016-09-04T07:57:33Z</dcterms:created>
  <dcterms:modified xsi:type="dcterms:W3CDTF">2016-09-05T01:07:37Z</dcterms:modified>
</cp:coreProperties>
</file>